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cottal\OneDrive - Scottish Water\Documents\Inv nairn review\"/>
    </mc:Choice>
  </mc:AlternateContent>
  <bookViews>
    <workbookView xWindow="-23" yWindow="53" windowWidth="16493" windowHeight="4013" tabRatio="840"/>
  </bookViews>
  <sheets>
    <sheet name="Summary New" sheetId="24" r:id="rId1"/>
    <sheet name="Base Costs" sheetId="26" r:id="rId2"/>
    <sheet name="Option 1a" sheetId="37" r:id="rId3"/>
    <sheet name="Option 1b" sheetId="41" r:id="rId4"/>
    <sheet name="Option 1c" sheetId="42" r:id="rId5"/>
    <sheet name="Option 1d" sheetId="51" r:id="rId6"/>
    <sheet name="Option 2a" sheetId="43" r:id="rId7"/>
    <sheet name="Option 2b" sheetId="34" r:id="rId8"/>
    <sheet name="Option 2c" sheetId="44" r:id="rId9"/>
    <sheet name="Option 2d" sheetId="45" r:id="rId10"/>
    <sheet name="Option 2e" sheetId="46" r:id="rId11"/>
    <sheet name="Option 2e (defer 10 years)" sheetId="53" r:id="rId12"/>
    <sheet name="Option 2e (defer 15 years)" sheetId="54" r:id="rId13"/>
    <sheet name="Option 2b defer wtw" sheetId="48" r:id="rId14"/>
    <sheet name="Option 2b leak defer" sheetId="49" r:id="rId15"/>
    <sheet name="Option 2e extra memebrane" sheetId="52" r:id="rId16"/>
    <sheet name="Option 3" sheetId="33" r:id="rId17"/>
    <sheet name="20 v 40 cost analysis" sheetId="47" r:id="rId18"/>
  </sheets>
  <externalReferences>
    <externalReference r:id="rId19"/>
    <externalReference r:id="rId20"/>
  </externalReferences>
  <definedNames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13">#REF!</definedName>
    <definedName name="a" localSheetId="14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15">#REF!</definedName>
    <definedName name="a" localSheetId="16">#REF!</definedName>
    <definedName name="a" localSheetId="0">#REF!</definedName>
    <definedName name="a">#REF!</definedName>
    <definedName name="NvsASD">"V2014-01-31"</definedName>
    <definedName name="NvsAutoDrillOk">"VN"</definedName>
    <definedName name="NvsElapsedTime">0</definedName>
    <definedName name="NvsEndTime">37804.4385300925</definedName>
    <definedName name="NvsInstLang">"VENG"</definedName>
    <definedName name="NvsInstSpec">"%,FDEPTID,TSW_DEPT_REPT_V1,NREGULATED"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"%,X,RPF..,CPF.."</definedName>
    <definedName name="NvsPanelBusUnit">"VSWA01"</definedName>
    <definedName name="NvsPanelEffdt">"V2013-04-01"</definedName>
    <definedName name="NvsPanelSetid">"VSWA01"</definedName>
    <definedName name="NvsReqBU">"VSWA01"</definedName>
    <definedName name="NvsReqBUOnly">"VY"</definedName>
    <definedName name="NvsStyleNme">"IE1_v02_Style Sheet.xls"</definedName>
    <definedName name="NvsTransLed">"VN"</definedName>
    <definedName name="NvsTreeASD">"V2014-01-31"</definedName>
  </definedNames>
  <calcPr calcId="162913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24" l="1"/>
  <c r="S21" i="24"/>
  <c r="R21" i="24"/>
  <c r="Q21" i="24"/>
  <c r="P21" i="24"/>
  <c r="O21" i="24"/>
  <c r="B21" i="24"/>
  <c r="G68" i="54"/>
  <c r="G73" i="54"/>
  <c r="G59" i="54"/>
  <c r="G49" i="54"/>
  <c r="G54" i="54"/>
  <c r="G34" i="54"/>
  <c r="G39" i="54"/>
  <c r="D29" i="54"/>
  <c r="D28" i="54"/>
  <c r="M73" i="54"/>
  <c r="E73" i="54"/>
  <c r="C73" i="54"/>
  <c r="M72" i="54"/>
  <c r="E72" i="54"/>
  <c r="C72" i="54"/>
  <c r="M71" i="54"/>
  <c r="E71" i="54"/>
  <c r="C71" i="54"/>
  <c r="M70" i="54"/>
  <c r="E70" i="54"/>
  <c r="C70" i="54"/>
  <c r="M69" i="54"/>
  <c r="E69" i="54"/>
  <c r="C69" i="54"/>
  <c r="M68" i="54"/>
  <c r="E68" i="54"/>
  <c r="C68" i="54"/>
  <c r="M67" i="54"/>
  <c r="E67" i="54"/>
  <c r="C67" i="54"/>
  <c r="M66" i="54"/>
  <c r="E66" i="54"/>
  <c r="C66" i="54"/>
  <c r="M65" i="54"/>
  <c r="E65" i="54"/>
  <c r="C65" i="54"/>
  <c r="M64" i="54"/>
  <c r="E64" i="54"/>
  <c r="C64" i="54"/>
  <c r="M63" i="54"/>
  <c r="E63" i="54"/>
  <c r="C63" i="54"/>
  <c r="M62" i="54"/>
  <c r="E62" i="54"/>
  <c r="C62" i="54"/>
  <c r="M61" i="54"/>
  <c r="E61" i="54"/>
  <c r="C61" i="54"/>
  <c r="M60" i="54"/>
  <c r="E60" i="54"/>
  <c r="C60" i="54"/>
  <c r="M59" i="54"/>
  <c r="E59" i="54"/>
  <c r="C59" i="54"/>
  <c r="M58" i="54"/>
  <c r="D58" i="54"/>
  <c r="M57" i="54"/>
  <c r="E57" i="54"/>
  <c r="C57" i="54"/>
  <c r="M56" i="54"/>
  <c r="E56" i="54"/>
  <c r="C56" i="54"/>
  <c r="M55" i="54"/>
  <c r="E55" i="54"/>
  <c r="C55" i="54"/>
  <c r="M54" i="54"/>
  <c r="E54" i="54"/>
  <c r="C54" i="54"/>
  <c r="M53" i="54"/>
  <c r="E53" i="54"/>
  <c r="C53" i="54"/>
  <c r="M52" i="54"/>
  <c r="E52" i="54"/>
  <c r="C52" i="54"/>
  <c r="M51" i="54"/>
  <c r="E51" i="54"/>
  <c r="C51" i="54"/>
  <c r="M50" i="54"/>
  <c r="E50" i="54"/>
  <c r="C50" i="54"/>
  <c r="M49" i="54"/>
  <c r="E49" i="54"/>
  <c r="C49" i="54"/>
  <c r="M48" i="54"/>
  <c r="E48" i="54"/>
  <c r="C48" i="54"/>
  <c r="M47" i="54"/>
  <c r="E47" i="54"/>
  <c r="C47" i="54"/>
  <c r="M46" i="54"/>
  <c r="E46" i="54"/>
  <c r="C46" i="54"/>
  <c r="M45" i="54"/>
  <c r="E45" i="54"/>
  <c r="C45" i="54"/>
  <c r="M44" i="54"/>
  <c r="E44" i="54"/>
  <c r="C44" i="54"/>
  <c r="M43" i="54"/>
  <c r="E43" i="54"/>
  <c r="C43" i="54"/>
  <c r="M42" i="54"/>
  <c r="E42" i="54"/>
  <c r="C42" i="54"/>
  <c r="M41" i="54"/>
  <c r="E41" i="54"/>
  <c r="C41" i="54"/>
  <c r="M40" i="54"/>
  <c r="E40" i="54"/>
  <c r="C40" i="54"/>
  <c r="M39" i="54"/>
  <c r="E39" i="54"/>
  <c r="C39" i="54"/>
  <c r="M38" i="54"/>
  <c r="E38" i="54"/>
  <c r="C38" i="54"/>
  <c r="M37" i="54"/>
  <c r="E37" i="54"/>
  <c r="C37" i="54"/>
  <c r="M36" i="54"/>
  <c r="E36" i="54"/>
  <c r="C36" i="54"/>
  <c r="M35" i="54"/>
  <c r="E35" i="54"/>
  <c r="C35" i="54"/>
  <c r="M34" i="54"/>
  <c r="E34" i="54"/>
  <c r="C34" i="54"/>
  <c r="M33" i="54"/>
  <c r="E33" i="54"/>
  <c r="C33" i="54"/>
  <c r="M32" i="54"/>
  <c r="E32" i="54"/>
  <c r="C32" i="54"/>
  <c r="M31" i="54"/>
  <c r="E31" i="54"/>
  <c r="C31" i="54"/>
  <c r="M30" i="54"/>
  <c r="E30" i="54"/>
  <c r="C30" i="54"/>
  <c r="M29" i="54"/>
  <c r="E29" i="54"/>
  <c r="C29" i="54"/>
  <c r="M28" i="54"/>
  <c r="E28" i="54"/>
  <c r="C28" i="54"/>
  <c r="AG27" i="54"/>
  <c r="M27" i="54"/>
  <c r="E27" i="54"/>
  <c r="C27" i="54"/>
  <c r="AG26" i="54"/>
  <c r="AG28" i="54" s="1"/>
  <c r="M26" i="54"/>
  <c r="E26" i="54"/>
  <c r="C26" i="54"/>
  <c r="M25" i="54"/>
  <c r="E25" i="54"/>
  <c r="C25" i="54"/>
  <c r="M24" i="54"/>
  <c r="M23" i="54"/>
  <c r="AL22" i="54"/>
  <c r="AH22" i="54"/>
  <c r="AH20" i="54" s="1"/>
  <c r="AL20" i="54" s="1"/>
  <c r="AK20" i="54" s="1"/>
  <c r="AG22" i="54"/>
  <c r="M22" i="54"/>
  <c r="D22" i="54"/>
  <c r="E22" i="54" s="1"/>
  <c r="C22" i="54"/>
  <c r="AH21" i="54"/>
  <c r="AL21" i="54" s="1"/>
  <c r="AK21" i="54" s="1"/>
  <c r="M21" i="54"/>
  <c r="D21" i="54"/>
  <c r="E21" i="54" s="1"/>
  <c r="C21" i="54"/>
  <c r="M20" i="54"/>
  <c r="D20" i="54"/>
  <c r="C20" i="54" s="1"/>
  <c r="AL19" i="54"/>
  <c r="AK19" i="54" s="1"/>
  <c r="AH19" i="54"/>
  <c r="M19" i="54"/>
  <c r="E19" i="54"/>
  <c r="C19" i="54"/>
  <c r="AL18" i="54"/>
  <c r="AK18" i="54" s="1"/>
  <c r="AH18" i="54"/>
  <c r="M18" i="54"/>
  <c r="E18" i="54"/>
  <c r="C18" i="54"/>
  <c r="AL17" i="54"/>
  <c r="AK17" i="54" s="1"/>
  <c r="AH17" i="54"/>
  <c r="M17" i="54"/>
  <c r="E17" i="54"/>
  <c r="D17" i="54"/>
  <c r="C17" i="54"/>
  <c r="AH16" i="54"/>
  <c r="AL16" i="54" s="1"/>
  <c r="AK16" i="54" s="1"/>
  <c r="P16" i="54"/>
  <c r="P17" i="54" s="1"/>
  <c r="P18" i="54" s="1"/>
  <c r="P19" i="54" s="1"/>
  <c r="P20" i="54" s="1"/>
  <c r="P21" i="54" s="1"/>
  <c r="P22" i="54" s="1"/>
  <c r="P23" i="54" s="1"/>
  <c r="P24" i="54" s="1"/>
  <c r="P25" i="54" s="1"/>
  <c r="P26" i="54" s="1"/>
  <c r="P27" i="54" s="1"/>
  <c r="P28" i="54" s="1"/>
  <c r="P29" i="54" s="1"/>
  <c r="P30" i="54" s="1"/>
  <c r="P31" i="54" s="1"/>
  <c r="P32" i="54" s="1"/>
  <c r="P33" i="54" s="1"/>
  <c r="P34" i="54" s="1"/>
  <c r="P35" i="54" s="1"/>
  <c r="P36" i="54" s="1"/>
  <c r="P37" i="54" s="1"/>
  <c r="P38" i="54" s="1"/>
  <c r="P39" i="54" s="1"/>
  <c r="P40" i="54" s="1"/>
  <c r="P41" i="54" s="1"/>
  <c r="P42" i="54" s="1"/>
  <c r="P43" i="54" s="1"/>
  <c r="P44" i="54" s="1"/>
  <c r="P45" i="54" s="1"/>
  <c r="P46" i="54" s="1"/>
  <c r="P47" i="54" s="1"/>
  <c r="P48" i="54" s="1"/>
  <c r="P49" i="54" s="1"/>
  <c r="P50" i="54" s="1"/>
  <c r="P51" i="54" s="1"/>
  <c r="P52" i="54" s="1"/>
  <c r="P53" i="54" s="1"/>
  <c r="P54" i="54" s="1"/>
  <c r="P55" i="54" s="1"/>
  <c r="P56" i="54" s="1"/>
  <c r="P57" i="54" s="1"/>
  <c r="P58" i="54" s="1"/>
  <c r="P59" i="54" s="1"/>
  <c r="P60" i="54" s="1"/>
  <c r="P61" i="54" s="1"/>
  <c r="P62" i="54" s="1"/>
  <c r="P63" i="54" s="1"/>
  <c r="P64" i="54" s="1"/>
  <c r="P65" i="54" s="1"/>
  <c r="P66" i="54" s="1"/>
  <c r="P67" i="54" s="1"/>
  <c r="P68" i="54" s="1"/>
  <c r="P69" i="54" s="1"/>
  <c r="P70" i="54" s="1"/>
  <c r="P71" i="54" s="1"/>
  <c r="P72" i="54" s="1"/>
  <c r="P73" i="54" s="1"/>
  <c r="N16" i="54"/>
  <c r="M16" i="54"/>
  <c r="L16" i="54"/>
  <c r="L17" i="54" s="1"/>
  <c r="E16" i="54"/>
  <c r="C16" i="54"/>
  <c r="O15" i="54"/>
  <c r="O16" i="54" s="1"/>
  <c r="O17" i="54" s="1"/>
  <c r="O18" i="54" s="1"/>
  <c r="O19" i="54" s="1"/>
  <c r="O20" i="54" s="1"/>
  <c r="O21" i="54" s="1"/>
  <c r="O22" i="54" s="1"/>
  <c r="O23" i="54" s="1"/>
  <c r="O24" i="54" s="1"/>
  <c r="O25" i="54" s="1"/>
  <c r="O26" i="54" s="1"/>
  <c r="O27" i="54" s="1"/>
  <c r="O28" i="54" s="1"/>
  <c r="O29" i="54" s="1"/>
  <c r="O30" i="54" s="1"/>
  <c r="O31" i="54" s="1"/>
  <c r="O32" i="54" s="1"/>
  <c r="O33" i="54" s="1"/>
  <c r="O34" i="54" s="1"/>
  <c r="O35" i="54" s="1"/>
  <c r="O36" i="54" s="1"/>
  <c r="O37" i="54" s="1"/>
  <c r="O38" i="54" s="1"/>
  <c r="O39" i="54" s="1"/>
  <c r="O40" i="54" s="1"/>
  <c r="O41" i="54" s="1"/>
  <c r="O42" i="54" s="1"/>
  <c r="O43" i="54" s="1"/>
  <c r="O44" i="54" s="1"/>
  <c r="O45" i="54" s="1"/>
  <c r="O46" i="54" s="1"/>
  <c r="O47" i="54" s="1"/>
  <c r="O48" i="54" s="1"/>
  <c r="O49" i="54" s="1"/>
  <c r="O50" i="54" s="1"/>
  <c r="O51" i="54" s="1"/>
  <c r="O52" i="54" s="1"/>
  <c r="O53" i="54" s="1"/>
  <c r="O54" i="54" s="1"/>
  <c r="O55" i="54" s="1"/>
  <c r="O56" i="54" s="1"/>
  <c r="O57" i="54" s="1"/>
  <c r="O58" i="54" s="1"/>
  <c r="O59" i="54" s="1"/>
  <c r="O60" i="54" s="1"/>
  <c r="O61" i="54" s="1"/>
  <c r="O62" i="54" s="1"/>
  <c r="O63" i="54" s="1"/>
  <c r="O64" i="54" s="1"/>
  <c r="O65" i="54" s="1"/>
  <c r="O66" i="54" s="1"/>
  <c r="O67" i="54" s="1"/>
  <c r="O68" i="54" s="1"/>
  <c r="O69" i="54" s="1"/>
  <c r="O70" i="54" s="1"/>
  <c r="O71" i="54" s="1"/>
  <c r="O72" i="54" s="1"/>
  <c r="O73" i="54" s="1"/>
  <c r="M15" i="54"/>
  <c r="R15" i="54" s="1"/>
  <c r="E15" i="54"/>
  <c r="C15" i="54"/>
  <c r="P14" i="54"/>
  <c r="O14" i="54"/>
  <c r="N14" i="54"/>
  <c r="M14" i="54"/>
  <c r="R14" i="54" s="1"/>
  <c r="L14" i="54"/>
  <c r="H14" i="54"/>
  <c r="F14" i="54"/>
  <c r="D14" i="54"/>
  <c r="J14" i="54" s="1"/>
  <c r="B14" i="54"/>
  <c r="B15" i="54" s="1"/>
  <c r="A14" i="54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P13" i="54"/>
  <c r="O13" i="54"/>
  <c r="N13" i="54"/>
  <c r="M13" i="54"/>
  <c r="M74" i="54" s="1"/>
  <c r="L13" i="54"/>
  <c r="J13" i="54"/>
  <c r="H13" i="54"/>
  <c r="K13" i="54" s="1"/>
  <c r="F13" i="54"/>
  <c r="E13" i="54"/>
  <c r="C13" i="54"/>
  <c r="AB9" i="54"/>
  <c r="AA9" i="54"/>
  <c r="X9" i="54"/>
  <c r="W9" i="54"/>
  <c r="T9" i="54"/>
  <c r="T4" i="54" s="1"/>
  <c r="U4" i="54" s="1"/>
  <c r="S9" i="54"/>
  <c r="AB8" i="54"/>
  <c r="AC8" i="54" s="1"/>
  <c r="AA8" i="54"/>
  <c r="X8" i="54"/>
  <c r="Y8" i="54" s="1"/>
  <c r="AC7" i="54"/>
  <c r="AB7" i="54"/>
  <c r="AA7" i="54"/>
  <c r="X7" i="54"/>
  <c r="Y7" i="54" s="1"/>
  <c r="AB6" i="54"/>
  <c r="AC6" i="54" s="1"/>
  <c r="AA6" i="54"/>
  <c r="Y6" i="54"/>
  <c r="X6" i="54"/>
  <c r="AC5" i="54"/>
  <c r="AB5" i="54"/>
  <c r="AA5" i="54"/>
  <c r="X5" i="54"/>
  <c r="Y5" i="54" s="1"/>
  <c r="AB4" i="54"/>
  <c r="AC4" i="54" s="1"/>
  <c r="AA4" i="54"/>
  <c r="X4" i="54"/>
  <c r="Y4" i="54" s="1"/>
  <c r="AB3" i="54"/>
  <c r="AC3" i="54" s="1"/>
  <c r="AA3" i="54"/>
  <c r="X3" i="54"/>
  <c r="C3" i="54"/>
  <c r="AA1" i="54"/>
  <c r="C1" i="54"/>
  <c r="D23" i="53"/>
  <c r="S15" i="54" l="1"/>
  <c r="Q15" i="54"/>
  <c r="L18" i="54"/>
  <c r="AK22" i="54"/>
  <c r="AC9" i="54"/>
  <c r="W15" i="54"/>
  <c r="B16" i="54"/>
  <c r="B17" i="54" s="1"/>
  <c r="B18" i="54" s="1"/>
  <c r="B19" i="54" s="1"/>
  <c r="B20" i="54" s="1"/>
  <c r="B21" i="54" s="1"/>
  <c r="Y9" i="54"/>
  <c r="Q14" i="54"/>
  <c r="S14" i="54"/>
  <c r="U14" i="54"/>
  <c r="R16" i="54"/>
  <c r="R13" i="54"/>
  <c r="E14" i="54"/>
  <c r="W16" i="54"/>
  <c r="N17" i="54"/>
  <c r="N18" i="54" s="1"/>
  <c r="N19" i="54" s="1"/>
  <c r="N20" i="54" s="1"/>
  <c r="N21" i="54" s="1"/>
  <c r="N22" i="54" s="1"/>
  <c r="N23" i="54" s="1"/>
  <c r="N24" i="54" s="1"/>
  <c r="N25" i="54" s="1"/>
  <c r="N26" i="54" s="1"/>
  <c r="N27" i="54" s="1"/>
  <c r="N28" i="54" s="1"/>
  <c r="N29" i="54" s="1"/>
  <c r="N30" i="54" s="1"/>
  <c r="N31" i="54" s="1"/>
  <c r="N32" i="54" s="1"/>
  <c r="N33" i="54" s="1"/>
  <c r="N34" i="54" s="1"/>
  <c r="N35" i="54" s="1"/>
  <c r="N36" i="54" s="1"/>
  <c r="N37" i="54" s="1"/>
  <c r="N38" i="54" s="1"/>
  <c r="N39" i="54" s="1"/>
  <c r="N40" i="54" s="1"/>
  <c r="N41" i="54" s="1"/>
  <c r="N42" i="54" s="1"/>
  <c r="N43" i="54" s="1"/>
  <c r="N44" i="54" s="1"/>
  <c r="N45" i="54" s="1"/>
  <c r="N46" i="54" s="1"/>
  <c r="N47" i="54" s="1"/>
  <c r="N48" i="54" s="1"/>
  <c r="N49" i="54" s="1"/>
  <c r="N50" i="54" s="1"/>
  <c r="N51" i="54" s="1"/>
  <c r="N52" i="54" s="1"/>
  <c r="N53" i="54" s="1"/>
  <c r="N54" i="54" s="1"/>
  <c r="N55" i="54" s="1"/>
  <c r="N56" i="54" s="1"/>
  <c r="N57" i="54" s="1"/>
  <c r="N58" i="54" s="1"/>
  <c r="N59" i="54" s="1"/>
  <c r="N60" i="54" s="1"/>
  <c r="N61" i="54" s="1"/>
  <c r="N62" i="54" s="1"/>
  <c r="N63" i="54" s="1"/>
  <c r="N64" i="54" s="1"/>
  <c r="N65" i="54" s="1"/>
  <c r="N66" i="54" s="1"/>
  <c r="N67" i="54" s="1"/>
  <c r="N68" i="54" s="1"/>
  <c r="N69" i="54" s="1"/>
  <c r="N70" i="54" s="1"/>
  <c r="N71" i="54" s="1"/>
  <c r="N72" i="54" s="1"/>
  <c r="N73" i="54" s="1"/>
  <c r="E20" i="54"/>
  <c r="T6" i="54"/>
  <c r="U6" i="54" s="1"/>
  <c r="T8" i="54"/>
  <c r="U8" i="54" s="1"/>
  <c r="I13" i="54"/>
  <c r="T5" i="54"/>
  <c r="U5" i="54" s="1"/>
  <c r="U9" i="54" s="1"/>
  <c r="T7" i="54"/>
  <c r="U7" i="54" s="1"/>
  <c r="O74" i="54"/>
  <c r="W14" i="54"/>
  <c r="W17" i="54"/>
  <c r="W18" i="54"/>
  <c r="W19" i="54"/>
  <c r="T3" i="54"/>
  <c r="P74" i="54"/>
  <c r="C14" i="54"/>
  <c r="I14" i="54" s="1"/>
  <c r="W20" i="54"/>
  <c r="D24" i="53"/>
  <c r="Y14" i="54" l="1"/>
  <c r="S13" i="54"/>
  <c r="Q13" i="54"/>
  <c r="U13" i="54"/>
  <c r="Q16" i="54"/>
  <c r="S16" i="54"/>
  <c r="G70" i="54"/>
  <c r="G66" i="54"/>
  <c r="G62" i="54"/>
  <c r="G69" i="54"/>
  <c r="G65" i="54"/>
  <c r="G61" i="54"/>
  <c r="G56" i="54"/>
  <c r="G55" i="54"/>
  <c r="G72" i="54"/>
  <c r="G71" i="54"/>
  <c r="G67" i="54"/>
  <c r="G64" i="54"/>
  <c r="G63" i="54"/>
  <c r="G60" i="54"/>
  <c r="G58" i="54"/>
  <c r="G57" i="54"/>
  <c r="G53" i="54"/>
  <c r="G50" i="54"/>
  <c r="G46" i="54"/>
  <c r="G42" i="54"/>
  <c r="G38" i="54"/>
  <c r="G45" i="54"/>
  <c r="G41" i="54"/>
  <c r="G52" i="54"/>
  <c r="G51" i="54"/>
  <c r="G47" i="54"/>
  <c r="G43" i="54"/>
  <c r="G44" i="54"/>
  <c r="G35" i="54"/>
  <c r="G31" i="54"/>
  <c r="G28" i="54"/>
  <c r="G30" i="54"/>
  <c r="G48" i="54"/>
  <c r="G40" i="54"/>
  <c r="G37" i="54"/>
  <c r="G33" i="54"/>
  <c r="G29" i="54"/>
  <c r="G27" i="54"/>
  <c r="G32" i="54"/>
  <c r="G23" i="54"/>
  <c r="G20" i="54"/>
  <c r="G15" i="54"/>
  <c r="G26" i="54"/>
  <c r="G25" i="54"/>
  <c r="G19" i="54"/>
  <c r="G18" i="54"/>
  <c r="G17" i="54"/>
  <c r="G36" i="54"/>
  <c r="G24" i="54"/>
  <c r="G22" i="54"/>
  <c r="G16" i="54"/>
  <c r="G21" i="54"/>
  <c r="N74" i="54"/>
  <c r="C23" i="54"/>
  <c r="D24" i="54"/>
  <c r="E23" i="54"/>
  <c r="R17" i="54"/>
  <c r="T14" i="54"/>
  <c r="X14" i="54" s="1"/>
  <c r="B22" i="54"/>
  <c r="W21" i="54"/>
  <c r="L19" i="54"/>
  <c r="R18" i="54"/>
  <c r="K14" i="54"/>
  <c r="M15" i="53"/>
  <c r="M16" i="53"/>
  <c r="M17" i="53"/>
  <c r="M18" i="53"/>
  <c r="M19" i="53"/>
  <c r="M20" i="53"/>
  <c r="M21" i="53"/>
  <c r="M22" i="53"/>
  <c r="M23" i="53"/>
  <c r="M24" i="53"/>
  <c r="D20" i="24"/>
  <c r="E20" i="24"/>
  <c r="C20" i="24"/>
  <c r="B20" i="24"/>
  <c r="D21" i="53"/>
  <c r="D22" i="53"/>
  <c r="D20" i="53"/>
  <c r="G64" i="53"/>
  <c r="G38" i="53"/>
  <c r="G39" i="53"/>
  <c r="G24" i="53"/>
  <c r="D17" i="53"/>
  <c r="E73" i="53"/>
  <c r="C73" i="53"/>
  <c r="E72" i="53"/>
  <c r="C72" i="53"/>
  <c r="E71" i="53"/>
  <c r="C71" i="53"/>
  <c r="E70" i="53"/>
  <c r="C70" i="53"/>
  <c r="E69" i="53"/>
  <c r="C69" i="53"/>
  <c r="E68" i="53"/>
  <c r="C68" i="53"/>
  <c r="E67" i="53"/>
  <c r="C67" i="53"/>
  <c r="E66" i="53"/>
  <c r="C66" i="53"/>
  <c r="E65" i="53"/>
  <c r="C65" i="53"/>
  <c r="E64" i="53"/>
  <c r="C64" i="53"/>
  <c r="E63" i="53"/>
  <c r="C63" i="53"/>
  <c r="E62" i="53"/>
  <c r="C62" i="53"/>
  <c r="E61" i="53"/>
  <c r="C61" i="53"/>
  <c r="E60" i="53"/>
  <c r="C60" i="53"/>
  <c r="E59" i="53"/>
  <c r="C59" i="53"/>
  <c r="D58" i="53"/>
  <c r="E57" i="53"/>
  <c r="C57" i="53"/>
  <c r="E56" i="53"/>
  <c r="C56" i="53"/>
  <c r="E55" i="53"/>
  <c r="C55" i="53"/>
  <c r="E54" i="53"/>
  <c r="C54" i="53"/>
  <c r="E53" i="53"/>
  <c r="C53" i="53"/>
  <c r="E52" i="53"/>
  <c r="C52" i="53"/>
  <c r="E51" i="53"/>
  <c r="C51" i="53"/>
  <c r="E50" i="53"/>
  <c r="C50" i="53"/>
  <c r="E49" i="53"/>
  <c r="C49" i="53"/>
  <c r="E48" i="53"/>
  <c r="C48" i="53"/>
  <c r="E47" i="53"/>
  <c r="C47" i="53"/>
  <c r="E46" i="53"/>
  <c r="C46" i="53"/>
  <c r="E45" i="53"/>
  <c r="C45" i="53"/>
  <c r="E44" i="53"/>
  <c r="C44" i="53"/>
  <c r="E43" i="53"/>
  <c r="C43" i="53"/>
  <c r="E42" i="53"/>
  <c r="C42" i="53"/>
  <c r="E41" i="53"/>
  <c r="C41" i="53"/>
  <c r="E40" i="53"/>
  <c r="C40" i="53"/>
  <c r="E39" i="53"/>
  <c r="C39" i="53"/>
  <c r="E38" i="53"/>
  <c r="C38" i="53"/>
  <c r="E37" i="53"/>
  <c r="C37" i="53"/>
  <c r="E36" i="53"/>
  <c r="C36" i="53"/>
  <c r="E35" i="53"/>
  <c r="C35" i="53"/>
  <c r="E34" i="53"/>
  <c r="C34" i="53"/>
  <c r="E33" i="53"/>
  <c r="C33" i="53"/>
  <c r="E32" i="53"/>
  <c r="C32" i="53"/>
  <c r="E31" i="53"/>
  <c r="C31" i="53"/>
  <c r="E30" i="53"/>
  <c r="C30" i="53"/>
  <c r="E29" i="53"/>
  <c r="C29" i="53"/>
  <c r="E28" i="53"/>
  <c r="C28" i="53"/>
  <c r="AG27" i="53"/>
  <c r="E27" i="53"/>
  <c r="C27" i="53"/>
  <c r="AG26" i="53"/>
  <c r="AG28" i="53" s="1"/>
  <c r="E26" i="53"/>
  <c r="C26" i="53"/>
  <c r="E25" i="53"/>
  <c r="C25" i="53"/>
  <c r="AH22" i="53"/>
  <c r="AH21" i="53" s="1"/>
  <c r="AL21" i="53" s="1"/>
  <c r="AG22" i="53"/>
  <c r="E22" i="53"/>
  <c r="C22" i="53"/>
  <c r="E21" i="53"/>
  <c r="C21" i="53"/>
  <c r="E20" i="53"/>
  <c r="C20" i="53"/>
  <c r="E19" i="53"/>
  <c r="C19" i="53"/>
  <c r="E18" i="53"/>
  <c r="C18" i="53"/>
  <c r="E17" i="53"/>
  <c r="C17" i="53"/>
  <c r="P16" i="53"/>
  <c r="P17" i="53" s="1"/>
  <c r="P18" i="53" s="1"/>
  <c r="P19" i="53" s="1"/>
  <c r="P20" i="53" s="1"/>
  <c r="P21" i="53" s="1"/>
  <c r="P22" i="53" s="1"/>
  <c r="P23" i="53" s="1"/>
  <c r="P24" i="53" s="1"/>
  <c r="P25" i="53" s="1"/>
  <c r="P26" i="53" s="1"/>
  <c r="P27" i="53" s="1"/>
  <c r="P28" i="53" s="1"/>
  <c r="P29" i="53" s="1"/>
  <c r="P30" i="53" s="1"/>
  <c r="P31" i="53" s="1"/>
  <c r="P32" i="53" s="1"/>
  <c r="P33" i="53" s="1"/>
  <c r="P34" i="53" s="1"/>
  <c r="P35" i="53" s="1"/>
  <c r="P36" i="53" s="1"/>
  <c r="P37" i="53" s="1"/>
  <c r="P38" i="53" s="1"/>
  <c r="P39" i="53" s="1"/>
  <c r="P40" i="53" s="1"/>
  <c r="P41" i="53" s="1"/>
  <c r="P42" i="53" s="1"/>
  <c r="P43" i="53" s="1"/>
  <c r="P44" i="53" s="1"/>
  <c r="P45" i="53" s="1"/>
  <c r="P46" i="53" s="1"/>
  <c r="P47" i="53" s="1"/>
  <c r="P48" i="53" s="1"/>
  <c r="P49" i="53" s="1"/>
  <c r="P50" i="53" s="1"/>
  <c r="P51" i="53" s="1"/>
  <c r="P52" i="53" s="1"/>
  <c r="P53" i="53" s="1"/>
  <c r="P54" i="53" s="1"/>
  <c r="P55" i="53" s="1"/>
  <c r="P56" i="53" s="1"/>
  <c r="P57" i="53" s="1"/>
  <c r="P58" i="53" s="1"/>
  <c r="P59" i="53" s="1"/>
  <c r="P60" i="53" s="1"/>
  <c r="P61" i="53" s="1"/>
  <c r="P62" i="53" s="1"/>
  <c r="P63" i="53" s="1"/>
  <c r="P64" i="53" s="1"/>
  <c r="P65" i="53" s="1"/>
  <c r="P66" i="53" s="1"/>
  <c r="P67" i="53" s="1"/>
  <c r="P68" i="53" s="1"/>
  <c r="P69" i="53" s="1"/>
  <c r="P70" i="53" s="1"/>
  <c r="P71" i="53" s="1"/>
  <c r="P72" i="53" s="1"/>
  <c r="P73" i="53" s="1"/>
  <c r="N16" i="53"/>
  <c r="N17" i="53" s="1"/>
  <c r="N18" i="53" s="1"/>
  <c r="N19" i="53" s="1"/>
  <c r="N20" i="53" s="1"/>
  <c r="N21" i="53" s="1"/>
  <c r="N22" i="53" s="1"/>
  <c r="N23" i="53" s="1"/>
  <c r="N24" i="53" s="1"/>
  <c r="N25" i="53" s="1"/>
  <c r="N26" i="53" s="1"/>
  <c r="N27" i="53" s="1"/>
  <c r="N28" i="53" s="1"/>
  <c r="N29" i="53" s="1"/>
  <c r="N30" i="53" s="1"/>
  <c r="N31" i="53" s="1"/>
  <c r="N32" i="53" s="1"/>
  <c r="N33" i="53" s="1"/>
  <c r="N34" i="53" s="1"/>
  <c r="N35" i="53" s="1"/>
  <c r="N36" i="53" s="1"/>
  <c r="N37" i="53" s="1"/>
  <c r="N38" i="53" s="1"/>
  <c r="N39" i="53" s="1"/>
  <c r="N40" i="53" s="1"/>
  <c r="N41" i="53" s="1"/>
  <c r="N42" i="53" s="1"/>
  <c r="N43" i="53" s="1"/>
  <c r="N44" i="53" s="1"/>
  <c r="N45" i="53" s="1"/>
  <c r="N46" i="53" s="1"/>
  <c r="N47" i="53" s="1"/>
  <c r="N48" i="53" s="1"/>
  <c r="N49" i="53" s="1"/>
  <c r="N50" i="53" s="1"/>
  <c r="N51" i="53" s="1"/>
  <c r="N52" i="53" s="1"/>
  <c r="N53" i="53" s="1"/>
  <c r="N54" i="53" s="1"/>
  <c r="N55" i="53" s="1"/>
  <c r="N56" i="53" s="1"/>
  <c r="N57" i="53" s="1"/>
  <c r="N58" i="53" s="1"/>
  <c r="N59" i="53" s="1"/>
  <c r="N60" i="53" s="1"/>
  <c r="N61" i="53" s="1"/>
  <c r="N62" i="53" s="1"/>
  <c r="N63" i="53" s="1"/>
  <c r="N64" i="53" s="1"/>
  <c r="N65" i="53" s="1"/>
  <c r="N66" i="53" s="1"/>
  <c r="N67" i="53" s="1"/>
  <c r="N68" i="53" s="1"/>
  <c r="N69" i="53" s="1"/>
  <c r="N70" i="53" s="1"/>
  <c r="N71" i="53" s="1"/>
  <c r="N72" i="53" s="1"/>
  <c r="N73" i="53" s="1"/>
  <c r="L16" i="53"/>
  <c r="L17" i="53" s="1"/>
  <c r="E16" i="53"/>
  <c r="C16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E15" i="53"/>
  <c r="C15" i="53"/>
  <c r="A15" i="53"/>
  <c r="P14" i="53"/>
  <c r="O14" i="53"/>
  <c r="O15" i="53" s="1"/>
  <c r="O16" i="53" s="1"/>
  <c r="N14" i="53"/>
  <c r="M14" i="53"/>
  <c r="L14" i="53"/>
  <c r="R14" i="53" s="1"/>
  <c r="H14" i="53"/>
  <c r="F14" i="53"/>
  <c r="B14" i="53"/>
  <c r="B15" i="53" s="1"/>
  <c r="A14" i="53"/>
  <c r="P13" i="53"/>
  <c r="O13" i="53"/>
  <c r="N13" i="53"/>
  <c r="M13" i="53"/>
  <c r="L13" i="53"/>
  <c r="R13" i="53" s="1"/>
  <c r="H13" i="53"/>
  <c r="F13" i="53"/>
  <c r="J13" i="53"/>
  <c r="AB9" i="53"/>
  <c r="AA9" i="53"/>
  <c r="X9" i="53"/>
  <c r="X7" i="53" s="1"/>
  <c r="Y7" i="53" s="1"/>
  <c r="W9" i="53"/>
  <c r="T9" i="53"/>
  <c r="T7" i="53" s="1"/>
  <c r="U7" i="53" s="1"/>
  <c r="S9" i="53"/>
  <c r="AB8" i="53"/>
  <c r="AC8" i="53" s="1"/>
  <c r="AA8" i="53"/>
  <c r="AB7" i="53"/>
  <c r="AC7" i="53" s="1"/>
  <c r="AA7" i="53"/>
  <c r="AB6" i="53"/>
  <c r="AC6" i="53" s="1"/>
  <c r="AA6" i="53"/>
  <c r="AB5" i="53"/>
  <c r="AC5" i="53" s="1"/>
  <c r="AA5" i="53"/>
  <c r="AC4" i="53"/>
  <c r="AB4" i="53"/>
  <c r="AA4" i="53"/>
  <c r="X4" i="53"/>
  <c r="Y4" i="53" s="1"/>
  <c r="AC3" i="53"/>
  <c r="AB3" i="53"/>
  <c r="AA3" i="53"/>
  <c r="C3" i="53"/>
  <c r="AA1" i="53"/>
  <c r="C1" i="53"/>
  <c r="B23" i="54" l="1"/>
  <c r="W22" i="54"/>
  <c r="E24" i="54"/>
  <c r="C24" i="54"/>
  <c r="D74" i="54"/>
  <c r="F16" i="54"/>
  <c r="I16" i="54" s="1"/>
  <c r="H16" i="54"/>
  <c r="K16" i="54" s="1"/>
  <c r="J16" i="54"/>
  <c r="U16" i="54" s="1"/>
  <c r="Y16" i="54" s="1"/>
  <c r="J26" i="54"/>
  <c r="F26" i="54"/>
  <c r="I26" i="54" s="1"/>
  <c r="H26" i="54"/>
  <c r="K26" i="54" s="1"/>
  <c r="J32" i="54"/>
  <c r="F32" i="54"/>
  <c r="I32" i="54" s="1"/>
  <c r="H32" i="54"/>
  <c r="K32" i="54" s="1"/>
  <c r="H37" i="54"/>
  <c r="K37" i="54" s="1"/>
  <c r="J37" i="54"/>
  <c r="F37" i="54"/>
  <c r="I37" i="54" s="1"/>
  <c r="H44" i="54"/>
  <c r="K44" i="54" s="1"/>
  <c r="J44" i="54"/>
  <c r="F44" i="54"/>
  <c r="I44" i="54" s="1"/>
  <c r="H49" i="54"/>
  <c r="K49" i="54" s="1"/>
  <c r="J49" i="54"/>
  <c r="F49" i="54"/>
  <c r="I49" i="54" s="1"/>
  <c r="J50" i="54"/>
  <c r="F50" i="54"/>
  <c r="I50" i="54" s="1"/>
  <c r="H50" i="54"/>
  <c r="K50" i="54" s="1"/>
  <c r="H60" i="54"/>
  <c r="K60" i="54" s="1"/>
  <c r="F60" i="54"/>
  <c r="I60" i="54" s="1"/>
  <c r="J60" i="54"/>
  <c r="H68" i="54"/>
  <c r="K68" i="54" s="1"/>
  <c r="F68" i="54"/>
  <c r="I68" i="54" s="1"/>
  <c r="J68" i="54"/>
  <c r="H59" i="54"/>
  <c r="K59" i="54" s="1"/>
  <c r="J59" i="54"/>
  <c r="F59" i="54"/>
  <c r="I59" i="54" s="1"/>
  <c r="H65" i="54"/>
  <c r="K65" i="54" s="1"/>
  <c r="F65" i="54"/>
  <c r="I65" i="54" s="1"/>
  <c r="J65" i="54"/>
  <c r="J66" i="54"/>
  <c r="F66" i="54"/>
  <c r="I66" i="54" s="1"/>
  <c r="H66" i="54"/>
  <c r="K66" i="54" s="1"/>
  <c r="S18" i="54"/>
  <c r="Q18" i="54"/>
  <c r="T18" i="54" s="1"/>
  <c r="X18" i="54" s="1"/>
  <c r="S17" i="54"/>
  <c r="Q17" i="54"/>
  <c r="H22" i="54"/>
  <c r="K22" i="54" s="1"/>
  <c r="J22" i="54"/>
  <c r="F22" i="54"/>
  <c r="I22" i="54" s="1"/>
  <c r="H18" i="54"/>
  <c r="K18" i="54" s="1"/>
  <c r="J18" i="54"/>
  <c r="U18" i="54" s="1"/>
  <c r="Y18" i="54" s="1"/>
  <c r="F18" i="54"/>
  <c r="I18" i="54" s="1"/>
  <c r="G74" i="54"/>
  <c r="H15" i="54"/>
  <c r="J15" i="54"/>
  <c r="F15" i="54"/>
  <c r="G8" i="54"/>
  <c r="H27" i="54"/>
  <c r="K27" i="54" s="1"/>
  <c r="F27" i="54"/>
  <c r="I27" i="54" s="1"/>
  <c r="J27" i="54"/>
  <c r="H40" i="54"/>
  <c r="K40" i="54" s="1"/>
  <c r="J40" i="54"/>
  <c r="F40" i="54"/>
  <c r="I40" i="54" s="1"/>
  <c r="J28" i="54"/>
  <c r="F28" i="54"/>
  <c r="I28" i="54" s="1"/>
  <c r="H28" i="54"/>
  <c r="K28" i="54" s="1"/>
  <c r="J39" i="54"/>
  <c r="F39" i="54"/>
  <c r="I39" i="54" s="1"/>
  <c r="H39" i="54"/>
  <c r="K39" i="54" s="1"/>
  <c r="H52" i="54"/>
  <c r="K52" i="54" s="1"/>
  <c r="J52" i="54"/>
  <c r="F52" i="54"/>
  <c r="I52" i="54" s="1"/>
  <c r="H38" i="54"/>
  <c r="K38" i="54" s="1"/>
  <c r="F38" i="54"/>
  <c r="I38" i="54" s="1"/>
  <c r="J38" i="54"/>
  <c r="J53" i="54"/>
  <c r="F53" i="54"/>
  <c r="I53" i="54" s="1"/>
  <c r="H53" i="54"/>
  <c r="K53" i="54" s="1"/>
  <c r="J63" i="54"/>
  <c r="F63" i="54"/>
  <c r="I63" i="54" s="1"/>
  <c r="H63" i="54"/>
  <c r="K63" i="54" s="1"/>
  <c r="J71" i="54"/>
  <c r="F71" i="54"/>
  <c r="I71" i="54" s="1"/>
  <c r="H71" i="54"/>
  <c r="K71" i="54" s="1"/>
  <c r="H55" i="54"/>
  <c r="K55" i="54" s="1"/>
  <c r="J55" i="54"/>
  <c r="F55" i="54"/>
  <c r="I55" i="54" s="1"/>
  <c r="H69" i="54"/>
  <c r="K69" i="54" s="1"/>
  <c r="F69" i="54"/>
  <c r="I69" i="54" s="1"/>
  <c r="J69" i="54"/>
  <c r="J70" i="54"/>
  <c r="F70" i="54"/>
  <c r="I70" i="54" s="1"/>
  <c r="H70" i="54"/>
  <c r="K70" i="54" s="1"/>
  <c r="V16" i="54"/>
  <c r="Z16" i="54" s="1"/>
  <c r="T13" i="54"/>
  <c r="H17" i="54"/>
  <c r="K17" i="54" s="1"/>
  <c r="J17" i="54"/>
  <c r="U17" i="54" s="1"/>
  <c r="Y17" i="54" s="1"/>
  <c r="F17" i="54"/>
  <c r="I17" i="54" s="1"/>
  <c r="H34" i="54"/>
  <c r="K34" i="54" s="1"/>
  <c r="J34" i="54"/>
  <c r="F34" i="54"/>
  <c r="I34" i="54" s="1"/>
  <c r="J51" i="54"/>
  <c r="F51" i="54"/>
  <c r="I51" i="54" s="1"/>
  <c r="H51" i="54"/>
  <c r="K51" i="54" s="1"/>
  <c r="Y13" i="54"/>
  <c r="L20" i="54"/>
  <c r="R19" i="54"/>
  <c r="V14" i="54"/>
  <c r="Z14" i="54" s="1"/>
  <c r="H24" i="54"/>
  <c r="K24" i="54" s="1"/>
  <c r="J24" i="54"/>
  <c r="F24" i="54"/>
  <c r="H19" i="54"/>
  <c r="K19" i="54" s="1"/>
  <c r="J19" i="54"/>
  <c r="F19" i="54"/>
  <c r="I19" i="54" s="1"/>
  <c r="J20" i="54"/>
  <c r="F20" i="54"/>
  <c r="I20" i="54" s="1"/>
  <c r="H20" i="54"/>
  <c r="K20" i="54" s="1"/>
  <c r="H29" i="54"/>
  <c r="K29" i="54" s="1"/>
  <c r="J29" i="54"/>
  <c r="F29" i="54"/>
  <c r="I29" i="54" s="1"/>
  <c r="H48" i="54"/>
  <c r="K48" i="54" s="1"/>
  <c r="J48" i="54"/>
  <c r="F48" i="54"/>
  <c r="I48" i="54" s="1"/>
  <c r="J31" i="54"/>
  <c r="F31" i="54"/>
  <c r="I31" i="54" s="1"/>
  <c r="H31" i="54"/>
  <c r="K31" i="54" s="1"/>
  <c r="J43" i="54"/>
  <c r="F43" i="54"/>
  <c r="I43" i="54" s="1"/>
  <c r="H43" i="54"/>
  <c r="K43" i="54" s="1"/>
  <c r="H41" i="54"/>
  <c r="K41" i="54" s="1"/>
  <c r="J41" i="54"/>
  <c r="F41" i="54"/>
  <c r="I41" i="54" s="1"/>
  <c r="J42" i="54"/>
  <c r="F42" i="54"/>
  <c r="I42" i="54" s="1"/>
  <c r="H42" i="54"/>
  <c r="K42" i="54" s="1"/>
  <c r="J57" i="54"/>
  <c r="F57" i="54"/>
  <c r="I57" i="54" s="1"/>
  <c r="H57" i="54"/>
  <c r="K57" i="54" s="1"/>
  <c r="H64" i="54"/>
  <c r="K64" i="54" s="1"/>
  <c r="F64" i="54"/>
  <c r="I64" i="54" s="1"/>
  <c r="J64" i="54"/>
  <c r="H72" i="54"/>
  <c r="K72" i="54" s="1"/>
  <c r="F72" i="54"/>
  <c r="I72" i="54" s="1"/>
  <c r="J72" i="54"/>
  <c r="J56" i="54"/>
  <c r="F56" i="54"/>
  <c r="I56" i="54" s="1"/>
  <c r="H56" i="54"/>
  <c r="K56" i="54" s="1"/>
  <c r="H73" i="54"/>
  <c r="K73" i="54" s="1"/>
  <c r="F73" i="54"/>
  <c r="I73" i="54" s="1"/>
  <c r="J73" i="54"/>
  <c r="T16" i="54"/>
  <c r="X16" i="54" s="1"/>
  <c r="V13" i="54"/>
  <c r="D7" i="54"/>
  <c r="J21" i="54"/>
  <c r="F21" i="54"/>
  <c r="I21" i="54" s="1"/>
  <c r="H21" i="54"/>
  <c r="K21" i="54" s="1"/>
  <c r="J36" i="54"/>
  <c r="F36" i="54"/>
  <c r="I36" i="54" s="1"/>
  <c r="H36" i="54"/>
  <c r="K36" i="54" s="1"/>
  <c r="H25" i="54"/>
  <c r="K25" i="54" s="1"/>
  <c r="J25" i="54"/>
  <c r="F25" i="54"/>
  <c r="I25" i="54" s="1"/>
  <c r="J23" i="54"/>
  <c r="F23" i="54"/>
  <c r="I23" i="54" s="1"/>
  <c r="H23" i="54"/>
  <c r="K23" i="54" s="1"/>
  <c r="H33" i="54"/>
  <c r="K33" i="54" s="1"/>
  <c r="J33" i="54"/>
  <c r="F33" i="54"/>
  <c r="I33" i="54" s="1"/>
  <c r="H30" i="54"/>
  <c r="K30" i="54" s="1"/>
  <c r="J30" i="54"/>
  <c r="F30" i="54"/>
  <c r="I30" i="54" s="1"/>
  <c r="J35" i="54"/>
  <c r="F35" i="54"/>
  <c r="I35" i="54" s="1"/>
  <c r="H35" i="54"/>
  <c r="K35" i="54" s="1"/>
  <c r="J47" i="54"/>
  <c r="F47" i="54"/>
  <c r="I47" i="54" s="1"/>
  <c r="H47" i="54"/>
  <c r="K47" i="54" s="1"/>
  <c r="H45" i="54"/>
  <c r="K45" i="54" s="1"/>
  <c r="J45" i="54"/>
  <c r="F45" i="54"/>
  <c r="I45" i="54" s="1"/>
  <c r="J46" i="54"/>
  <c r="F46" i="54"/>
  <c r="I46" i="54" s="1"/>
  <c r="H46" i="54"/>
  <c r="K46" i="54" s="1"/>
  <c r="J58" i="54"/>
  <c r="F58" i="54"/>
  <c r="I58" i="54" s="1"/>
  <c r="H58" i="54"/>
  <c r="K58" i="54" s="1"/>
  <c r="J67" i="54"/>
  <c r="F67" i="54"/>
  <c r="I67" i="54" s="1"/>
  <c r="H67" i="54"/>
  <c r="K67" i="54" s="1"/>
  <c r="H54" i="54"/>
  <c r="K54" i="54" s="1"/>
  <c r="J54" i="54"/>
  <c r="F54" i="54"/>
  <c r="I54" i="54" s="1"/>
  <c r="H61" i="54"/>
  <c r="K61" i="54" s="1"/>
  <c r="F61" i="54"/>
  <c r="I61" i="54" s="1"/>
  <c r="J61" i="54"/>
  <c r="J62" i="54"/>
  <c r="F62" i="54"/>
  <c r="I62" i="54" s="1"/>
  <c r="H62" i="54"/>
  <c r="K62" i="54" s="1"/>
  <c r="T3" i="53"/>
  <c r="T4" i="53"/>
  <c r="U4" i="53" s="1"/>
  <c r="T8" i="53"/>
  <c r="U8" i="53" s="1"/>
  <c r="T6" i="53"/>
  <c r="U6" i="53" s="1"/>
  <c r="S13" i="53"/>
  <c r="U13" i="53"/>
  <c r="Q13" i="53"/>
  <c r="R16" i="53"/>
  <c r="O17" i="53"/>
  <c r="O18" i="53" s="1"/>
  <c r="O19" i="53" s="1"/>
  <c r="O20" i="53" s="1"/>
  <c r="O21" i="53" s="1"/>
  <c r="O22" i="53" s="1"/>
  <c r="O23" i="53" s="1"/>
  <c r="O24" i="53" s="1"/>
  <c r="O25" i="53" s="1"/>
  <c r="O26" i="53" s="1"/>
  <c r="O27" i="53" s="1"/>
  <c r="O28" i="53" s="1"/>
  <c r="O29" i="53" s="1"/>
  <c r="O30" i="53" s="1"/>
  <c r="O31" i="53" s="1"/>
  <c r="O32" i="53" s="1"/>
  <c r="O33" i="53" s="1"/>
  <c r="O34" i="53" s="1"/>
  <c r="O35" i="53" s="1"/>
  <c r="O36" i="53" s="1"/>
  <c r="O37" i="53" s="1"/>
  <c r="O38" i="53" s="1"/>
  <c r="O39" i="53" s="1"/>
  <c r="O40" i="53" s="1"/>
  <c r="O41" i="53" s="1"/>
  <c r="O42" i="53" s="1"/>
  <c r="O43" i="53" s="1"/>
  <c r="O44" i="53" s="1"/>
  <c r="O45" i="53" s="1"/>
  <c r="O46" i="53" s="1"/>
  <c r="O47" i="53" s="1"/>
  <c r="O48" i="53" s="1"/>
  <c r="O49" i="53" s="1"/>
  <c r="O50" i="53" s="1"/>
  <c r="O51" i="53" s="1"/>
  <c r="O52" i="53" s="1"/>
  <c r="O53" i="53" s="1"/>
  <c r="O54" i="53" s="1"/>
  <c r="O55" i="53" s="1"/>
  <c r="O56" i="53" s="1"/>
  <c r="O57" i="53" s="1"/>
  <c r="O58" i="53" s="1"/>
  <c r="O59" i="53" s="1"/>
  <c r="O60" i="53" s="1"/>
  <c r="O61" i="53" s="1"/>
  <c r="O62" i="53" s="1"/>
  <c r="O63" i="53" s="1"/>
  <c r="O64" i="53" s="1"/>
  <c r="O65" i="53" s="1"/>
  <c r="O66" i="53" s="1"/>
  <c r="O67" i="53" s="1"/>
  <c r="O68" i="53" s="1"/>
  <c r="O69" i="53" s="1"/>
  <c r="O70" i="53" s="1"/>
  <c r="O71" i="53" s="1"/>
  <c r="O72" i="53" s="1"/>
  <c r="O73" i="53" s="1"/>
  <c r="AC9" i="53"/>
  <c r="S14" i="53"/>
  <c r="Q14" i="53"/>
  <c r="R15" i="53"/>
  <c r="L18" i="53"/>
  <c r="R17" i="53"/>
  <c r="W15" i="53"/>
  <c r="B16" i="53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W73" i="53" s="1"/>
  <c r="D14" i="53"/>
  <c r="W24" i="53"/>
  <c r="W34" i="53"/>
  <c r="W25" i="53"/>
  <c r="T5" i="53"/>
  <c r="X6" i="53"/>
  <c r="Y6" i="53" s="1"/>
  <c r="X8" i="53"/>
  <c r="Y8" i="53" s="1"/>
  <c r="E13" i="53"/>
  <c r="N74" i="53"/>
  <c r="W16" i="53"/>
  <c r="AH16" i="53"/>
  <c r="AL16" i="53" s="1"/>
  <c r="AH17" i="53"/>
  <c r="AL17" i="53" s="1"/>
  <c r="AK17" i="53" s="1"/>
  <c r="W18" i="53"/>
  <c r="AH18" i="53"/>
  <c r="AL18" i="53" s="1"/>
  <c r="AH19" i="53"/>
  <c r="AL19" i="53" s="1"/>
  <c r="AK19" i="53" s="1"/>
  <c r="W20" i="53"/>
  <c r="AH20" i="53"/>
  <c r="AL20" i="53" s="1"/>
  <c r="O74" i="53"/>
  <c r="W14" i="53"/>
  <c r="X3" i="53"/>
  <c r="X5" i="53"/>
  <c r="Y5" i="53" s="1"/>
  <c r="Y9" i="53" s="1"/>
  <c r="C13" i="53"/>
  <c r="P74" i="53"/>
  <c r="AL22" i="53"/>
  <c r="AK21" i="53" s="1"/>
  <c r="AB4" i="52"/>
  <c r="AB5" i="52"/>
  <c r="AB6" i="52"/>
  <c r="AB7" i="52"/>
  <c r="AB8" i="52"/>
  <c r="AB3" i="52"/>
  <c r="X8" i="33"/>
  <c r="E73" i="52"/>
  <c r="C73" i="52"/>
  <c r="E72" i="52"/>
  <c r="C72" i="52"/>
  <c r="E71" i="52"/>
  <c r="C71" i="52"/>
  <c r="E70" i="52"/>
  <c r="C70" i="52"/>
  <c r="E69" i="52"/>
  <c r="C69" i="52"/>
  <c r="E68" i="52"/>
  <c r="C68" i="52"/>
  <c r="E67" i="52"/>
  <c r="C67" i="52"/>
  <c r="E66" i="52"/>
  <c r="C66" i="52"/>
  <c r="E65" i="52"/>
  <c r="C65" i="52"/>
  <c r="E64" i="52"/>
  <c r="C64" i="52"/>
  <c r="E63" i="52"/>
  <c r="C63" i="52"/>
  <c r="E62" i="52"/>
  <c r="C62" i="52"/>
  <c r="E61" i="52"/>
  <c r="C61" i="52"/>
  <c r="E60" i="52"/>
  <c r="C60" i="52"/>
  <c r="E59" i="52"/>
  <c r="C59" i="52"/>
  <c r="D58" i="52"/>
  <c r="E57" i="52"/>
  <c r="C57" i="52"/>
  <c r="E56" i="52"/>
  <c r="C56" i="52"/>
  <c r="E55" i="52"/>
  <c r="C55" i="52"/>
  <c r="E54" i="52"/>
  <c r="C54" i="52"/>
  <c r="E53" i="52"/>
  <c r="C53" i="52"/>
  <c r="E52" i="52"/>
  <c r="C52" i="52"/>
  <c r="E51" i="52"/>
  <c r="C51" i="52"/>
  <c r="E50" i="52"/>
  <c r="C50" i="52"/>
  <c r="E49" i="52"/>
  <c r="C49" i="52"/>
  <c r="E48" i="52"/>
  <c r="C48" i="52"/>
  <c r="E47" i="52"/>
  <c r="C47" i="52"/>
  <c r="E46" i="52"/>
  <c r="C46" i="52"/>
  <c r="E45" i="52"/>
  <c r="C45" i="52"/>
  <c r="E44" i="52"/>
  <c r="C44" i="52"/>
  <c r="E43" i="52"/>
  <c r="C43" i="52"/>
  <c r="E42" i="52"/>
  <c r="C42" i="52"/>
  <c r="E41" i="52"/>
  <c r="C41" i="52"/>
  <c r="E40" i="52"/>
  <c r="C40" i="52"/>
  <c r="E39" i="52"/>
  <c r="C39" i="52"/>
  <c r="E38" i="52"/>
  <c r="C38" i="52"/>
  <c r="E37" i="52"/>
  <c r="C37" i="52"/>
  <c r="E36" i="52"/>
  <c r="C36" i="52"/>
  <c r="E35" i="52"/>
  <c r="C35" i="52"/>
  <c r="E34" i="52"/>
  <c r="C34" i="52"/>
  <c r="E33" i="52"/>
  <c r="C33" i="52"/>
  <c r="E32" i="52"/>
  <c r="C32" i="52"/>
  <c r="E31" i="52"/>
  <c r="C31" i="52"/>
  <c r="E30" i="52"/>
  <c r="C30" i="52"/>
  <c r="E29" i="52"/>
  <c r="C29" i="52"/>
  <c r="E28" i="52"/>
  <c r="C28" i="52"/>
  <c r="AG27" i="52"/>
  <c r="E27" i="52"/>
  <c r="C27" i="52"/>
  <c r="AG26" i="52"/>
  <c r="E26" i="52"/>
  <c r="C26" i="52"/>
  <c r="E25" i="52"/>
  <c r="C25" i="52"/>
  <c r="E24" i="52"/>
  <c r="C24" i="52"/>
  <c r="E23" i="52"/>
  <c r="C23" i="52"/>
  <c r="AH22" i="52"/>
  <c r="AG22" i="52"/>
  <c r="E22" i="52"/>
  <c r="C22" i="52"/>
  <c r="E21" i="52"/>
  <c r="C21" i="52"/>
  <c r="E20" i="52"/>
  <c r="C20" i="52"/>
  <c r="E19" i="52"/>
  <c r="C19" i="52"/>
  <c r="AH18" i="52"/>
  <c r="AL18" i="52" s="1"/>
  <c r="E18" i="52"/>
  <c r="C18" i="52"/>
  <c r="AH17" i="52"/>
  <c r="AL17" i="52" s="1"/>
  <c r="E17" i="52"/>
  <c r="C17" i="52"/>
  <c r="AH16" i="52"/>
  <c r="P16" i="52"/>
  <c r="P17" i="52" s="1"/>
  <c r="P18" i="52" s="1"/>
  <c r="P19" i="52" s="1"/>
  <c r="P20" i="52" s="1"/>
  <c r="P21" i="52" s="1"/>
  <c r="P22" i="52" s="1"/>
  <c r="P23" i="52" s="1"/>
  <c r="P24" i="52" s="1"/>
  <c r="P25" i="52" s="1"/>
  <c r="P26" i="52" s="1"/>
  <c r="P27" i="52" s="1"/>
  <c r="P28" i="52" s="1"/>
  <c r="P29" i="52" s="1"/>
  <c r="P30" i="52" s="1"/>
  <c r="P31" i="52" s="1"/>
  <c r="P32" i="52" s="1"/>
  <c r="P33" i="52" s="1"/>
  <c r="P34" i="52" s="1"/>
  <c r="P35" i="52" s="1"/>
  <c r="P36" i="52" s="1"/>
  <c r="P37" i="52" s="1"/>
  <c r="P38" i="52" s="1"/>
  <c r="P39" i="52" s="1"/>
  <c r="P40" i="52" s="1"/>
  <c r="P41" i="52" s="1"/>
  <c r="P42" i="52" s="1"/>
  <c r="P43" i="52" s="1"/>
  <c r="P44" i="52" s="1"/>
  <c r="P45" i="52" s="1"/>
  <c r="P46" i="52" s="1"/>
  <c r="P47" i="52" s="1"/>
  <c r="P48" i="52" s="1"/>
  <c r="P49" i="52" s="1"/>
  <c r="P50" i="52" s="1"/>
  <c r="P51" i="52" s="1"/>
  <c r="P52" i="52" s="1"/>
  <c r="P53" i="52" s="1"/>
  <c r="P54" i="52" s="1"/>
  <c r="P55" i="52" s="1"/>
  <c r="P56" i="52" s="1"/>
  <c r="P57" i="52" s="1"/>
  <c r="P58" i="52" s="1"/>
  <c r="P59" i="52" s="1"/>
  <c r="P60" i="52" s="1"/>
  <c r="P61" i="52" s="1"/>
  <c r="P62" i="52" s="1"/>
  <c r="P63" i="52" s="1"/>
  <c r="P64" i="52" s="1"/>
  <c r="P65" i="52" s="1"/>
  <c r="P66" i="52" s="1"/>
  <c r="P67" i="52" s="1"/>
  <c r="P68" i="52" s="1"/>
  <c r="P69" i="52" s="1"/>
  <c r="P70" i="52" s="1"/>
  <c r="P71" i="52" s="1"/>
  <c r="P72" i="52" s="1"/>
  <c r="P73" i="52" s="1"/>
  <c r="N16" i="52"/>
  <c r="N17" i="52" s="1"/>
  <c r="N18" i="52" s="1"/>
  <c r="N19" i="52" s="1"/>
  <c r="N20" i="52" s="1"/>
  <c r="N21" i="52" s="1"/>
  <c r="N22" i="52" s="1"/>
  <c r="N23" i="52" s="1"/>
  <c r="N24" i="52" s="1"/>
  <c r="N25" i="52" s="1"/>
  <c r="N26" i="52" s="1"/>
  <c r="N27" i="52" s="1"/>
  <c r="N28" i="52" s="1"/>
  <c r="N29" i="52" s="1"/>
  <c r="N30" i="52" s="1"/>
  <c r="N31" i="52" s="1"/>
  <c r="N32" i="52" s="1"/>
  <c r="N33" i="52" s="1"/>
  <c r="N34" i="52" s="1"/>
  <c r="N35" i="52" s="1"/>
  <c r="N36" i="52" s="1"/>
  <c r="N37" i="52" s="1"/>
  <c r="N38" i="52" s="1"/>
  <c r="N39" i="52" s="1"/>
  <c r="N40" i="52" s="1"/>
  <c r="N41" i="52" s="1"/>
  <c r="N42" i="52" s="1"/>
  <c r="N43" i="52" s="1"/>
  <c r="N44" i="52" s="1"/>
  <c r="N45" i="52" s="1"/>
  <c r="N46" i="52" s="1"/>
  <c r="N47" i="52" s="1"/>
  <c r="N48" i="52" s="1"/>
  <c r="N49" i="52" s="1"/>
  <c r="N50" i="52" s="1"/>
  <c r="N51" i="52" s="1"/>
  <c r="N52" i="52" s="1"/>
  <c r="N53" i="52" s="1"/>
  <c r="N54" i="52" s="1"/>
  <c r="N55" i="52" s="1"/>
  <c r="N56" i="52" s="1"/>
  <c r="N57" i="52" s="1"/>
  <c r="N58" i="52" s="1"/>
  <c r="N59" i="52" s="1"/>
  <c r="N60" i="52" s="1"/>
  <c r="N61" i="52" s="1"/>
  <c r="N62" i="52" s="1"/>
  <c r="N63" i="52" s="1"/>
  <c r="N64" i="52" s="1"/>
  <c r="N65" i="52" s="1"/>
  <c r="N66" i="52" s="1"/>
  <c r="N67" i="52" s="1"/>
  <c r="N68" i="52" s="1"/>
  <c r="N69" i="52" s="1"/>
  <c r="N70" i="52" s="1"/>
  <c r="N71" i="52" s="1"/>
  <c r="N72" i="52" s="1"/>
  <c r="N73" i="52" s="1"/>
  <c r="L16" i="52"/>
  <c r="E16" i="52"/>
  <c r="C16" i="52"/>
  <c r="E15" i="52"/>
  <c r="C15" i="52"/>
  <c r="A15" i="52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P14" i="52"/>
  <c r="O14" i="52"/>
  <c r="O15" i="52" s="1"/>
  <c r="O16" i="52" s="1"/>
  <c r="O17" i="52" s="1"/>
  <c r="O18" i="52" s="1"/>
  <c r="O19" i="52" s="1"/>
  <c r="O20" i="52" s="1"/>
  <c r="O21" i="52" s="1"/>
  <c r="O22" i="52" s="1"/>
  <c r="O23" i="52" s="1"/>
  <c r="O24" i="52" s="1"/>
  <c r="O25" i="52" s="1"/>
  <c r="O26" i="52" s="1"/>
  <c r="O27" i="52" s="1"/>
  <c r="O28" i="52" s="1"/>
  <c r="O29" i="52" s="1"/>
  <c r="O30" i="52" s="1"/>
  <c r="O31" i="52" s="1"/>
  <c r="O32" i="52" s="1"/>
  <c r="O33" i="52" s="1"/>
  <c r="O34" i="52" s="1"/>
  <c r="O35" i="52" s="1"/>
  <c r="O36" i="52" s="1"/>
  <c r="O37" i="52" s="1"/>
  <c r="O38" i="52" s="1"/>
  <c r="O39" i="52" s="1"/>
  <c r="O40" i="52" s="1"/>
  <c r="O41" i="52" s="1"/>
  <c r="O42" i="52" s="1"/>
  <c r="O43" i="52" s="1"/>
  <c r="O44" i="52" s="1"/>
  <c r="O45" i="52" s="1"/>
  <c r="O46" i="52" s="1"/>
  <c r="O47" i="52" s="1"/>
  <c r="O48" i="52" s="1"/>
  <c r="O49" i="52" s="1"/>
  <c r="O50" i="52" s="1"/>
  <c r="O51" i="52" s="1"/>
  <c r="O52" i="52" s="1"/>
  <c r="O53" i="52" s="1"/>
  <c r="O54" i="52" s="1"/>
  <c r="O55" i="52" s="1"/>
  <c r="O56" i="52" s="1"/>
  <c r="O57" i="52" s="1"/>
  <c r="O58" i="52" s="1"/>
  <c r="O59" i="52" s="1"/>
  <c r="O60" i="52" s="1"/>
  <c r="O61" i="52" s="1"/>
  <c r="O62" i="52" s="1"/>
  <c r="O63" i="52" s="1"/>
  <c r="O64" i="52" s="1"/>
  <c r="O65" i="52" s="1"/>
  <c r="O66" i="52" s="1"/>
  <c r="O67" i="52" s="1"/>
  <c r="O68" i="52" s="1"/>
  <c r="O69" i="52" s="1"/>
  <c r="O70" i="52" s="1"/>
  <c r="O71" i="52" s="1"/>
  <c r="O72" i="52" s="1"/>
  <c r="O73" i="52" s="1"/>
  <c r="N14" i="52"/>
  <c r="M14" i="52"/>
  <c r="L14" i="52"/>
  <c r="R14" i="52" s="1"/>
  <c r="H14" i="52"/>
  <c r="F14" i="52"/>
  <c r="B14" i="52"/>
  <c r="B15" i="52" s="1"/>
  <c r="B16" i="52" s="1"/>
  <c r="B17" i="52" s="1"/>
  <c r="B18" i="52" s="1"/>
  <c r="B19" i="52" s="1"/>
  <c r="B20" i="52" s="1"/>
  <c r="B21" i="52" s="1"/>
  <c r="B22" i="52" s="1"/>
  <c r="B23" i="52" s="1"/>
  <c r="A14" i="52"/>
  <c r="P13" i="52"/>
  <c r="O13" i="52"/>
  <c r="N13" i="52"/>
  <c r="M13" i="52"/>
  <c r="L13" i="52"/>
  <c r="H13" i="52"/>
  <c r="F13" i="52"/>
  <c r="AA9" i="52"/>
  <c r="X9" i="52"/>
  <c r="X8" i="52" s="1"/>
  <c r="Y8" i="52" s="1"/>
  <c r="W9" i="52"/>
  <c r="T9" i="52"/>
  <c r="T7" i="52" s="1"/>
  <c r="U7" i="52" s="1"/>
  <c r="S9" i="52"/>
  <c r="AC8" i="52"/>
  <c r="AA8" i="52"/>
  <c r="AC7" i="52"/>
  <c r="AA7" i="52"/>
  <c r="AC6" i="52"/>
  <c r="AA6" i="52"/>
  <c r="AC5" i="52"/>
  <c r="AA5" i="52"/>
  <c r="AC4" i="52"/>
  <c r="AA4" i="52"/>
  <c r="AC3" i="52"/>
  <c r="AA3" i="52"/>
  <c r="C3" i="52"/>
  <c r="W15" i="52" s="1"/>
  <c r="AA1" i="52"/>
  <c r="C1" i="52"/>
  <c r="J74" i="54" l="1"/>
  <c r="U15" i="54"/>
  <c r="J6" i="54"/>
  <c r="C7" i="54"/>
  <c r="C74" i="54"/>
  <c r="Z13" i="54"/>
  <c r="R20" i="54"/>
  <c r="L21" i="54"/>
  <c r="K15" i="54"/>
  <c r="H8" i="54"/>
  <c r="H74" i="54"/>
  <c r="T17" i="54"/>
  <c r="X17" i="54" s="1"/>
  <c r="V18" i="54"/>
  <c r="Z18" i="54" s="1"/>
  <c r="E7" i="54"/>
  <c r="E74" i="54"/>
  <c r="U19" i="54"/>
  <c r="Y19" i="54" s="1"/>
  <c r="S19" i="54"/>
  <c r="Q19" i="54"/>
  <c r="I24" i="54"/>
  <c r="X13" i="54"/>
  <c r="I15" i="54"/>
  <c r="F8" i="54"/>
  <c r="F74" i="54"/>
  <c r="V17" i="54"/>
  <c r="Z17" i="54" s="1"/>
  <c r="B24" i="54"/>
  <c r="W23" i="54"/>
  <c r="E23" i="53"/>
  <c r="C23" i="53"/>
  <c r="U5" i="53"/>
  <c r="U9" i="53" s="1"/>
  <c r="G73" i="53"/>
  <c r="G49" i="53"/>
  <c r="D74" i="53"/>
  <c r="D7" i="53"/>
  <c r="G20" i="24" s="1"/>
  <c r="Q17" i="53"/>
  <c r="S17" i="53"/>
  <c r="G70" i="53"/>
  <c r="G66" i="53"/>
  <c r="G62" i="53"/>
  <c r="G69" i="53"/>
  <c r="G61" i="53"/>
  <c r="G56" i="53"/>
  <c r="G68" i="53"/>
  <c r="G67" i="53"/>
  <c r="G60" i="53"/>
  <c r="G65" i="53"/>
  <c r="G63" i="53"/>
  <c r="G55" i="53"/>
  <c r="G51" i="53"/>
  <c r="G47" i="53"/>
  <c r="G43" i="53"/>
  <c r="G35" i="53"/>
  <c r="G72" i="53"/>
  <c r="G59" i="53"/>
  <c r="G58" i="53"/>
  <c r="G54" i="53"/>
  <c r="G46" i="53"/>
  <c r="G29" i="53"/>
  <c r="G27" i="53"/>
  <c r="G71" i="53"/>
  <c r="G53" i="53"/>
  <c r="G52" i="53"/>
  <c r="G45" i="53"/>
  <c r="G44" i="53"/>
  <c r="G37" i="53"/>
  <c r="G36" i="53"/>
  <c r="G50" i="53"/>
  <c r="G57" i="53"/>
  <c r="G48" i="53"/>
  <c r="G34" i="53"/>
  <c r="G32" i="53"/>
  <c r="G25" i="53"/>
  <c r="G33" i="53"/>
  <c r="G28" i="53"/>
  <c r="G42" i="53"/>
  <c r="G40" i="53"/>
  <c r="G31" i="53"/>
  <c r="G30" i="53"/>
  <c r="G22" i="53"/>
  <c r="G21" i="53"/>
  <c r="G41" i="53"/>
  <c r="G23" i="53"/>
  <c r="G15" i="53"/>
  <c r="G20" i="53"/>
  <c r="G19" i="53"/>
  <c r="G18" i="53"/>
  <c r="G17" i="53"/>
  <c r="G16" i="53"/>
  <c r="G26" i="53"/>
  <c r="W26" i="53"/>
  <c r="W23" i="53"/>
  <c r="W28" i="53"/>
  <c r="W48" i="53"/>
  <c r="W65" i="53"/>
  <c r="W58" i="53"/>
  <c r="W38" i="53"/>
  <c r="W54" i="53"/>
  <c r="W43" i="53"/>
  <c r="W71" i="53"/>
  <c r="W67" i="53"/>
  <c r="W68" i="53"/>
  <c r="W66" i="53"/>
  <c r="R18" i="53"/>
  <c r="L19" i="53"/>
  <c r="Y13" i="53"/>
  <c r="W50" i="53"/>
  <c r="W37" i="53"/>
  <c r="W61" i="53"/>
  <c r="W19" i="53"/>
  <c r="W17" i="53"/>
  <c r="K13" i="53"/>
  <c r="V13" i="53" s="1"/>
  <c r="W21" i="53"/>
  <c r="W32" i="53"/>
  <c r="W30" i="53"/>
  <c r="W40" i="53"/>
  <c r="W64" i="53"/>
  <c r="W36" i="53"/>
  <c r="W27" i="53"/>
  <c r="W45" i="53"/>
  <c r="W63" i="53"/>
  <c r="W47" i="53"/>
  <c r="W72" i="53"/>
  <c r="W56" i="53"/>
  <c r="W69" i="53"/>
  <c r="W70" i="53"/>
  <c r="S15" i="53"/>
  <c r="Q15" i="53"/>
  <c r="Q16" i="53"/>
  <c r="S16" i="53"/>
  <c r="W42" i="53"/>
  <c r="W52" i="53"/>
  <c r="W53" i="53"/>
  <c r="W39" i="53"/>
  <c r="W57" i="53"/>
  <c r="W59" i="53"/>
  <c r="W62" i="53"/>
  <c r="I13" i="53"/>
  <c r="T13" i="53" s="1"/>
  <c r="AK20" i="53"/>
  <c r="AK18" i="53"/>
  <c r="AK16" i="53"/>
  <c r="AK22" i="53" s="1"/>
  <c r="W22" i="53"/>
  <c r="W33" i="53"/>
  <c r="W31" i="53"/>
  <c r="W41" i="53"/>
  <c r="W49" i="53"/>
  <c r="W44" i="53"/>
  <c r="W29" i="53"/>
  <c r="W46" i="53"/>
  <c r="W35" i="53"/>
  <c r="W51" i="53"/>
  <c r="W55" i="53"/>
  <c r="W60" i="53"/>
  <c r="C14" i="53"/>
  <c r="I14" i="53" s="1"/>
  <c r="T14" i="53" s="1"/>
  <c r="X14" i="53" s="1"/>
  <c r="J14" i="53"/>
  <c r="E14" i="53"/>
  <c r="K14" i="53" s="1"/>
  <c r="V14" i="53" s="1"/>
  <c r="Z14" i="53" s="1"/>
  <c r="T3" i="52"/>
  <c r="T5" i="52"/>
  <c r="U5" i="52" s="1"/>
  <c r="T6" i="52"/>
  <c r="U6" i="52" s="1"/>
  <c r="T4" i="52"/>
  <c r="U4" i="52" s="1"/>
  <c r="T8" i="52"/>
  <c r="U8" i="52" s="1"/>
  <c r="AC9" i="52"/>
  <c r="G70" i="52" s="1"/>
  <c r="G62" i="52"/>
  <c r="G72" i="52"/>
  <c r="G58" i="52"/>
  <c r="G57" i="52"/>
  <c r="G60" i="52"/>
  <c r="G55" i="52"/>
  <c r="G59" i="52"/>
  <c r="G50" i="52"/>
  <c r="G73" i="52"/>
  <c r="G61" i="52"/>
  <c r="G53" i="52"/>
  <c r="G48" i="52"/>
  <c r="G46" i="52"/>
  <c r="G43" i="52"/>
  <c r="G35" i="52"/>
  <c r="G31" i="52"/>
  <c r="G28" i="52"/>
  <c r="G26" i="52"/>
  <c r="G22" i="52"/>
  <c r="G21" i="52"/>
  <c r="G20" i="52"/>
  <c r="G19" i="52"/>
  <c r="G49" i="52"/>
  <c r="G42" i="52"/>
  <c r="G45" i="52"/>
  <c r="G41" i="52"/>
  <c r="G40" i="52"/>
  <c r="G33" i="52"/>
  <c r="G38" i="52"/>
  <c r="G30" i="52"/>
  <c r="G27" i="52"/>
  <c r="G18" i="52"/>
  <c r="G17" i="52"/>
  <c r="G16" i="52"/>
  <c r="G29" i="52"/>
  <c r="G37" i="52"/>
  <c r="G36" i="52"/>
  <c r="G25" i="52"/>
  <c r="G15" i="52"/>
  <c r="G32" i="52"/>
  <c r="G23" i="52"/>
  <c r="S14" i="52"/>
  <c r="Q14" i="52"/>
  <c r="W23" i="52"/>
  <c r="B24" i="52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W73" i="52" s="1"/>
  <c r="AK18" i="52"/>
  <c r="W14" i="52"/>
  <c r="L17" i="52"/>
  <c r="X3" i="52"/>
  <c r="X5" i="52"/>
  <c r="Y5" i="52" s="1"/>
  <c r="X7" i="52"/>
  <c r="Y7" i="52" s="1"/>
  <c r="P74" i="52"/>
  <c r="O74" i="52"/>
  <c r="X4" i="52"/>
  <c r="Y4" i="52" s="1"/>
  <c r="D13" i="52"/>
  <c r="AH21" i="52"/>
  <c r="AL21" i="52" s="1"/>
  <c r="AH20" i="52"/>
  <c r="AL20" i="52" s="1"/>
  <c r="AK20" i="52" s="1"/>
  <c r="AH19" i="52"/>
  <c r="AL19" i="52" s="1"/>
  <c r="W35" i="52"/>
  <c r="W22" i="52"/>
  <c r="W21" i="52"/>
  <c r="W20" i="52"/>
  <c r="W19" i="52"/>
  <c r="W33" i="52"/>
  <c r="W38" i="52"/>
  <c r="X6" i="52"/>
  <c r="Y6" i="52" s="1"/>
  <c r="N74" i="52"/>
  <c r="R13" i="52"/>
  <c r="W16" i="52"/>
  <c r="W17" i="52"/>
  <c r="W18" i="52"/>
  <c r="AG28" i="52"/>
  <c r="AL22" i="52" s="1"/>
  <c r="AK17" i="52" s="1"/>
  <c r="T19" i="54" l="1"/>
  <c r="X19" i="54" s="1"/>
  <c r="V19" i="54"/>
  <c r="Z19" i="54" s="1"/>
  <c r="V15" i="54"/>
  <c r="K74" i="54"/>
  <c r="K6" i="54"/>
  <c r="Y15" i="54"/>
  <c r="S20" i="54"/>
  <c r="V20" i="54" s="1"/>
  <c r="Z20" i="54" s="1"/>
  <c r="U20" i="54"/>
  <c r="Y20" i="54" s="1"/>
  <c r="Q20" i="54"/>
  <c r="T20" i="54" s="1"/>
  <c r="X20" i="54" s="1"/>
  <c r="B25" i="54"/>
  <c r="W24" i="54"/>
  <c r="T15" i="54"/>
  <c r="I6" i="54"/>
  <c r="I74" i="54"/>
  <c r="R21" i="54"/>
  <c r="L22" i="54"/>
  <c r="C24" i="53"/>
  <c r="C74" i="53" s="1"/>
  <c r="E24" i="53"/>
  <c r="E74" i="53" s="1"/>
  <c r="X13" i="53"/>
  <c r="G74" i="53"/>
  <c r="H15" i="53"/>
  <c r="J15" i="53"/>
  <c r="U15" i="53" s="1"/>
  <c r="Y15" i="53" s="1"/>
  <c r="F15" i="53"/>
  <c r="G8" i="53"/>
  <c r="J20" i="24" s="1"/>
  <c r="H42" i="53"/>
  <c r="K42" i="53" s="1"/>
  <c r="J42" i="53"/>
  <c r="F42" i="53"/>
  <c r="I42" i="53" s="1"/>
  <c r="F25" i="53"/>
  <c r="I25" i="53" s="1"/>
  <c r="J25" i="53"/>
  <c r="H25" i="53"/>
  <c r="K25" i="53" s="1"/>
  <c r="F49" i="53"/>
  <c r="I49" i="53" s="1"/>
  <c r="J49" i="53"/>
  <c r="H49" i="53"/>
  <c r="K49" i="53" s="1"/>
  <c r="H37" i="53"/>
  <c r="K37" i="53" s="1"/>
  <c r="J37" i="53"/>
  <c r="F37" i="53"/>
  <c r="I37" i="53" s="1"/>
  <c r="H38" i="53"/>
  <c r="K38" i="53" s="1"/>
  <c r="F38" i="53"/>
  <c r="I38" i="53" s="1"/>
  <c r="J38" i="53"/>
  <c r="H59" i="53"/>
  <c r="K59" i="53" s="1"/>
  <c r="F59" i="53"/>
  <c r="I59" i="53" s="1"/>
  <c r="J59" i="53"/>
  <c r="F35" i="53"/>
  <c r="I35" i="53" s="1"/>
  <c r="J35" i="53"/>
  <c r="H35" i="53"/>
  <c r="K35" i="53" s="1"/>
  <c r="F51" i="53"/>
  <c r="I51" i="53" s="1"/>
  <c r="J51" i="53"/>
  <c r="H51" i="53"/>
  <c r="K51" i="53" s="1"/>
  <c r="H60" i="53"/>
  <c r="K60" i="53" s="1"/>
  <c r="J60" i="53"/>
  <c r="F60" i="53"/>
  <c r="I60" i="53" s="1"/>
  <c r="H61" i="53"/>
  <c r="K61" i="53" s="1"/>
  <c r="F61" i="53"/>
  <c r="I61" i="53" s="1"/>
  <c r="J61" i="53"/>
  <c r="H70" i="53"/>
  <c r="K70" i="53" s="1"/>
  <c r="J70" i="53"/>
  <c r="F70" i="53"/>
  <c r="I70" i="53" s="1"/>
  <c r="F18" i="53"/>
  <c r="I18" i="53" s="1"/>
  <c r="H18" i="53"/>
  <c r="K18" i="53" s="1"/>
  <c r="J18" i="53"/>
  <c r="H23" i="53"/>
  <c r="K23" i="53" s="1"/>
  <c r="J23" i="53"/>
  <c r="F23" i="53"/>
  <c r="I23" i="53" s="1"/>
  <c r="J30" i="53"/>
  <c r="F30" i="53"/>
  <c r="I30" i="53" s="1"/>
  <c r="H30" i="53"/>
  <c r="K30" i="53" s="1"/>
  <c r="H28" i="53"/>
  <c r="K28" i="53" s="1"/>
  <c r="J28" i="53"/>
  <c r="F28" i="53"/>
  <c r="I28" i="53" s="1"/>
  <c r="J32" i="53"/>
  <c r="F32" i="53"/>
  <c r="I32" i="53" s="1"/>
  <c r="H32" i="53"/>
  <c r="K32" i="53" s="1"/>
  <c r="J57" i="53"/>
  <c r="F57" i="53"/>
  <c r="I57" i="53" s="1"/>
  <c r="H57" i="53"/>
  <c r="K57" i="53" s="1"/>
  <c r="J44" i="53"/>
  <c r="F44" i="53"/>
  <c r="I44" i="53" s="1"/>
  <c r="H44" i="53"/>
  <c r="K44" i="53" s="1"/>
  <c r="J71" i="53"/>
  <c r="F71" i="53"/>
  <c r="I71" i="53" s="1"/>
  <c r="H71" i="53"/>
  <c r="K71" i="53" s="1"/>
  <c r="H46" i="53"/>
  <c r="K46" i="53" s="1"/>
  <c r="F46" i="53"/>
  <c r="I46" i="53" s="1"/>
  <c r="J46" i="53"/>
  <c r="F64" i="53"/>
  <c r="I64" i="53" s="1"/>
  <c r="J64" i="53"/>
  <c r="H64" i="53"/>
  <c r="K64" i="53" s="1"/>
  <c r="H39" i="53"/>
  <c r="K39" i="53" s="1"/>
  <c r="J39" i="53"/>
  <c r="F39" i="53"/>
  <c r="I39" i="53" s="1"/>
  <c r="H55" i="53"/>
  <c r="K55" i="53" s="1"/>
  <c r="J55" i="53"/>
  <c r="F55" i="53"/>
  <c r="I55" i="53" s="1"/>
  <c r="J67" i="53"/>
  <c r="F67" i="53"/>
  <c r="I67" i="53" s="1"/>
  <c r="H67" i="53"/>
  <c r="K67" i="53" s="1"/>
  <c r="H69" i="53"/>
  <c r="K69" i="53" s="1"/>
  <c r="F69" i="53"/>
  <c r="I69" i="53" s="1"/>
  <c r="J69" i="53"/>
  <c r="U14" i="53"/>
  <c r="L20" i="53"/>
  <c r="R19" i="53"/>
  <c r="H26" i="53"/>
  <c r="K26" i="53" s="1"/>
  <c r="F26" i="53"/>
  <c r="I26" i="53" s="1"/>
  <c r="J26" i="53"/>
  <c r="H19" i="53"/>
  <c r="K19" i="53" s="1"/>
  <c r="J19" i="53"/>
  <c r="F19" i="53"/>
  <c r="I19" i="53" s="1"/>
  <c r="F41" i="53"/>
  <c r="I41" i="53" s="1"/>
  <c r="J41" i="53"/>
  <c r="H41" i="53"/>
  <c r="K41" i="53" s="1"/>
  <c r="H31" i="53"/>
  <c r="K31" i="53" s="1"/>
  <c r="J31" i="53"/>
  <c r="F31" i="53"/>
  <c r="I31" i="53" s="1"/>
  <c r="F33" i="53"/>
  <c r="I33" i="53" s="1"/>
  <c r="J33" i="53"/>
  <c r="H33" i="53"/>
  <c r="K33" i="53" s="1"/>
  <c r="H34" i="53"/>
  <c r="K34" i="53" s="1"/>
  <c r="J34" i="53"/>
  <c r="F34" i="53"/>
  <c r="I34" i="53" s="1"/>
  <c r="H50" i="53"/>
  <c r="K50" i="53" s="1"/>
  <c r="J50" i="53"/>
  <c r="F50" i="53"/>
  <c r="I50" i="53" s="1"/>
  <c r="H45" i="53"/>
  <c r="K45" i="53" s="1"/>
  <c r="J45" i="53"/>
  <c r="F45" i="53"/>
  <c r="I45" i="53" s="1"/>
  <c r="J27" i="53"/>
  <c r="F27" i="53"/>
  <c r="I27" i="53" s="1"/>
  <c r="H27" i="53"/>
  <c r="K27" i="53" s="1"/>
  <c r="H54" i="53"/>
  <c r="K54" i="53" s="1"/>
  <c r="F54" i="53"/>
  <c r="I54" i="53" s="1"/>
  <c r="J54" i="53"/>
  <c r="F72" i="53"/>
  <c r="I72" i="53" s="1"/>
  <c r="J72" i="53"/>
  <c r="H72" i="53"/>
  <c r="K72" i="53" s="1"/>
  <c r="F43" i="53"/>
  <c r="I43" i="53" s="1"/>
  <c r="J43" i="53"/>
  <c r="H43" i="53"/>
  <c r="K43" i="53" s="1"/>
  <c r="J63" i="53"/>
  <c r="F63" i="53"/>
  <c r="I63" i="53" s="1"/>
  <c r="H63" i="53"/>
  <c r="K63" i="53" s="1"/>
  <c r="H68" i="53"/>
  <c r="K68" i="53" s="1"/>
  <c r="J68" i="53"/>
  <c r="F68" i="53"/>
  <c r="I68" i="53" s="1"/>
  <c r="H62" i="53"/>
  <c r="K62" i="53" s="1"/>
  <c r="F62" i="53"/>
  <c r="I62" i="53" s="1"/>
  <c r="J62" i="53"/>
  <c r="Z13" i="53"/>
  <c r="F17" i="53"/>
  <c r="I17" i="53" s="1"/>
  <c r="T17" i="53" s="1"/>
  <c r="X17" i="53" s="1"/>
  <c r="H17" i="53"/>
  <c r="K17" i="53" s="1"/>
  <c r="V17" i="53" s="1"/>
  <c r="Z17" i="53" s="1"/>
  <c r="J17" i="53"/>
  <c r="U17" i="53" s="1"/>
  <c r="Y17" i="53" s="1"/>
  <c r="J22" i="53"/>
  <c r="H22" i="53"/>
  <c r="K22" i="53" s="1"/>
  <c r="F22" i="53"/>
  <c r="I22" i="53" s="1"/>
  <c r="H53" i="53"/>
  <c r="K53" i="53" s="1"/>
  <c r="F53" i="53"/>
  <c r="I53" i="53" s="1"/>
  <c r="J53" i="53"/>
  <c r="C7" i="53"/>
  <c r="F20" i="24" s="1"/>
  <c r="E7" i="53"/>
  <c r="H20" i="24" s="1"/>
  <c r="U18" i="53"/>
  <c r="Y18" i="53" s="1"/>
  <c r="Q18" i="53"/>
  <c r="T18" i="53" s="1"/>
  <c r="X18" i="53" s="1"/>
  <c r="S18" i="53"/>
  <c r="V18" i="53" s="1"/>
  <c r="Z18" i="53" s="1"/>
  <c r="H16" i="53"/>
  <c r="K16" i="53" s="1"/>
  <c r="V16" i="53" s="1"/>
  <c r="Z16" i="53" s="1"/>
  <c r="J16" i="53"/>
  <c r="U16" i="53" s="1"/>
  <c r="Y16" i="53" s="1"/>
  <c r="F16" i="53"/>
  <c r="I16" i="53" s="1"/>
  <c r="T16" i="53" s="1"/>
  <c r="X16" i="53" s="1"/>
  <c r="H20" i="53"/>
  <c r="K20" i="53" s="1"/>
  <c r="J20" i="53"/>
  <c r="F20" i="53"/>
  <c r="I20" i="53" s="1"/>
  <c r="J21" i="53"/>
  <c r="H21" i="53"/>
  <c r="K21" i="53" s="1"/>
  <c r="F21" i="53"/>
  <c r="I21" i="53" s="1"/>
  <c r="J40" i="53"/>
  <c r="F40" i="53"/>
  <c r="I40" i="53" s="1"/>
  <c r="H40" i="53"/>
  <c r="K40" i="53" s="1"/>
  <c r="J24" i="53"/>
  <c r="F24" i="53"/>
  <c r="H24" i="53"/>
  <c r="J48" i="53"/>
  <c r="F48" i="53"/>
  <c r="I48" i="53" s="1"/>
  <c r="H48" i="53"/>
  <c r="K48" i="53" s="1"/>
  <c r="J36" i="53"/>
  <c r="F36" i="53"/>
  <c r="I36" i="53" s="1"/>
  <c r="H36" i="53"/>
  <c r="K36" i="53" s="1"/>
  <c r="J52" i="53"/>
  <c r="F52" i="53"/>
  <c r="I52" i="53" s="1"/>
  <c r="H52" i="53"/>
  <c r="K52" i="53" s="1"/>
  <c r="J29" i="53"/>
  <c r="F29" i="53"/>
  <c r="I29" i="53" s="1"/>
  <c r="H29" i="53"/>
  <c r="K29" i="53" s="1"/>
  <c r="J58" i="53"/>
  <c r="F58" i="53"/>
  <c r="I58" i="53" s="1"/>
  <c r="H58" i="53"/>
  <c r="K58" i="53" s="1"/>
  <c r="H73" i="53"/>
  <c r="K73" i="53" s="1"/>
  <c r="J73" i="53"/>
  <c r="F73" i="53"/>
  <c r="I73" i="53" s="1"/>
  <c r="H47" i="53"/>
  <c r="K47" i="53" s="1"/>
  <c r="F47" i="53"/>
  <c r="I47" i="53" s="1"/>
  <c r="J47" i="53"/>
  <c r="H65" i="53"/>
  <c r="K65" i="53" s="1"/>
  <c r="J65" i="53"/>
  <c r="F65" i="53"/>
  <c r="I65" i="53" s="1"/>
  <c r="J56" i="53"/>
  <c r="F56" i="53"/>
  <c r="I56" i="53" s="1"/>
  <c r="H56" i="53"/>
  <c r="K56" i="53" s="1"/>
  <c r="F66" i="53"/>
  <c r="I66" i="53" s="1"/>
  <c r="J66" i="53"/>
  <c r="H66" i="53"/>
  <c r="K66" i="53" s="1"/>
  <c r="U9" i="52"/>
  <c r="G52" i="52"/>
  <c r="G67" i="52"/>
  <c r="G47" i="52"/>
  <c r="G65" i="52"/>
  <c r="F65" i="52" s="1"/>
  <c r="I65" i="52" s="1"/>
  <c r="G63" i="52"/>
  <c r="G66" i="52"/>
  <c r="G56" i="52"/>
  <c r="G68" i="52"/>
  <c r="J68" i="52" s="1"/>
  <c r="G51" i="52"/>
  <c r="G69" i="52"/>
  <c r="G71" i="52"/>
  <c r="W48" i="52"/>
  <c r="W65" i="52"/>
  <c r="W47" i="52"/>
  <c r="G34" i="52"/>
  <c r="J67" i="52"/>
  <c r="F67" i="52"/>
  <c r="I67" i="52" s="1"/>
  <c r="H67" i="52"/>
  <c r="K67" i="52" s="1"/>
  <c r="F58" i="52"/>
  <c r="I58" i="52" s="1"/>
  <c r="J58" i="52"/>
  <c r="H58" i="52"/>
  <c r="K58" i="52" s="1"/>
  <c r="W29" i="52"/>
  <c r="W34" i="52"/>
  <c r="W26" i="52"/>
  <c r="W39" i="52"/>
  <c r="W49" i="52"/>
  <c r="W72" i="52"/>
  <c r="W50" i="52"/>
  <c r="W51" i="52"/>
  <c r="W68" i="52"/>
  <c r="W63" i="52"/>
  <c r="W70" i="52"/>
  <c r="AK21" i="52"/>
  <c r="Y9" i="52"/>
  <c r="W25" i="52"/>
  <c r="L18" i="52"/>
  <c r="J23" i="52"/>
  <c r="F23" i="52"/>
  <c r="I23" i="52" s="1"/>
  <c r="H23" i="52"/>
  <c r="K23" i="52" s="1"/>
  <c r="J36" i="52"/>
  <c r="F36" i="52"/>
  <c r="I36" i="52" s="1"/>
  <c r="H36" i="52"/>
  <c r="K36" i="52" s="1"/>
  <c r="J16" i="52"/>
  <c r="F16" i="52"/>
  <c r="I16" i="52" s="1"/>
  <c r="H16" i="52"/>
  <c r="K16" i="52" s="1"/>
  <c r="G44" i="52"/>
  <c r="J40" i="52"/>
  <c r="F40" i="52"/>
  <c r="I40" i="52" s="1"/>
  <c r="H40" i="52"/>
  <c r="K40" i="52" s="1"/>
  <c r="H42" i="52"/>
  <c r="K42" i="52" s="1"/>
  <c r="F42" i="52"/>
  <c r="I42" i="52" s="1"/>
  <c r="J42" i="52"/>
  <c r="J21" i="52"/>
  <c r="H21" i="52"/>
  <c r="K21" i="52" s="1"/>
  <c r="F21" i="52"/>
  <c r="I21" i="52" s="1"/>
  <c r="F31" i="52"/>
  <c r="I31" i="52" s="1"/>
  <c r="J31" i="52"/>
  <c r="H31" i="52"/>
  <c r="K31" i="52" s="1"/>
  <c r="H46" i="52"/>
  <c r="K46" i="52" s="1"/>
  <c r="F46" i="52"/>
  <c r="I46" i="52" s="1"/>
  <c r="J46" i="52"/>
  <c r="J56" i="52"/>
  <c r="F56" i="52"/>
  <c r="I56" i="52" s="1"/>
  <c r="H56" i="52"/>
  <c r="K56" i="52" s="1"/>
  <c r="F68" i="52"/>
  <c r="I68" i="52" s="1"/>
  <c r="J47" i="52"/>
  <c r="F47" i="52"/>
  <c r="I47" i="52" s="1"/>
  <c r="H47" i="52"/>
  <c r="K47" i="52" s="1"/>
  <c r="H65" i="52"/>
  <c r="K65" i="52" s="1"/>
  <c r="J63" i="52"/>
  <c r="F63" i="52"/>
  <c r="I63" i="52" s="1"/>
  <c r="H63" i="52"/>
  <c r="K63" i="52" s="1"/>
  <c r="J62" i="52"/>
  <c r="H62" i="52"/>
  <c r="K62" i="52" s="1"/>
  <c r="F62" i="52"/>
  <c r="I62" i="52" s="1"/>
  <c r="H25" i="52"/>
  <c r="K25" i="52" s="1"/>
  <c r="J25" i="52"/>
  <c r="F25" i="52"/>
  <c r="I25" i="52" s="1"/>
  <c r="H33" i="52"/>
  <c r="K33" i="52" s="1"/>
  <c r="F33" i="52"/>
  <c r="I33" i="52" s="1"/>
  <c r="J33" i="52"/>
  <c r="F28" i="52"/>
  <c r="I28" i="52" s="1"/>
  <c r="H28" i="52"/>
  <c r="K28" i="52" s="1"/>
  <c r="J28" i="52"/>
  <c r="H43" i="52"/>
  <c r="K43" i="52" s="1"/>
  <c r="F43" i="52"/>
  <c r="I43" i="52" s="1"/>
  <c r="J43" i="52"/>
  <c r="J59" i="52"/>
  <c r="F59" i="52"/>
  <c r="I59" i="52" s="1"/>
  <c r="H59" i="52"/>
  <c r="K59" i="52" s="1"/>
  <c r="J60" i="52"/>
  <c r="F60" i="52"/>
  <c r="I60" i="52" s="1"/>
  <c r="H60" i="52"/>
  <c r="K60" i="52" s="1"/>
  <c r="W32" i="52"/>
  <c r="W44" i="52"/>
  <c r="Q13" i="52"/>
  <c r="S13" i="52"/>
  <c r="W30" i="52"/>
  <c r="W40" i="52"/>
  <c r="W41" i="52"/>
  <c r="W28" i="52"/>
  <c r="W43" i="52"/>
  <c r="W52" i="52"/>
  <c r="W60" i="52"/>
  <c r="W54" i="52"/>
  <c r="W55" i="52"/>
  <c r="W69" i="52"/>
  <c r="W71" i="52"/>
  <c r="W24" i="52"/>
  <c r="AL16" i="52"/>
  <c r="AK16" i="52" s="1"/>
  <c r="J32" i="52"/>
  <c r="F32" i="52"/>
  <c r="I32" i="52" s="1"/>
  <c r="H32" i="52"/>
  <c r="K32" i="52" s="1"/>
  <c r="F37" i="52"/>
  <c r="I37" i="52" s="1"/>
  <c r="J37" i="52"/>
  <c r="H37" i="52"/>
  <c r="K37" i="52" s="1"/>
  <c r="J17" i="52"/>
  <c r="F17" i="52"/>
  <c r="I17" i="52" s="1"/>
  <c r="H17" i="52"/>
  <c r="K17" i="52" s="1"/>
  <c r="H30" i="52"/>
  <c r="K30" i="52" s="1"/>
  <c r="J30" i="52"/>
  <c r="F30" i="52"/>
  <c r="I30" i="52" s="1"/>
  <c r="H41" i="52"/>
  <c r="K41" i="52" s="1"/>
  <c r="F41" i="52"/>
  <c r="I41" i="52" s="1"/>
  <c r="J41" i="52"/>
  <c r="H49" i="52"/>
  <c r="K49" i="52" s="1"/>
  <c r="F49" i="52"/>
  <c r="I49" i="52" s="1"/>
  <c r="J49" i="52"/>
  <c r="H22" i="52"/>
  <c r="K22" i="52" s="1"/>
  <c r="F22" i="52"/>
  <c r="I22" i="52" s="1"/>
  <c r="J22" i="52"/>
  <c r="H35" i="52"/>
  <c r="K35" i="52" s="1"/>
  <c r="F35" i="52"/>
  <c r="I35" i="52" s="1"/>
  <c r="J35" i="52"/>
  <c r="J48" i="52"/>
  <c r="F48" i="52"/>
  <c r="I48" i="52" s="1"/>
  <c r="H48" i="52"/>
  <c r="K48" i="52" s="1"/>
  <c r="H61" i="52"/>
  <c r="K61" i="52" s="1"/>
  <c r="F61" i="52"/>
  <c r="I61" i="52" s="1"/>
  <c r="J61" i="52"/>
  <c r="H50" i="52"/>
  <c r="K50" i="52" s="1"/>
  <c r="J50" i="52"/>
  <c r="F50" i="52"/>
  <c r="I50" i="52" s="1"/>
  <c r="J51" i="52"/>
  <c r="F51" i="52"/>
  <c r="I51" i="52" s="1"/>
  <c r="H51" i="52"/>
  <c r="K51" i="52" s="1"/>
  <c r="H69" i="52"/>
  <c r="K69" i="52" s="1"/>
  <c r="F69" i="52"/>
  <c r="I69" i="52" s="1"/>
  <c r="J69" i="52"/>
  <c r="G64" i="52"/>
  <c r="H66" i="52"/>
  <c r="K66" i="52" s="1"/>
  <c r="J66" i="52"/>
  <c r="F66" i="52"/>
  <c r="I66" i="52" s="1"/>
  <c r="W46" i="52"/>
  <c r="W64" i="52"/>
  <c r="W58" i="52"/>
  <c r="W66" i="52"/>
  <c r="J13" i="52"/>
  <c r="E13" i="52"/>
  <c r="D14" i="52"/>
  <c r="D7" i="52" s="1"/>
  <c r="C13" i="52"/>
  <c r="W27" i="52"/>
  <c r="G24" i="52"/>
  <c r="J27" i="52"/>
  <c r="F27" i="52"/>
  <c r="I27" i="52" s="1"/>
  <c r="H27" i="52"/>
  <c r="K27" i="52" s="1"/>
  <c r="F20" i="52"/>
  <c r="I20" i="52" s="1"/>
  <c r="H20" i="52"/>
  <c r="K20" i="52" s="1"/>
  <c r="J20" i="52"/>
  <c r="J52" i="52"/>
  <c r="F52" i="52"/>
  <c r="I52" i="52" s="1"/>
  <c r="H52" i="52"/>
  <c r="K52" i="52" s="1"/>
  <c r="F72" i="52"/>
  <c r="I72" i="52" s="1"/>
  <c r="J72" i="52"/>
  <c r="H72" i="52"/>
  <c r="K72" i="52" s="1"/>
  <c r="W37" i="52"/>
  <c r="W53" i="52"/>
  <c r="W42" i="52"/>
  <c r="W31" i="52"/>
  <c r="W45" i="52"/>
  <c r="W59" i="52"/>
  <c r="W61" i="52"/>
  <c r="W67" i="52"/>
  <c r="W56" i="52"/>
  <c r="W57" i="52"/>
  <c r="W62" i="52"/>
  <c r="AK19" i="52"/>
  <c r="W36" i="52"/>
  <c r="F15" i="52"/>
  <c r="H15" i="52"/>
  <c r="J15" i="52"/>
  <c r="F29" i="52"/>
  <c r="I29" i="52" s="1"/>
  <c r="H29" i="52"/>
  <c r="K29" i="52" s="1"/>
  <c r="J29" i="52"/>
  <c r="J18" i="52"/>
  <c r="F18" i="52"/>
  <c r="I18" i="52" s="1"/>
  <c r="H18" i="52"/>
  <c r="K18" i="52" s="1"/>
  <c r="H38" i="52"/>
  <c r="K38" i="52" s="1"/>
  <c r="J38" i="52"/>
  <c r="F38" i="52"/>
  <c r="I38" i="52" s="1"/>
  <c r="J45" i="52"/>
  <c r="F45" i="52"/>
  <c r="I45" i="52" s="1"/>
  <c r="H45" i="52"/>
  <c r="K45" i="52" s="1"/>
  <c r="H19" i="52"/>
  <c r="K19" i="52" s="1"/>
  <c r="F19" i="52"/>
  <c r="I19" i="52" s="1"/>
  <c r="J19" i="52"/>
  <c r="F26" i="52"/>
  <c r="I26" i="52" s="1"/>
  <c r="H26" i="52"/>
  <c r="K26" i="52" s="1"/>
  <c r="J26" i="52"/>
  <c r="G39" i="52"/>
  <c r="H53" i="52"/>
  <c r="K53" i="52" s="1"/>
  <c r="J53" i="52"/>
  <c r="F53" i="52"/>
  <c r="I53" i="52" s="1"/>
  <c r="H73" i="52"/>
  <c r="K73" i="52" s="1"/>
  <c r="F73" i="52"/>
  <c r="I73" i="52" s="1"/>
  <c r="J73" i="52"/>
  <c r="G54" i="52"/>
  <c r="J55" i="52"/>
  <c r="F55" i="52"/>
  <c r="I55" i="52" s="1"/>
  <c r="H55" i="52"/>
  <c r="K55" i="52" s="1"/>
  <c r="H57" i="52"/>
  <c r="K57" i="52" s="1"/>
  <c r="F57" i="52"/>
  <c r="I57" i="52" s="1"/>
  <c r="J57" i="52"/>
  <c r="J71" i="52"/>
  <c r="F71" i="52"/>
  <c r="I71" i="52" s="1"/>
  <c r="H71" i="52"/>
  <c r="K71" i="52" s="1"/>
  <c r="J70" i="52"/>
  <c r="H70" i="52"/>
  <c r="K70" i="52" s="1"/>
  <c r="F70" i="52"/>
  <c r="I70" i="52" s="1"/>
  <c r="Z15" i="54" l="1"/>
  <c r="B26" i="54"/>
  <c r="W25" i="54"/>
  <c r="L23" i="54"/>
  <c r="R22" i="54"/>
  <c r="X15" i="54"/>
  <c r="S21" i="54"/>
  <c r="U21" i="54"/>
  <c r="Q21" i="54"/>
  <c r="T21" i="54" s="1"/>
  <c r="X21" i="54" s="1"/>
  <c r="K24" i="53"/>
  <c r="I24" i="53"/>
  <c r="L21" i="53"/>
  <c r="R20" i="53"/>
  <c r="Y14" i="53"/>
  <c r="J6" i="53"/>
  <c r="I15" i="53"/>
  <c r="F8" i="53"/>
  <c r="I20" i="24" s="1"/>
  <c r="F74" i="53"/>
  <c r="J74" i="53"/>
  <c r="U19" i="53"/>
  <c r="Y19" i="53" s="1"/>
  <c r="Q19" i="53"/>
  <c r="T19" i="53" s="1"/>
  <c r="X19" i="53" s="1"/>
  <c r="S19" i="53"/>
  <c r="V19" i="53" s="1"/>
  <c r="Z19" i="53" s="1"/>
  <c r="K15" i="53"/>
  <c r="H8" i="53"/>
  <c r="K20" i="24" s="1"/>
  <c r="H74" i="53"/>
  <c r="H68" i="52"/>
  <c r="K68" i="52" s="1"/>
  <c r="G74" i="52"/>
  <c r="J65" i="52"/>
  <c r="K13" i="52"/>
  <c r="F64" i="52"/>
  <c r="I64" i="52" s="1"/>
  <c r="J64" i="52"/>
  <c r="H64" i="52"/>
  <c r="K64" i="52" s="1"/>
  <c r="V13" i="52"/>
  <c r="H54" i="52"/>
  <c r="K54" i="52" s="1"/>
  <c r="J54" i="52"/>
  <c r="F54" i="52"/>
  <c r="I54" i="52" s="1"/>
  <c r="I15" i="52"/>
  <c r="AK22" i="52"/>
  <c r="J14" i="52"/>
  <c r="U14" i="52" s="1"/>
  <c r="Y14" i="52" s="1"/>
  <c r="E14" i="52"/>
  <c r="K14" i="52" s="1"/>
  <c r="V14" i="52" s="1"/>
  <c r="Z14" i="52" s="1"/>
  <c r="C14" i="52"/>
  <c r="I14" i="52" s="1"/>
  <c r="T14" i="52" s="1"/>
  <c r="X14" i="52" s="1"/>
  <c r="L19" i="52"/>
  <c r="F39" i="52"/>
  <c r="I39" i="52" s="1"/>
  <c r="J39" i="52"/>
  <c r="H39" i="52"/>
  <c r="K39" i="52" s="1"/>
  <c r="K15" i="52"/>
  <c r="H34" i="52"/>
  <c r="K34" i="52" s="1"/>
  <c r="F34" i="52"/>
  <c r="I34" i="52" s="1"/>
  <c r="J34" i="52"/>
  <c r="G8" i="52"/>
  <c r="F24" i="52"/>
  <c r="I24" i="52" s="1"/>
  <c r="J24" i="52"/>
  <c r="H24" i="52"/>
  <c r="K24" i="52" s="1"/>
  <c r="C7" i="52"/>
  <c r="I13" i="52"/>
  <c r="D74" i="52"/>
  <c r="U13" i="52"/>
  <c r="J44" i="52"/>
  <c r="F44" i="52"/>
  <c r="I44" i="52" s="1"/>
  <c r="H44" i="52"/>
  <c r="K44" i="52" s="1"/>
  <c r="Y21" i="54" l="1"/>
  <c r="V21" i="54"/>
  <c r="B27" i="54"/>
  <c r="W26" i="54"/>
  <c r="L24" i="54"/>
  <c r="R23" i="54"/>
  <c r="U22" i="54"/>
  <c r="Y22" i="54" s="1"/>
  <c r="Q22" i="54"/>
  <c r="T22" i="54" s="1"/>
  <c r="X22" i="54" s="1"/>
  <c r="S22" i="54"/>
  <c r="V22" i="54" s="1"/>
  <c r="Z22" i="54" s="1"/>
  <c r="C74" i="52"/>
  <c r="T15" i="53"/>
  <c r="I6" i="53"/>
  <c r="I74" i="53"/>
  <c r="U20" i="53"/>
  <c r="Y20" i="53" s="1"/>
  <c r="Q20" i="53"/>
  <c r="S20" i="53"/>
  <c r="V15" i="53"/>
  <c r="K74" i="53"/>
  <c r="K6" i="53"/>
  <c r="L22" i="53"/>
  <c r="R21" i="53"/>
  <c r="J6" i="52"/>
  <c r="F8" i="52"/>
  <c r="E74" i="52"/>
  <c r="I74" i="52"/>
  <c r="I6" i="52"/>
  <c r="H74" i="52"/>
  <c r="J74" i="52"/>
  <c r="F74" i="52"/>
  <c r="T13" i="52"/>
  <c r="Z13" i="52"/>
  <c r="K74" i="52"/>
  <c r="K6" i="52"/>
  <c r="L20" i="52"/>
  <c r="Y13" i="52"/>
  <c r="H8" i="52"/>
  <c r="E7" i="52"/>
  <c r="Z21" i="54" l="1"/>
  <c r="L25" i="54"/>
  <c r="R24" i="54"/>
  <c r="S23" i="54"/>
  <c r="V23" i="54" s="1"/>
  <c r="Z23" i="54" s="1"/>
  <c r="U23" i="54"/>
  <c r="Q23" i="54"/>
  <c r="T23" i="54" s="1"/>
  <c r="X23" i="54" s="1"/>
  <c r="B28" i="54"/>
  <c r="W27" i="54"/>
  <c r="L23" i="53"/>
  <c r="R22" i="53"/>
  <c r="V20" i="53"/>
  <c r="Z20" i="53" s="1"/>
  <c r="T20" i="53"/>
  <c r="X20" i="53" s="1"/>
  <c r="X15" i="53"/>
  <c r="U21" i="53"/>
  <c r="Y21" i="53" s="1"/>
  <c r="Q21" i="53"/>
  <c r="T21" i="53" s="1"/>
  <c r="X21" i="53" s="1"/>
  <c r="S21" i="53"/>
  <c r="V21" i="53" s="1"/>
  <c r="Z21" i="53" s="1"/>
  <c r="Z15" i="53"/>
  <c r="X13" i="52"/>
  <c r="L21" i="52"/>
  <c r="B29" i="54" l="1"/>
  <c r="W28" i="54"/>
  <c r="L26" i="54"/>
  <c r="R25" i="54"/>
  <c r="U24" i="54"/>
  <c r="Y24" i="54" s="1"/>
  <c r="Q24" i="54"/>
  <c r="T24" i="54" s="1"/>
  <c r="X24" i="54" s="1"/>
  <c r="S24" i="54"/>
  <c r="V24" i="54" s="1"/>
  <c r="Y23" i="54"/>
  <c r="U22" i="53"/>
  <c r="Y22" i="53" s="1"/>
  <c r="Q22" i="53"/>
  <c r="T22" i="53" s="1"/>
  <c r="X22" i="53" s="1"/>
  <c r="S22" i="53"/>
  <c r="V22" i="53" s="1"/>
  <c r="R23" i="53"/>
  <c r="L24" i="53"/>
  <c r="L22" i="52"/>
  <c r="S25" i="54" l="1"/>
  <c r="V25" i="54" s="1"/>
  <c r="Z25" i="54" s="1"/>
  <c r="Q25" i="54"/>
  <c r="T25" i="54" s="1"/>
  <c r="X25" i="54" s="1"/>
  <c r="U25" i="54"/>
  <c r="L27" i="54"/>
  <c r="R26" i="54"/>
  <c r="Z24" i="54"/>
  <c r="B30" i="54"/>
  <c r="W29" i="54"/>
  <c r="L25" i="53"/>
  <c r="R24" i="53"/>
  <c r="Z22" i="53"/>
  <c r="U23" i="53"/>
  <c r="Y23" i="53" s="1"/>
  <c r="S23" i="53"/>
  <c r="V23" i="53" s="1"/>
  <c r="Z23" i="53" s="1"/>
  <c r="Q23" i="53"/>
  <c r="T23" i="53" s="1"/>
  <c r="L23" i="52"/>
  <c r="B31" i="54" l="1"/>
  <c r="W30" i="54"/>
  <c r="R27" i="54"/>
  <c r="L28" i="54"/>
  <c r="Y25" i="54"/>
  <c r="S26" i="54"/>
  <c r="V26" i="54" s="1"/>
  <c r="U26" i="54"/>
  <c r="Y26" i="54" s="1"/>
  <c r="Q26" i="54"/>
  <c r="T26" i="54" s="1"/>
  <c r="X26" i="54" s="1"/>
  <c r="X23" i="53"/>
  <c r="S24" i="53"/>
  <c r="V24" i="53" s="1"/>
  <c r="Z24" i="53" s="1"/>
  <c r="U24" i="53"/>
  <c r="Y24" i="53" s="1"/>
  <c r="Q24" i="53"/>
  <c r="T24" i="53" s="1"/>
  <c r="X24" i="53" s="1"/>
  <c r="L26" i="53"/>
  <c r="L24" i="52"/>
  <c r="L29" i="54" l="1"/>
  <c r="R28" i="54"/>
  <c r="Z26" i="54"/>
  <c r="U27" i="54"/>
  <c r="Y27" i="54" s="1"/>
  <c r="Q27" i="54"/>
  <c r="T27" i="54" s="1"/>
  <c r="X27" i="54" s="1"/>
  <c r="S27" i="54"/>
  <c r="V27" i="54" s="1"/>
  <c r="Z27" i="54" s="1"/>
  <c r="B32" i="54"/>
  <c r="W31" i="54"/>
  <c r="L27" i="53"/>
  <c r="L25" i="52"/>
  <c r="L30" i="54" l="1"/>
  <c r="R29" i="54"/>
  <c r="B33" i="54"/>
  <c r="W32" i="54"/>
  <c r="S28" i="54"/>
  <c r="V28" i="54" s="1"/>
  <c r="Z28" i="54" s="1"/>
  <c r="U28" i="54"/>
  <c r="Y28" i="54" s="1"/>
  <c r="Q28" i="54"/>
  <c r="T28" i="54" s="1"/>
  <c r="X28" i="54" s="1"/>
  <c r="L28" i="53"/>
  <c r="L26" i="52"/>
  <c r="R30" i="54" l="1"/>
  <c r="L31" i="54"/>
  <c r="B34" i="54"/>
  <c r="W33" i="54"/>
  <c r="U29" i="54"/>
  <c r="Y29" i="54" s="1"/>
  <c r="Q29" i="54"/>
  <c r="T29" i="54" s="1"/>
  <c r="X29" i="54" s="1"/>
  <c r="S29" i="54"/>
  <c r="V29" i="54" s="1"/>
  <c r="Z29" i="54" s="1"/>
  <c r="L29" i="53"/>
  <c r="L27" i="52"/>
  <c r="R31" i="54" l="1"/>
  <c r="L32" i="54"/>
  <c r="B35" i="54"/>
  <c r="W34" i="54"/>
  <c r="S30" i="54"/>
  <c r="V30" i="54" s="1"/>
  <c r="Z30" i="54" s="1"/>
  <c r="U30" i="54"/>
  <c r="Y30" i="54" s="1"/>
  <c r="Q30" i="54"/>
  <c r="T30" i="54" s="1"/>
  <c r="X30" i="54" s="1"/>
  <c r="L30" i="53"/>
  <c r="L28" i="52"/>
  <c r="B36" i="54" l="1"/>
  <c r="W35" i="54"/>
  <c r="R32" i="54"/>
  <c r="L33" i="54"/>
  <c r="S31" i="54"/>
  <c r="V31" i="54" s="1"/>
  <c r="Z31" i="54" s="1"/>
  <c r="U31" i="54"/>
  <c r="Y31" i="54" s="1"/>
  <c r="Q31" i="54"/>
  <c r="T31" i="54" s="1"/>
  <c r="X31" i="54" s="1"/>
  <c r="L31" i="53"/>
  <c r="L29" i="52"/>
  <c r="B37" i="54" l="1"/>
  <c r="W36" i="54"/>
  <c r="L34" i="54"/>
  <c r="R33" i="54"/>
  <c r="U32" i="54"/>
  <c r="Y32" i="54" s="1"/>
  <c r="Q32" i="54"/>
  <c r="T32" i="54" s="1"/>
  <c r="X32" i="54" s="1"/>
  <c r="S32" i="54"/>
  <c r="V32" i="54" s="1"/>
  <c r="Z32" i="54" s="1"/>
  <c r="L32" i="53"/>
  <c r="L30" i="52"/>
  <c r="R34" i="54" l="1"/>
  <c r="L35" i="54"/>
  <c r="U33" i="54"/>
  <c r="Y33" i="54" s="1"/>
  <c r="Q33" i="54"/>
  <c r="T33" i="54" s="1"/>
  <c r="X33" i="54" s="1"/>
  <c r="S33" i="54"/>
  <c r="V33" i="54" s="1"/>
  <c r="Z33" i="54" s="1"/>
  <c r="B38" i="54"/>
  <c r="W37" i="54"/>
  <c r="L33" i="53"/>
  <c r="L31" i="52"/>
  <c r="R35" i="54" l="1"/>
  <c r="L36" i="54"/>
  <c r="B39" i="54"/>
  <c r="W38" i="54"/>
  <c r="S34" i="54"/>
  <c r="V34" i="54" s="1"/>
  <c r="Z34" i="54" s="1"/>
  <c r="Q34" i="54"/>
  <c r="T34" i="54" s="1"/>
  <c r="X34" i="54" s="1"/>
  <c r="U34" i="54"/>
  <c r="Y34" i="54" s="1"/>
  <c r="L34" i="53"/>
  <c r="L32" i="52"/>
  <c r="B40" i="54" l="1"/>
  <c r="W39" i="54"/>
  <c r="R36" i="54"/>
  <c r="L37" i="54"/>
  <c r="S35" i="54"/>
  <c r="V35" i="54" s="1"/>
  <c r="Z35" i="54" s="1"/>
  <c r="U35" i="54"/>
  <c r="Y35" i="54" s="1"/>
  <c r="Q35" i="54"/>
  <c r="T35" i="54" s="1"/>
  <c r="X35" i="54" s="1"/>
  <c r="L35" i="53"/>
  <c r="L33" i="52"/>
  <c r="U36" i="54" l="1"/>
  <c r="Y36" i="54" s="1"/>
  <c r="Q36" i="54"/>
  <c r="T36" i="54" s="1"/>
  <c r="X36" i="54" s="1"/>
  <c r="S36" i="54"/>
  <c r="V36" i="54" s="1"/>
  <c r="Z36" i="54" s="1"/>
  <c r="L38" i="54"/>
  <c r="R37" i="54"/>
  <c r="B41" i="54"/>
  <c r="W40" i="54"/>
  <c r="L36" i="53"/>
  <c r="L34" i="52"/>
  <c r="R38" i="54" l="1"/>
  <c r="L39" i="54"/>
  <c r="U37" i="54"/>
  <c r="Y37" i="54" s="1"/>
  <c r="Q37" i="54"/>
  <c r="T37" i="54" s="1"/>
  <c r="X37" i="54" s="1"/>
  <c r="S37" i="54"/>
  <c r="V37" i="54" s="1"/>
  <c r="Z37" i="54" s="1"/>
  <c r="B42" i="54"/>
  <c r="W41" i="54"/>
  <c r="L37" i="53"/>
  <c r="L35" i="52"/>
  <c r="R39" i="54" l="1"/>
  <c r="L40" i="54"/>
  <c r="B43" i="54"/>
  <c r="W42" i="54"/>
  <c r="S38" i="54"/>
  <c r="V38" i="54" s="1"/>
  <c r="Z38" i="54" s="1"/>
  <c r="Q38" i="54"/>
  <c r="T38" i="54" s="1"/>
  <c r="X38" i="54" s="1"/>
  <c r="U38" i="54"/>
  <c r="Y38" i="54" s="1"/>
  <c r="L38" i="53"/>
  <c r="L36" i="52"/>
  <c r="U39" i="54" l="1"/>
  <c r="Y39" i="54" s="1"/>
  <c r="Q39" i="54"/>
  <c r="T39" i="54" s="1"/>
  <c r="X39" i="54" s="1"/>
  <c r="S39" i="54"/>
  <c r="V39" i="54" s="1"/>
  <c r="Z39" i="54" s="1"/>
  <c r="B44" i="54"/>
  <c r="W43" i="54"/>
  <c r="L41" i="54"/>
  <c r="R40" i="54"/>
  <c r="L39" i="53"/>
  <c r="L37" i="52"/>
  <c r="B45" i="54" l="1"/>
  <c r="W44" i="54"/>
  <c r="U40" i="54"/>
  <c r="Y40" i="54" s="1"/>
  <c r="Q40" i="54"/>
  <c r="T40" i="54" s="1"/>
  <c r="X40" i="54" s="1"/>
  <c r="S40" i="54"/>
  <c r="V40" i="54" s="1"/>
  <c r="Z40" i="54" s="1"/>
  <c r="L42" i="54"/>
  <c r="R41" i="54"/>
  <c r="L40" i="53"/>
  <c r="L38" i="52"/>
  <c r="B46" i="54" l="1"/>
  <c r="W45" i="54"/>
  <c r="S41" i="54"/>
  <c r="V41" i="54" s="1"/>
  <c r="Z41" i="54" s="1"/>
  <c r="U41" i="54"/>
  <c r="Y41" i="54" s="1"/>
  <c r="Q41" i="54"/>
  <c r="T41" i="54" s="1"/>
  <c r="X41" i="54" s="1"/>
  <c r="R42" i="54"/>
  <c r="L43" i="54"/>
  <c r="L41" i="53"/>
  <c r="L39" i="52"/>
  <c r="R43" i="54" l="1"/>
  <c r="L44" i="54"/>
  <c r="S42" i="54"/>
  <c r="V42" i="54" s="1"/>
  <c r="Z42" i="54" s="1"/>
  <c r="U42" i="54"/>
  <c r="Y42" i="54" s="1"/>
  <c r="Q42" i="54"/>
  <c r="T42" i="54" s="1"/>
  <c r="X42" i="54" s="1"/>
  <c r="B47" i="54"/>
  <c r="W46" i="54"/>
  <c r="L42" i="53"/>
  <c r="L40" i="52"/>
  <c r="L45" i="54" l="1"/>
  <c r="R44" i="54"/>
  <c r="B48" i="54"/>
  <c r="W47" i="54"/>
  <c r="U43" i="54"/>
  <c r="Y43" i="54" s="1"/>
  <c r="Q43" i="54"/>
  <c r="T43" i="54" s="1"/>
  <c r="X43" i="54" s="1"/>
  <c r="S43" i="54"/>
  <c r="V43" i="54" s="1"/>
  <c r="Z43" i="54" s="1"/>
  <c r="L43" i="53"/>
  <c r="L41" i="52"/>
  <c r="L46" i="54" l="1"/>
  <c r="R45" i="54"/>
  <c r="B49" i="54"/>
  <c r="W48" i="54"/>
  <c r="U44" i="54"/>
  <c r="Y44" i="54" s="1"/>
  <c r="Q44" i="54"/>
  <c r="T44" i="54" s="1"/>
  <c r="X44" i="54" s="1"/>
  <c r="S44" i="54"/>
  <c r="V44" i="54" s="1"/>
  <c r="Z44" i="54" s="1"/>
  <c r="L44" i="53"/>
  <c r="L42" i="52"/>
  <c r="R46" i="54" l="1"/>
  <c r="L47" i="54"/>
  <c r="B50" i="54"/>
  <c r="W49" i="54"/>
  <c r="S45" i="54"/>
  <c r="V45" i="54" s="1"/>
  <c r="Z45" i="54" s="1"/>
  <c r="U45" i="54"/>
  <c r="Y45" i="54" s="1"/>
  <c r="Q45" i="54"/>
  <c r="T45" i="54" s="1"/>
  <c r="X45" i="54" s="1"/>
  <c r="L45" i="53"/>
  <c r="L43" i="52"/>
  <c r="S46" i="54" l="1"/>
  <c r="V46" i="54" s="1"/>
  <c r="Z46" i="54" s="1"/>
  <c r="Q46" i="54"/>
  <c r="T46" i="54" s="1"/>
  <c r="X46" i="54" s="1"/>
  <c r="U46" i="54"/>
  <c r="Y46" i="54" s="1"/>
  <c r="B51" i="54"/>
  <c r="W50" i="54"/>
  <c r="R47" i="54"/>
  <c r="L48" i="54"/>
  <c r="L46" i="53"/>
  <c r="L44" i="52"/>
  <c r="U47" i="54" l="1"/>
  <c r="Y47" i="54" s="1"/>
  <c r="Q47" i="54"/>
  <c r="T47" i="54" s="1"/>
  <c r="X47" i="54" s="1"/>
  <c r="S47" i="54"/>
  <c r="V47" i="54" s="1"/>
  <c r="Z47" i="54" s="1"/>
  <c r="L49" i="54"/>
  <c r="R48" i="54"/>
  <c r="B52" i="54"/>
  <c r="W51" i="54"/>
  <c r="L47" i="53"/>
  <c r="L45" i="52"/>
  <c r="U48" i="54" l="1"/>
  <c r="Y48" i="54" s="1"/>
  <c r="Q48" i="54"/>
  <c r="T48" i="54" s="1"/>
  <c r="X48" i="54" s="1"/>
  <c r="S48" i="54"/>
  <c r="V48" i="54" s="1"/>
  <c r="Z48" i="54" s="1"/>
  <c r="L50" i="54"/>
  <c r="R49" i="54"/>
  <c r="B53" i="54"/>
  <c r="W52" i="54"/>
  <c r="L48" i="53"/>
  <c r="L46" i="52"/>
  <c r="R50" i="54" l="1"/>
  <c r="L51" i="54"/>
  <c r="B54" i="54"/>
  <c r="W53" i="54"/>
  <c r="S49" i="54"/>
  <c r="V49" i="54" s="1"/>
  <c r="Z49" i="54" s="1"/>
  <c r="U49" i="54"/>
  <c r="Y49" i="54" s="1"/>
  <c r="Q49" i="54"/>
  <c r="T49" i="54" s="1"/>
  <c r="X49" i="54" s="1"/>
  <c r="L49" i="53"/>
  <c r="L47" i="52"/>
  <c r="B55" i="54" l="1"/>
  <c r="W54" i="54"/>
  <c r="R51" i="54"/>
  <c r="L52" i="54"/>
  <c r="S50" i="54"/>
  <c r="V50" i="54" s="1"/>
  <c r="Z50" i="54" s="1"/>
  <c r="U50" i="54"/>
  <c r="Y50" i="54" s="1"/>
  <c r="Q50" i="54"/>
  <c r="T50" i="54" s="1"/>
  <c r="X50" i="54" s="1"/>
  <c r="L50" i="53"/>
  <c r="L48" i="52"/>
  <c r="L53" i="54" l="1"/>
  <c r="R52" i="54"/>
  <c r="U51" i="54"/>
  <c r="Y51" i="54" s="1"/>
  <c r="Q51" i="54"/>
  <c r="T51" i="54" s="1"/>
  <c r="X51" i="54" s="1"/>
  <c r="S51" i="54"/>
  <c r="V51" i="54" s="1"/>
  <c r="Z51" i="54" s="1"/>
  <c r="B56" i="54"/>
  <c r="W55" i="54"/>
  <c r="L51" i="53"/>
  <c r="L49" i="52"/>
  <c r="B57" i="54" l="1"/>
  <c r="W56" i="54"/>
  <c r="U52" i="54"/>
  <c r="Y52" i="54" s="1"/>
  <c r="Q52" i="54"/>
  <c r="T52" i="54" s="1"/>
  <c r="X52" i="54" s="1"/>
  <c r="S52" i="54"/>
  <c r="V52" i="54" s="1"/>
  <c r="Z52" i="54" s="1"/>
  <c r="R53" i="54"/>
  <c r="L54" i="54"/>
  <c r="L52" i="53"/>
  <c r="L50" i="52"/>
  <c r="B58" i="54" l="1"/>
  <c r="W57" i="54"/>
  <c r="L55" i="54"/>
  <c r="R54" i="54"/>
  <c r="S53" i="54"/>
  <c r="V53" i="54" s="1"/>
  <c r="Z53" i="54" s="1"/>
  <c r="Q53" i="54"/>
  <c r="T53" i="54" s="1"/>
  <c r="X53" i="54" s="1"/>
  <c r="U53" i="54"/>
  <c r="Y53" i="54" s="1"/>
  <c r="L53" i="53"/>
  <c r="L51" i="52"/>
  <c r="U54" i="54" l="1"/>
  <c r="Y54" i="54" s="1"/>
  <c r="Q54" i="54"/>
  <c r="T54" i="54" s="1"/>
  <c r="X54" i="54" s="1"/>
  <c r="S54" i="54"/>
  <c r="V54" i="54" s="1"/>
  <c r="Z54" i="54" s="1"/>
  <c r="R55" i="54"/>
  <c r="L56" i="54"/>
  <c r="B59" i="54"/>
  <c r="W58" i="54"/>
  <c r="L54" i="53"/>
  <c r="L52" i="52"/>
  <c r="R56" i="54" l="1"/>
  <c r="L57" i="54"/>
  <c r="S55" i="54"/>
  <c r="V55" i="54" s="1"/>
  <c r="Z55" i="54" s="1"/>
  <c r="U55" i="54"/>
  <c r="Y55" i="54" s="1"/>
  <c r="Q55" i="54"/>
  <c r="T55" i="54" s="1"/>
  <c r="X55" i="54" s="1"/>
  <c r="B60" i="54"/>
  <c r="W59" i="54"/>
  <c r="L55" i="53"/>
  <c r="L53" i="52"/>
  <c r="S56" i="54" l="1"/>
  <c r="V56" i="54" s="1"/>
  <c r="Z56" i="54" s="1"/>
  <c r="U56" i="54"/>
  <c r="Y56" i="54" s="1"/>
  <c r="Q56" i="54"/>
  <c r="T56" i="54" s="1"/>
  <c r="X56" i="54" s="1"/>
  <c r="B61" i="54"/>
  <c r="W60" i="54"/>
  <c r="R57" i="54"/>
  <c r="L58" i="54"/>
  <c r="L56" i="53"/>
  <c r="L54" i="52"/>
  <c r="B62" i="54" l="1"/>
  <c r="W61" i="54"/>
  <c r="U57" i="54"/>
  <c r="Y57" i="54" s="1"/>
  <c r="Q57" i="54"/>
  <c r="T57" i="54" s="1"/>
  <c r="X57" i="54" s="1"/>
  <c r="S57" i="54"/>
  <c r="V57" i="54" s="1"/>
  <c r="Z57" i="54" s="1"/>
  <c r="R58" i="54"/>
  <c r="L59" i="54"/>
  <c r="L57" i="53"/>
  <c r="L55" i="52"/>
  <c r="B63" i="54" l="1"/>
  <c r="W62" i="54"/>
  <c r="L60" i="54"/>
  <c r="R59" i="54"/>
  <c r="U58" i="54"/>
  <c r="Y58" i="54" s="1"/>
  <c r="Q58" i="54"/>
  <c r="T58" i="54" s="1"/>
  <c r="X58" i="54" s="1"/>
  <c r="S58" i="54"/>
  <c r="V58" i="54" s="1"/>
  <c r="Z58" i="54" s="1"/>
  <c r="L58" i="53"/>
  <c r="L56" i="52"/>
  <c r="L61" i="54" l="1"/>
  <c r="R60" i="54"/>
  <c r="U59" i="54"/>
  <c r="Y59" i="54" s="1"/>
  <c r="Q59" i="54"/>
  <c r="T59" i="54" s="1"/>
  <c r="X59" i="54" s="1"/>
  <c r="S59" i="54"/>
  <c r="V59" i="54" s="1"/>
  <c r="Z59" i="54" s="1"/>
  <c r="B64" i="54"/>
  <c r="W63" i="54"/>
  <c r="L59" i="53"/>
  <c r="L57" i="52"/>
  <c r="U60" i="54" l="1"/>
  <c r="Y60" i="54" s="1"/>
  <c r="Q60" i="54"/>
  <c r="T60" i="54" s="1"/>
  <c r="X60" i="54" s="1"/>
  <c r="S60" i="54"/>
  <c r="V60" i="54" s="1"/>
  <c r="Z60" i="54" s="1"/>
  <c r="B65" i="54"/>
  <c r="W64" i="54"/>
  <c r="L62" i="54"/>
  <c r="R61" i="54"/>
  <c r="L60" i="53"/>
  <c r="L58" i="52"/>
  <c r="B66" i="54" l="1"/>
  <c r="W65" i="54"/>
  <c r="S61" i="54"/>
  <c r="V61" i="54" s="1"/>
  <c r="Z61" i="54" s="1"/>
  <c r="Q61" i="54"/>
  <c r="T61" i="54" s="1"/>
  <c r="X61" i="54" s="1"/>
  <c r="U61" i="54"/>
  <c r="Y61" i="54" s="1"/>
  <c r="R62" i="54"/>
  <c r="L63" i="54"/>
  <c r="L61" i="53"/>
  <c r="L59" i="52"/>
  <c r="B67" i="54" l="1"/>
  <c r="W66" i="54"/>
  <c r="R63" i="54"/>
  <c r="L64" i="54"/>
  <c r="S62" i="54"/>
  <c r="V62" i="54" s="1"/>
  <c r="Z62" i="54" s="1"/>
  <c r="U62" i="54"/>
  <c r="Y62" i="54" s="1"/>
  <c r="Q62" i="54"/>
  <c r="T62" i="54" s="1"/>
  <c r="X62" i="54" s="1"/>
  <c r="L62" i="53"/>
  <c r="L60" i="52"/>
  <c r="L65" i="54" l="1"/>
  <c r="R64" i="54"/>
  <c r="U63" i="54"/>
  <c r="Y63" i="54" s="1"/>
  <c r="Q63" i="54"/>
  <c r="T63" i="54" s="1"/>
  <c r="X63" i="54" s="1"/>
  <c r="S63" i="54"/>
  <c r="V63" i="54" s="1"/>
  <c r="Z63" i="54" s="1"/>
  <c r="B68" i="54"/>
  <c r="W67" i="54"/>
  <c r="L63" i="53"/>
  <c r="L61" i="52"/>
  <c r="B69" i="54" l="1"/>
  <c r="W68" i="54"/>
  <c r="U64" i="54"/>
  <c r="Y64" i="54" s="1"/>
  <c r="Q64" i="54"/>
  <c r="T64" i="54" s="1"/>
  <c r="X64" i="54" s="1"/>
  <c r="S64" i="54"/>
  <c r="V64" i="54" s="1"/>
  <c r="Z64" i="54" s="1"/>
  <c r="L66" i="54"/>
  <c r="R65" i="54"/>
  <c r="L64" i="53"/>
  <c r="L62" i="52"/>
  <c r="S65" i="54" l="1"/>
  <c r="V65" i="54" s="1"/>
  <c r="Z65" i="54" s="1"/>
  <c r="Q65" i="54"/>
  <c r="T65" i="54" s="1"/>
  <c r="X65" i="54" s="1"/>
  <c r="U65" i="54"/>
  <c r="Y65" i="54" s="1"/>
  <c r="R66" i="54"/>
  <c r="L67" i="54"/>
  <c r="B70" i="54"/>
  <c r="W69" i="54"/>
  <c r="L65" i="53"/>
  <c r="L63" i="52"/>
  <c r="R67" i="54" l="1"/>
  <c r="L68" i="54"/>
  <c r="S66" i="54"/>
  <c r="V66" i="54" s="1"/>
  <c r="Z66" i="54" s="1"/>
  <c r="U66" i="54"/>
  <c r="Y66" i="54" s="1"/>
  <c r="Q66" i="54"/>
  <c r="T66" i="54" s="1"/>
  <c r="X66" i="54" s="1"/>
  <c r="B71" i="54"/>
  <c r="W70" i="54"/>
  <c r="L66" i="53"/>
  <c r="L64" i="52"/>
  <c r="L69" i="54" l="1"/>
  <c r="R68" i="54"/>
  <c r="B72" i="54"/>
  <c r="W71" i="54"/>
  <c r="U67" i="54"/>
  <c r="Y67" i="54" s="1"/>
  <c r="Q67" i="54"/>
  <c r="T67" i="54" s="1"/>
  <c r="X67" i="54" s="1"/>
  <c r="S67" i="54"/>
  <c r="V67" i="54" s="1"/>
  <c r="Z67" i="54" s="1"/>
  <c r="L67" i="53"/>
  <c r="L65" i="52"/>
  <c r="L70" i="54" l="1"/>
  <c r="R69" i="54"/>
  <c r="B73" i="54"/>
  <c r="W73" i="54" s="1"/>
  <c r="W72" i="54"/>
  <c r="U68" i="54"/>
  <c r="Y68" i="54" s="1"/>
  <c r="Q68" i="54"/>
  <c r="T68" i="54" s="1"/>
  <c r="X68" i="54" s="1"/>
  <c r="S68" i="54"/>
  <c r="V68" i="54" s="1"/>
  <c r="Z68" i="54" s="1"/>
  <c r="L68" i="53"/>
  <c r="L66" i="52"/>
  <c r="S69" i="54" l="1"/>
  <c r="V69" i="54" s="1"/>
  <c r="Z69" i="54" s="1"/>
  <c r="Q69" i="54"/>
  <c r="T69" i="54" s="1"/>
  <c r="X69" i="54" s="1"/>
  <c r="U69" i="54"/>
  <c r="Y69" i="54" s="1"/>
  <c r="R70" i="54"/>
  <c r="L71" i="54"/>
  <c r="L69" i="53"/>
  <c r="L67" i="52"/>
  <c r="R71" i="54" l="1"/>
  <c r="L72" i="54"/>
  <c r="S70" i="54"/>
  <c r="V70" i="54" s="1"/>
  <c r="Z70" i="54" s="1"/>
  <c r="U70" i="54"/>
  <c r="Y70" i="54" s="1"/>
  <c r="Q70" i="54"/>
  <c r="T70" i="54" s="1"/>
  <c r="X70" i="54" s="1"/>
  <c r="L70" i="53"/>
  <c r="L68" i="52"/>
  <c r="L73" i="54" l="1"/>
  <c r="R72" i="54"/>
  <c r="U71" i="54"/>
  <c r="Y71" i="54" s="1"/>
  <c r="Q71" i="54"/>
  <c r="T71" i="54" s="1"/>
  <c r="X71" i="54" s="1"/>
  <c r="S71" i="54"/>
  <c r="V71" i="54" s="1"/>
  <c r="Z71" i="54" s="1"/>
  <c r="L71" i="53"/>
  <c r="L69" i="52"/>
  <c r="U72" i="54" l="1"/>
  <c r="Y72" i="54" s="1"/>
  <c r="Q72" i="54"/>
  <c r="T72" i="54" s="1"/>
  <c r="X72" i="54" s="1"/>
  <c r="S72" i="54"/>
  <c r="V72" i="54" s="1"/>
  <c r="Z72" i="54" s="1"/>
  <c r="R73" i="54"/>
  <c r="L74" i="54"/>
  <c r="L72" i="53"/>
  <c r="L70" i="52"/>
  <c r="S73" i="54" l="1"/>
  <c r="Q73" i="54"/>
  <c r="U73" i="54"/>
  <c r="R74" i="54"/>
  <c r="L73" i="53"/>
  <c r="L71" i="52"/>
  <c r="U74" i="54" l="1"/>
  <c r="Y73" i="54"/>
  <c r="Y74" i="54" s="1"/>
  <c r="E4" i="54" s="1"/>
  <c r="T73" i="54"/>
  <c r="Q74" i="54"/>
  <c r="V73" i="54"/>
  <c r="S74" i="54"/>
  <c r="L74" i="53"/>
  <c r="L72" i="52"/>
  <c r="V74" i="54" l="1"/>
  <c r="Z73" i="54"/>
  <c r="Z74" i="54" s="1"/>
  <c r="F4" i="54" s="1"/>
  <c r="T74" i="54"/>
  <c r="X73" i="54"/>
  <c r="X74" i="54" s="1"/>
  <c r="D4" i="54" s="1"/>
  <c r="L73" i="52"/>
  <c r="L74" i="52" l="1"/>
  <c r="T14" i="24" l="1"/>
  <c r="M14" i="24"/>
  <c r="N14" i="24"/>
  <c r="L14" i="24"/>
  <c r="J14" i="24"/>
  <c r="K14" i="24"/>
  <c r="I14" i="24"/>
  <c r="G14" i="24"/>
  <c r="H14" i="24"/>
  <c r="F14" i="24"/>
  <c r="D14" i="24"/>
  <c r="E14" i="24"/>
  <c r="C14" i="24"/>
  <c r="B14" i="24"/>
  <c r="T3" i="51"/>
  <c r="T9" i="51"/>
  <c r="U3" i="51"/>
  <c r="D15" i="51"/>
  <c r="D74" i="51" s="1"/>
  <c r="D14" i="51"/>
  <c r="E73" i="51"/>
  <c r="C73" i="51"/>
  <c r="E72" i="51"/>
  <c r="C72" i="51"/>
  <c r="E71" i="51"/>
  <c r="C71" i="51"/>
  <c r="E70" i="51"/>
  <c r="C70" i="51"/>
  <c r="E69" i="51"/>
  <c r="C69" i="51"/>
  <c r="E68" i="51"/>
  <c r="C68" i="51"/>
  <c r="E67" i="51"/>
  <c r="C67" i="51"/>
  <c r="E66" i="51"/>
  <c r="C66" i="51"/>
  <c r="E65" i="51"/>
  <c r="C65" i="51"/>
  <c r="E64" i="51"/>
  <c r="C64" i="51"/>
  <c r="E63" i="51"/>
  <c r="C63" i="51"/>
  <c r="E62" i="51"/>
  <c r="C62" i="51"/>
  <c r="E61" i="51"/>
  <c r="C61" i="51"/>
  <c r="E60" i="51"/>
  <c r="C60" i="51"/>
  <c r="E59" i="51"/>
  <c r="C59" i="51"/>
  <c r="E58" i="51"/>
  <c r="C58" i="51"/>
  <c r="E57" i="51"/>
  <c r="C57" i="51"/>
  <c r="E56" i="51"/>
  <c r="C56" i="51"/>
  <c r="E55" i="51"/>
  <c r="C55" i="51"/>
  <c r="E54" i="51"/>
  <c r="C54" i="51"/>
  <c r="E53" i="51"/>
  <c r="C53" i="51"/>
  <c r="E52" i="51"/>
  <c r="C52" i="51"/>
  <c r="E51" i="51"/>
  <c r="C51" i="51"/>
  <c r="E50" i="51"/>
  <c r="C50" i="51"/>
  <c r="E49" i="51"/>
  <c r="C49" i="51"/>
  <c r="E48" i="51"/>
  <c r="C48" i="51"/>
  <c r="E47" i="51"/>
  <c r="C47" i="51"/>
  <c r="E46" i="51"/>
  <c r="C46" i="51"/>
  <c r="E45" i="51"/>
  <c r="C45" i="51"/>
  <c r="E44" i="51"/>
  <c r="C44" i="51"/>
  <c r="E43" i="51"/>
  <c r="C43" i="51"/>
  <c r="N42" i="51"/>
  <c r="N43" i="51" s="1"/>
  <c r="N44" i="51" s="1"/>
  <c r="N45" i="51" s="1"/>
  <c r="N46" i="51" s="1"/>
  <c r="N47" i="51" s="1"/>
  <c r="N48" i="51" s="1"/>
  <c r="N49" i="51" s="1"/>
  <c r="N50" i="51" s="1"/>
  <c r="N51" i="51" s="1"/>
  <c r="N52" i="51" s="1"/>
  <c r="N53" i="51" s="1"/>
  <c r="N54" i="51" s="1"/>
  <c r="N55" i="51" s="1"/>
  <c r="N56" i="51" s="1"/>
  <c r="N57" i="51" s="1"/>
  <c r="N58" i="51" s="1"/>
  <c r="N59" i="51" s="1"/>
  <c r="N60" i="51" s="1"/>
  <c r="N61" i="51" s="1"/>
  <c r="N62" i="51" s="1"/>
  <c r="N63" i="51" s="1"/>
  <c r="N64" i="51" s="1"/>
  <c r="N65" i="51" s="1"/>
  <c r="N66" i="51" s="1"/>
  <c r="N67" i="51" s="1"/>
  <c r="N68" i="51" s="1"/>
  <c r="N69" i="51" s="1"/>
  <c r="N70" i="51" s="1"/>
  <c r="N71" i="51" s="1"/>
  <c r="N72" i="51" s="1"/>
  <c r="N73" i="51" s="1"/>
  <c r="E42" i="51"/>
  <c r="C42" i="51"/>
  <c r="E41" i="51"/>
  <c r="C41" i="51"/>
  <c r="E40" i="51"/>
  <c r="C40" i="51"/>
  <c r="E39" i="51"/>
  <c r="C39" i="51"/>
  <c r="E38" i="51"/>
  <c r="C38" i="51"/>
  <c r="E37" i="51"/>
  <c r="C37" i="51"/>
  <c r="E36" i="51"/>
  <c r="C36" i="51"/>
  <c r="E35" i="51"/>
  <c r="C35" i="51"/>
  <c r="E34" i="51"/>
  <c r="C34" i="51"/>
  <c r="E33" i="51"/>
  <c r="C33" i="51"/>
  <c r="E32" i="51"/>
  <c r="C32" i="51"/>
  <c r="E31" i="51"/>
  <c r="C31" i="51"/>
  <c r="E30" i="51"/>
  <c r="C30" i="51"/>
  <c r="E29" i="51"/>
  <c r="C29" i="51"/>
  <c r="E28" i="51"/>
  <c r="C28" i="51"/>
  <c r="E27" i="51"/>
  <c r="C27" i="51"/>
  <c r="E26" i="51"/>
  <c r="C26" i="51"/>
  <c r="E25" i="51"/>
  <c r="C25" i="51"/>
  <c r="E24" i="51"/>
  <c r="C24" i="51"/>
  <c r="E23" i="51"/>
  <c r="C23" i="51"/>
  <c r="E22" i="51"/>
  <c r="C22" i="51"/>
  <c r="E21" i="51"/>
  <c r="C21" i="51"/>
  <c r="E20" i="51"/>
  <c r="C20" i="51"/>
  <c r="E19" i="51"/>
  <c r="C19" i="51"/>
  <c r="E18" i="51"/>
  <c r="C18" i="51"/>
  <c r="L17" i="51"/>
  <c r="E17" i="51"/>
  <c r="C17" i="51"/>
  <c r="N16" i="51"/>
  <c r="N17" i="51" s="1"/>
  <c r="N18" i="51" s="1"/>
  <c r="N19" i="51" s="1"/>
  <c r="N20" i="51" s="1"/>
  <c r="N21" i="51" s="1"/>
  <c r="N22" i="51" s="1"/>
  <c r="N23" i="51" s="1"/>
  <c r="N24" i="51" s="1"/>
  <c r="N25" i="51" s="1"/>
  <c r="N26" i="51" s="1"/>
  <c r="N27" i="51" s="1"/>
  <c r="N28" i="51" s="1"/>
  <c r="N29" i="51" s="1"/>
  <c r="N30" i="51" s="1"/>
  <c r="N31" i="51" s="1"/>
  <c r="N32" i="51" s="1"/>
  <c r="N33" i="51" s="1"/>
  <c r="N34" i="51" s="1"/>
  <c r="N35" i="51" s="1"/>
  <c r="N36" i="51" s="1"/>
  <c r="N37" i="51" s="1"/>
  <c r="N38" i="51" s="1"/>
  <c r="N39" i="51" s="1"/>
  <c r="N40" i="51" s="1"/>
  <c r="N41" i="51" s="1"/>
  <c r="L16" i="51"/>
  <c r="E16" i="51"/>
  <c r="C16" i="51"/>
  <c r="O15" i="5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O31" i="51" s="1"/>
  <c r="O32" i="51" s="1"/>
  <c r="O33" i="51" s="1"/>
  <c r="O34" i="51" s="1"/>
  <c r="O35" i="51" s="1"/>
  <c r="O36" i="51" s="1"/>
  <c r="O37" i="51" s="1"/>
  <c r="O38" i="51" s="1"/>
  <c r="O39" i="51" s="1"/>
  <c r="O40" i="51" s="1"/>
  <c r="O41" i="51" s="1"/>
  <c r="O42" i="51" s="1"/>
  <c r="O43" i="51" s="1"/>
  <c r="O44" i="51" s="1"/>
  <c r="O45" i="51" s="1"/>
  <c r="O46" i="51" s="1"/>
  <c r="O47" i="51" s="1"/>
  <c r="O48" i="51" s="1"/>
  <c r="O49" i="51" s="1"/>
  <c r="O50" i="51" s="1"/>
  <c r="O51" i="51" s="1"/>
  <c r="O52" i="51" s="1"/>
  <c r="O53" i="51" s="1"/>
  <c r="O54" i="51" s="1"/>
  <c r="O55" i="51" s="1"/>
  <c r="O56" i="51" s="1"/>
  <c r="O57" i="51" s="1"/>
  <c r="O58" i="51" s="1"/>
  <c r="O59" i="51" s="1"/>
  <c r="O60" i="51" s="1"/>
  <c r="O61" i="51" s="1"/>
  <c r="O62" i="51" s="1"/>
  <c r="O63" i="51" s="1"/>
  <c r="O64" i="51" s="1"/>
  <c r="O65" i="51" s="1"/>
  <c r="O66" i="51" s="1"/>
  <c r="O67" i="51" s="1"/>
  <c r="O68" i="51" s="1"/>
  <c r="O69" i="51" s="1"/>
  <c r="O70" i="51" s="1"/>
  <c r="O71" i="51" s="1"/>
  <c r="O72" i="51" s="1"/>
  <c r="O73" i="51" s="1"/>
  <c r="M15" i="51"/>
  <c r="M16" i="51" s="1"/>
  <c r="E15" i="51"/>
  <c r="P14" i="51"/>
  <c r="P15" i="51" s="1"/>
  <c r="P16" i="51" s="1"/>
  <c r="P17" i="51" s="1"/>
  <c r="P18" i="51" s="1"/>
  <c r="P19" i="51" s="1"/>
  <c r="P20" i="51" s="1"/>
  <c r="P21" i="51" s="1"/>
  <c r="P22" i="51" s="1"/>
  <c r="P23" i="51" s="1"/>
  <c r="P24" i="51" s="1"/>
  <c r="P25" i="51" s="1"/>
  <c r="P26" i="51" s="1"/>
  <c r="P27" i="51" s="1"/>
  <c r="P28" i="51" s="1"/>
  <c r="P29" i="51" s="1"/>
  <c r="P30" i="51" s="1"/>
  <c r="P31" i="51" s="1"/>
  <c r="P32" i="51" s="1"/>
  <c r="P33" i="51" s="1"/>
  <c r="P34" i="51" s="1"/>
  <c r="P35" i="51" s="1"/>
  <c r="P36" i="51" s="1"/>
  <c r="P37" i="51" s="1"/>
  <c r="P38" i="51" s="1"/>
  <c r="P39" i="51" s="1"/>
  <c r="P40" i="51" s="1"/>
  <c r="P41" i="51" s="1"/>
  <c r="P42" i="51" s="1"/>
  <c r="P43" i="51" s="1"/>
  <c r="P44" i="51" s="1"/>
  <c r="P45" i="51" s="1"/>
  <c r="P46" i="51" s="1"/>
  <c r="P47" i="51" s="1"/>
  <c r="P48" i="51" s="1"/>
  <c r="P49" i="51" s="1"/>
  <c r="P50" i="51" s="1"/>
  <c r="P51" i="51" s="1"/>
  <c r="P52" i="51" s="1"/>
  <c r="P53" i="51" s="1"/>
  <c r="P54" i="51" s="1"/>
  <c r="P55" i="51" s="1"/>
  <c r="P56" i="51" s="1"/>
  <c r="P57" i="51" s="1"/>
  <c r="P58" i="51" s="1"/>
  <c r="P59" i="51" s="1"/>
  <c r="P60" i="51" s="1"/>
  <c r="P61" i="51" s="1"/>
  <c r="P62" i="51" s="1"/>
  <c r="P63" i="51" s="1"/>
  <c r="P64" i="51" s="1"/>
  <c r="P65" i="51" s="1"/>
  <c r="P66" i="51" s="1"/>
  <c r="P67" i="51" s="1"/>
  <c r="P68" i="51" s="1"/>
  <c r="P69" i="51" s="1"/>
  <c r="P70" i="51" s="1"/>
  <c r="P71" i="51" s="1"/>
  <c r="P72" i="51" s="1"/>
  <c r="P73" i="51" s="1"/>
  <c r="O14" i="51"/>
  <c r="N14" i="51"/>
  <c r="M14" i="51"/>
  <c r="R14" i="51" s="1"/>
  <c r="S14" i="51" s="1"/>
  <c r="L14" i="51"/>
  <c r="E14" i="51"/>
  <c r="C14" i="51"/>
  <c r="B14" i="51"/>
  <c r="B15" i="51" s="1"/>
  <c r="B16" i="51" s="1"/>
  <c r="B17" i="51" s="1"/>
  <c r="B18" i="51" s="1"/>
  <c r="A14" i="5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P13" i="51"/>
  <c r="O13" i="51"/>
  <c r="N13" i="51"/>
  <c r="M13" i="51"/>
  <c r="L13" i="51"/>
  <c r="J13" i="51"/>
  <c r="I13" i="51"/>
  <c r="H13" i="51"/>
  <c r="K13" i="51" s="1"/>
  <c r="G13" i="51"/>
  <c r="F13" i="51"/>
  <c r="E13" i="51"/>
  <c r="C13" i="51"/>
  <c r="X9" i="51"/>
  <c r="W9" i="51"/>
  <c r="S9" i="51"/>
  <c r="X8" i="51"/>
  <c r="Y8" i="51" s="1"/>
  <c r="W8" i="51"/>
  <c r="X7" i="51"/>
  <c r="Y7" i="51" s="1"/>
  <c r="W7" i="51"/>
  <c r="Y6" i="51"/>
  <c r="X6" i="51"/>
  <c r="W6" i="51"/>
  <c r="X5" i="51"/>
  <c r="Y5" i="51" s="1"/>
  <c r="W5" i="51"/>
  <c r="X4" i="51"/>
  <c r="Y4" i="51" s="1"/>
  <c r="W4" i="51"/>
  <c r="X3" i="51"/>
  <c r="Y3" i="51" s="1"/>
  <c r="Y9" i="51" s="1"/>
  <c r="W3" i="51"/>
  <c r="C3" i="51"/>
  <c r="W1" i="51"/>
  <c r="C1" i="51"/>
  <c r="D7" i="51" l="1"/>
  <c r="C15" i="51"/>
  <c r="M17" i="51"/>
  <c r="M18" i="51" s="1"/>
  <c r="M19" i="51" s="1"/>
  <c r="M20" i="51" s="1"/>
  <c r="M21" i="51" s="1"/>
  <c r="M22" i="51" s="1"/>
  <c r="M23" i="51" s="1"/>
  <c r="M24" i="51" s="1"/>
  <c r="M25" i="51" s="1"/>
  <c r="M26" i="51" s="1"/>
  <c r="M27" i="51" s="1"/>
  <c r="M28" i="51" s="1"/>
  <c r="M29" i="51" s="1"/>
  <c r="M30" i="51" s="1"/>
  <c r="M31" i="51" s="1"/>
  <c r="M32" i="51" s="1"/>
  <c r="M33" i="51" s="1"/>
  <c r="M34" i="51" s="1"/>
  <c r="M35" i="51" s="1"/>
  <c r="M36" i="51" s="1"/>
  <c r="M37" i="51" s="1"/>
  <c r="M38" i="51" s="1"/>
  <c r="M39" i="51" s="1"/>
  <c r="M40" i="51" s="1"/>
  <c r="M41" i="51" s="1"/>
  <c r="M42" i="51" s="1"/>
  <c r="M43" i="51" s="1"/>
  <c r="M44" i="51" s="1"/>
  <c r="M45" i="51" s="1"/>
  <c r="M46" i="51" s="1"/>
  <c r="M47" i="51" s="1"/>
  <c r="M48" i="51" s="1"/>
  <c r="M49" i="51" s="1"/>
  <c r="M50" i="51" s="1"/>
  <c r="M51" i="51" s="1"/>
  <c r="M52" i="51" s="1"/>
  <c r="M53" i="51" s="1"/>
  <c r="M54" i="51" s="1"/>
  <c r="M55" i="51" s="1"/>
  <c r="M56" i="51" s="1"/>
  <c r="M57" i="51" s="1"/>
  <c r="M58" i="51" s="1"/>
  <c r="M59" i="51" s="1"/>
  <c r="M60" i="51" s="1"/>
  <c r="M61" i="51" s="1"/>
  <c r="M62" i="51" s="1"/>
  <c r="M63" i="51" s="1"/>
  <c r="M64" i="51" s="1"/>
  <c r="M65" i="51" s="1"/>
  <c r="M66" i="51" s="1"/>
  <c r="M67" i="51" s="1"/>
  <c r="M68" i="51" s="1"/>
  <c r="M69" i="51" s="1"/>
  <c r="M70" i="51" s="1"/>
  <c r="M71" i="51" s="1"/>
  <c r="M72" i="51" s="1"/>
  <c r="M73" i="51" s="1"/>
  <c r="R16" i="51"/>
  <c r="B19" i="51"/>
  <c r="W18" i="51"/>
  <c r="E74" i="51"/>
  <c r="E7" i="51"/>
  <c r="Q14" i="51"/>
  <c r="R15" i="51"/>
  <c r="R13" i="51"/>
  <c r="C7" i="51"/>
  <c r="L18" i="51"/>
  <c r="Q3" i="51"/>
  <c r="N74" i="51"/>
  <c r="W15" i="51"/>
  <c r="O74" i="51"/>
  <c r="G14" i="51"/>
  <c r="W14" i="51"/>
  <c r="W16" i="51"/>
  <c r="P3" i="51"/>
  <c r="C74" i="51"/>
  <c r="P74" i="51"/>
  <c r="W17" i="51"/>
  <c r="X9" i="46"/>
  <c r="B19" i="24"/>
  <c r="B28" i="47"/>
  <c r="B29" i="47"/>
  <c r="B30" i="47"/>
  <c r="G54" i="49"/>
  <c r="G55" i="49"/>
  <c r="G56" i="49"/>
  <c r="G57" i="49"/>
  <c r="M15" i="49"/>
  <c r="M16" i="49"/>
  <c r="M17" i="49"/>
  <c r="M14" i="49"/>
  <c r="E73" i="49"/>
  <c r="C73" i="49"/>
  <c r="E72" i="49"/>
  <c r="C72" i="49"/>
  <c r="E71" i="49"/>
  <c r="C71" i="49"/>
  <c r="E70" i="49"/>
  <c r="C70" i="49"/>
  <c r="E69" i="49"/>
  <c r="C69" i="49"/>
  <c r="E68" i="49"/>
  <c r="C68" i="49"/>
  <c r="E67" i="49"/>
  <c r="C67" i="49"/>
  <c r="E66" i="49"/>
  <c r="C66" i="49"/>
  <c r="E65" i="49"/>
  <c r="C65" i="49"/>
  <c r="E64" i="49"/>
  <c r="C64" i="49"/>
  <c r="E63" i="49"/>
  <c r="C63" i="49"/>
  <c r="E62" i="49"/>
  <c r="C62" i="49"/>
  <c r="E61" i="49"/>
  <c r="C61" i="49"/>
  <c r="E60" i="49"/>
  <c r="C60" i="49"/>
  <c r="E59" i="49"/>
  <c r="C59" i="49"/>
  <c r="E57" i="49"/>
  <c r="C57" i="49"/>
  <c r="E56" i="49"/>
  <c r="C56" i="49"/>
  <c r="E55" i="49"/>
  <c r="C55" i="49"/>
  <c r="E54" i="49"/>
  <c r="C54" i="49"/>
  <c r="E53" i="49"/>
  <c r="C53" i="49"/>
  <c r="E52" i="49"/>
  <c r="C52" i="49"/>
  <c r="E51" i="49"/>
  <c r="C51" i="49"/>
  <c r="E50" i="49"/>
  <c r="C50" i="49"/>
  <c r="E49" i="49"/>
  <c r="C49" i="49"/>
  <c r="E48" i="49"/>
  <c r="C48" i="49"/>
  <c r="E47" i="49"/>
  <c r="C47" i="49"/>
  <c r="E46" i="49"/>
  <c r="C46" i="49"/>
  <c r="E45" i="49"/>
  <c r="C45" i="49"/>
  <c r="M44" i="49"/>
  <c r="E44" i="49"/>
  <c r="C44" i="49"/>
  <c r="E43" i="49"/>
  <c r="C43" i="49"/>
  <c r="E42" i="49"/>
  <c r="C42" i="49"/>
  <c r="E41" i="49"/>
  <c r="C41" i="49"/>
  <c r="E40" i="49"/>
  <c r="C40" i="49"/>
  <c r="E39" i="49"/>
  <c r="C39" i="49"/>
  <c r="M38" i="49"/>
  <c r="E38" i="49"/>
  <c r="C38" i="49"/>
  <c r="E37" i="49"/>
  <c r="C37" i="49"/>
  <c r="E36" i="49"/>
  <c r="C36" i="49"/>
  <c r="E35" i="49"/>
  <c r="C35" i="49"/>
  <c r="E34" i="49"/>
  <c r="C34" i="49"/>
  <c r="E33" i="49"/>
  <c r="C33" i="49"/>
  <c r="E32" i="49"/>
  <c r="C32" i="49"/>
  <c r="E31" i="49"/>
  <c r="C31" i="49"/>
  <c r="E30" i="49"/>
  <c r="C30" i="49"/>
  <c r="E29" i="49"/>
  <c r="C29" i="49"/>
  <c r="AG27" i="49"/>
  <c r="AG26" i="49"/>
  <c r="AG28" i="49" s="1"/>
  <c r="E26" i="49"/>
  <c r="C26" i="49"/>
  <c r="E25" i="49"/>
  <c r="C25" i="49"/>
  <c r="M24" i="49"/>
  <c r="E24" i="49"/>
  <c r="C24" i="49"/>
  <c r="E23" i="49"/>
  <c r="C23" i="49"/>
  <c r="AH22" i="49"/>
  <c r="AL22" i="49" s="1"/>
  <c r="AG22" i="49"/>
  <c r="E22" i="49"/>
  <c r="C22" i="49"/>
  <c r="AH21" i="49"/>
  <c r="AL21" i="49" s="1"/>
  <c r="AK21" i="49" s="1"/>
  <c r="E21" i="49"/>
  <c r="C21" i="49"/>
  <c r="AH20" i="49"/>
  <c r="AL20" i="49" s="1"/>
  <c r="AK20" i="49" s="1"/>
  <c r="E20" i="49"/>
  <c r="C20" i="49"/>
  <c r="AH19" i="49"/>
  <c r="AL19" i="49" s="1"/>
  <c r="AK19" i="49" s="1"/>
  <c r="E19" i="49"/>
  <c r="C19" i="49"/>
  <c r="AH18" i="49"/>
  <c r="AL18" i="49" s="1"/>
  <c r="AK18" i="49" s="1"/>
  <c r="AH17" i="49"/>
  <c r="AL17" i="49" s="1"/>
  <c r="AK17" i="49" s="1"/>
  <c r="AH16" i="49"/>
  <c r="AL16" i="49" s="1"/>
  <c r="AK16" i="49" s="1"/>
  <c r="AK22" i="49" s="1"/>
  <c r="P16" i="49"/>
  <c r="P17" i="49" s="1"/>
  <c r="P18" i="49" s="1"/>
  <c r="P19" i="49" s="1"/>
  <c r="P20" i="49" s="1"/>
  <c r="P21" i="49" s="1"/>
  <c r="P22" i="49" s="1"/>
  <c r="P23" i="49" s="1"/>
  <c r="P24" i="49" s="1"/>
  <c r="P25" i="49" s="1"/>
  <c r="P26" i="49" s="1"/>
  <c r="P27" i="49" s="1"/>
  <c r="P28" i="49" s="1"/>
  <c r="P29" i="49" s="1"/>
  <c r="P30" i="49" s="1"/>
  <c r="P31" i="49" s="1"/>
  <c r="P32" i="49" s="1"/>
  <c r="P33" i="49" s="1"/>
  <c r="P34" i="49" s="1"/>
  <c r="P35" i="49" s="1"/>
  <c r="P36" i="49" s="1"/>
  <c r="P37" i="49" s="1"/>
  <c r="P38" i="49" s="1"/>
  <c r="P39" i="49" s="1"/>
  <c r="P40" i="49" s="1"/>
  <c r="P41" i="49" s="1"/>
  <c r="P42" i="49" s="1"/>
  <c r="P43" i="49" s="1"/>
  <c r="P44" i="49" s="1"/>
  <c r="P45" i="49" s="1"/>
  <c r="P46" i="49" s="1"/>
  <c r="P47" i="49" s="1"/>
  <c r="P48" i="49" s="1"/>
  <c r="P49" i="49" s="1"/>
  <c r="P50" i="49" s="1"/>
  <c r="P51" i="49" s="1"/>
  <c r="P52" i="49" s="1"/>
  <c r="P53" i="49" s="1"/>
  <c r="P54" i="49" s="1"/>
  <c r="P55" i="49" s="1"/>
  <c r="P56" i="49" s="1"/>
  <c r="P57" i="49" s="1"/>
  <c r="P58" i="49" s="1"/>
  <c r="P59" i="49" s="1"/>
  <c r="P60" i="49" s="1"/>
  <c r="P61" i="49" s="1"/>
  <c r="P62" i="49" s="1"/>
  <c r="P63" i="49" s="1"/>
  <c r="P64" i="49" s="1"/>
  <c r="P65" i="49" s="1"/>
  <c r="P66" i="49" s="1"/>
  <c r="P67" i="49" s="1"/>
  <c r="P68" i="49" s="1"/>
  <c r="P69" i="49" s="1"/>
  <c r="P70" i="49" s="1"/>
  <c r="P71" i="49" s="1"/>
  <c r="P72" i="49" s="1"/>
  <c r="P73" i="49" s="1"/>
  <c r="O16" i="49"/>
  <c r="O17" i="49" s="1"/>
  <c r="O18" i="49" s="1"/>
  <c r="O19" i="49" s="1"/>
  <c r="O20" i="49" s="1"/>
  <c r="O21" i="49" s="1"/>
  <c r="O22" i="49" s="1"/>
  <c r="O23" i="49" s="1"/>
  <c r="O24" i="49" s="1"/>
  <c r="O25" i="49" s="1"/>
  <c r="O26" i="49" s="1"/>
  <c r="O27" i="49" s="1"/>
  <c r="O28" i="49" s="1"/>
  <c r="O29" i="49" s="1"/>
  <c r="O30" i="49" s="1"/>
  <c r="O31" i="49" s="1"/>
  <c r="O32" i="49" s="1"/>
  <c r="O33" i="49" s="1"/>
  <c r="O34" i="49" s="1"/>
  <c r="O35" i="49" s="1"/>
  <c r="O36" i="49" s="1"/>
  <c r="O37" i="49" s="1"/>
  <c r="O38" i="49" s="1"/>
  <c r="O39" i="49" s="1"/>
  <c r="O40" i="49" s="1"/>
  <c r="O41" i="49" s="1"/>
  <c r="O42" i="49" s="1"/>
  <c r="O43" i="49" s="1"/>
  <c r="O44" i="49" s="1"/>
  <c r="O45" i="49" s="1"/>
  <c r="O46" i="49" s="1"/>
  <c r="O47" i="49" s="1"/>
  <c r="O48" i="49" s="1"/>
  <c r="O49" i="49" s="1"/>
  <c r="O50" i="49" s="1"/>
  <c r="O51" i="49" s="1"/>
  <c r="O52" i="49" s="1"/>
  <c r="O53" i="49" s="1"/>
  <c r="O54" i="49" s="1"/>
  <c r="O55" i="49" s="1"/>
  <c r="O56" i="49" s="1"/>
  <c r="O57" i="49" s="1"/>
  <c r="O58" i="49" s="1"/>
  <c r="O59" i="49" s="1"/>
  <c r="O60" i="49" s="1"/>
  <c r="O61" i="49" s="1"/>
  <c r="O62" i="49" s="1"/>
  <c r="O63" i="49" s="1"/>
  <c r="O64" i="49" s="1"/>
  <c r="O65" i="49" s="1"/>
  <c r="O66" i="49" s="1"/>
  <c r="O67" i="49" s="1"/>
  <c r="O68" i="49" s="1"/>
  <c r="O69" i="49" s="1"/>
  <c r="O70" i="49" s="1"/>
  <c r="O71" i="49" s="1"/>
  <c r="O72" i="49" s="1"/>
  <c r="O73" i="49" s="1"/>
  <c r="N16" i="49"/>
  <c r="N17" i="49" s="1"/>
  <c r="N18" i="49" s="1"/>
  <c r="N19" i="49" s="1"/>
  <c r="N20" i="49" s="1"/>
  <c r="N21" i="49" s="1"/>
  <c r="N22" i="49" s="1"/>
  <c r="N23" i="49" s="1"/>
  <c r="N24" i="49" s="1"/>
  <c r="N25" i="49" s="1"/>
  <c r="N26" i="49" s="1"/>
  <c r="N27" i="49" s="1"/>
  <c r="N28" i="49" s="1"/>
  <c r="N29" i="49" s="1"/>
  <c r="N30" i="49" s="1"/>
  <c r="N31" i="49" s="1"/>
  <c r="N32" i="49" s="1"/>
  <c r="N33" i="49" s="1"/>
  <c r="N34" i="49" s="1"/>
  <c r="N35" i="49" s="1"/>
  <c r="N36" i="49" s="1"/>
  <c r="N37" i="49" s="1"/>
  <c r="N38" i="49" s="1"/>
  <c r="N39" i="49" s="1"/>
  <c r="N40" i="49" s="1"/>
  <c r="N41" i="49" s="1"/>
  <c r="N42" i="49" s="1"/>
  <c r="N43" i="49" s="1"/>
  <c r="N44" i="49" s="1"/>
  <c r="N45" i="49" s="1"/>
  <c r="N46" i="49" s="1"/>
  <c r="N47" i="49" s="1"/>
  <c r="N48" i="49" s="1"/>
  <c r="N49" i="49" s="1"/>
  <c r="N50" i="49" s="1"/>
  <c r="N51" i="49" s="1"/>
  <c r="N52" i="49" s="1"/>
  <c r="N53" i="49" s="1"/>
  <c r="N54" i="49" s="1"/>
  <c r="N55" i="49" s="1"/>
  <c r="N56" i="49" s="1"/>
  <c r="N57" i="49" s="1"/>
  <c r="N58" i="49" s="1"/>
  <c r="N59" i="49" s="1"/>
  <c r="N60" i="49" s="1"/>
  <c r="N61" i="49" s="1"/>
  <c r="N62" i="49" s="1"/>
  <c r="N63" i="49" s="1"/>
  <c r="N64" i="49" s="1"/>
  <c r="N65" i="49" s="1"/>
  <c r="N66" i="49" s="1"/>
  <c r="N67" i="49" s="1"/>
  <c r="N68" i="49" s="1"/>
  <c r="N69" i="49" s="1"/>
  <c r="N70" i="49" s="1"/>
  <c r="N71" i="49" s="1"/>
  <c r="N72" i="49" s="1"/>
  <c r="N73" i="49" s="1"/>
  <c r="L16" i="49"/>
  <c r="E16" i="49"/>
  <c r="C16" i="49"/>
  <c r="O15" i="49"/>
  <c r="E15" i="49"/>
  <c r="C15" i="49"/>
  <c r="R14" i="49"/>
  <c r="P14" i="49"/>
  <c r="O14" i="49"/>
  <c r="N14" i="49"/>
  <c r="M26" i="49"/>
  <c r="L14" i="49"/>
  <c r="H14" i="49"/>
  <c r="F14" i="49"/>
  <c r="D14" i="49"/>
  <c r="E14" i="49" s="1"/>
  <c r="B14" i="49"/>
  <c r="B15" i="49" s="1"/>
  <c r="B16" i="49" s="1"/>
  <c r="B17" i="49" s="1"/>
  <c r="A14" i="49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R13" i="49"/>
  <c r="P13" i="49"/>
  <c r="O13" i="49"/>
  <c r="N13" i="49"/>
  <c r="M13" i="49"/>
  <c r="L13" i="49"/>
  <c r="H13" i="49"/>
  <c r="F13" i="49"/>
  <c r="D13" i="49"/>
  <c r="C13" i="49" s="1"/>
  <c r="AB9" i="49"/>
  <c r="AA9" i="49"/>
  <c r="W9" i="49"/>
  <c r="T9" i="49"/>
  <c r="T6" i="49" s="1"/>
  <c r="S9" i="49"/>
  <c r="AC8" i="49"/>
  <c r="AB8" i="49"/>
  <c r="AA8" i="49"/>
  <c r="X8" i="49"/>
  <c r="Y8" i="49" s="1"/>
  <c r="P8" i="49"/>
  <c r="Q8" i="49" s="1"/>
  <c r="AC7" i="49"/>
  <c r="AB7" i="49"/>
  <c r="AA7" i="49"/>
  <c r="X7" i="49"/>
  <c r="Y7" i="49" s="1"/>
  <c r="P7" i="49"/>
  <c r="Q7" i="49" s="1"/>
  <c r="AC6" i="49"/>
  <c r="AB6" i="49"/>
  <c r="AA6" i="49"/>
  <c r="X6" i="49"/>
  <c r="Y6" i="49" s="1"/>
  <c r="P6" i="49"/>
  <c r="Q6" i="49" s="1"/>
  <c r="AC5" i="49"/>
  <c r="AB5" i="49"/>
  <c r="AA5" i="49"/>
  <c r="X5" i="49"/>
  <c r="Y5" i="49" s="1"/>
  <c r="P5" i="49"/>
  <c r="Q5" i="49" s="1"/>
  <c r="AC4" i="49"/>
  <c r="AB4" i="49"/>
  <c r="AA4" i="49"/>
  <c r="Y4" i="49"/>
  <c r="X4" i="49"/>
  <c r="P4" i="49"/>
  <c r="Q4" i="49" s="1"/>
  <c r="AC3" i="49"/>
  <c r="AB3" i="49"/>
  <c r="AA3" i="49"/>
  <c r="X3" i="49"/>
  <c r="P3" i="49"/>
  <c r="C3" i="49"/>
  <c r="AA1" i="49"/>
  <c r="C1" i="49"/>
  <c r="G39" i="49" l="1"/>
  <c r="G23" i="49"/>
  <c r="U6" i="49"/>
  <c r="T8" i="49"/>
  <c r="U8" i="49" s="1"/>
  <c r="D17" i="49"/>
  <c r="E17" i="49" s="1"/>
  <c r="T3" i="49"/>
  <c r="T7" i="49"/>
  <c r="U7" i="49" s="1"/>
  <c r="D18" i="49"/>
  <c r="T4" i="49"/>
  <c r="T5" i="49"/>
  <c r="U5" i="49" s="1"/>
  <c r="H14" i="51"/>
  <c r="J14" i="51"/>
  <c r="F14" i="51"/>
  <c r="R18" i="51"/>
  <c r="L19" i="51"/>
  <c r="M74" i="51"/>
  <c r="Q15" i="51"/>
  <c r="S15" i="51"/>
  <c r="B20" i="51"/>
  <c r="W19" i="51"/>
  <c r="S13" i="51"/>
  <c r="Q13" i="51"/>
  <c r="U13" i="51"/>
  <c r="R17" i="51"/>
  <c r="S16" i="51"/>
  <c r="Q16" i="51"/>
  <c r="C17" i="49"/>
  <c r="C14" i="49"/>
  <c r="I14" i="49" s="1"/>
  <c r="Q9" i="49"/>
  <c r="J13" i="49"/>
  <c r="U13" i="49" s="1"/>
  <c r="J14" i="49"/>
  <c r="E13" i="49"/>
  <c r="K14" i="49"/>
  <c r="B18" i="49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W73" i="49" s="1"/>
  <c r="W17" i="49"/>
  <c r="Y9" i="49"/>
  <c r="C28" i="49"/>
  <c r="E28" i="49"/>
  <c r="Q13" i="49"/>
  <c r="S13" i="49"/>
  <c r="U14" i="49"/>
  <c r="Q14" i="49"/>
  <c r="S14" i="49"/>
  <c r="AC9" i="49"/>
  <c r="W69" i="49"/>
  <c r="W61" i="49"/>
  <c r="W68" i="49"/>
  <c r="W60" i="49"/>
  <c r="W58" i="49"/>
  <c r="W67" i="49"/>
  <c r="W70" i="49"/>
  <c r="W54" i="49"/>
  <c r="W49" i="49"/>
  <c r="W45" i="49"/>
  <c r="W52" i="49"/>
  <c r="W44" i="49"/>
  <c r="W57" i="49"/>
  <c r="W47" i="49"/>
  <c r="W43" i="49"/>
  <c r="W39" i="49"/>
  <c r="W31" i="49"/>
  <c r="W28" i="49"/>
  <c r="W53" i="49"/>
  <c r="W42" i="49"/>
  <c r="W38" i="49"/>
  <c r="W34" i="49"/>
  <c r="W50" i="49"/>
  <c r="W41" i="49"/>
  <c r="W37" i="49"/>
  <c r="W29" i="49"/>
  <c r="W36" i="49"/>
  <c r="W27" i="49"/>
  <c r="W25" i="49"/>
  <c r="W15" i="49"/>
  <c r="W20" i="49"/>
  <c r="W40" i="49"/>
  <c r="W24" i="49"/>
  <c r="W32" i="49"/>
  <c r="W26" i="49"/>
  <c r="W19" i="49"/>
  <c r="W23" i="49"/>
  <c r="W14" i="49"/>
  <c r="W30" i="49"/>
  <c r="W22" i="49"/>
  <c r="W21" i="49"/>
  <c r="K13" i="49"/>
  <c r="N74" i="49"/>
  <c r="W16" i="49"/>
  <c r="O74" i="49"/>
  <c r="L17" i="49"/>
  <c r="M25" i="49"/>
  <c r="E27" i="49"/>
  <c r="M27" i="49"/>
  <c r="M34" i="49"/>
  <c r="P74" i="49"/>
  <c r="R16" i="49"/>
  <c r="M18" i="49"/>
  <c r="M19" i="49"/>
  <c r="M20" i="49"/>
  <c r="M21" i="49"/>
  <c r="M22" i="49"/>
  <c r="I13" i="49"/>
  <c r="M71" i="49"/>
  <c r="M67" i="49"/>
  <c r="M63" i="49"/>
  <c r="M70" i="49"/>
  <c r="M66" i="49"/>
  <c r="M62" i="49"/>
  <c r="M69" i="49"/>
  <c r="M61" i="49"/>
  <c r="M54" i="49"/>
  <c r="M68" i="49"/>
  <c r="M60" i="49"/>
  <c r="M59" i="49"/>
  <c r="M57" i="49"/>
  <c r="M73" i="49"/>
  <c r="M65" i="49"/>
  <c r="M58" i="49"/>
  <c r="M56" i="49"/>
  <c r="M72" i="49"/>
  <c r="M55" i="49"/>
  <c r="M53" i="49"/>
  <c r="M51" i="49"/>
  <c r="M47" i="49"/>
  <c r="M43" i="49"/>
  <c r="M50" i="49"/>
  <c r="M46" i="49"/>
  <c r="M49" i="49"/>
  <c r="M45" i="49"/>
  <c r="M48" i="49"/>
  <c r="M41" i="49"/>
  <c r="M37" i="49"/>
  <c r="M33" i="49"/>
  <c r="M29" i="49"/>
  <c r="M64" i="49"/>
  <c r="M52" i="49"/>
  <c r="M40" i="49"/>
  <c r="M36" i="49"/>
  <c r="M32" i="49"/>
  <c r="M42" i="49"/>
  <c r="M39" i="49"/>
  <c r="M35" i="49"/>
  <c r="M31" i="49"/>
  <c r="M28" i="49"/>
  <c r="R15" i="49"/>
  <c r="M23" i="49"/>
  <c r="C27" i="49"/>
  <c r="M30" i="49"/>
  <c r="E18" i="49" l="1"/>
  <c r="C18" i="49"/>
  <c r="C7" i="49" s="1"/>
  <c r="D74" i="49"/>
  <c r="D7" i="49"/>
  <c r="G68" i="49"/>
  <c r="U4" i="49"/>
  <c r="U9" i="49" s="1"/>
  <c r="G43" i="49"/>
  <c r="T13" i="51"/>
  <c r="B21" i="51"/>
  <c r="W20" i="51"/>
  <c r="K14" i="51"/>
  <c r="V13" i="51"/>
  <c r="L20" i="51"/>
  <c r="R19" i="51"/>
  <c r="I14" i="51"/>
  <c r="Y13" i="51"/>
  <c r="S17" i="51"/>
  <c r="Q17" i="51"/>
  <c r="Q18" i="51"/>
  <c r="S18" i="51"/>
  <c r="U14" i="51"/>
  <c r="Y14" i="51" s="1"/>
  <c r="M74" i="49"/>
  <c r="E74" i="49"/>
  <c r="C74" i="49"/>
  <c r="E7" i="49"/>
  <c r="V14" i="49"/>
  <c r="T14" i="49"/>
  <c r="X14" i="49" s="1"/>
  <c r="G73" i="49"/>
  <c r="G69" i="49"/>
  <c r="G65" i="49"/>
  <c r="G61" i="49"/>
  <c r="G72" i="49"/>
  <c r="G64" i="49"/>
  <c r="G66" i="49"/>
  <c r="G58" i="49"/>
  <c r="G67" i="49"/>
  <c r="G70" i="49"/>
  <c r="G62" i="49"/>
  <c r="G60" i="49"/>
  <c r="G63" i="49"/>
  <c r="G59" i="49"/>
  <c r="G49" i="49"/>
  <c r="G45" i="49"/>
  <c r="G71" i="49"/>
  <c r="G52" i="49"/>
  <c r="G48" i="49"/>
  <c r="G44" i="49"/>
  <c r="G51" i="49"/>
  <c r="G47" i="49"/>
  <c r="G35" i="49"/>
  <c r="G31" i="49"/>
  <c r="G46" i="49"/>
  <c r="G38" i="49"/>
  <c r="G34" i="49"/>
  <c r="G50" i="49"/>
  <c r="G42" i="49"/>
  <c r="G41" i="49"/>
  <c r="G37" i="49"/>
  <c r="G33" i="49"/>
  <c r="G29" i="49"/>
  <c r="G53" i="49"/>
  <c r="G36" i="49"/>
  <c r="G27" i="49"/>
  <c r="G25" i="49"/>
  <c r="G21" i="49"/>
  <c r="G40" i="49"/>
  <c r="G28" i="49"/>
  <c r="G24" i="49"/>
  <c r="G15" i="49"/>
  <c r="G22" i="49"/>
  <c r="G20" i="49"/>
  <c r="G32" i="49"/>
  <c r="G30" i="49"/>
  <c r="G26" i="49"/>
  <c r="G19" i="49"/>
  <c r="G16" i="49"/>
  <c r="G18" i="49"/>
  <c r="G17" i="49"/>
  <c r="Y13" i="49"/>
  <c r="R17" i="49"/>
  <c r="L18" i="49"/>
  <c r="W63" i="49"/>
  <c r="W62" i="49"/>
  <c r="W56" i="49"/>
  <c r="W64" i="49"/>
  <c r="W65" i="49"/>
  <c r="Q16" i="49"/>
  <c r="S16" i="49"/>
  <c r="Y14" i="49"/>
  <c r="Z14" i="49"/>
  <c r="V13" i="49"/>
  <c r="S15" i="49"/>
  <c r="Q15" i="49"/>
  <c r="W33" i="49"/>
  <c r="W71" i="49"/>
  <c r="W46" i="49"/>
  <c r="W35" i="49"/>
  <c r="W51" i="49"/>
  <c r="W48" i="49"/>
  <c r="W59" i="49"/>
  <c r="W55" i="49"/>
  <c r="W66" i="49"/>
  <c r="W72" i="49"/>
  <c r="T13" i="49"/>
  <c r="W18" i="49"/>
  <c r="T14" i="51" l="1"/>
  <c r="X14" i="51" s="1"/>
  <c r="R20" i="51"/>
  <c r="L21" i="51"/>
  <c r="X13" i="51"/>
  <c r="Q19" i="51"/>
  <c r="S19" i="51"/>
  <c r="B22" i="51"/>
  <c r="W21" i="51"/>
  <c r="Z13" i="51"/>
  <c r="V14" i="51"/>
  <c r="Z14" i="51" s="1"/>
  <c r="G74" i="49"/>
  <c r="H15" i="49"/>
  <c r="G8" i="49"/>
  <c r="J15" i="49"/>
  <c r="F15" i="49"/>
  <c r="J53" i="49"/>
  <c r="F53" i="49"/>
  <c r="I53" i="49" s="1"/>
  <c r="H53" i="49"/>
  <c r="K53" i="49" s="1"/>
  <c r="H38" i="49"/>
  <c r="K38" i="49" s="1"/>
  <c r="J38" i="49"/>
  <c r="F38" i="49"/>
  <c r="I38" i="49" s="1"/>
  <c r="H71" i="49"/>
  <c r="K71" i="49" s="1"/>
  <c r="F71" i="49"/>
  <c r="I71" i="49" s="1"/>
  <c r="J71" i="49"/>
  <c r="H63" i="49"/>
  <c r="K63" i="49" s="1"/>
  <c r="F63" i="49"/>
  <c r="I63" i="49" s="1"/>
  <c r="J63" i="49"/>
  <c r="H72" i="49"/>
  <c r="K72" i="49" s="1"/>
  <c r="J72" i="49"/>
  <c r="F72" i="49"/>
  <c r="I72" i="49" s="1"/>
  <c r="V16" i="49"/>
  <c r="Z16" i="49" s="1"/>
  <c r="J19" i="49"/>
  <c r="F19" i="49"/>
  <c r="I19" i="49" s="1"/>
  <c r="H19" i="49"/>
  <c r="K19" i="49" s="1"/>
  <c r="J23" i="49"/>
  <c r="H23" i="49"/>
  <c r="K23" i="49" s="1"/>
  <c r="F23" i="49"/>
  <c r="I23" i="49" s="1"/>
  <c r="H24" i="49"/>
  <c r="K24" i="49" s="1"/>
  <c r="J24" i="49"/>
  <c r="F24" i="49"/>
  <c r="I24" i="49" s="1"/>
  <c r="H25" i="49"/>
  <c r="K25" i="49" s="1"/>
  <c r="J25" i="49"/>
  <c r="F25" i="49"/>
  <c r="I25" i="49" s="1"/>
  <c r="H29" i="49"/>
  <c r="K29" i="49" s="1"/>
  <c r="J29" i="49"/>
  <c r="F29" i="49"/>
  <c r="I29" i="49" s="1"/>
  <c r="J42" i="49"/>
  <c r="F42" i="49"/>
  <c r="I42" i="49" s="1"/>
  <c r="H42" i="49"/>
  <c r="K42" i="49" s="1"/>
  <c r="J46" i="49"/>
  <c r="F46" i="49"/>
  <c r="I46" i="49" s="1"/>
  <c r="H46" i="49"/>
  <c r="K46" i="49" s="1"/>
  <c r="F43" i="49"/>
  <c r="I43" i="49" s="1"/>
  <c r="J43" i="49"/>
  <c r="H43" i="49"/>
  <c r="K43" i="49" s="1"/>
  <c r="H44" i="49"/>
  <c r="K44" i="49" s="1"/>
  <c r="J44" i="49"/>
  <c r="F44" i="49"/>
  <c r="I44" i="49" s="1"/>
  <c r="J45" i="49"/>
  <c r="F45" i="49"/>
  <c r="I45" i="49" s="1"/>
  <c r="H45" i="49"/>
  <c r="K45" i="49" s="1"/>
  <c r="J54" i="49"/>
  <c r="H54" i="49"/>
  <c r="K54" i="49" s="1"/>
  <c r="F54" i="49"/>
  <c r="I54" i="49" s="1"/>
  <c r="H55" i="49"/>
  <c r="K55" i="49" s="1"/>
  <c r="J55" i="49"/>
  <c r="F55" i="49"/>
  <c r="I55" i="49" s="1"/>
  <c r="J66" i="49"/>
  <c r="F66" i="49"/>
  <c r="I66" i="49" s="1"/>
  <c r="H66" i="49"/>
  <c r="K66" i="49" s="1"/>
  <c r="J61" i="49"/>
  <c r="F61" i="49"/>
  <c r="I61" i="49" s="1"/>
  <c r="H61" i="49"/>
  <c r="K61" i="49" s="1"/>
  <c r="J16" i="49"/>
  <c r="U16" i="49" s="1"/>
  <c r="Y16" i="49" s="1"/>
  <c r="F16" i="49"/>
  <c r="I16" i="49" s="1"/>
  <c r="H16" i="49"/>
  <c r="K16" i="49" s="1"/>
  <c r="J21" i="49"/>
  <c r="F21" i="49"/>
  <c r="I21" i="49" s="1"/>
  <c r="H21" i="49"/>
  <c r="K21" i="49" s="1"/>
  <c r="H41" i="49"/>
  <c r="K41" i="49" s="1"/>
  <c r="J41" i="49"/>
  <c r="F41" i="49"/>
  <c r="I41" i="49" s="1"/>
  <c r="J57" i="49"/>
  <c r="F57" i="49"/>
  <c r="I57" i="49" s="1"/>
  <c r="H57" i="49"/>
  <c r="K57" i="49" s="1"/>
  <c r="J58" i="49"/>
  <c r="F58" i="49"/>
  <c r="I58" i="49" s="1"/>
  <c r="H58" i="49"/>
  <c r="K58" i="49" s="1"/>
  <c r="Z13" i="49"/>
  <c r="T16" i="49"/>
  <c r="X16" i="49" s="1"/>
  <c r="R18" i="49"/>
  <c r="L19" i="49"/>
  <c r="J17" i="49"/>
  <c r="U17" i="49" s="1"/>
  <c r="Y17" i="49" s="1"/>
  <c r="F17" i="49"/>
  <c r="I17" i="49" s="1"/>
  <c r="H17" i="49"/>
  <c r="K17" i="49" s="1"/>
  <c r="J26" i="49"/>
  <c r="F26" i="49"/>
  <c r="I26" i="49" s="1"/>
  <c r="H26" i="49"/>
  <c r="K26" i="49" s="1"/>
  <c r="J20" i="49"/>
  <c r="F20" i="49"/>
  <c r="I20" i="49" s="1"/>
  <c r="H20" i="49"/>
  <c r="K20" i="49" s="1"/>
  <c r="H28" i="49"/>
  <c r="K28" i="49" s="1"/>
  <c r="F28" i="49"/>
  <c r="I28" i="49" s="1"/>
  <c r="J28" i="49"/>
  <c r="J27" i="49"/>
  <c r="F27" i="49"/>
  <c r="I27" i="49" s="1"/>
  <c r="H27" i="49"/>
  <c r="K27" i="49" s="1"/>
  <c r="H33" i="49"/>
  <c r="K33" i="49" s="1"/>
  <c r="J33" i="49"/>
  <c r="F33" i="49"/>
  <c r="I33" i="49" s="1"/>
  <c r="J50" i="49"/>
  <c r="F50" i="49"/>
  <c r="I50" i="49" s="1"/>
  <c r="H50" i="49"/>
  <c r="K50" i="49" s="1"/>
  <c r="J31" i="49"/>
  <c r="H31" i="49"/>
  <c r="K31" i="49" s="1"/>
  <c r="F31" i="49"/>
  <c r="I31" i="49" s="1"/>
  <c r="H47" i="49"/>
  <c r="K47" i="49" s="1"/>
  <c r="J47" i="49"/>
  <c r="F47" i="49"/>
  <c r="I47" i="49" s="1"/>
  <c r="H48" i="49"/>
  <c r="K48" i="49" s="1"/>
  <c r="J48" i="49"/>
  <c r="F48" i="49"/>
  <c r="I48" i="49" s="1"/>
  <c r="J49" i="49"/>
  <c r="F49" i="49"/>
  <c r="I49" i="49" s="1"/>
  <c r="H49" i="49"/>
  <c r="K49" i="49" s="1"/>
  <c r="H60" i="49"/>
  <c r="K60" i="49" s="1"/>
  <c r="F60" i="49"/>
  <c r="I60" i="49" s="1"/>
  <c r="J60" i="49"/>
  <c r="H67" i="49"/>
  <c r="K67" i="49" s="1"/>
  <c r="J67" i="49"/>
  <c r="F67" i="49"/>
  <c r="I67" i="49" s="1"/>
  <c r="H64" i="49"/>
  <c r="K64" i="49" s="1"/>
  <c r="J64" i="49"/>
  <c r="F64" i="49"/>
  <c r="I64" i="49" s="1"/>
  <c r="J65" i="49"/>
  <c r="F65" i="49"/>
  <c r="I65" i="49" s="1"/>
  <c r="H65" i="49"/>
  <c r="K65" i="49" s="1"/>
  <c r="J32" i="49"/>
  <c r="F32" i="49"/>
  <c r="I32" i="49" s="1"/>
  <c r="H32" i="49"/>
  <c r="K32" i="49" s="1"/>
  <c r="J39" i="49"/>
  <c r="F39" i="49"/>
  <c r="I39" i="49" s="1"/>
  <c r="H39" i="49"/>
  <c r="K39" i="49" s="1"/>
  <c r="J70" i="49"/>
  <c r="F70" i="49"/>
  <c r="I70" i="49" s="1"/>
  <c r="H70" i="49"/>
  <c r="K70" i="49" s="1"/>
  <c r="J73" i="49"/>
  <c r="F73" i="49"/>
  <c r="I73" i="49" s="1"/>
  <c r="H73" i="49"/>
  <c r="K73" i="49" s="1"/>
  <c r="X13" i="49"/>
  <c r="Q17" i="49"/>
  <c r="S17" i="49"/>
  <c r="J18" i="49"/>
  <c r="F18" i="49"/>
  <c r="I18" i="49" s="1"/>
  <c r="H18" i="49"/>
  <c r="K18" i="49" s="1"/>
  <c r="H30" i="49"/>
  <c r="K30" i="49" s="1"/>
  <c r="J30" i="49"/>
  <c r="F30" i="49"/>
  <c r="I30" i="49" s="1"/>
  <c r="J22" i="49"/>
  <c r="F22" i="49"/>
  <c r="I22" i="49" s="1"/>
  <c r="H22" i="49"/>
  <c r="K22" i="49" s="1"/>
  <c r="J40" i="49"/>
  <c r="F40" i="49"/>
  <c r="I40" i="49" s="1"/>
  <c r="H40" i="49"/>
  <c r="K40" i="49" s="1"/>
  <c r="J36" i="49"/>
  <c r="F36" i="49"/>
  <c r="I36" i="49" s="1"/>
  <c r="H36" i="49"/>
  <c r="K36" i="49" s="1"/>
  <c r="H37" i="49"/>
  <c r="K37" i="49" s="1"/>
  <c r="F37" i="49"/>
  <c r="I37" i="49" s="1"/>
  <c r="J37" i="49"/>
  <c r="H34" i="49"/>
  <c r="K34" i="49" s="1"/>
  <c r="J34" i="49"/>
  <c r="F34" i="49"/>
  <c r="I34" i="49" s="1"/>
  <c r="J35" i="49"/>
  <c r="F35" i="49"/>
  <c r="I35" i="49" s="1"/>
  <c r="H35" i="49"/>
  <c r="K35" i="49" s="1"/>
  <c r="H51" i="49"/>
  <c r="K51" i="49" s="1"/>
  <c r="J51" i="49"/>
  <c r="F51" i="49"/>
  <c r="I51" i="49" s="1"/>
  <c r="H52" i="49"/>
  <c r="K52" i="49" s="1"/>
  <c r="J52" i="49"/>
  <c r="F52" i="49"/>
  <c r="I52" i="49" s="1"/>
  <c r="J59" i="49"/>
  <c r="F59" i="49"/>
  <c r="I59" i="49" s="1"/>
  <c r="H59" i="49"/>
  <c r="K59" i="49" s="1"/>
  <c r="J62" i="49"/>
  <c r="F62" i="49"/>
  <c r="I62" i="49" s="1"/>
  <c r="H62" i="49"/>
  <c r="K62" i="49" s="1"/>
  <c r="J56" i="49"/>
  <c r="F56" i="49"/>
  <c r="I56" i="49" s="1"/>
  <c r="H56" i="49"/>
  <c r="K56" i="49" s="1"/>
  <c r="H68" i="49"/>
  <c r="K68" i="49" s="1"/>
  <c r="F68" i="49"/>
  <c r="I68" i="49" s="1"/>
  <c r="J68" i="49"/>
  <c r="J69" i="49"/>
  <c r="F69" i="49"/>
  <c r="I69" i="49" s="1"/>
  <c r="H69" i="49"/>
  <c r="K69" i="49" s="1"/>
  <c r="V17" i="49" l="1"/>
  <c r="Z17" i="49" s="1"/>
  <c r="R21" i="51"/>
  <c r="L22" i="51"/>
  <c r="S20" i="51"/>
  <c r="Q20" i="51"/>
  <c r="B23" i="51"/>
  <c r="W22" i="51"/>
  <c r="H8" i="49"/>
  <c r="K15" i="49"/>
  <c r="H74" i="49"/>
  <c r="R19" i="49"/>
  <c r="L20" i="49"/>
  <c r="F8" i="49"/>
  <c r="I15" i="49"/>
  <c r="F74" i="49"/>
  <c r="T17" i="49"/>
  <c r="X17" i="49" s="1"/>
  <c r="U18" i="49"/>
  <c r="Y18" i="49" s="1"/>
  <c r="Q18" i="49"/>
  <c r="T18" i="49" s="1"/>
  <c r="X18" i="49" s="1"/>
  <c r="S18" i="49"/>
  <c r="J74" i="49"/>
  <c r="J6" i="49"/>
  <c r="U15" i="49"/>
  <c r="B24" i="51" l="1"/>
  <c r="W23" i="51"/>
  <c r="R22" i="51"/>
  <c r="L23" i="51"/>
  <c r="S21" i="51"/>
  <c r="Q21" i="51"/>
  <c r="Y15" i="49"/>
  <c r="V18" i="49"/>
  <c r="Z18" i="49" s="1"/>
  <c r="K6" i="49"/>
  <c r="K74" i="49"/>
  <c r="V15" i="49"/>
  <c r="U19" i="49"/>
  <c r="Y19" i="49" s="1"/>
  <c r="Q19" i="49"/>
  <c r="S19" i="49"/>
  <c r="V19" i="49" s="1"/>
  <c r="Z19" i="49" s="1"/>
  <c r="I6" i="49"/>
  <c r="I74" i="49"/>
  <c r="T15" i="49"/>
  <c r="R20" i="49"/>
  <c r="L21" i="49"/>
  <c r="L24" i="51" l="1"/>
  <c r="R23" i="51"/>
  <c r="Q22" i="51"/>
  <c r="S22" i="51"/>
  <c r="B25" i="51"/>
  <c r="W24" i="51"/>
  <c r="R21" i="49"/>
  <c r="L22" i="49"/>
  <c r="U20" i="49"/>
  <c r="Y20" i="49" s="1"/>
  <c r="Q20" i="49"/>
  <c r="T20" i="49" s="1"/>
  <c r="X20" i="49" s="1"/>
  <c r="S20" i="49"/>
  <c r="V20" i="49" s="1"/>
  <c r="Z20" i="49" s="1"/>
  <c r="Z15" i="49"/>
  <c r="X15" i="49"/>
  <c r="T19" i="49"/>
  <c r="X19" i="49" s="1"/>
  <c r="B26" i="51" l="1"/>
  <c r="W25" i="51"/>
  <c r="Q23" i="51"/>
  <c r="S23" i="51"/>
  <c r="R24" i="51"/>
  <c r="L25" i="51"/>
  <c r="U21" i="49"/>
  <c r="Q21" i="49"/>
  <c r="S21" i="49"/>
  <c r="R22" i="49"/>
  <c r="L23" i="49"/>
  <c r="S24" i="51" l="1"/>
  <c r="Q24" i="51"/>
  <c r="R25" i="51"/>
  <c r="L26" i="51"/>
  <c r="B27" i="51"/>
  <c r="W26" i="51"/>
  <c r="U22" i="49"/>
  <c r="Y22" i="49" s="1"/>
  <c r="Q22" i="49"/>
  <c r="T22" i="49" s="1"/>
  <c r="X22" i="49" s="1"/>
  <c r="S22" i="49"/>
  <c r="V22" i="49" s="1"/>
  <c r="Z22" i="49" s="1"/>
  <c r="V21" i="49"/>
  <c r="T21" i="49"/>
  <c r="Y21" i="49"/>
  <c r="L24" i="49"/>
  <c r="R23" i="49"/>
  <c r="R26" i="51" l="1"/>
  <c r="L27" i="51"/>
  <c r="S25" i="51"/>
  <c r="Q25" i="51"/>
  <c r="B28" i="51"/>
  <c r="W27" i="51"/>
  <c r="Z21" i="49"/>
  <c r="U23" i="49"/>
  <c r="Q23" i="49"/>
  <c r="T23" i="49" s="1"/>
  <c r="X23" i="49" s="1"/>
  <c r="S23" i="49"/>
  <c r="V23" i="49" s="1"/>
  <c r="Z23" i="49" s="1"/>
  <c r="L25" i="49"/>
  <c r="R24" i="49"/>
  <c r="X21" i="49"/>
  <c r="B29" i="51" l="1"/>
  <c r="W28" i="51"/>
  <c r="L28" i="51"/>
  <c r="R27" i="51"/>
  <c r="Q26" i="51"/>
  <c r="S26" i="51"/>
  <c r="R25" i="49"/>
  <c r="L26" i="49"/>
  <c r="Y23" i="49"/>
  <c r="U24" i="49"/>
  <c r="Y24" i="49" s="1"/>
  <c r="S24" i="49"/>
  <c r="V24" i="49" s="1"/>
  <c r="Z24" i="49" s="1"/>
  <c r="Q24" i="49"/>
  <c r="T24" i="49" s="1"/>
  <c r="X24" i="49" s="1"/>
  <c r="Q27" i="51" l="1"/>
  <c r="S27" i="51"/>
  <c r="R28" i="51"/>
  <c r="L29" i="51"/>
  <c r="B30" i="51"/>
  <c r="W29" i="51"/>
  <c r="R26" i="49"/>
  <c r="L27" i="49"/>
  <c r="S25" i="49"/>
  <c r="V25" i="49" s="1"/>
  <c r="Z25" i="49" s="1"/>
  <c r="U25" i="49"/>
  <c r="Y25" i="49" s="1"/>
  <c r="Q25" i="49"/>
  <c r="T25" i="49" s="1"/>
  <c r="X25" i="49" s="1"/>
  <c r="S28" i="51" l="1"/>
  <c r="Q28" i="51"/>
  <c r="B31" i="51"/>
  <c r="W30" i="51"/>
  <c r="R29" i="51"/>
  <c r="L30" i="51"/>
  <c r="L28" i="49"/>
  <c r="R27" i="49"/>
  <c r="U26" i="49"/>
  <c r="Y26" i="49" s="1"/>
  <c r="Q26" i="49"/>
  <c r="T26" i="49" s="1"/>
  <c r="X26" i="49" s="1"/>
  <c r="S26" i="49"/>
  <c r="V26" i="49" s="1"/>
  <c r="Z26" i="49" s="1"/>
  <c r="B32" i="51" l="1"/>
  <c r="W31" i="51"/>
  <c r="R30" i="51"/>
  <c r="L31" i="51"/>
  <c r="S29" i="51"/>
  <c r="Q29" i="51"/>
  <c r="S27" i="49"/>
  <c r="V27" i="49" s="1"/>
  <c r="Z27" i="49" s="1"/>
  <c r="U27" i="49"/>
  <c r="Y27" i="49" s="1"/>
  <c r="Q27" i="49"/>
  <c r="T27" i="49" s="1"/>
  <c r="X27" i="49" s="1"/>
  <c r="R28" i="49"/>
  <c r="L29" i="49"/>
  <c r="L32" i="51" l="1"/>
  <c r="R31" i="51"/>
  <c r="B33" i="51"/>
  <c r="W32" i="51"/>
  <c r="Q30" i="51"/>
  <c r="S30" i="51"/>
  <c r="S28" i="49"/>
  <c r="V28" i="49" s="1"/>
  <c r="Z28" i="49" s="1"/>
  <c r="U28" i="49"/>
  <c r="Y28" i="49" s="1"/>
  <c r="Q28" i="49"/>
  <c r="T28" i="49" s="1"/>
  <c r="X28" i="49" s="1"/>
  <c r="L30" i="49"/>
  <c r="R29" i="49"/>
  <c r="B34" i="51" l="1"/>
  <c r="W33" i="51"/>
  <c r="Q31" i="51"/>
  <c r="S31" i="51"/>
  <c r="R32" i="51"/>
  <c r="L33" i="51"/>
  <c r="R30" i="49"/>
  <c r="L31" i="49"/>
  <c r="U29" i="49"/>
  <c r="Y29" i="49" s="1"/>
  <c r="Q29" i="49"/>
  <c r="T29" i="49" s="1"/>
  <c r="X29" i="49" s="1"/>
  <c r="S29" i="49"/>
  <c r="V29" i="49" s="1"/>
  <c r="Z29" i="49" s="1"/>
  <c r="B35" i="51" l="1"/>
  <c r="W34" i="51"/>
  <c r="R33" i="51"/>
  <c r="L34" i="51"/>
  <c r="S32" i="51"/>
  <c r="Q32" i="51"/>
  <c r="U30" i="49"/>
  <c r="Y30" i="49" s="1"/>
  <c r="S30" i="49"/>
  <c r="V30" i="49" s="1"/>
  <c r="Z30" i="49" s="1"/>
  <c r="Q30" i="49"/>
  <c r="T30" i="49" s="1"/>
  <c r="X30" i="49" s="1"/>
  <c r="R31" i="49"/>
  <c r="L32" i="49"/>
  <c r="S33" i="51" l="1"/>
  <c r="Q33" i="51"/>
  <c r="R34" i="51"/>
  <c r="L35" i="51"/>
  <c r="B36" i="51"/>
  <c r="W35" i="51"/>
  <c r="R32" i="49"/>
  <c r="L33" i="49"/>
  <c r="S31" i="49"/>
  <c r="V31" i="49" s="1"/>
  <c r="Z31" i="49" s="1"/>
  <c r="U31" i="49"/>
  <c r="Y31" i="49" s="1"/>
  <c r="Q31" i="49"/>
  <c r="T31" i="49" s="1"/>
  <c r="X31" i="49" s="1"/>
  <c r="Q34" i="51" l="1"/>
  <c r="S34" i="51"/>
  <c r="B37" i="51"/>
  <c r="W36" i="51"/>
  <c r="L36" i="51"/>
  <c r="R35" i="51"/>
  <c r="L34" i="49"/>
  <c r="R33" i="49"/>
  <c r="U32" i="49"/>
  <c r="Y32" i="49" s="1"/>
  <c r="Q32" i="49"/>
  <c r="T32" i="49" s="1"/>
  <c r="X32" i="49" s="1"/>
  <c r="S32" i="49"/>
  <c r="V32" i="49" s="1"/>
  <c r="Z32" i="49" s="1"/>
  <c r="B38" i="51" l="1"/>
  <c r="W37" i="51"/>
  <c r="Q35" i="51"/>
  <c r="S35" i="51"/>
  <c r="R36" i="51"/>
  <c r="L37" i="51"/>
  <c r="U33" i="49"/>
  <c r="Y33" i="49" s="1"/>
  <c r="Q33" i="49"/>
  <c r="T33" i="49" s="1"/>
  <c r="X33" i="49" s="1"/>
  <c r="S33" i="49"/>
  <c r="V33" i="49" s="1"/>
  <c r="Z33" i="49" s="1"/>
  <c r="R34" i="49"/>
  <c r="L35" i="49"/>
  <c r="B39" i="51" l="1"/>
  <c r="W38" i="51"/>
  <c r="R37" i="51"/>
  <c r="L38" i="51"/>
  <c r="S36" i="51"/>
  <c r="Q36" i="51"/>
  <c r="S34" i="49"/>
  <c r="V34" i="49" s="1"/>
  <c r="Z34" i="49" s="1"/>
  <c r="U34" i="49"/>
  <c r="Y34" i="49" s="1"/>
  <c r="Q34" i="49"/>
  <c r="T34" i="49" s="1"/>
  <c r="X34" i="49" s="1"/>
  <c r="R35" i="49"/>
  <c r="L36" i="49"/>
  <c r="R38" i="51" l="1"/>
  <c r="L39" i="51"/>
  <c r="S37" i="51"/>
  <c r="Q37" i="51"/>
  <c r="B40" i="51"/>
  <c r="W39" i="51"/>
  <c r="S35" i="49"/>
  <c r="V35" i="49" s="1"/>
  <c r="Z35" i="49" s="1"/>
  <c r="U35" i="49"/>
  <c r="Y35" i="49" s="1"/>
  <c r="Q35" i="49"/>
  <c r="T35" i="49" s="1"/>
  <c r="X35" i="49" s="1"/>
  <c r="R36" i="49"/>
  <c r="L37" i="49"/>
  <c r="B41" i="51" l="1"/>
  <c r="W40" i="51"/>
  <c r="L40" i="51"/>
  <c r="R39" i="51"/>
  <c r="Q38" i="51"/>
  <c r="S38" i="51"/>
  <c r="U36" i="49"/>
  <c r="Y36" i="49" s="1"/>
  <c r="Q36" i="49"/>
  <c r="T36" i="49" s="1"/>
  <c r="X36" i="49" s="1"/>
  <c r="S36" i="49"/>
  <c r="V36" i="49" s="1"/>
  <c r="Z36" i="49" s="1"/>
  <c r="L38" i="49"/>
  <c r="R37" i="49"/>
  <c r="Q39" i="51" l="1"/>
  <c r="S39" i="51"/>
  <c r="L41" i="51"/>
  <c r="R40" i="51"/>
  <c r="B42" i="51"/>
  <c r="W41" i="51"/>
  <c r="R38" i="49"/>
  <c r="L39" i="49"/>
  <c r="U37" i="49"/>
  <c r="Y37" i="49" s="1"/>
  <c r="Q37" i="49"/>
  <c r="T37" i="49" s="1"/>
  <c r="X37" i="49" s="1"/>
  <c r="S37" i="49"/>
  <c r="V37" i="49" s="1"/>
  <c r="Z37" i="49" s="1"/>
  <c r="S40" i="51" l="1"/>
  <c r="Q40" i="51"/>
  <c r="L42" i="51"/>
  <c r="R41" i="51"/>
  <c r="B43" i="51"/>
  <c r="W42" i="51"/>
  <c r="R39" i="49"/>
  <c r="L40" i="49"/>
  <c r="S38" i="49"/>
  <c r="V38" i="49" s="1"/>
  <c r="Z38" i="49" s="1"/>
  <c r="U38" i="49"/>
  <c r="Y38" i="49" s="1"/>
  <c r="Q38" i="49"/>
  <c r="T38" i="49" s="1"/>
  <c r="X38" i="49" s="1"/>
  <c r="R42" i="51" l="1"/>
  <c r="L43" i="51"/>
  <c r="B44" i="51"/>
  <c r="W43" i="51"/>
  <c r="Q41" i="51"/>
  <c r="S41" i="51"/>
  <c r="R40" i="49"/>
  <c r="L41" i="49"/>
  <c r="S39" i="49"/>
  <c r="V39" i="49" s="1"/>
  <c r="Z39" i="49" s="1"/>
  <c r="U39" i="49"/>
  <c r="Y39" i="49" s="1"/>
  <c r="Q39" i="49"/>
  <c r="T39" i="49" s="1"/>
  <c r="X39" i="49" s="1"/>
  <c r="B45" i="51" l="1"/>
  <c r="W44" i="51"/>
  <c r="S42" i="51"/>
  <c r="Q42" i="51"/>
  <c r="R43" i="51"/>
  <c r="L44" i="51"/>
  <c r="L42" i="49"/>
  <c r="R41" i="49"/>
  <c r="U40" i="49"/>
  <c r="Y40" i="49" s="1"/>
  <c r="Q40" i="49"/>
  <c r="T40" i="49" s="1"/>
  <c r="X40" i="49" s="1"/>
  <c r="S40" i="49"/>
  <c r="V40" i="49" s="1"/>
  <c r="Z40" i="49" s="1"/>
  <c r="L45" i="51" l="1"/>
  <c r="R44" i="51"/>
  <c r="S43" i="51"/>
  <c r="Q43" i="51"/>
  <c r="B46" i="51"/>
  <c r="W45" i="51"/>
  <c r="U41" i="49"/>
  <c r="Y41" i="49" s="1"/>
  <c r="Q41" i="49"/>
  <c r="T41" i="49" s="1"/>
  <c r="X41" i="49" s="1"/>
  <c r="S41" i="49"/>
  <c r="V41" i="49" s="1"/>
  <c r="Z41" i="49" s="1"/>
  <c r="R42" i="49"/>
  <c r="L43" i="49"/>
  <c r="L46" i="51" l="1"/>
  <c r="R45" i="51"/>
  <c r="B47" i="51"/>
  <c r="W46" i="51"/>
  <c r="Q44" i="51"/>
  <c r="S44" i="51"/>
  <c r="Q42" i="49"/>
  <c r="T42" i="49" s="1"/>
  <c r="X42" i="49" s="1"/>
  <c r="U42" i="49"/>
  <c r="Y42" i="49" s="1"/>
  <c r="S42" i="49"/>
  <c r="V42" i="49" s="1"/>
  <c r="Z42" i="49" s="1"/>
  <c r="L44" i="49"/>
  <c r="R43" i="49"/>
  <c r="S45" i="51" l="1"/>
  <c r="Q45" i="51"/>
  <c r="B48" i="51"/>
  <c r="W47" i="51"/>
  <c r="R46" i="51"/>
  <c r="L47" i="51"/>
  <c r="U43" i="49"/>
  <c r="Y43" i="49" s="1"/>
  <c r="Q43" i="49"/>
  <c r="T43" i="49" s="1"/>
  <c r="X43" i="49" s="1"/>
  <c r="S43" i="49"/>
  <c r="V43" i="49" s="1"/>
  <c r="Z43" i="49" s="1"/>
  <c r="R44" i="49"/>
  <c r="L45" i="49"/>
  <c r="S46" i="51" l="1"/>
  <c r="Q46" i="51"/>
  <c r="B49" i="51"/>
  <c r="W48" i="51"/>
  <c r="R47" i="51"/>
  <c r="L48" i="51"/>
  <c r="S44" i="49"/>
  <c r="V44" i="49" s="1"/>
  <c r="Z44" i="49" s="1"/>
  <c r="U44" i="49"/>
  <c r="Y44" i="49" s="1"/>
  <c r="Q44" i="49"/>
  <c r="T44" i="49" s="1"/>
  <c r="X44" i="49" s="1"/>
  <c r="R45" i="49"/>
  <c r="L46" i="49"/>
  <c r="B50" i="51" l="1"/>
  <c r="W49" i="51"/>
  <c r="L49" i="51"/>
  <c r="R48" i="51"/>
  <c r="Q47" i="51"/>
  <c r="S47" i="51"/>
  <c r="R46" i="49"/>
  <c r="L47" i="49"/>
  <c r="S45" i="49"/>
  <c r="V45" i="49" s="1"/>
  <c r="Z45" i="49" s="1"/>
  <c r="U45" i="49"/>
  <c r="Y45" i="49" s="1"/>
  <c r="Q45" i="49"/>
  <c r="T45" i="49" s="1"/>
  <c r="X45" i="49" s="1"/>
  <c r="R49" i="51" l="1"/>
  <c r="L50" i="51"/>
  <c r="Q48" i="51"/>
  <c r="S48" i="51"/>
  <c r="B51" i="51"/>
  <c r="W50" i="51"/>
  <c r="L48" i="49"/>
  <c r="R47" i="49"/>
  <c r="U46" i="49"/>
  <c r="Y46" i="49" s="1"/>
  <c r="Q46" i="49"/>
  <c r="T46" i="49" s="1"/>
  <c r="X46" i="49" s="1"/>
  <c r="S46" i="49"/>
  <c r="V46" i="49" s="1"/>
  <c r="Z46" i="49" s="1"/>
  <c r="B52" i="51" l="1"/>
  <c r="W51" i="51"/>
  <c r="S49" i="51"/>
  <c r="Q49" i="51"/>
  <c r="R50" i="51"/>
  <c r="L51" i="51"/>
  <c r="U47" i="49"/>
  <c r="Y47" i="49" s="1"/>
  <c r="Q47" i="49"/>
  <c r="T47" i="49" s="1"/>
  <c r="X47" i="49" s="1"/>
  <c r="S47" i="49"/>
  <c r="V47" i="49" s="1"/>
  <c r="Z47" i="49" s="1"/>
  <c r="R48" i="49"/>
  <c r="L49" i="49"/>
  <c r="R51" i="51" l="1"/>
  <c r="L52" i="51"/>
  <c r="S50" i="51"/>
  <c r="Q50" i="51"/>
  <c r="B53" i="51"/>
  <c r="W52" i="51"/>
  <c r="S48" i="49"/>
  <c r="V48" i="49" s="1"/>
  <c r="Z48" i="49" s="1"/>
  <c r="U48" i="49"/>
  <c r="Y48" i="49" s="1"/>
  <c r="Q48" i="49"/>
  <c r="T48" i="49" s="1"/>
  <c r="X48" i="49" s="1"/>
  <c r="R49" i="49"/>
  <c r="L50" i="49"/>
  <c r="L53" i="51" l="1"/>
  <c r="R52" i="51"/>
  <c r="B54" i="51"/>
  <c r="W53" i="51"/>
  <c r="Q51" i="51"/>
  <c r="S51" i="51"/>
  <c r="R50" i="49"/>
  <c r="L51" i="49"/>
  <c r="S49" i="49"/>
  <c r="V49" i="49" s="1"/>
  <c r="Z49" i="49" s="1"/>
  <c r="U49" i="49"/>
  <c r="Y49" i="49" s="1"/>
  <c r="Q49" i="49"/>
  <c r="T49" i="49" s="1"/>
  <c r="X49" i="49" s="1"/>
  <c r="R53" i="51" l="1"/>
  <c r="L54" i="51"/>
  <c r="B55" i="51"/>
  <c r="W54" i="51"/>
  <c r="Q52" i="51"/>
  <c r="S52" i="51"/>
  <c r="U50" i="49"/>
  <c r="Y50" i="49" s="1"/>
  <c r="Q50" i="49"/>
  <c r="T50" i="49" s="1"/>
  <c r="X50" i="49" s="1"/>
  <c r="S50" i="49"/>
  <c r="V50" i="49" s="1"/>
  <c r="Z50" i="49" s="1"/>
  <c r="L52" i="49"/>
  <c r="R51" i="49"/>
  <c r="B56" i="51" l="1"/>
  <c r="W55" i="51"/>
  <c r="R54" i="51"/>
  <c r="L55" i="51"/>
  <c r="S53" i="51"/>
  <c r="Q53" i="51"/>
  <c r="L53" i="49"/>
  <c r="R52" i="49"/>
  <c r="U51" i="49"/>
  <c r="Y51" i="49" s="1"/>
  <c r="Q51" i="49"/>
  <c r="T51" i="49" s="1"/>
  <c r="X51" i="49" s="1"/>
  <c r="S51" i="49"/>
  <c r="V51" i="49" s="1"/>
  <c r="Z51" i="49" s="1"/>
  <c r="B57" i="51" l="1"/>
  <c r="W56" i="51"/>
  <c r="L56" i="51"/>
  <c r="R55" i="51"/>
  <c r="S54" i="51"/>
  <c r="Q54" i="51"/>
  <c r="S52" i="49"/>
  <c r="V52" i="49" s="1"/>
  <c r="Z52" i="49" s="1"/>
  <c r="Q52" i="49"/>
  <c r="T52" i="49" s="1"/>
  <c r="X52" i="49" s="1"/>
  <c r="U52" i="49"/>
  <c r="Y52" i="49" s="1"/>
  <c r="R53" i="49"/>
  <c r="L54" i="49"/>
  <c r="R56" i="51" l="1"/>
  <c r="L57" i="51"/>
  <c r="Q55" i="51"/>
  <c r="S55" i="51"/>
  <c r="B58" i="51"/>
  <c r="W57" i="51"/>
  <c r="U53" i="49"/>
  <c r="Y53" i="49" s="1"/>
  <c r="S53" i="49"/>
  <c r="V53" i="49" s="1"/>
  <c r="Z53" i="49" s="1"/>
  <c r="Q53" i="49"/>
  <c r="T53" i="49" s="1"/>
  <c r="X53" i="49" s="1"/>
  <c r="L55" i="49"/>
  <c r="R54" i="49"/>
  <c r="L58" i="51" l="1"/>
  <c r="R57" i="51"/>
  <c r="B59" i="51"/>
  <c r="W58" i="51"/>
  <c r="S56" i="51"/>
  <c r="Q56" i="51"/>
  <c r="R55" i="49"/>
  <c r="L56" i="49"/>
  <c r="U54" i="49"/>
  <c r="Y54" i="49" s="1"/>
  <c r="Q54" i="49"/>
  <c r="T54" i="49" s="1"/>
  <c r="X54" i="49" s="1"/>
  <c r="S54" i="49"/>
  <c r="V54" i="49" s="1"/>
  <c r="Z54" i="49" s="1"/>
  <c r="S57" i="51" l="1"/>
  <c r="Q57" i="51"/>
  <c r="B60" i="51"/>
  <c r="W59" i="51"/>
  <c r="R58" i="51"/>
  <c r="L59" i="51"/>
  <c r="R56" i="49"/>
  <c r="L57" i="49"/>
  <c r="S55" i="49"/>
  <c r="V55" i="49" s="1"/>
  <c r="Z55" i="49" s="1"/>
  <c r="U55" i="49"/>
  <c r="Y55" i="49" s="1"/>
  <c r="Q55" i="49"/>
  <c r="T55" i="49" s="1"/>
  <c r="X55" i="49" s="1"/>
  <c r="B61" i="51" l="1"/>
  <c r="W60" i="51"/>
  <c r="L60" i="51"/>
  <c r="R59" i="51"/>
  <c r="Q58" i="51"/>
  <c r="S58" i="51"/>
  <c r="R57" i="49"/>
  <c r="L58" i="49"/>
  <c r="S56" i="49"/>
  <c r="V56" i="49" s="1"/>
  <c r="Z56" i="49" s="1"/>
  <c r="U56" i="49"/>
  <c r="Y56" i="49" s="1"/>
  <c r="Q56" i="49"/>
  <c r="T56" i="49" s="1"/>
  <c r="X56" i="49" s="1"/>
  <c r="B62" i="51" l="1"/>
  <c r="W61" i="51"/>
  <c r="Q59" i="51"/>
  <c r="S59" i="51"/>
  <c r="R60" i="51"/>
  <c r="L61" i="51"/>
  <c r="R58" i="49"/>
  <c r="L59" i="49"/>
  <c r="U57" i="49"/>
  <c r="Y57" i="49" s="1"/>
  <c r="Q57" i="49"/>
  <c r="T57" i="49" s="1"/>
  <c r="X57" i="49" s="1"/>
  <c r="S57" i="49"/>
  <c r="V57" i="49" s="1"/>
  <c r="Z57" i="49" s="1"/>
  <c r="R61" i="51" l="1"/>
  <c r="L62" i="51"/>
  <c r="Q60" i="51"/>
  <c r="S60" i="51"/>
  <c r="B63" i="51"/>
  <c r="W62" i="51"/>
  <c r="R59" i="49"/>
  <c r="L60" i="49"/>
  <c r="S58" i="49"/>
  <c r="V58" i="49" s="1"/>
  <c r="Z58" i="49" s="1"/>
  <c r="U58" i="49"/>
  <c r="Y58" i="49" s="1"/>
  <c r="Q58" i="49"/>
  <c r="T58" i="49" s="1"/>
  <c r="X58" i="49" s="1"/>
  <c r="R62" i="51" l="1"/>
  <c r="L63" i="51"/>
  <c r="B64" i="51"/>
  <c r="W63" i="51"/>
  <c r="S61" i="51"/>
  <c r="Q61" i="51"/>
  <c r="L61" i="49"/>
  <c r="R60" i="49"/>
  <c r="U59" i="49"/>
  <c r="Y59" i="49" s="1"/>
  <c r="Q59" i="49"/>
  <c r="T59" i="49" s="1"/>
  <c r="X59" i="49" s="1"/>
  <c r="S59" i="49"/>
  <c r="V59" i="49" s="1"/>
  <c r="Z59" i="49" s="1"/>
  <c r="S62" i="51" l="1"/>
  <c r="Q62" i="51"/>
  <c r="B65" i="51"/>
  <c r="W64" i="51"/>
  <c r="L64" i="51"/>
  <c r="R63" i="51"/>
  <c r="S60" i="49"/>
  <c r="V60" i="49" s="1"/>
  <c r="Z60" i="49" s="1"/>
  <c r="U60" i="49"/>
  <c r="Y60" i="49" s="1"/>
  <c r="Q60" i="49"/>
  <c r="T60" i="49" s="1"/>
  <c r="X60" i="49" s="1"/>
  <c r="R61" i="49"/>
  <c r="L62" i="49"/>
  <c r="B66" i="51" l="1"/>
  <c r="W65" i="51"/>
  <c r="Q63" i="51"/>
  <c r="S63" i="51"/>
  <c r="L65" i="51"/>
  <c r="R64" i="51"/>
  <c r="S61" i="49"/>
  <c r="V61" i="49" s="1"/>
  <c r="Z61" i="49" s="1"/>
  <c r="U61" i="49"/>
  <c r="Y61" i="49" s="1"/>
  <c r="Q61" i="49"/>
  <c r="T61" i="49" s="1"/>
  <c r="X61" i="49" s="1"/>
  <c r="R62" i="49"/>
  <c r="L63" i="49"/>
  <c r="B67" i="51" l="1"/>
  <c r="W66" i="51"/>
  <c r="Q64" i="51"/>
  <c r="S64" i="51"/>
  <c r="R65" i="51"/>
  <c r="L66" i="51"/>
  <c r="U62" i="49"/>
  <c r="Y62" i="49" s="1"/>
  <c r="Q62" i="49"/>
  <c r="T62" i="49" s="1"/>
  <c r="X62" i="49" s="1"/>
  <c r="S62" i="49"/>
  <c r="V62" i="49" s="1"/>
  <c r="Z62" i="49" s="1"/>
  <c r="L64" i="49"/>
  <c r="R63" i="49"/>
  <c r="S65" i="51" l="1"/>
  <c r="Q65" i="51"/>
  <c r="R66" i="51"/>
  <c r="L67" i="51"/>
  <c r="B68" i="51"/>
  <c r="W67" i="51"/>
  <c r="R64" i="49"/>
  <c r="L65" i="49"/>
  <c r="U63" i="49"/>
  <c r="Y63" i="49" s="1"/>
  <c r="Q63" i="49"/>
  <c r="T63" i="49" s="1"/>
  <c r="X63" i="49" s="1"/>
  <c r="S63" i="49"/>
  <c r="V63" i="49" s="1"/>
  <c r="Z63" i="49" s="1"/>
  <c r="L68" i="51" l="1"/>
  <c r="R67" i="51"/>
  <c r="S66" i="51"/>
  <c r="Q66" i="51"/>
  <c r="B69" i="51"/>
  <c r="W68" i="51"/>
  <c r="R65" i="49"/>
  <c r="L66" i="49"/>
  <c r="S64" i="49"/>
  <c r="V64" i="49" s="1"/>
  <c r="Z64" i="49" s="1"/>
  <c r="Q64" i="49"/>
  <c r="T64" i="49" s="1"/>
  <c r="X64" i="49" s="1"/>
  <c r="U64" i="49"/>
  <c r="Y64" i="49" s="1"/>
  <c r="Q67" i="51" l="1"/>
  <c r="S67" i="51"/>
  <c r="B70" i="51"/>
  <c r="W69" i="51"/>
  <c r="L69" i="51"/>
  <c r="R68" i="51"/>
  <c r="R66" i="49"/>
  <c r="L67" i="49"/>
  <c r="S65" i="49"/>
  <c r="V65" i="49" s="1"/>
  <c r="Z65" i="49" s="1"/>
  <c r="Q65" i="49"/>
  <c r="T65" i="49" s="1"/>
  <c r="X65" i="49" s="1"/>
  <c r="U65" i="49"/>
  <c r="Y65" i="49" s="1"/>
  <c r="S68" i="51" l="1"/>
  <c r="Q68" i="51"/>
  <c r="B71" i="51"/>
  <c r="W70" i="51"/>
  <c r="L70" i="51"/>
  <c r="R69" i="51"/>
  <c r="L68" i="49"/>
  <c r="R67" i="49"/>
  <c r="U66" i="49"/>
  <c r="Y66" i="49" s="1"/>
  <c r="Q66" i="49"/>
  <c r="T66" i="49" s="1"/>
  <c r="X66" i="49" s="1"/>
  <c r="S66" i="49"/>
  <c r="V66" i="49" s="1"/>
  <c r="Z66" i="49" s="1"/>
  <c r="B72" i="51" l="1"/>
  <c r="W71" i="51"/>
  <c r="S69" i="51"/>
  <c r="Q69" i="51"/>
  <c r="R70" i="51"/>
  <c r="L71" i="51"/>
  <c r="U67" i="49"/>
  <c r="Y67" i="49" s="1"/>
  <c r="Q67" i="49"/>
  <c r="T67" i="49" s="1"/>
  <c r="X67" i="49" s="1"/>
  <c r="S67" i="49"/>
  <c r="V67" i="49" s="1"/>
  <c r="Z67" i="49" s="1"/>
  <c r="L69" i="49"/>
  <c r="R68" i="49"/>
  <c r="B73" i="51" l="1"/>
  <c r="W73" i="51" s="1"/>
  <c r="W72" i="51"/>
  <c r="L72" i="51"/>
  <c r="R71" i="51"/>
  <c r="S70" i="51"/>
  <c r="Q70" i="51"/>
  <c r="R69" i="49"/>
  <c r="L70" i="49"/>
  <c r="S68" i="49"/>
  <c r="V68" i="49" s="1"/>
  <c r="Z68" i="49" s="1"/>
  <c r="U68" i="49"/>
  <c r="Y68" i="49" s="1"/>
  <c r="Q68" i="49"/>
  <c r="T68" i="49" s="1"/>
  <c r="X68" i="49" s="1"/>
  <c r="Q71" i="51" l="1"/>
  <c r="S71" i="51"/>
  <c r="L73" i="51"/>
  <c r="R72" i="51"/>
  <c r="R70" i="49"/>
  <c r="L71" i="49"/>
  <c r="S69" i="49"/>
  <c r="V69" i="49" s="1"/>
  <c r="Z69" i="49" s="1"/>
  <c r="U69" i="49"/>
  <c r="Y69" i="49" s="1"/>
  <c r="Q69" i="49"/>
  <c r="T69" i="49" s="1"/>
  <c r="X69" i="49" s="1"/>
  <c r="R73" i="51" l="1"/>
  <c r="L74" i="51"/>
  <c r="S72" i="51"/>
  <c r="Q72" i="51"/>
  <c r="L72" i="49"/>
  <c r="R71" i="49"/>
  <c r="U70" i="49"/>
  <c r="Y70" i="49" s="1"/>
  <c r="Q70" i="49"/>
  <c r="T70" i="49" s="1"/>
  <c r="X70" i="49" s="1"/>
  <c r="S70" i="49"/>
  <c r="V70" i="49" s="1"/>
  <c r="Z70" i="49" s="1"/>
  <c r="Q73" i="51" l="1"/>
  <c r="S73" i="51"/>
  <c r="R74" i="51"/>
  <c r="U71" i="49"/>
  <c r="Y71" i="49" s="1"/>
  <c r="Q71" i="49"/>
  <c r="T71" i="49" s="1"/>
  <c r="X71" i="49" s="1"/>
  <c r="S71" i="49"/>
  <c r="V71" i="49" s="1"/>
  <c r="Z71" i="49" s="1"/>
  <c r="R72" i="49"/>
  <c r="L73" i="49"/>
  <c r="S74" i="51" l="1"/>
  <c r="Q74" i="51"/>
  <c r="S72" i="49"/>
  <c r="V72" i="49" s="1"/>
  <c r="Z72" i="49" s="1"/>
  <c r="Q72" i="49"/>
  <c r="T72" i="49" s="1"/>
  <c r="X72" i="49" s="1"/>
  <c r="U72" i="49"/>
  <c r="Y72" i="49" s="1"/>
  <c r="R73" i="49"/>
  <c r="L74" i="49"/>
  <c r="S73" i="49" l="1"/>
  <c r="Q73" i="49"/>
  <c r="U73" i="49"/>
  <c r="R74" i="49"/>
  <c r="Y73" i="49" l="1"/>
  <c r="Y74" i="49" s="1"/>
  <c r="E4" i="49" s="1"/>
  <c r="U74" i="49"/>
  <c r="T73" i="49"/>
  <c r="Q74" i="49"/>
  <c r="V73" i="49"/>
  <c r="S74" i="49"/>
  <c r="X73" i="49" l="1"/>
  <c r="X74" i="49" s="1"/>
  <c r="D4" i="49" s="1"/>
  <c r="T74" i="49"/>
  <c r="Z73" i="49"/>
  <c r="Z74" i="49" s="1"/>
  <c r="F4" i="49" s="1"/>
  <c r="V74" i="49"/>
  <c r="G69" i="48" l="1"/>
  <c r="G59" i="48"/>
  <c r="G44" i="48"/>
  <c r="G34" i="48"/>
  <c r="G29" i="48"/>
  <c r="G24" i="48"/>
  <c r="G19" i="48"/>
  <c r="D14" i="48"/>
  <c r="D13" i="48"/>
  <c r="Q5" i="48"/>
  <c r="Q6" i="48"/>
  <c r="Q7" i="48"/>
  <c r="Q8" i="48"/>
  <c r="Q4" i="48"/>
  <c r="Q3" i="48"/>
  <c r="P4" i="48"/>
  <c r="P5" i="48"/>
  <c r="P6" i="48"/>
  <c r="P7" i="48"/>
  <c r="P8" i="48"/>
  <c r="P3" i="48"/>
  <c r="E73" i="48"/>
  <c r="C73" i="48"/>
  <c r="E72" i="48"/>
  <c r="C72" i="48"/>
  <c r="E71" i="48"/>
  <c r="C71" i="48"/>
  <c r="E70" i="48"/>
  <c r="C70" i="48"/>
  <c r="E69" i="48"/>
  <c r="C69" i="48"/>
  <c r="E68" i="48"/>
  <c r="C68" i="48"/>
  <c r="E67" i="48"/>
  <c r="C67" i="48"/>
  <c r="E66" i="48"/>
  <c r="C66" i="48"/>
  <c r="E65" i="48"/>
  <c r="C65" i="48"/>
  <c r="E64" i="48"/>
  <c r="C64" i="48"/>
  <c r="E63" i="48"/>
  <c r="C63" i="48"/>
  <c r="E62" i="48"/>
  <c r="C62" i="48"/>
  <c r="E61" i="48"/>
  <c r="C61" i="48"/>
  <c r="E60" i="48"/>
  <c r="C60" i="48"/>
  <c r="E59" i="48"/>
  <c r="C59" i="48"/>
  <c r="E57" i="48"/>
  <c r="C57" i="48"/>
  <c r="E56" i="48"/>
  <c r="C56" i="48"/>
  <c r="E55" i="48"/>
  <c r="C55" i="48"/>
  <c r="E54" i="48"/>
  <c r="C54" i="48"/>
  <c r="E53" i="48"/>
  <c r="C53" i="48"/>
  <c r="E52" i="48"/>
  <c r="C52" i="48"/>
  <c r="E51" i="48"/>
  <c r="C51" i="48"/>
  <c r="E50" i="48"/>
  <c r="C50" i="48"/>
  <c r="E49" i="48"/>
  <c r="C49" i="48"/>
  <c r="E48" i="48"/>
  <c r="C48" i="48"/>
  <c r="E47" i="48"/>
  <c r="C47" i="48"/>
  <c r="E46" i="48"/>
  <c r="C46" i="48"/>
  <c r="E45" i="48"/>
  <c r="C45" i="48"/>
  <c r="E44" i="48"/>
  <c r="C44" i="48"/>
  <c r="E43" i="48"/>
  <c r="C43" i="48"/>
  <c r="E42" i="48"/>
  <c r="C42" i="48"/>
  <c r="M41" i="48"/>
  <c r="E41" i="48"/>
  <c r="C41" i="48"/>
  <c r="E40" i="48"/>
  <c r="C40" i="48"/>
  <c r="E39" i="48"/>
  <c r="C39" i="48"/>
  <c r="E38" i="48"/>
  <c r="C38" i="48"/>
  <c r="E37" i="48"/>
  <c r="C37" i="48"/>
  <c r="M36" i="48"/>
  <c r="E36" i="48"/>
  <c r="C36" i="48"/>
  <c r="E35" i="48"/>
  <c r="C35" i="48"/>
  <c r="E34" i="48"/>
  <c r="C34" i="48"/>
  <c r="E33" i="48"/>
  <c r="C33" i="48"/>
  <c r="E32" i="48"/>
  <c r="C32" i="48"/>
  <c r="E31" i="48"/>
  <c r="C31" i="48"/>
  <c r="E30" i="48"/>
  <c r="C30" i="48"/>
  <c r="E29" i="48"/>
  <c r="C29" i="48"/>
  <c r="AG28" i="48"/>
  <c r="AG27" i="48"/>
  <c r="AG26" i="48"/>
  <c r="E26" i="48"/>
  <c r="C26" i="48"/>
  <c r="B26" i="48"/>
  <c r="B27" i="48" s="1"/>
  <c r="B28" i="48" s="1"/>
  <c r="B29" i="48" s="1"/>
  <c r="B30" i="48" s="1"/>
  <c r="E25" i="48"/>
  <c r="C25" i="48"/>
  <c r="E24" i="48"/>
  <c r="C24" i="48"/>
  <c r="M23" i="48"/>
  <c r="E23" i="48"/>
  <c r="C23" i="48"/>
  <c r="AL22" i="48"/>
  <c r="AH22" i="48"/>
  <c r="AG22" i="48"/>
  <c r="E22" i="48"/>
  <c r="C22" i="48"/>
  <c r="AL21" i="48"/>
  <c r="AK21" i="48" s="1"/>
  <c r="AH21" i="48"/>
  <c r="E21" i="48"/>
  <c r="C21" i="48"/>
  <c r="AL20" i="48"/>
  <c r="AK20" i="48" s="1"/>
  <c r="AH20" i="48"/>
  <c r="E20" i="48"/>
  <c r="C20" i="48"/>
  <c r="AL19" i="48"/>
  <c r="AK19" i="48" s="1"/>
  <c r="AH19" i="48"/>
  <c r="E19" i="48"/>
  <c r="C19" i="48"/>
  <c r="AL18" i="48"/>
  <c r="AK18" i="48" s="1"/>
  <c r="AH18" i="48"/>
  <c r="E18" i="48"/>
  <c r="C18" i="48"/>
  <c r="AL17" i="48"/>
  <c r="AK17" i="48" s="1"/>
  <c r="AH17" i="48"/>
  <c r="N17" i="48"/>
  <c r="N18" i="48" s="1"/>
  <c r="N19" i="48" s="1"/>
  <c r="N20" i="48" s="1"/>
  <c r="N21" i="48" s="1"/>
  <c r="N22" i="48" s="1"/>
  <c r="N23" i="48" s="1"/>
  <c r="N24" i="48" s="1"/>
  <c r="N25" i="48" s="1"/>
  <c r="N26" i="48" s="1"/>
  <c r="N27" i="48" s="1"/>
  <c r="N28" i="48" s="1"/>
  <c r="N29" i="48" s="1"/>
  <c r="N30" i="48" s="1"/>
  <c r="N31" i="48" s="1"/>
  <c r="N32" i="48" s="1"/>
  <c r="N33" i="48" s="1"/>
  <c r="N34" i="48" s="1"/>
  <c r="N35" i="48" s="1"/>
  <c r="N36" i="48" s="1"/>
  <c r="N37" i="48" s="1"/>
  <c r="N38" i="48" s="1"/>
  <c r="N39" i="48" s="1"/>
  <c r="N40" i="48" s="1"/>
  <c r="N41" i="48" s="1"/>
  <c r="N42" i="48" s="1"/>
  <c r="N43" i="48" s="1"/>
  <c r="N44" i="48" s="1"/>
  <c r="N45" i="48" s="1"/>
  <c r="N46" i="48" s="1"/>
  <c r="N47" i="48" s="1"/>
  <c r="N48" i="48" s="1"/>
  <c r="N49" i="48" s="1"/>
  <c r="N50" i="48" s="1"/>
  <c r="N51" i="48" s="1"/>
  <c r="N52" i="48" s="1"/>
  <c r="N53" i="48" s="1"/>
  <c r="N54" i="48" s="1"/>
  <c r="N55" i="48" s="1"/>
  <c r="N56" i="48" s="1"/>
  <c r="N57" i="48" s="1"/>
  <c r="N58" i="48" s="1"/>
  <c r="N59" i="48" s="1"/>
  <c r="N60" i="48" s="1"/>
  <c r="N61" i="48" s="1"/>
  <c r="N62" i="48" s="1"/>
  <c r="N63" i="48" s="1"/>
  <c r="N64" i="48" s="1"/>
  <c r="N65" i="48" s="1"/>
  <c r="N66" i="48" s="1"/>
  <c r="N67" i="48" s="1"/>
  <c r="N68" i="48" s="1"/>
  <c r="N69" i="48" s="1"/>
  <c r="N70" i="48" s="1"/>
  <c r="N71" i="48" s="1"/>
  <c r="N72" i="48" s="1"/>
  <c r="N73" i="48" s="1"/>
  <c r="E17" i="48"/>
  <c r="C17" i="48"/>
  <c r="AL16" i="48"/>
  <c r="AK16" i="48" s="1"/>
  <c r="AK22" i="48" s="1"/>
  <c r="AH16" i="48"/>
  <c r="P16" i="48"/>
  <c r="P17" i="48" s="1"/>
  <c r="P18" i="48" s="1"/>
  <c r="P19" i="48" s="1"/>
  <c r="P20" i="48" s="1"/>
  <c r="P21" i="48" s="1"/>
  <c r="P22" i="48" s="1"/>
  <c r="P23" i="48" s="1"/>
  <c r="P24" i="48" s="1"/>
  <c r="P25" i="48" s="1"/>
  <c r="P26" i="48" s="1"/>
  <c r="P27" i="48" s="1"/>
  <c r="P28" i="48" s="1"/>
  <c r="P29" i="48" s="1"/>
  <c r="P30" i="48" s="1"/>
  <c r="P31" i="48" s="1"/>
  <c r="P32" i="48" s="1"/>
  <c r="P33" i="48" s="1"/>
  <c r="P34" i="48" s="1"/>
  <c r="P35" i="48" s="1"/>
  <c r="P36" i="48" s="1"/>
  <c r="P37" i="48" s="1"/>
  <c r="P38" i="48" s="1"/>
  <c r="P39" i="48" s="1"/>
  <c r="P40" i="48" s="1"/>
  <c r="P41" i="48" s="1"/>
  <c r="P42" i="48" s="1"/>
  <c r="P43" i="48" s="1"/>
  <c r="P44" i="48" s="1"/>
  <c r="P45" i="48" s="1"/>
  <c r="P46" i="48" s="1"/>
  <c r="P47" i="48" s="1"/>
  <c r="P48" i="48" s="1"/>
  <c r="P49" i="48" s="1"/>
  <c r="P50" i="48" s="1"/>
  <c r="P51" i="48" s="1"/>
  <c r="P52" i="48" s="1"/>
  <c r="P53" i="48" s="1"/>
  <c r="P54" i="48" s="1"/>
  <c r="P55" i="48" s="1"/>
  <c r="P56" i="48" s="1"/>
  <c r="P57" i="48" s="1"/>
  <c r="P58" i="48" s="1"/>
  <c r="P59" i="48" s="1"/>
  <c r="P60" i="48" s="1"/>
  <c r="P61" i="48" s="1"/>
  <c r="P62" i="48" s="1"/>
  <c r="P63" i="48" s="1"/>
  <c r="P64" i="48" s="1"/>
  <c r="P65" i="48" s="1"/>
  <c r="P66" i="48" s="1"/>
  <c r="P67" i="48" s="1"/>
  <c r="P68" i="48" s="1"/>
  <c r="P69" i="48" s="1"/>
  <c r="P70" i="48" s="1"/>
  <c r="P71" i="48" s="1"/>
  <c r="P72" i="48" s="1"/>
  <c r="P73" i="48" s="1"/>
  <c r="N16" i="48"/>
  <c r="L16" i="48"/>
  <c r="L17" i="48" s="1"/>
  <c r="L18" i="48" s="1"/>
  <c r="L19" i="48" s="1"/>
  <c r="L20" i="48" s="1"/>
  <c r="L21" i="48" s="1"/>
  <c r="L22" i="48" s="1"/>
  <c r="L23" i="48" s="1"/>
  <c r="E16" i="48"/>
  <c r="C16" i="48"/>
  <c r="M15" i="48"/>
  <c r="R15" i="48" s="1"/>
  <c r="E15" i="48"/>
  <c r="C15" i="48"/>
  <c r="B15" i="48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P14" i="48"/>
  <c r="O14" i="48"/>
  <c r="O15" i="48" s="1"/>
  <c r="O16" i="48" s="1"/>
  <c r="O17" i="48" s="1"/>
  <c r="O18" i="48" s="1"/>
  <c r="O19" i="48" s="1"/>
  <c r="O20" i="48" s="1"/>
  <c r="O21" i="48" s="1"/>
  <c r="O22" i="48" s="1"/>
  <c r="O23" i="48" s="1"/>
  <c r="O24" i="48" s="1"/>
  <c r="O25" i="48" s="1"/>
  <c r="O26" i="48" s="1"/>
  <c r="O27" i="48" s="1"/>
  <c r="O28" i="48" s="1"/>
  <c r="O29" i="48" s="1"/>
  <c r="O30" i="48" s="1"/>
  <c r="O31" i="48" s="1"/>
  <c r="O32" i="48" s="1"/>
  <c r="O33" i="48" s="1"/>
  <c r="O34" i="48" s="1"/>
  <c r="O35" i="48" s="1"/>
  <c r="O36" i="48" s="1"/>
  <c r="O37" i="48" s="1"/>
  <c r="O38" i="48" s="1"/>
  <c r="O39" i="48" s="1"/>
  <c r="O40" i="48" s="1"/>
  <c r="O41" i="48" s="1"/>
  <c r="O42" i="48" s="1"/>
  <c r="O43" i="48" s="1"/>
  <c r="O44" i="48" s="1"/>
  <c r="O45" i="48" s="1"/>
  <c r="O46" i="48" s="1"/>
  <c r="O47" i="48" s="1"/>
  <c r="O48" i="48" s="1"/>
  <c r="O49" i="48" s="1"/>
  <c r="O50" i="48" s="1"/>
  <c r="O51" i="48" s="1"/>
  <c r="O52" i="48" s="1"/>
  <c r="O53" i="48" s="1"/>
  <c r="O54" i="48" s="1"/>
  <c r="O55" i="48" s="1"/>
  <c r="O56" i="48" s="1"/>
  <c r="O57" i="48" s="1"/>
  <c r="O58" i="48" s="1"/>
  <c r="O59" i="48" s="1"/>
  <c r="O60" i="48" s="1"/>
  <c r="O61" i="48" s="1"/>
  <c r="O62" i="48" s="1"/>
  <c r="O63" i="48" s="1"/>
  <c r="O64" i="48" s="1"/>
  <c r="O65" i="48" s="1"/>
  <c r="O66" i="48" s="1"/>
  <c r="O67" i="48" s="1"/>
  <c r="O68" i="48" s="1"/>
  <c r="O69" i="48" s="1"/>
  <c r="O70" i="48" s="1"/>
  <c r="O71" i="48" s="1"/>
  <c r="O72" i="48" s="1"/>
  <c r="O73" i="48" s="1"/>
  <c r="N14" i="48"/>
  <c r="M14" i="48"/>
  <c r="L14" i="48"/>
  <c r="R14" i="48" s="1"/>
  <c r="S14" i="48" s="1"/>
  <c r="H14" i="48"/>
  <c r="F14" i="48"/>
  <c r="B14" i="48"/>
  <c r="A14" i="48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P13" i="48"/>
  <c r="O13" i="48"/>
  <c r="N13" i="48"/>
  <c r="M13" i="48"/>
  <c r="L13" i="48"/>
  <c r="H13" i="48"/>
  <c r="F13" i="48"/>
  <c r="AB9" i="48"/>
  <c r="AA9" i="48"/>
  <c r="W9" i="48"/>
  <c r="T9" i="48"/>
  <c r="D27" i="48" s="1"/>
  <c r="S9" i="48"/>
  <c r="AC8" i="48"/>
  <c r="AB8" i="48"/>
  <c r="AA8" i="48"/>
  <c r="Y8" i="48"/>
  <c r="X8" i="48"/>
  <c r="AB7" i="48"/>
  <c r="AC7" i="48" s="1"/>
  <c r="AA7" i="48"/>
  <c r="X7" i="48"/>
  <c r="Y7" i="48" s="1"/>
  <c r="AC6" i="48"/>
  <c r="AB6" i="48"/>
  <c r="AA6" i="48"/>
  <c r="Y6" i="48"/>
  <c r="X6" i="48"/>
  <c r="AB5" i="48"/>
  <c r="AC5" i="48" s="1"/>
  <c r="AA5" i="48"/>
  <c r="X5" i="48"/>
  <c r="Y5" i="48" s="1"/>
  <c r="Y9" i="48" s="1"/>
  <c r="AB4" i="48"/>
  <c r="AC4" i="48" s="1"/>
  <c r="AA4" i="48"/>
  <c r="Y4" i="48"/>
  <c r="X4" i="48"/>
  <c r="AC3" i="48"/>
  <c r="AB3" i="48"/>
  <c r="AA3" i="48"/>
  <c r="X3" i="48"/>
  <c r="C3" i="48"/>
  <c r="W15" i="48" s="1"/>
  <c r="AA1" i="48"/>
  <c r="C1" i="48"/>
  <c r="E27" i="48" l="1"/>
  <c r="C27" i="48"/>
  <c r="D28" i="48"/>
  <c r="T4" i="48"/>
  <c r="T6" i="48"/>
  <c r="Q9" i="48"/>
  <c r="B31" i="48"/>
  <c r="B32" i="48" s="1"/>
  <c r="B33" i="48" s="1"/>
  <c r="B34" i="48" s="1"/>
  <c r="B35" i="48" s="1"/>
  <c r="W30" i="48"/>
  <c r="Q15" i="48"/>
  <c r="S15" i="48"/>
  <c r="L24" i="48"/>
  <c r="R23" i="48"/>
  <c r="J14" i="48"/>
  <c r="U14" i="48" s="1"/>
  <c r="E14" i="48"/>
  <c r="C14" i="48"/>
  <c r="I14" i="48" s="1"/>
  <c r="D7" i="48"/>
  <c r="J13" i="48"/>
  <c r="E13" i="48"/>
  <c r="K13" i="48" s="1"/>
  <c r="R13" i="48"/>
  <c r="P74" i="48"/>
  <c r="W26" i="48"/>
  <c r="T7" i="48"/>
  <c r="U7" i="48" s="1"/>
  <c r="T5" i="48"/>
  <c r="U5" i="48" s="1"/>
  <c r="M71" i="48"/>
  <c r="M67" i="48"/>
  <c r="M63" i="48"/>
  <c r="M70" i="48"/>
  <c r="M66" i="48"/>
  <c r="M62" i="48"/>
  <c r="M69" i="48"/>
  <c r="M54" i="48"/>
  <c r="M68" i="48"/>
  <c r="M60" i="48"/>
  <c r="M59" i="48"/>
  <c r="M57" i="48"/>
  <c r="M73" i="48"/>
  <c r="M58" i="48"/>
  <c r="M50" i="48"/>
  <c r="M46" i="48"/>
  <c r="M64" i="48"/>
  <c r="M61" i="48"/>
  <c r="M56" i="48"/>
  <c r="M53" i="48"/>
  <c r="M49" i="48"/>
  <c r="M48" i="48"/>
  <c r="M43" i="48"/>
  <c r="M39" i="48"/>
  <c r="M35" i="48"/>
  <c r="M31" i="48"/>
  <c r="M28" i="48"/>
  <c r="M26" i="48"/>
  <c r="M65" i="48"/>
  <c r="M47" i="48"/>
  <c r="M42" i="48"/>
  <c r="M38" i="48"/>
  <c r="M34" i="48"/>
  <c r="M30" i="48"/>
  <c r="M25" i="48"/>
  <c r="M55" i="48"/>
  <c r="M40" i="48"/>
  <c r="M32" i="48"/>
  <c r="M52" i="48"/>
  <c r="M72" i="48"/>
  <c r="M51" i="48"/>
  <c r="M45" i="48"/>
  <c r="M37" i="48"/>
  <c r="M29" i="48"/>
  <c r="Q14" i="48"/>
  <c r="T14" i="48" s="1"/>
  <c r="M16" i="48"/>
  <c r="R16" i="48" s="1"/>
  <c r="M24" i="48"/>
  <c r="M27" i="48"/>
  <c r="M33" i="48"/>
  <c r="T3" i="48"/>
  <c r="AC9" i="48"/>
  <c r="T8" i="48"/>
  <c r="U8" i="48" s="1"/>
  <c r="C13" i="48"/>
  <c r="K14" i="48"/>
  <c r="V14" i="48" s="1"/>
  <c r="M17" i="48"/>
  <c r="R17" i="48" s="1"/>
  <c r="M18" i="48"/>
  <c r="R18" i="48" s="1"/>
  <c r="M19" i="48"/>
  <c r="R19" i="48" s="1"/>
  <c r="M20" i="48"/>
  <c r="R20" i="48" s="1"/>
  <c r="M21" i="48"/>
  <c r="R21" i="48" s="1"/>
  <c r="M22" i="48"/>
  <c r="R22" i="48" s="1"/>
  <c r="M44" i="48"/>
  <c r="N74" i="48"/>
  <c r="W16" i="48"/>
  <c r="W17" i="48"/>
  <c r="W18" i="48"/>
  <c r="W19" i="48"/>
  <c r="W20" i="48"/>
  <c r="W21" i="48"/>
  <c r="W22" i="48"/>
  <c r="W25" i="48"/>
  <c r="W28" i="48"/>
  <c r="W34" i="48"/>
  <c r="W33" i="48"/>
  <c r="W29" i="48"/>
  <c r="W27" i="48"/>
  <c r="W24" i="48"/>
  <c r="W32" i="48"/>
  <c r="O74" i="48"/>
  <c r="W14" i="48"/>
  <c r="W23" i="48"/>
  <c r="W31" i="48"/>
  <c r="P38" i="47"/>
  <c r="P36" i="47"/>
  <c r="P34" i="47"/>
  <c r="P32" i="47"/>
  <c r="P23" i="47"/>
  <c r="P16" i="47"/>
  <c r="U25" i="47"/>
  <c r="U24" i="47"/>
  <c r="U23" i="47"/>
  <c r="U22" i="47"/>
  <c r="U21" i="47"/>
  <c r="E28" i="48" l="1"/>
  <c r="C28" i="48"/>
  <c r="D74" i="48"/>
  <c r="U4" i="48"/>
  <c r="G54" i="48"/>
  <c r="U6" i="48"/>
  <c r="G49" i="48"/>
  <c r="G64" i="48"/>
  <c r="G39" i="48"/>
  <c r="S22" i="48"/>
  <c r="Q22" i="48"/>
  <c r="S18" i="48"/>
  <c r="Q18" i="48"/>
  <c r="S19" i="48"/>
  <c r="Q19" i="48"/>
  <c r="Z14" i="48"/>
  <c r="Y14" i="48"/>
  <c r="X14" i="48"/>
  <c r="S17" i="48"/>
  <c r="Q17" i="48"/>
  <c r="E74" i="48"/>
  <c r="E7" i="48"/>
  <c r="S20" i="48"/>
  <c r="Q20" i="48"/>
  <c r="S23" i="48"/>
  <c r="Q23" i="48"/>
  <c r="G73" i="48"/>
  <c r="G65" i="48"/>
  <c r="G72" i="48"/>
  <c r="G68" i="48"/>
  <c r="G66" i="48"/>
  <c r="G58" i="48"/>
  <c r="G56" i="48"/>
  <c r="G67" i="48"/>
  <c r="G55" i="48"/>
  <c r="G71" i="48"/>
  <c r="G70" i="48"/>
  <c r="G61" i="48"/>
  <c r="G52" i="48"/>
  <c r="G48" i="48"/>
  <c r="G62" i="48"/>
  <c r="G51" i="48"/>
  <c r="G47" i="48"/>
  <c r="G63" i="48"/>
  <c r="G53" i="48"/>
  <c r="G45" i="48"/>
  <c r="G41" i="48"/>
  <c r="G37" i="48"/>
  <c r="G33" i="48"/>
  <c r="G27" i="48"/>
  <c r="G57" i="48"/>
  <c r="G46" i="48"/>
  <c r="G40" i="48"/>
  <c r="G36" i="48"/>
  <c r="G32" i="48"/>
  <c r="G31" i="48"/>
  <c r="G23" i="48"/>
  <c r="G60" i="48"/>
  <c r="G50" i="48"/>
  <c r="G42" i="48"/>
  <c r="G28" i="48"/>
  <c r="G25" i="48"/>
  <c r="G22" i="48"/>
  <c r="G21" i="48"/>
  <c r="G20" i="48"/>
  <c r="G18" i="48"/>
  <c r="G17" i="48"/>
  <c r="G16" i="48"/>
  <c r="G43" i="48"/>
  <c r="G38" i="48"/>
  <c r="G15" i="48"/>
  <c r="G35" i="48"/>
  <c r="G30" i="48"/>
  <c r="G26" i="48"/>
  <c r="S13" i="48"/>
  <c r="U13" i="48"/>
  <c r="Q13" i="48"/>
  <c r="R24" i="48"/>
  <c r="L25" i="48"/>
  <c r="C74" i="48"/>
  <c r="I13" i="48"/>
  <c r="C7" i="48"/>
  <c r="S21" i="48"/>
  <c r="Q21" i="48"/>
  <c r="S16" i="48"/>
  <c r="Q16" i="48"/>
  <c r="M74" i="48"/>
  <c r="B36" i="48"/>
  <c r="W35" i="48"/>
  <c r="D58" i="46"/>
  <c r="M58" i="45"/>
  <c r="M59" i="45"/>
  <c r="M60" i="45"/>
  <c r="M61" i="45"/>
  <c r="M62" i="45"/>
  <c r="M63" i="45"/>
  <c r="M64" i="45"/>
  <c r="M65" i="45"/>
  <c r="M66" i="45"/>
  <c r="M67" i="45"/>
  <c r="M68" i="45"/>
  <c r="M69" i="45"/>
  <c r="M70" i="45"/>
  <c r="M71" i="45"/>
  <c r="M72" i="45"/>
  <c r="M73" i="45"/>
  <c r="M57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29" i="45"/>
  <c r="M30" i="45"/>
  <c r="M31" i="45"/>
  <c r="M32" i="45"/>
  <c r="M33" i="45"/>
  <c r="M34" i="45"/>
  <c r="M35" i="45"/>
  <c r="M36" i="45"/>
  <c r="M37" i="45"/>
  <c r="M38" i="45"/>
  <c r="M39" i="45"/>
  <c r="M40" i="45"/>
  <c r="M41" i="45"/>
  <c r="M42" i="45"/>
  <c r="M43" i="45"/>
  <c r="M44" i="45"/>
  <c r="M45" i="45"/>
  <c r="M46" i="45"/>
  <c r="M47" i="45"/>
  <c r="M48" i="45"/>
  <c r="M49" i="45"/>
  <c r="M50" i="45"/>
  <c r="M51" i="45"/>
  <c r="M52" i="45"/>
  <c r="M53" i="45"/>
  <c r="M54" i="45"/>
  <c r="M55" i="45"/>
  <c r="M56" i="45"/>
  <c r="M15" i="45"/>
  <c r="M45" i="44"/>
  <c r="M46" i="44"/>
  <c r="M47" i="44"/>
  <c r="M48" i="44"/>
  <c r="M49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58" i="44"/>
  <c r="M50" i="44"/>
  <c r="M51" i="44"/>
  <c r="M52" i="44"/>
  <c r="M53" i="44"/>
  <c r="M54" i="44"/>
  <c r="M55" i="44"/>
  <c r="M56" i="44"/>
  <c r="M57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15" i="44"/>
  <c r="M16" i="43"/>
  <c r="M17" i="43"/>
  <c r="M18" i="43"/>
  <c r="M18" i="52" s="1"/>
  <c r="R18" i="52" s="1"/>
  <c r="M19" i="43"/>
  <c r="M19" i="52" s="1"/>
  <c r="R19" i="52" s="1"/>
  <c r="M20" i="43"/>
  <c r="M21" i="43"/>
  <c r="M22" i="43"/>
  <c r="M22" i="52" s="1"/>
  <c r="R22" i="52" s="1"/>
  <c r="M23" i="43"/>
  <c r="M23" i="52" s="1"/>
  <c r="R23" i="52" s="1"/>
  <c r="M24" i="43"/>
  <c r="M25" i="43"/>
  <c r="M25" i="53" s="1"/>
  <c r="M26" i="43"/>
  <c r="M27" i="43"/>
  <c r="M28" i="43"/>
  <c r="M28" i="53" s="1"/>
  <c r="R28" i="53" s="1"/>
  <c r="M29" i="43"/>
  <c r="M29" i="53" s="1"/>
  <c r="R29" i="53" s="1"/>
  <c r="M30" i="43"/>
  <c r="M31" i="43"/>
  <c r="M32" i="43"/>
  <c r="M32" i="53" s="1"/>
  <c r="R32" i="53" s="1"/>
  <c r="M33" i="43"/>
  <c r="M33" i="53" s="1"/>
  <c r="R33" i="53" s="1"/>
  <c r="M34" i="43"/>
  <c r="M35" i="43"/>
  <c r="M36" i="43"/>
  <c r="M36" i="53" s="1"/>
  <c r="R36" i="53" s="1"/>
  <c r="M37" i="43"/>
  <c r="M37" i="53" s="1"/>
  <c r="R37" i="53" s="1"/>
  <c r="M38" i="43"/>
  <c r="M39" i="43"/>
  <c r="M40" i="43"/>
  <c r="M40" i="53" s="1"/>
  <c r="R40" i="53" s="1"/>
  <c r="M41" i="43"/>
  <c r="M41" i="53" s="1"/>
  <c r="R41" i="53" s="1"/>
  <c r="M42" i="43"/>
  <c r="M43" i="43"/>
  <c r="M44" i="43"/>
  <c r="M44" i="53" s="1"/>
  <c r="R44" i="53" s="1"/>
  <c r="M45" i="43"/>
  <c r="M45" i="53" s="1"/>
  <c r="R45" i="53" s="1"/>
  <c r="M46" i="43"/>
  <c r="M47" i="43"/>
  <c r="M48" i="43"/>
  <c r="M48" i="53" s="1"/>
  <c r="R48" i="53" s="1"/>
  <c r="M49" i="43"/>
  <c r="M49" i="53" s="1"/>
  <c r="R49" i="53" s="1"/>
  <c r="M50" i="43"/>
  <c r="M51" i="43"/>
  <c r="M52" i="43"/>
  <c r="M52" i="53" s="1"/>
  <c r="R52" i="53" s="1"/>
  <c r="M53" i="43"/>
  <c r="M53" i="53" s="1"/>
  <c r="R53" i="53" s="1"/>
  <c r="M54" i="43"/>
  <c r="M55" i="43"/>
  <c r="M56" i="43"/>
  <c r="M56" i="53" s="1"/>
  <c r="R56" i="53" s="1"/>
  <c r="M57" i="43"/>
  <c r="M57" i="53" s="1"/>
  <c r="R57" i="53" s="1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15" i="43"/>
  <c r="M15" i="52" s="1"/>
  <c r="M60" i="34"/>
  <c r="M60" i="53" s="1"/>
  <c r="R60" i="53" s="1"/>
  <c r="M61" i="34"/>
  <c r="M61" i="53" s="1"/>
  <c r="R61" i="53" s="1"/>
  <c r="M62" i="34"/>
  <c r="M63" i="34"/>
  <c r="M63" i="53" s="1"/>
  <c r="R63" i="53" s="1"/>
  <c r="M64" i="34"/>
  <c r="M64" i="53" s="1"/>
  <c r="R64" i="53" s="1"/>
  <c r="M65" i="34"/>
  <c r="M65" i="53" s="1"/>
  <c r="R65" i="53" s="1"/>
  <c r="M66" i="34"/>
  <c r="M67" i="34"/>
  <c r="M67" i="53" s="1"/>
  <c r="R67" i="53" s="1"/>
  <c r="M68" i="34"/>
  <c r="M68" i="53" s="1"/>
  <c r="R68" i="53" s="1"/>
  <c r="M69" i="34"/>
  <c r="M69" i="53" s="1"/>
  <c r="R69" i="53" s="1"/>
  <c r="M70" i="34"/>
  <c r="M71" i="34"/>
  <c r="M71" i="53" s="1"/>
  <c r="R71" i="53" s="1"/>
  <c r="M72" i="34"/>
  <c r="M72" i="53" s="1"/>
  <c r="R72" i="53" s="1"/>
  <c r="M73" i="34"/>
  <c r="M73" i="53" s="1"/>
  <c r="R73" i="53" s="1"/>
  <c r="M59" i="34"/>
  <c r="M59" i="53" s="1"/>
  <c r="R59" i="53" s="1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8" i="53" s="1"/>
  <c r="R58" i="53" s="1"/>
  <c r="U72" i="53" l="1"/>
  <c r="Y72" i="53" s="1"/>
  <c r="Q72" i="53"/>
  <c r="T72" i="53" s="1"/>
  <c r="X72" i="53" s="1"/>
  <c r="S72" i="53"/>
  <c r="V72" i="53" s="1"/>
  <c r="Z72" i="53" s="1"/>
  <c r="U68" i="53"/>
  <c r="Y68" i="53" s="1"/>
  <c r="Q68" i="53"/>
  <c r="T68" i="53" s="1"/>
  <c r="X68" i="53" s="1"/>
  <c r="S68" i="53"/>
  <c r="V68" i="53" s="1"/>
  <c r="Z68" i="53" s="1"/>
  <c r="U64" i="53"/>
  <c r="Y64" i="53" s="1"/>
  <c r="Q64" i="53"/>
  <c r="T64" i="53" s="1"/>
  <c r="X64" i="53" s="1"/>
  <c r="S64" i="53"/>
  <c r="V64" i="53" s="1"/>
  <c r="Z64" i="53" s="1"/>
  <c r="U60" i="53"/>
  <c r="Y60" i="53" s="1"/>
  <c r="Q60" i="53"/>
  <c r="T60" i="53" s="1"/>
  <c r="X60" i="53" s="1"/>
  <c r="S60" i="53"/>
  <c r="V60" i="53" s="1"/>
  <c r="Z60" i="53" s="1"/>
  <c r="M55" i="52"/>
  <c r="R55" i="52" s="1"/>
  <c r="Q55" i="52" s="1"/>
  <c r="T55" i="52" s="1"/>
  <c r="X55" i="52" s="1"/>
  <c r="M55" i="53"/>
  <c r="R55" i="53" s="1"/>
  <c r="M51" i="52"/>
  <c r="R51" i="52" s="1"/>
  <c r="U51" i="52" s="1"/>
  <c r="Y51" i="52" s="1"/>
  <c r="M51" i="53"/>
  <c r="R51" i="53" s="1"/>
  <c r="M47" i="52"/>
  <c r="R47" i="52" s="1"/>
  <c r="S47" i="52" s="1"/>
  <c r="V47" i="52" s="1"/>
  <c r="Z47" i="52" s="1"/>
  <c r="M47" i="53"/>
  <c r="R47" i="53" s="1"/>
  <c r="M43" i="52"/>
  <c r="R43" i="52" s="1"/>
  <c r="U43" i="52" s="1"/>
  <c r="Y43" i="52" s="1"/>
  <c r="M43" i="53"/>
  <c r="R43" i="53" s="1"/>
  <c r="M39" i="52"/>
  <c r="R39" i="52" s="1"/>
  <c r="U39" i="52" s="1"/>
  <c r="Y39" i="52" s="1"/>
  <c r="M39" i="53"/>
  <c r="R39" i="53" s="1"/>
  <c r="M35" i="52"/>
  <c r="R35" i="52" s="1"/>
  <c r="S35" i="52" s="1"/>
  <c r="V35" i="52" s="1"/>
  <c r="Z35" i="52" s="1"/>
  <c r="M35" i="53"/>
  <c r="R35" i="53" s="1"/>
  <c r="M31" i="52"/>
  <c r="R31" i="52" s="1"/>
  <c r="Q31" i="52" s="1"/>
  <c r="T31" i="52" s="1"/>
  <c r="X31" i="52" s="1"/>
  <c r="M31" i="53"/>
  <c r="R31" i="53" s="1"/>
  <c r="M27" i="52"/>
  <c r="R27" i="52" s="1"/>
  <c r="S27" i="52" s="1"/>
  <c r="V27" i="52" s="1"/>
  <c r="Z27" i="52" s="1"/>
  <c r="M27" i="53"/>
  <c r="R27" i="53" s="1"/>
  <c r="U9" i="48"/>
  <c r="Q71" i="53"/>
  <c r="T71" i="53" s="1"/>
  <c r="X71" i="53" s="1"/>
  <c r="S71" i="53"/>
  <c r="V71" i="53" s="1"/>
  <c r="Z71" i="53" s="1"/>
  <c r="U71" i="53"/>
  <c r="Y71" i="53" s="1"/>
  <c r="U67" i="53"/>
  <c r="Y67" i="53" s="1"/>
  <c r="S67" i="53"/>
  <c r="V67" i="53" s="1"/>
  <c r="Z67" i="53" s="1"/>
  <c r="Q67" i="53"/>
  <c r="T67" i="53" s="1"/>
  <c r="X67" i="53" s="1"/>
  <c r="S63" i="53"/>
  <c r="V63" i="53" s="1"/>
  <c r="Z63" i="53" s="1"/>
  <c r="Q63" i="53"/>
  <c r="T63" i="53" s="1"/>
  <c r="X63" i="53" s="1"/>
  <c r="U63" i="53"/>
  <c r="Y63" i="53" s="1"/>
  <c r="M54" i="52"/>
  <c r="R54" i="52" s="1"/>
  <c r="Q54" i="52" s="1"/>
  <c r="T54" i="52" s="1"/>
  <c r="X54" i="52" s="1"/>
  <c r="M54" i="53"/>
  <c r="R54" i="53" s="1"/>
  <c r="M50" i="52"/>
  <c r="R50" i="52" s="1"/>
  <c r="S50" i="52" s="1"/>
  <c r="V50" i="52" s="1"/>
  <c r="Z50" i="52" s="1"/>
  <c r="M50" i="53"/>
  <c r="R50" i="53" s="1"/>
  <c r="M46" i="52"/>
  <c r="R46" i="52" s="1"/>
  <c r="U46" i="52" s="1"/>
  <c r="Y46" i="52" s="1"/>
  <c r="M46" i="53"/>
  <c r="R46" i="53" s="1"/>
  <c r="M42" i="52"/>
  <c r="R42" i="52" s="1"/>
  <c r="S42" i="52" s="1"/>
  <c r="V42" i="52" s="1"/>
  <c r="Z42" i="52" s="1"/>
  <c r="M42" i="53"/>
  <c r="R42" i="53" s="1"/>
  <c r="M38" i="52"/>
  <c r="R38" i="52" s="1"/>
  <c r="S38" i="52" s="1"/>
  <c r="V38" i="52" s="1"/>
  <c r="Z38" i="52" s="1"/>
  <c r="M38" i="53"/>
  <c r="R38" i="53" s="1"/>
  <c r="M34" i="52"/>
  <c r="R34" i="52" s="1"/>
  <c r="Q34" i="52" s="1"/>
  <c r="T34" i="52" s="1"/>
  <c r="X34" i="52" s="1"/>
  <c r="M34" i="53"/>
  <c r="R34" i="53" s="1"/>
  <c r="M30" i="52"/>
  <c r="R30" i="52" s="1"/>
  <c r="U30" i="52" s="1"/>
  <c r="Y30" i="52" s="1"/>
  <c r="M30" i="53"/>
  <c r="R30" i="53" s="1"/>
  <c r="M26" i="52"/>
  <c r="R26" i="52" s="1"/>
  <c r="S26" i="52" s="1"/>
  <c r="V26" i="52" s="1"/>
  <c r="Z26" i="52" s="1"/>
  <c r="M26" i="53"/>
  <c r="R26" i="53" s="1"/>
  <c r="U59" i="53"/>
  <c r="Y59" i="53" s="1"/>
  <c r="S59" i="53"/>
  <c r="V59" i="53" s="1"/>
  <c r="Z59" i="53" s="1"/>
  <c r="Q59" i="53"/>
  <c r="T59" i="53" s="1"/>
  <c r="X59" i="53" s="1"/>
  <c r="M70" i="52"/>
  <c r="R70" i="52" s="1"/>
  <c r="M70" i="53"/>
  <c r="R70" i="53" s="1"/>
  <c r="M66" i="52"/>
  <c r="R66" i="52" s="1"/>
  <c r="M66" i="53"/>
  <c r="R66" i="53" s="1"/>
  <c r="M62" i="52"/>
  <c r="R62" i="52" s="1"/>
  <c r="M62" i="53"/>
  <c r="R62" i="53" s="1"/>
  <c r="S57" i="53"/>
  <c r="V57" i="53" s="1"/>
  <c r="Z57" i="53" s="1"/>
  <c r="Q57" i="53"/>
  <c r="T57" i="53" s="1"/>
  <c r="X57" i="53" s="1"/>
  <c r="U57" i="53"/>
  <c r="Y57" i="53" s="1"/>
  <c r="U53" i="53"/>
  <c r="Y53" i="53" s="1"/>
  <c r="Q53" i="53"/>
  <c r="T53" i="53" s="1"/>
  <c r="X53" i="53" s="1"/>
  <c r="S53" i="53"/>
  <c r="V53" i="53" s="1"/>
  <c r="Z53" i="53" s="1"/>
  <c r="S49" i="53"/>
  <c r="V49" i="53" s="1"/>
  <c r="Z49" i="53" s="1"/>
  <c r="U49" i="53"/>
  <c r="Y49" i="53" s="1"/>
  <c r="Q49" i="53"/>
  <c r="T49" i="53" s="1"/>
  <c r="X49" i="53" s="1"/>
  <c r="S45" i="53"/>
  <c r="V45" i="53" s="1"/>
  <c r="Z45" i="53" s="1"/>
  <c r="U45" i="53"/>
  <c r="Y45" i="53" s="1"/>
  <c r="Q45" i="53"/>
  <c r="T45" i="53" s="1"/>
  <c r="X45" i="53" s="1"/>
  <c r="U41" i="53"/>
  <c r="Y41" i="53" s="1"/>
  <c r="S41" i="53"/>
  <c r="V41" i="53" s="1"/>
  <c r="Z41" i="53" s="1"/>
  <c r="Q41" i="53"/>
  <c r="T41" i="53" s="1"/>
  <c r="X41" i="53" s="1"/>
  <c r="S37" i="53"/>
  <c r="V37" i="53" s="1"/>
  <c r="Z37" i="53" s="1"/>
  <c r="U37" i="53"/>
  <c r="Y37" i="53" s="1"/>
  <c r="Q37" i="53"/>
  <c r="T37" i="53" s="1"/>
  <c r="X37" i="53" s="1"/>
  <c r="U33" i="53"/>
  <c r="Y33" i="53" s="1"/>
  <c r="S33" i="53"/>
  <c r="V33" i="53" s="1"/>
  <c r="Z33" i="53" s="1"/>
  <c r="Q33" i="53"/>
  <c r="T33" i="53" s="1"/>
  <c r="X33" i="53" s="1"/>
  <c r="Q29" i="53"/>
  <c r="T29" i="53" s="1"/>
  <c r="X29" i="53" s="1"/>
  <c r="S29" i="53"/>
  <c r="V29" i="53" s="1"/>
  <c r="Z29" i="53" s="1"/>
  <c r="U29" i="53"/>
  <c r="Y29" i="53" s="1"/>
  <c r="R25" i="53"/>
  <c r="S58" i="53"/>
  <c r="V58" i="53" s="1"/>
  <c r="Z58" i="53" s="1"/>
  <c r="Q58" i="53"/>
  <c r="T58" i="53" s="1"/>
  <c r="X58" i="53" s="1"/>
  <c r="U58" i="53"/>
  <c r="Y58" i="53" s="1"/>
  <c r="U73" i="53"/>
  <c r="Y73" i="53" s="1"/>
  <c r="Q73" i="53"/>
  <c r="T73" i="53" s="1"/>
  <c r="X73" i="53" s="1"/>
  <c r="S73" i="53"/>
  <c r="V73" i="53" s="1"/>
  <c r="Z73" i="53" s="1"/>
  <c r="Q69" i="53"/>
  <c r="T69" i="53" s="1"/>
  <c r="X69" i="53" s="1"/>
  <c r="S69" i="53"/>
  <c r="V69" i="53" s="1"/>
  <c r="Z69" i="53" s="1"/>
  <c r="U69" i="53"/>
  <c r="Y69" i="53" s="1"/>
  <c r="Q65" i="53"/>
  <c r="T65" i="53" s="1"/>
  <c r="X65" i="53" s="1"/>
  <c r="U65" i="53"/>
  <c r="Y65" i="53" s="1"/>
  <c r="S65" i="53"/>
  <c r="V65" i="53" s="1"/>
  <c r="Z65" i="53" s="1"/>
  <c r="Q61" i="53"/>
  <c r="T61" i="53" s="1"/>
  <c r="X61" i="53" s="1"/>
  <c r="U61" i="53"/>
  <c r="Y61" i="53" s="1"/>
  <c r="S61" i="53"/>
  <c r="V61" i="53" s="1"/>
  <c r="Z61" i="53" s="1"/>
  <c r="S56" i="53"/>
  <c r="V56" i="53" s="1"/>
  <c r="Z56" i="53" s="1"/>
  <c r="U56" i="53"/>
  <c r="Y56" i="53" s="1"/>
  <c r="Q56" i="53"/>
  <c r="T56" i="53" s="1"/>
  <c r="X56" i="53" s="1"/>
  <c r="U52" i="53"/>
  <c r="Y52" i="53" s="1"/>
  <c r="S52" i="53"/>
  <c r="V52" i="53" s="1"/>
  <c r="Z52" i="53" s="1"/>
  <c r="Q52" i="53"/>
  <c r="T52" i="53" s="1"/>
  <c r="X52" i="53" s="1"/>
  <c r="U48" i="53"/>
  <c r="Y48" i="53" s="1"/>
  <c r="S48" i="53"/>
  <c r="V48" i="53" s="1"/>
  <c r="Z48" i="53" s="1"/>
  <c r="Q48" i="53"/>
  <c r="T48" i="53" s="1"/>
  <c r="X48" i="53" s="1"/>
  <c r="S44" i="53"/>
  <c r="V44" i="53" s="1"/>
  <c r="Z44" i="53" s="1"/>
  <c r="U44" i="53"/>
  <c r="Y44" i="53" s="1"/>
  <c r="Q44" i="53"/>
  <c r="T44" i="53" s="1"/>
  <c r="X44" i="53" s="1"/>
  <c r="Q40" i="53"/>
  <c r="T40" i="53" s="1"/>
  <c r="X40" i="53" s="1"/>
  <c r="U40" i="53"/>
  <c r="Y40" i="53" s="1"/>
  <c r="S40" i="53"/>
  <c r="V40" i="53" s="1"/>
  <c r="Z40" i="53" s="1"/>
  <c r="S36" i="53"/>
  <c r="V36" i="53" s="1"/>
  <c r="Z36" i="53" s="1"/>
  <c r="U36" i="53"/>
  <c r="Y36" i="53" s="1"/>
  <c r="Q36" i="53"/>
  <c r="T36" i="53" s="1"/>
  <c r="X36" i="53" s="1"/>
  <c r="S32" i="53"/>
  <c r="V32" i="53" s="1"/>
  <c r="Z32" i="53" s="1"/>
  <c r="U32" i="53"/>
  <c r="Y32" i="53" s="1"/>
  <c r="Q32" i="53"/>
  <c r="T32" i="53" s="1"/>
  <c r="X32" i="53" s="1"/>
  <c r="S28" i="53"/>
  <c r="V28" i="53" s="1"/>
  <c r="Z28" i="53" s="1"/>
  <c r="U28" i="53"/>
  <c r="Y28" i="53" s="1"/>
  <c r="Q28" i="53"/>
  <c r="T28" i="53" s="1"/>
  <c r="X28" i="53" s="1"/>
  <c r="M70" i="46"/>
  <c r="M66" i="46"/>
  <c r="M72" i="46"/>
  <c r="M72" i="52"/>
  <c r="R72" i="52" s="1"/>
  <c r="M64" i="46"/>
  <c r="M64" i="52"/>
  <c r="R64" i="52" s="1"/>
  <c r="S51" i="52"/>
  <c r="V51" i="52" s="1"/>
  <c r="Z51" i="52" s="1"/>
  <c r="Q51" i="52"/>
  <c r="T51" i="52" s="1"/>
  <c r="X51" i="52" s="1"/>
  <c r="S43" i="52"/>
  <c r="V43" i="52" s="1"/>
  <c r="Z43" i="52" s="1"/>
  <c r="U35" i="52"/>
  <c r="Y35" i="52" s="1"/>
  <c r="Q35" i="52"/>
  <c r="T35" i="52" s="1"/>
  <c r="X35" i="52" s="1"/>
  <c r="Q27" i="52"/>
  <c r="T27" i="52" s="1"/>
  <c r="X27" i="52" s="1"/>
  <c r="S19" i="52"/>
  <c r="V19" i="52" s="1"/>
  <c r="Z19" i="52" s="1"/>
  <c r="Q19" i="52"/>
  <c r="T19" i="52" s="1"/>
  <c r="X19" i="52" s="1"/>
  <c r="U19" i="52"/>
  <c r="Y19" i="52" s="1"/>
  <c r="M47" i="46"/>
  <c r="M31" i="46"/>
  <c r="M23" i="46"/>
  <c r="R15" i="52"/>
  <c r="S54" i="52"/>
  <c r="V54" i="52" s="1"/>
  <c r="Z54" i="52" s="1"/>
  <c r="S46" i="52"/>
  <c r="V46" i="52" s="1"/>
  <c r="Z46" i="52" s="1"/>
  <c r="Q46" i="52"/>
  <c r="T46" i="52" s="1"/>
  <c r="X46" i="52" s="1"/>
  <c r="U38" i="52"/>
  <c r="Y38" i="52" s="1"/>
  <c r="S30" i="52"/>
  <c r="V30" i="52" s="1"/>
  <c r="Z30" i="52" s="1"/>
  <c r="Q30" i="52"/>
  <c r="T30" i="52" s="1"/>
  <c r="X30" i="52" s="1"/>
  <c r="Q22" i="52"/>
  <c r="T22" i="52" s="1"/>
  <c r="X22" i="52" s="1"/>
  <c r="U22" i="52"/>
  <c r="Y22" i="52" s="1"/>
  <c r="S22" i="52"/>
  <c r="V22" i="52" s="1"/>
  <c r="Z22" i="52" s="1"/>
  <c r="M54" i="46"/>
  <c r="M46" i="46"/>
  <c r="M38" i="46"/>
  <c r="M30" i="46"/>
  <c r="M22" i="46"/>
  <c r="M68" i="46"/>
  <c r="M68" i="52"/>
  <c r="R68" i="52" s="1"/>
  <c r="M60" i="46"/>
  <c r="M60" i="52"/>
  <c r="R60" i="52" s="1"/>
  <c r="S55" i="52"/>
  <c r="V55" i="52" s="1"/>
  <c r="Z55" i="52" s="1"/>
  <c r="Q47" i="52"/>
  <c r="T47" i="52" s="1"/>
  <c r="X47" i="52" s="1"/>
  <c r="U47" i="52"/>
  <c r="Y47" i="52" s="1"/>
  <c r="Q39" i="52"/>
  <c r="T39" i="52" s="1"/>
  <c r="X39" i="52" s="1"/>
  <c r="S31" i="52"/>
  <c r="V31" i="52" s="1"/>
  <c r="Z31" i="52" s="1"/>
  <c r="U31" i="52"/>
  <c r="Y31" i="52" s="1"/>
  <c r="U23" i="52"/>
  <c r="Y23" i="52" s="1"/>
  <c r="Q23" i="52"/>
  <c r="T23" i="52" s="1"/>
  <c r="X23" i="52" s="1"/>
  <c r="S23" i="52"/>
  <c r="V23" i="52" s="1"/>
  <c r="Z23" i="52" s="1"/>
  <c r="M55" i="46"/>
  <c r="M39" i="46"/>
  <c r="M71" i="46"/>
  <c r="M71" i="52"/>
  <c r="R71" i="52" s="1"/>
  <c r="M67" i="46"/>
  <c r="M67" i="52"/>
  <c r="R67" i="52" s="1"/>
  <c r="M63" i="46"/>
  <c r="M63" i="52"/>
  <c r="R63" i="52" s="1"/>
  <c r="Q50" i="52"/>
  <c r="T50" i="52" s="1"/>
  <c r="X50" i="52" s="1"/>
  <c r="U50" i="52"/>
  <c r="Y50" i="52" s="1"/>
  <c r="Q42" i="52"/>
  <c r="T42" i="52" s="1"/>
  <c r="X42" i="52" s="1"/>
  <c r="S34" i="52"/>
  <c r="V34" i="52" s="1"/>
  <c r="Z34" i="52" s="1"/>
  <c r="U34" i="52"/>
  <c r="Y34" i="52" s="1"/>
  <c r="Q26" i="52"/>
  <c r="T26" i="52" s="1"/>
  <c r="X26" i="52" s="1"/>
  <c r="S18" i="52"/>
  <c r="V18" i="52" s="1"/>
  <c r="Z18" i="52" s="1"/>
  <c r="U18" i="52"/>
  <c r="Y18" i="52" s="1"/>
  <c r="Q18" i="52"/>
  <c r="T18" i="52" s="1"/>
  <c r="X18" i="52" s="1"/>
  <c r="M59" i="46"/>
  <c r="M59" i="52"/>
  <c r="R59" i="52" s="1"/>
  <c r="Q70" i="52"/>
  <c r="T70" i="52" s="1"/>
  <c r="X70" i="52" s="1"/>
  <c r="S70" i="52"/>
  <c r="V70" i="52" s="1"/>
  <c r="Z70" i="52" s="1"/>
  <c r="U70" i="52"/>
  <c r="Y70" i="52" s="1"/>
  <c r="Q62" i="52"/>
  <c r="T62" i="52" s="1"/>
  <c r="X62" i="52" s="1"/>
  <c r="S62" i="52"/>
  <c r="V62" i="52" s="1"/>
  <c r="Z62" i="52" s="1"/>
  <c r="U62" i="52"/>
  <c r="Y62" i="52" s="1"/>
  <c r="M57" i="46"/>
  <c r="M57" i="52"/>
  <c r="R57" i="52" s="1"/>
  <c r="M53" i="46"/>
  <c r="M53" i="52"/>
  <c r="R53" i="52" s="1"/>
  <c r="M49" i="46"/>
  <c r="M49" i="52"/>
  <c r="R49" i="52" s="1"/>
  <c r="M45" i="46"/>
  <c r="M45" i="52"/>
  <c r="R45" i="52" s="1"/>
  <c r="M41" i="46"/>
  <c r="M41" i="52"/>
  <c r="R41" i="52" s="1"/>
  <c r="M37" i="46"/>
  <c r="M37" i="52"/>
  <c r="R37" i="52" s="1"/>
  <c r="M33" i="46"/>
  <c r="M33" i="52"/>
  <c r="R33" i="52" s="1"/>
  <c r="M29" i="46"/>
  <c r="M29" i="52"/>
  <c r="R29" i="52" s="1"/>
  <c r="M25" i="46"/>
  <c r="M25" i="52"/>
  <c r="R25" i="52" s="1"/>
  <c r="M21" i="46"/>
  <c r="M21" i="52"/>
  <c r="R21" i="52" s="1"/>
  <c r="M17" i="46"/>
  <c r="M17" i="52"/>
  <c r="R17" i="52" s="1"/>
  <c r="M51" i="46"/>
  <c r="M43" i="46"/>
  <c r="M35" i="46"/>
  <c r="M27" i="46"/>
  <c r="M19" i="46"/>
  <c r="M62" i="46"/>
  <c r="S66" i="52"/>
  <c r="V66" i="52" s="1"/>
  <c r="Z66" i="52" s="1"/>
  <c r="U66" i="52"/>
  <c r="Y66" i="52" s="1"/>
  <c r="Q66" i="52"/>
  <c r="T66" i="52" s="1"/>
  <c r="X66" i="52" s="1"/>
  <c r="M58" i="46"/>
  <c r="M58" i="52"/>
  <c r="R58" i="52" s="1"/>
  <c r="M73" i="46"/>
  <c r="M73" i="52"/>
  <c r="R73" i="52" s="1"/>
  <c r="M69" i="46"/>
  <c r="M69" i="52"/>
  <c r="R69" i="52" s="1"/>
  <c r="M65" i="46"/>
  <c r="M65" i="52"/>
  <c r="R65" i="52" s="1"/>
  <c r="M61" i="46"/>
  <c r="M61" i="52"/>
  <c r="R61" i="52" s="1"/>
  <c r="M56" i="46"/>
  <c r="M56" i="52"/>
  <c r="R56" i="52" s="1"/>
  <c r="M52" i="46"/>
  <c r="M52" i="52"/>
  <c r="R52" i="52" s="1"/>
  <c r="M48" i="46"/>
  <c r="M48" i="52"/>
  <c r="R48" i="52" s="1"/>
  <c r="M44" i="46"/>
  <c r="M44" i="52"/>
  <c r="R44" i="52" s="1"/>
  <c r="M40" i="46"/>
  <c r="M40" i="52"/>
  <c r="R40" i="52" s="1"/>
  <c r="M36" i="46"/>
  <c r="M36" i="52"/>
  <c r="R36" i="52" s="1"/>
  <c r="M32" i="46"/>
  <c r="M32" i="52"/>
  <c r="R32" i="52" s="1"/>
  <c r="M28" i="46"/>
  <c r="M28" i="52"/>
  <c r="R28" i="52" s="1"/>
  <c r="M24" i="46"/>
  <c r="M24" i="52"/>
  <c r="R24" i="52" s="1"/>
  <c r="M20" i="46"/>
  <c r="M20" i="52"/>
  <c r="R20" i="52" s="1"/>
  <c r="M16" i="46"/>
  <c r="M16" i="52"/>
  <c r="R16" i="52" s="1"/>
  <c r="M15" i="46"/>
  <c r="M50" i="46"/>
  <c r="M42" i="46"/>
  <c r="M34" i="46"/>
  <c r="M26" i="46"/>
  <c r="M18" i="46"/>
  <c r="B37" i="48"/>
  <c r="W36" i="48"/>
  <c r="S24" i="48"/>
  <c r="Q24" i="48"/>
  <c r="G74" i="48"/>
  <c r="J15" i="48"/>
  <c r="F15" i="48"/>
  <c r="G8" i="48"/>
  <c r="H15" i="48"/>
  <c r="H20" i="48"/>
  <c r="K20" i="48" s="1"/>
  <c r="J20" i="48"/>
  <c r="U20" i="48" s="1"/>
  <c r="Y20" i="48" s="1"/>
  <c r="F20" i="48"/>
  <c r="I20" i="48" s="1"/>
  <c r="H39" i="48"/>
  <c r="K39" i="48" s="1"/>
  <c r="F39" i="48"/>
  <c r="I39" i="48" s="1"/>
  <c r="J39" i="48"/>
  <c r="J24" i="48"/>
  <c r="U24" i="48" s="1"/>
  <c r="Y24" i="48" s="1"/>
  <c r="F24" i="48"/>
  <c r="I24" i="48" s="1"/>
  <c r="H24" i="48"/>
  <c r="K24" i="48" s="1"/>
  <c r="J37" i="48"/>
  <c r="F37" i="48"/>
  <c r="I37" i="48" s="1"/>
  <c r="H37" i="48"/>
  <c r="K37" i="48" s="1"/>
  <c r="J48" i="48"/>
  <c r="F48" i="48"/>
  <c r="I48" i="48" s="1"/>
  <c r="H48" i="48"/>
  <c r="K48" i="48" s="1"/>
  <c r="H71" i="48"/>
  <c r="K71" i="48" s="1"/>
  <c r="F71" i="48"/>
  <c r="I71" i="48" s="1"/>
  <c r="J71" i="48"/>
  <c r="H72" i="48"/>
  <c r="K72" i="48" s="1"/>
  <c r="J72" i="48"/>
  <c r="F72" i="48"/>
  <c r="I72" i="48" s="1"/>
  <c r="T13" i="48"/>
  <c r="H26" i="48"/>
  <c r="K26" i="48" s="1"/>
  <c r="J26" i="48"/>
  <c r="F26" i="48"/>
  <c r="I26" i="48" s="1"/>
  <c r="J38" i="48"/>
  <c r="F38" i="48"/>
  <c r="I38" i="48" s="1"/>
  <c r="H38" i="48"/>
  <c r="K38" i="48" s="1"/>
  <c r="H17" i="48"/>
  <c r="K17" i="48" s="1"/>
  <c r="V17" i="48" s="1"/>
  <c r="Z17" i="48" s="1"/>
  <c r="J17" i="48"/>
  <c r="U17" i="48" s="1"/>
  <c r="Y17" i="48" s="1"/>
  <c r="F17" i="48"/>
  <c r="I17" i="48" s="1"/>
  <c r="H21" i="48"/>
  <c r="K21" i="48" s="1"/>
  <c r="J21" i="48"/>
  <c r="U21" i="48" s="1"/>
  <c r="Y21" i="48" s="1"/>
  <c r="F21" i="48"/>
  <c r="I21" i="48" s="1"/>
  <c r="J34" i="48"/>
  <c r="F34" i="48"/>
  <c r="I34" i="48" s="1"/>
  <c r="H34" i="48"/>
  <c r="K34" i="48" s="1"/>
  <c r="H60" i="48"/>
  <c r="K60" i="48" s="1"/>
  <c r="F60" i="48"/>
  <c r="I60" i="48" s="1"/>
  <c r="J60" i="48"/>
  <c r="J59" i="48"/>
  <c r="F59" i="48"/>
  <c r="I59" i="48" s="1"/>
  <c r="H59" i="48"/>
  <c r="K59" i="48" s="1"/>
  <c r="H44" i="48"/>
  <c r="K44" i="48" s="1"/>
  <c r="F44" i="48"/>
  <c r="I44" i="48" s="1"/>
  <c r="J44" i="48"/>
  <c r="J27" i="48"/>
  <c r="F27" i="48"/>
  <c r="I27" i="48" s="1"/>
  <c r="H27" i="48"/>
  <c r="K27" i="48" s="1"/>
  <c r="J41" i="48"/>
  <c r="F41" i="48"/>
  <c r="I41" i="48" s="1"/>
  <c r="H41" i="48"/>
  <c r="K41" i="48" s="1"/>
  <c r="H47" i="48"/>
  <c r="K47" i="48" s="1"/>
  <c r="F47" i="48"/>
  <c r="I47" i="48" s="1"/>
  <c r="J47" i="48"/>
  <c r="J52" i="48"/>
  <c r="F52" i="48"/>
  <c r="I52" i="48" s="1"/>
  <c r="H52" i="48"/>
  <c r="K52" i="48" s="1"/>
  <c r="H55" i="48"/>
  <c r="K55" i="48" s="1"/>
  <c r="F55" i="48"/>
  <c r="I55" i="48" s="1"/>
  <c r="J55" i="48"/>
  <c r="J66" i="48"/>
  <c r="F66" i="48"/>
  <c r="I66" i="48" s="1"/>
  <c r="H66" i="48"/>
  <c r="K66" i="48" s="1"/>
  <c r="J65" i="48"/>
  <c r="F65" i="48"/>
  <c r="I65" i="48" s="1"/>
  <c r="H65" i="48"/>
  <c r="K65" i="48" s="1"/>
  <c r="T17" i="48"/>
  <c r="X17" i="48" s="1"/>
  <c r="R25" i="48"/>
  <c r="L26" i="48"/>
  <c r="V13" i="48"/>
  <c r="H35" i="48"/>
  <c r="K35" i="48" s="1"/>
  <c r="J35" i="48"/>
  <c r="F35" i="48"/>
  <c r="I35" i="48" s="1"/>
  <c r="J49" i="48"/>
  <c r="F49" i="48"/>
  <c r="I49" i="48" s="1"/>
  <c r="H49" i="48"/>
  <c r="K49" i="48" s="1"/>
  <c r="H19" i="48"/>
  <c r="K19" i="48" s="1"/>
  <c r="V19" i="48" s="1"/>
  <c r="Z19" i="48" s="1"/>
  <c r="J19" i="48"/>
  <c r="U19" i="48" s="1"/>
  <c r="Y19" i="48" s="1"/>
  <c r="F19" i="48"/>
  <c r="I19" i="48" s="1"/>
  <c r="J25" i="48"/>
  <c r="F25" i="48"/>
  <c r="I25" i="48" s="1"/>
  <c r="H25" i="48"/>
  <c r="K25" i="48" s="1"/>
  <c r="H54" i="48"/>
  <c r="K54" i="48" s="1"/>
  <c r="J54" i="48"/>
  <c r="F54" i="48"/>
  <c r="I54" i="48" s="1"/>
  <c r="H31" i="48"/>
  <c r="K31" i="48" s="1"/>
  <c r="F31" i="48"/>
  <c r="I31" i="48" s="1"/>
  <c r="J31" i="48"/>
  <c r="H36" i="48"/>
  <c r="K36" i="48" s="1"/>
  <c r="F36" i="48"/>
  <c r="I36" i="48" s="1"/>
  <c r="J36" i="48"/>
  <c r="J57" i="48"/>
  <c r="F57" i="48"/>
  <c r="I57" i="48" s="1"/>
  <c r="H57" i="48"/>
  <c r="K57" i="48" s="1"/>
  <c r="J33" i="48"/>
  <c r="F33" i="48"/>
  <c r="I33" i="48" s="1"/>
  <c r="H33" i="48"/>
  <c r="K33" i="48" s="1"/>
  <c r="J53" i="48"/>
  <c r="F53" i="48"/>
  <c r="I53" i="48" s="1"/>
  <c r="H53" i="48"/>
  <c r="K53" i="48" s="1"/>
  <c r="F62" i="48"/>
  <c r="I62" i="48" s="1"/>
  <c r="J62" i="48"/>
  <c r="H62" i="48"/>
  <c r="K62" i="48" s="1"/>
  <c r="J70" i="48"/>
  <c r="F70" i="48"/>
  <c r="I70" i="48" s="1"/>
  <c r="H70" i="48"/>
  <c r="K70" i="48" s="1"/>
  <c r="J56" i="48"/>
  <c r="F56" i="48"/>
  <c r="I56" i="48" s="1"/>
  <c r="H56" i="48"/>
  <c r="K56" i="48" s="1"/>
  <c r="H68" i="48"/>
  <c r="K68" i="48" s="1"/>
  <c r="F68" i="48"/>
  <c r="I68" i="48" s="1"/>
  <c r="J68" i="48"/>
  <c r="J73" i="48"/>
  <c r="F73" i="48"/>
  <c r="I73" i="48" s="1"/>
  <c r="H73" i="48"/>
  <c r="K73" i="48" s="1"/>
  <c r="V18" i="48"/>
  <c r="Z18" i="48" s="1"/>
  <c r="T21" i="48"/>
  <c r="X21" i="48" s="1"/>
  <c r="H16" i="48"/>
  <c r="K16" i="48" s="1"/>
  <c r="F16" i="48"/>
  <c r="I16" i="48" s="1"/>
  <c r="T16" i="48" s="1"/>
  <c r="X16" i="48" s="1"/>
  <c r="J16" i="48"/>
  <c r="U16" i="48" s="1"/>
  <c r="Y16" i="48" s="1"/>
  <c r="H28" i="48"/>
  <c r="K28" i="48" s="1"/>
  <c r="J28" i="48"/>
  <c r="F28" i="48"/>
  <c r="I28" i="48" s="1"/>
  <c r="H50" i="48"/>
  <c r="K50" i="48" s="1"/>
  <c r="F50" i="48"/>
  <c r="I50" i="48" s="1"/>
  <c r="J50" i="48"/>
  <c r="H40" i="48"/>
  <c r="K40" i="48" s="1"/>
  <c r="J40" i="48"/>
  <c r="F40" i="48"/>
  <c r="I40" i="48" s="1"/>
  <c r="H63" i="48"/>
  <c r="K63" i="48" s="1"/>
  <c r="F63" i="48"/>
  <c r="I63" i="48" s="1"/>
  <c r="J63" i="48"/>
  <c r="J58" i="48"/>
  <c r="F58" i="48"/>
  <c r="I58" i="48" s="1"/>
  <c r="H58" i="48"/>
  <c r="K58" i="48" s="1"/>
  <c r="V20" i="48"/>
  <c r="Z20" i="48" s="1"/>
  <c r="V16" i="48"/>
  <c r="Z16" i="48" s="1"/>
  <c r="V21" i="48"/>
  <c r="Z21" i="48" s="1"/>
  <c r="Y13" i="48"/>
  <c r="J30" i="48"/>
  <c r="F30" i="48"/>
  <c r="I30" i="48" s="1"/>
  <c r="H30" i="48"/>
  <c r="K30" i="48" s="1"/>
  <c r="H43" i="48"/>
  <c r="K43" i="48" s="1"/>
  <c r="J43" i="48"/>
  <c r="F43" i="48"/>
  <c r="I43" i="48" s="1"/>
  <c r="H18" i="48"/>
  <c r="K18" i="48" s="1"/>
  <c r="J18" i="48"/>
  <c r="U18" i="48" s="1"/>
  <c r="Y18" i="48" s="1"/>
  <c r="F18" i="48"/>
  <c r="I18" i="48" s="1"/>
  <c r="T18" i="48" s="1"/>
  <c r="X18" i="48" s="1"/>
  <c r="H22" i="48"/>
  <c r="K22" i="48" s="1"/>
  <c r="V22" i="48" s="1"/>
  <c r="Z22" i="48" s="1"/>
  <c r="J22" i="48"/>
  <c r="U22" i="48" s="1"/>
  <c r="Y22" i="48" s="1"/>
  <c r="F22" i="48"/>
  <c r="I22" i="48" s="1"/>
  <c r="T22" i="48" s="1"/>
  <c r="X22" i="48" s="1"/>
  <c r="J42" i="48"/>
  <c r="F42" i="48"/>
  <c r="I42" i="48" s="1"/>
  <c r="H42" i="48"/>
  <c r="K42" i="48" s="1"/>
  <c r="J23" i="48"/>
  <c r="U23" i="48" s="1"/>
  <c r="Y23" i="48" s="1"/>
  <c r="F23" i="48"/>
  <c r="I23" i="48" s="1"/>
  <c r="T23" i="48" s="1"/>
  <c r="X23" i="48" s="1"/>
  <c r="H23" i="48"/>
  <c r="K23" i="48" s="1"/>
  <c r="V23" i="48" s="1"/>
  <c r="Z23" i="48" s="1"/>
  <c r="H32" i="48"/>
  <c r="K32" i="48" s="1"/>
  <c r="J32" i="48"/>
  <c r="F32" i="48"/>
  <c r="I32" i="48" s="1"/>
  <c r="H46" i="48"/>
  <c r="K46" i="48" s="1"/>
  <c r="J46" i="48"/>
  <c r="F46" i="48"/>
  <c r="I46" i="48" s="1"/>
  <c r="J29" i="48"/>
  <c r="F29" i="48"/>
  <c r="I29" i="48" s="1"/>
  <c r="H29" i="48"/>
  <c r="K29" i="48" s="1"/>
  <c r="J45" i="48"/>
  <c r="F45" i="48"/>
  <c r="I45" i="48" s="1"/>
  <c r="H45" i="48"/>
  <c r="K45" i="48" s="1"/>
  <c r="H51" i="48"/>
  <c r="K51" i="48" s="1"/>
  <c r="J51" i="48"/>
  <c r="F51" i="48"/>
  <c r="I51" i="48" s="1"/>
  <c r="J61" i="48"/>
  <c r="F61" i="48"/>
  <c r="I61" i="48" s="1"/>
  <c r="H61" i="48"/>
  <c r="K61" i="48" s="1"/>
  <c r="H67" i="48"/>
  <c r="K67" i="48" s="1"/>
  <c r="J67" i="48"/>
  <c r="F67" i="48"/>
  <c r="I67" i="48" s="1"/>
  <c r="H64" i="48"/>
  <c r="K64" i="48" s="1"/>
  <c r="J64" i="48"/>
  <c r="F64" i="48"/>
  <c r="I64" i="48" s="1"/>
  <c r="J69" i="48"/>
  <c r="F69" i="48"/>
  <c r="I69" i="48" s="1"/>
  <c r="H69" i="48"/>
  <c r="K69" i="48" s="1"/>
  <c r="T20" i="48"/>
  <c r="X20" i="48" s="1"/>
  <c r="T19" i="48"/>
  <c r="X19" i="48" s="1"/>
  <c r="M29" i="34"/>
  <c r="M26" i="34"/>
  <c r="M20" i="34"/>
  <c r="M19" i="34"/>
  <c r="M31" i="34"/>
  <c r="M35" i="34"/>
  <c r="U26" i="52" l="1"/>
  <c r="Y26" i="52" s="1"/>
  <c r="U42" i="52"/>
  <c r="Y42" i="52" s="1"/>
  <c r="S39" i="52"/>
  <c r="V39" i="52" s="1"/>
  <c r="Z39" i="52" s="1"/>
  <c r="U55" i="52"/>
  <c r="Y55" i="52" s="1"/>
  <c r="Q38" i="52"/>
  <c r="T38" i="52" s="1"/>
  <c r="X38" i="52" s="1"/>
  <c r="U54" i="52"/>
  <c r="Y54" i="52" s="1"/>
  <c r="U27" i="52"/>
  <c r="Y27" i="52" s="1"/>
  <c r="Q43" i="52"/>
  <c r="T43" i="52" s="1"/>
  <c r="X43" i="52" s="1"/>
  <c r="M74" i="53"/>
  <c r="S30" i="53"/>
  <c r="V30" i="53" s="1"/>
  <c r="Z30" i="53" s="1"/>
  <c r="U30" i="53"/>
  <c r="Y30" i="53" s="1"/>
  <c r="Q30" i="53"/>
  <c r="T30" i="53" s="1"/>
  <c r="X30" i="53" s="1"/>
  <c r="U38" i="53"/>
  <c r="Y38" i="53" s="1"/>
  <c r="Q38" i="53"/>
  <c r="T38" i="53" s="1"/>
  <c r="X38" i="53" s="1"/>
  <c r="S38" i="53"/>
  <c r="V38" i="53" s="1"/>
  <c r="Z38" i="53" s="1"/>
  <c r="Q46" i="53"/>
  <c r="T46" i="53" s="1"/>
  <c r="X46" i="53" s="1"/>
  <c r="U46" i="53"/>
  <c r="Y46" i="53" s="1"/>
  <c r="S46" i="53"/>
  <c r="V46" i="53" s="1"/>
  <c r="Z46" i="53" s="1"/>
  <c r="S54" i="53"/>
  <c r="V54" i="53" s="1"/>
  <c r="Z54" i="53" s="1"/>
  <c r="Q54" i="53"/>
  <c r="T54" i="53" s="1"/>
  <c r="X54" i="53" s="1"/>
  <c r="U54" i="53"/>
  <c r="Y54" i="53" s="1"/>
  <c r="S27" i="53"/>
  <c r="V27" i="53" s="1"/>
  <c r="Z27" i="53" s="1"/>
  <c r="U27" i="53"/>
  <c r="Y27" i="53" s="1"/>
  <c r="Q27" i="53"/>
  <c r="T27" i="53" s="1"/>
  <c r="X27" i="53" s="1"/>
  <c r="S35" i="53"/>
  <c r="V35" i="53" s="1"/>
  <c r="Z35" i="53" s="1"/>
  <c r="Q35" i="53"/>
  <c r="T35" i="53" s="1"/>
  <c r="X35" i="53" s="1"/>
  <c r="U35" i="53"/>
  <c r="Y35" i="53" s="1"/>
  <c r="S43" i="53"/>
  <c r="V43" i="53" s="1"/>
  <c r="Z43" i="53" s="1"/>
  <c r="Q43" i="53"/>
  <c r="T43" i="53" s="1"/>
  <c r="X43" i="53" s="1"/>
  <c r="U43" i="53"/>
  <c r="Y43" i="53" s="1"/>
  <c r="U51" i="53"/>
  <c r="Y51" i="53" s="1"/>
  <c r="S51" i="53"/>
  <c r="V51" i="53" s="1"/>
  <c r="Z51" i="53" s="1"/>
  <c r="Q51" i="53"/>
  <c r="T51" i="53" s="1"/>
  <c r="X51" i="53" s="1"/>
  <c r="Q62" i="53"/>
  <c r="T62" i="53" s="1"/>
  <c r="X62" i="53" s="1"/>
  <c r="S62" i="53"/>
  <c r="V62" i="53" s="1"/>
  <c r="Z62" i="53" s="1"/>
  <c r="U62" i="53"/>
  <c r="Y62" i="53" s="1"/>
  <c r="S70" i="53"/>
  <c r="V70" i="53" s="1"/>
  <c r="Z70" i="53" s="1"/>
  <c r="U70" i="53"/>
  <c r="Y70" i="53" s="1"/>
  <c r="Q70" i="53"/>
  <c r="T70" i="53" s="1"/>
  <c r="X70" i="53" s="1"/>
  <c r="S26" i="53"/>
  <c r="V26" i="53" s="1"/>
  <c r="Z26" i="53" s="1"/>
  <c r="U26" i="53"/>
  <c r="Y26" i="53" s="1"/>
  <c r="Q26" i="53"/>
  <c r="T26" i="53" s="1"/>
  <c r="X26" i="53" s="1"/>
  <c r="Q34" i="53"/>
  <c r="T34" i="53" s="1"/>
  <c r="X34" i="53" s="1"/>
  <c r="U34" i="53"/>
  <c r="Y34" i="53" s="1"/>
  <c r="S34" i="53"/>
  <c r="V34" i="53" s="1"/>
  <c r="Z34" i="53" s="1"/>
  <c r="Q42" i="53"/>
  <c r="T42" i="53" s="1"/>
  <c r="X42" i="53" s="1"/>
  <c r="U42" i="53"/>
  <c r="Y42" i="53" s="1"/>
  <c r="S42" i="53"/>
  <c r="V42" i="53" s="1"/>
  <c r="Z42" i="53" s="1"/>
  <c r="U50" i="53"/>
  <c r="Y50" i="53" s="1"/>
  <c r="S50" i="53"/>
  <c r="V50" i="53" s="1"/>
  <c r="Z50" i="53" s="1"/>
  <c r="Q50" i="53"/>
  <c r="T50" i="53" s="1"/>
  <c r="X50" i="53" s="1"/>
  <c r="S31" i="53"/>
  <c r="V31" i="53" s="1"/>
  <c r="Z31" i="53" s="1"/>
  <c r="U31" i="53"/>
  <c r="Y31" i="53" s="1"/>
  <c r="Q31" i="53"/>
  <c r="T31" i="53" s="1"/>
  <c r="X31" i="53" s="1"/>
  <c r="Q39" i="53"/>
  <c r="T39" i="53" s="1"/>
  <c r="X39" i="53" s="1"/>
  <c r="S39" i="53"/>
  <c r="V39" i="53" s="1"/>
  <c r="Z39" i="53" s="1"/>
  <c r="U39" i="53"/>
  <c r="Y39" i="53" s="1"/>
  <c r="U47" i="53"/>
  <c r="Y47" i="53" s="1"/>
  <c r="S47" i="53"/>
  <c r="V47" i="53" s="1"/>
  <c r="Z47" i="53" s="1"/>
  <c r="Q47" i="53"/>
  <c r="T47" i="53" s="1"/>
  <c r="X47" i="53" s="1"/>
  <c r="S55" i="53"/>
  <c r="V55" i="53" s="1"/>
  <c r="Z55" i="53" s="1"/>
  <c r="U55" i="53"/>
  <c r="Y55" i="53" s="1"/>
  <c r="Q55" i="53"/>
  <c r="T55" i="53" s="1"/>
  <c r="X55" i="53" s="1"/>
  <c r="S25" i="53"/>
  <c r="U25" i="53"/>
  <c r="Q25" i="53"/>
  <c r="R74" i="53"/>
  <c r="M20" i="24" s="1"/>
  <c r="S66" i="53"/>
  <c r="V66" i="53" s="1"/>
  <c r="Z66" i="53" s="1"/>
  <c r="Q66" i="53"/>
  <c r="T66" i="53" s="1"/>
  <c r="X66" i="53" s="1"/>
  <c r="U66" i="53"/>
  <c r="Y66" i="53" s="1"/>
  <c r="U25" i="52"/>
  <c r="Y25" i="52" s="1"/>
  <c r="S25" i="52"/>
  <c r="V25" i="52" s="1"/>
  <c r="Z25" i="52" s="1"/>
  <c r="Q25" i="52"/>
  <c r="T25" i="52" s="1"/>
  <c r="X25" i="52" s="1"/>
  <c r="S41" i="52"/>
  <c r="V41" i="52" s="1"/>
  <c r="Z41" i="52" s="1"/>
  <c r="U41" i="52"/>
  <c r="Y41" i="52" s="1"/>
  <c r="Q41" i="52"/>
  <c r="T41" i="52" s="1"/>
  <c r="X41" i="52" s="1"/>
  <c r="S57" i="52"/>
  <c r="V57" i="52" s="1"/>
  <c r="Z57" i="52" s="1"/>
  <c r="U57" i="52"/>
  <c r="Y57" i="52" s="1"/>
  <c r="Q57" i="52"/>
  <c r="T57" i="52" s="1"/>
  <c r="X57" i="52" s="1"/>
  <c r="U60" i="52"/>
  <c r="Y60" i="52" s="1"/>
  <c r="Q60" i="52"/>
  <c r="T60" i="52" s="1"/>
  <c r="X60" i="52" s="1"/>
  <c r="S60" i="52"/>
  <c r="V60" i="52" s="1"/>
  <c r="Z60" i="52" s="1"/>
  <c r="M74" i="52"/>
  <c r="U64" i="52"/>
  <c r="Y64" i="52" s="1"/>
  <c r="Q64" i="52"/>
  <c r="T64" i="52" s="1"/>
  <c r="X64" i="52" s="1"/>
  <c r="S64" i="52"/>
  <c r="V64" i="52" s="1"/>
  <c r="Z64" i="52" s="1"/>
  <c r="Q36" i="52"/>
  <c r="T36" i="52" s="1"/>
  <c r="X36" i="52" s="1"/>
  <c r="U36" i="52"/>
  <c r="Y36" i="52" s="1"/>
  <c r="S36" i="52"/>
  <c r="V36" i="52" s="1"/>
  <c r="Z36" i="52" s="1"/>
  <c r="S61" i="52"/>
  <c r="V61" i="52" s="1"/>
  <c r="Z61" i="52" s="1"/>
  <c r="U61" i="52"/>
  <c r="Y61" i="52" s="1"/>
  <c r="Q61" i="52"/>
  <c r="T61" i="52" s="1"/>
  <c r="X61" i="52" s="1"/>
  <c r="U58" i="52"/>
  <c r="Y58" i="52" s="1"/>
  <c r="S58" i="52"/>
  <c r="V58" i="52" s="1"/>
  <c r="Z58" i="52" s="1"/>
  <c r="Q58" i="52"/>
  <c r="T58" i="52" s="1"/>
  <c r="X58" i="52" s="1"/>
  <c r="U63" i="52"/>
  <c r="Y63" i="52" s="1"/>
  <c r="Q63" i="52"/>
  <c r="T63" i="52" s="1"/>
  <c r="X63" i="52" s="1"/>
  <c r="S63" i="52"/>
  <c r="V63" i="52" s="1"/>
  <c r="Z63" i="52" s="1"/>
  <c r="S21" i="52"/>
  <c r="V21" i="52" s="1"/>
  <c r="Z21" i="52" s="1"/>
  <c r="U21" i="52"/>
  <c r="Y21" i="52" s="1"/>
  <c r="Q21" i="52"/>
  <c r="T21" i="52" s="1"/>
  <c r="X21" i="52" s="1"/>
  <c r="U29" i="52"/>
  <c r="Y29" i="52" s="1"/>
  <c r="Q29" i="52"/>
  <c r="T29" i="52" s="1"/>
  <c r="X29" i="52" s="1"/>
  <c r="S29" i="52"/>
  <c r="V29" i="52" s="1"/>
  <c r="Z29" i="52" s="1"/>
  <c r="U37" i="52"/>
  <c r="Y37" i="52" s="1"/>
  <c r="Q37" i="52"/>
  <c r="T37" i="52" s="1"/>
  <c r="X37" i="52" s="1"/>
  <c r="S37" i="52"/>
  <c r="V37" i="52" s="1"/>
  <c r="Z37" i="52" s="1"/>
  <c r="U45" i="52"/>
  <c r="Y45" i="52" s="1"/>
  <c r="Q45" i="52"/>
  <c r="T45" i="52" s="1"/>
  <c r="X45" i="52" s="1"/>
  <c r="S45" i="52"/>
  <c r="V45" i="52" s="1"/>
  <c r="Z45" i="52" s="1"/>
  <c r="U53" i="52"/>
  <c r="Y53" i="52" s="1"/>
  <c r="Q53" i="52"/>
  <c r="T53" i="52" s="1"/>
  <c r="X53" i="52" s="1"/>
  <c r="S53" i="52"/>
  <c r="V53" i="52" s="1"/>
  <c r="Z53" i="52" s="1"/>
  <c r="S68" i="52"/>
  <c r="V68" i="52" s="1"/>
  <c r="Z68" i="52" s="1"/>
  <c r="Q68" i="52"/>
  <c r="T68" i="52" s="1"/>
  <c r="X68" i="52" s="1"/>
  <c r="U68" i="52"/>
  <c r="Y68" i="52" s="1"/>
  <c r="U72" i="52"/>
  <c r="Y72" i="52" s="1"/>
  <c r="Q72" i="52"/>
  <c r="T72" i="52" s="1"/>
  <c r="X72" i="52" s="1"/>
  <c r="S72" i="52"/>
  <c r="V72" i="52" s="1"/>
  <c r="Z72" i="52" s="1"/>
  <c r="Q17" i="52"/>
  <c r="T17" i="52" s="1"/>
  <c r="X17" i="52" s="1"/>
  <c r="S17" i="52"/>
  <c r="V17" i="52" s="1"/>
  <c r="Z17" i="52" s="1"/>
  <c r="U17" i="52"/>
  <c r="Y17" i="52" s="1"/>
  <c r="S33" i="52"/>
  <c r="V33" i="52" s="1"/>
  <c r="Z33" i="52" s="1"/>
  <c r="U33" i="52"/>
  <c r="Y33" i="52" s="1"/>
  <c r="Q33" i="52"/>
  <c r="T33" i="52" s="1"/>
  <c r="X33" i="52" s="1"/>
  <c r="U49" i="52"/>
  <c r="Y49" i="52" s="1"/>
  <c r="Q49" i="52"/>
  <c r="T49" i="52" s="1"/>
  <c r="X49" i="52" s="1"/>
  <c r="S49" i="52"/>
  <c r="V49" i="52" s="1"/>
  <c r="Z49" i="52" s="1"/>
  <c r="Q59" i="52"/>
  <c r="T59" i="52" s="1"/>
  <c r="X59" i="52" s="1"/>
  <c r="U59" i="52"/>
  <c r="Y59" i="52" s="1"/>
  <c r="S59" i="52"/>
  <c r="V59" i="52" s="1"/>
  <c r="Z59" i="52" s="1"/>
  <c r="S20" i="52"/>
  <c r="V20" i="52" s="1"/>
  <c r="Z20" i="52" s="1"/>
  <c r="Q20" i="52"/>
  <c r="T20" i="52" s="1"/>
  <c r="X20" i="52" s="1"/>
  <c r="U20" i="52"/>
  <c r="Y20" i="52" s="1"/>
  <c r="Q28" i="52"/>
  <c r="T28" i="52" s="1"/>
  <c r="X28" i="52" s="1"/>
  <c r="S28" i="52"/>
  <c r="V28" i="52" s="1"/>
  <c r="Z28" i="52" s="1"/>
  <c r="U28" i="52"/>
  <c r="Y28" i="52" s="1"/>
  <c r="Q44" i="52"/>
  <c r="T44" i="52" s="1"/>
  <c r="X44" i="52" s="1"/>
  <c r="U44" i="52"/>
  <c r="Y44" i="52" s="1"/>
  <c r="S44" i="52"/>
  <c r="V44" i="52" s="1"/>
  <c r="Z44" i="52" s="1"/>
  <c r="S52" i="52"/>
  <c r="V52" i="52" s="1"/>
  <c r="Z52" i="52" s="1"/>
  <c r="U52" i="52"/>
  <c r="Y52" i="52" s="1"/>
  <c r="Q52" i="52"/>
  <c r="T52" i="52" s="1"/>
  <c r="X52" i="52" s="1"/>
  <c r="U69" i="52"/>
  <c r="Y69" i="52" s="1"/>
  <c r="S69" i="52"/>
  <c r="V69" i="52" s="1"/>
  <c r="Z69" i="52" s="1"/>
  <c r="Q69" i="52"/>
  <c r="T69" i="52" s="1"/>
  <c r="X69" i="52" s="1"/>
  <c r="S71" i="52"/>
  <c r="V71" i="52" s="1"/>
  <c r="Z71" i="52" s="1"/>
  <c r="Q71" i="52"/>
  <c r="T71" i="52" s="1"/>
  <c r="X71" i="52" s="1"/>
  <c r="U71" i="52"/>
  <c r="Y71" i="52" s="1"/>
  <c r="S15" i="52"/>
  <c r="Q15" i="52"/>
  <c r="U15" i="52"/>
  <c r="R74" i="52"/>
  <c r="S16" i="52"/>
  <c r="V16" i="52" s="1"/>
  <c r="Z16" i="52" s="1"/>
  <c r="Q16" i="52"/>
  <c r="T16" i="52" s="1"/>
  <c r="X16" i="52" s="1"/>
  <c r="U16" i="52"/>
  <c r="Y16" i="52" s="1"/>
  <c r="S24" i="52"/>
  <c r="V24" i="52" s="1"/>
  <c r="Z24" i="52" s="1"/>
  <c r="U24" i="52"/>
  <c r="Y24" i="52" s="1"/>
  <c r="Q24" i="52"/>
  <c r="T24" i="52" s="1"/>
  <c r="X24" i="52" s="1"/>
  <c r="S32" i="52"/>
  <c r="V32" i="52" s="1"/>
  <c r="Z32" i="52" s="1"/>
  <c r="Q32" i="52"/>
  <c r="T32" i="52" s="1"/>
  <c r="X32" i="52" s="1"/>
  <c r="U32" i="52"/>
  <c r="Y32" i="52" s="1"/>
  <c r="S40" i="52"/>
  <c r="V40" i="52" s="1"/>
  <c r="Z40" i="52" s="1"/>
  <c r="Q40" i="52"/>
  <c r="T40" i="52" s="1"/>
  <c r="X40" i="52" s="1"/>
  <c r="U40" i="52"/>
  <c r="Y40" i="52" s="1"/>
  <c r="S48" i="52"/>
  <c r="V48" i="52" s="1"/>
  <c r="Z48" i="52" s="1"/>
  <c r="U48" i="52"/>
  <c r="Y48" i="52" s="1"/>
  <c r="Q48" i="52"/>
  <c r="T48" i="52" s="1"/>
  <c r="X48" i="52" s="1"/>
  <c r="S56" i="52"/>
  <c r="V56" i="52" s="1"/>
  <c r="Z56" i="52" s="1"/>
  <c r="Q56" i="52"/>
  <c r="T56" i="52" s="1"/>
  <c r="X56" i="52" s="1"/>
  <c r="U56" i="52"/>
  <c r="Y56" i="52" s="1"/>
  <c r="Q65" i="52"/>
  <c r="T65" i="52" s="1"/>
  <c r="X65" i="52" s="1"/>
  <c r="S65" i="52"/>
  <c r="V65" i="52" s="1"/>
  <c r="Z65" i="52" s="1"/>
  <c r="U65" i="52"/>
  <c r="Y65" i="52" s="1"/>
  <c r="Q73" i="52"/>
  <c r="T73" i="52" s="1"/>
  <c r="X73" i="52" s="1"/>
  <c r="U73" i="52"/>
  <c r="Y73" i="52" s="1"/>
  <c r="S73" i="52"/>
  <c r="V73" i="52" s="1"/>
  <c r="Z73" i="52" s="1"/>
  <c r="Q67" i="52"/>
  <c r="T67" i="52" s="1"/>
  <c r="X67" i="52" s="1"/>
  <c r="S67" i="52"/>
  <c r="V67" i="52" s="1"/>
  <c r="Z67" i="52" s="1"/>
  <c r="U67" i="52"/>
  <c r="Y67" i="52" s="1"/>
  <c r="B38" i="48"/>
  <c r="W37" i="48"/>
  <c r="R26" i="48"/>
  <c r="L27" i="48"/>
  <c r="U25" i="48"/>
  <c r="Y25" i="48" s="1"/>
  <c r="Q25" i="48"/>
  <c r="S25" i="48"/>
  <c r="I15" i="48"/>
  <c r="F8" i="48"/>
  <c r="F74" i="48"/>
  <c r="T24" i="48"/>
  <c r="X24" i="48" s="1"/>
  <c r="H8" i="48"/>
  <c r="K15" i="48"/>
  <c r="H74" i="48"/>
  <c r="Z13" i="48"/>
  <c r="X13" i="48"/>
  <c r="U15" i="48"/>
  <c r="J74" i="48"/>
  <c r="J6" i="48"/>
  <c r="V24" i="48"/>
  <c r="Z24" i="48" s="1"/>
  <c r="M28" i="34"/>
  <c r="M32" i="34"/>
  <c r="M16" i="34"/>
  <c r="M27" i="34"/>
  <c r="M17" i="34"/>
  <c r="Y25" i="53" l="1"/>
  <c r="Y74" i="53" s="1"/>
  <c r="E4" i="53" s="1"/>
  <c r="P20" i="24" s="1"/>
  <c r="U74" i="53"/>
  <c r="V25" i="53"/>
  <c r="S74" i="53"/>
  <c r="N20" i="24" s="1"/>
  <c r="T25" i="53"/>
  <c r="Q74" i="53"/>
  <c r="L20" i="24" s="1"/>
  <c r="Y15" i="52"/>
  <c r="Y74" i="52" s="1"/>
  <c r="E4" i="52" s="1"/>
  <c r="U74" i="52"/>
  <c r="V15" i="52"/>
  <c r="S74" i="52"/>
  <c r="T15" i="52"/>
  <c r="Q74" i="52"/>
  <c r="T25" i="48"/>
  <c r="X25" i="48" s="1"/>
  <c r="L28" i="48"/>
  <c r="R27" i="48"/>
  <c r="K74" i="48"/>
  <c r="K6" i="48"/>
  <c r="V15" i="48"/>
  <c r="U26" i="48"/>
  <c r="Y26" i="48" s="1"/>
  <c r="Q26" i="48"/>
  <c r="T26" i="48" s="1"/>
  <c r="X26" i="48" s="1"/>
  <c r="S26" i="48"/>
  <c r="V26" i="48" s="1"/>
  <c r="Z26" i="48" s="1"/>
  <c r="T15" i="48"/>
  <c r="I74" i="48"/>
  <c r="I6" i="48"/>
  <c r="Y15" i="48"/>
  <c r="V25" i="48"/>
  <c r="Z25" i="48" s="1"/>
  <c r="B39" i="48"/>
  <c r="W38" i="48"/>
  <c r="M22" i="34"/>
  <c r="M21" i="34"/>
  <c r="M18" i="34"/>
  <c r="M25" i="34"/>
  <c r="M30" i="34"/>
  <c r="M24" i="34"/>
  <c r="M34" i="34"/>
  <c r="M23" i="34"/>
  <c r="M36" i="34"/>
  <c r="M37" i="34"/>
  <c r="Z25" i="53" l="1"/>
  <c r="Z74" i="53" s="1"/>
  <c r="F4" i="53" s="1"/>
  <c r="Q20" i="24" s="1"/>
  <c r="V74" i="53"/>
  <c r="X25" i="53"/>
  <c r="X74" i="53" s="1"/>
  <c r="D4" i="53" s="1"/>
  <c r="O20" i="24" s="1"/>
  <c r="T74" i="53"/>
  <c r="X15" i="52"/>
  <c r="X74" i="52" s="1"/>
  <c r="D4" i="52" s="1"/>
  <c r="T74" i="52"/>
  <c r="Z15" i="52"/>
  <c r="Z74" i="52" s="1"/>
  <c r="F4" i="52" s="1"/>
  <c r="V74" i="52"/>
  <c r="S27" i="48"/>
  <c r="V27" i="48" s="1"/>
  <c r="Z27" i="48" s="1"/>
  <c r="Q27" i="48"/>
  <c r="T27" i="48" s="1"/>
  <c r="X27" i="48" s="1"/>
  <c r="U27" i="48"/>
  <c r="Y27" i="48" s="1"/>
  <c r="Z15" i="48"/>
  <c r="R28" i="48"/>
  <c r="L29" i="48"/>
  <c r="B40" i="48"/>
  <c r="W39" i="48"/>
  <c r="X15" i="48"/>
  <c r="M38" i="34"/>
  <c r="M33" i="34"/>
  <c r="M39" i="34"/>
  <c r="M15" i="34"/>
  <c r="R20" i="24" l="1"/>
  <c r="B41" i="48"/>
  <c r="W40" i="48"/>
  <c r="R29" i="48"/>
  <c r="L30" i="48"/>
  <c r="U28" i="48"/>
  <c r="Y28" i="48" s="1"/>
  <c r="Q28" i="48"/>
  <c r="S28" i="48"/>
  <c r="V28" i="48" s="1"/>
  <c r="P30" i="47"/>
  <c r="P14" i="47"/>
  <c r="P13" i="47"/>
  <c r="P6" i="47"/>
  <c r="M30" i="47"/>
  <c r="L30" i="47"/>
  <c r="Z28" i="48" l="1"/>
  <c r="T28" i="48"/>
  <c r="R30" i="48"/>
  <c r="L31" i="48"/>
  <c r="B42" i="48"/>
  <c r="W41" i="48"/>
  <c r="S29" i="48"/>
  <c r="U29" i="48"/>
  <c r="Y29" i="48" s="1"/>
  <c r="Q29" i="48"/>
  <c r="T29" i="48" s="1"/>
  <c r="X29" i="48" s="1"/>
  <c r="M32" i="47"/>
  <c r="M34" i="47" s="1"/>
  <c r="B43" i="48" l="1"/>
  <c r="W42" i="48"/>
  <c r="X28" i="48"/>
  <c r="L32" i="48"/>
  <c r="R31" i="48"/>
  <c r="V29" i="48"/>
  <c r="U30" i="48"/>
  <c r="Y30" i="48" s="1"/>
  <c r="Q30" i="48"/>
  <c r="S30" i="48"/>
  <c r="V30" i="48" s="1"/>
  <c r="Z30" i="48" s="1"/>
  <c r="M36" i="47"/>
  <c r="M38" i="47" s="1"/>
  <c r="L33" i="48" l="1"/>
  <c r="R32" i="48"/>
  <c r="Z29" i="48"/>
  <c r="T30" i="48"/>
  <c r="U31" i="48"/>
  <c r="Y31" i="48" s="1"/>
  <c r="Q31" i="48"/>
  <c r="T31" i="48" s="1"/>
  <c r="X31" i="48" s="1"/>
  <c r="S31" i="48"/>
  <c r="V31" i="48" s="1"/>
  <c r="Z31" i="48" s="1"/>
  <c r="B44" i="48"/>
  <c r="W43" i="48"/>
  <c r="C22" i="47"/>
  <c r="C21" i="47"/>
  <c r="C17" i="47"/>
  <c r="C16" i="47"/>
  <c r="E20" i="47" s="1"/>
  <c r="C11" i="47"/>
  <c r="C10" i="47"/>
  <c r="C8" i="47"/>
  <c r="C5" i="47"/>
  <c r="C4" i="47"/>
  <c r="C6" i="47" s="1"/>
  <c r="C30" i="47" s="1"/>
  <c r="C12" i="47" l="1"/>
  <c r="C29" i="47" s="1"/>
  <c r="C31" i="47"/>
  <c r="E8" i="47"/>
  <c r="C28" i="47"/>
  <c r="B45" i="48"/>
  <c r="W44" i="48"/>
  <c r="S32" i="48"/>
  <c r="V32" i="48" s="1"/>
  <c r="U32" i="48"/>
  <c r="Y32" i="48" s="1"/>
  <c r="Q32" i="48"/>
  <c r="T32" i="48" s="1"/>
  <c r="X32" i="48" s="1"/>
  <c r="X30" i="48"/>
  <c r="R33" i="48"/>
  <c r="L34" i="48"/>
  <c r="E12" i="47"/>
  <c r="D10" i="47"/>
  <c r="D11" i="47"/>
  <c r="C14" i="47"/>
  <c r="C19" i="47" s="1"/>
  <c r="C24" i="47" s="1"/>
  <c r="E6" i="47"/>
  <c r="C32" i="47" l="1"/>
  <c r="R34" i="48"/>
  <c r="L35" i="48"/>
  <c r="B46" i="48"/>
  <c r="W45" i="48"/>
  <c r="Z32" i="48"/>
  <c r="S33" i="48"/>
  <c r="V33" i="48" s="1"/>
  <c r="Z33" i="48" s="1"/>
  <c r="Q33" i="48"/>
  <c r="T33" i="48" s="1"/>
  <c r="X33" i="48" s="1"/>
  <c r="U33" i="48"/>
  <c r="Y33" i="48" s="1"/>
  <c r="E14" i="47"/>
  <c r="G8" i="47" s="1"/>
  <c r="D28" i="47" s="1"/>
  <c r="G12" i="47"/>
  <c r="D29" i="47" s="1"/>
  <c r="F29" i="47" l="1"/>
  <c r="E29" i="47"/>
  <c r="F28" i="47"/>
  <c r="E28" i="47"/>
  <c r="B47" i="48"/>
  <c r="W46" i="48"/>
  <c r="L36" i="48"/>
  <c r="R35" i="48"/>
  <c r="U34" i="48"/>
  <c r="Y34" i="48" s="1"/>
  <c r="Q34" i="48"/>
  <c r="T34" i="48" s="1"/>
  <c r="X34" i="48" s="1"/>
  <c r="S34" i="48"/>
  <c r="V34" i="48" s="1"/>
  <c r="Z34" i="48" s="1"/>
  <c r="G6" i="47"/>
  <c r="G14" i="47" l="1"/>
  <c r="D30" i="47"/>
  <c r="U35" i="48"/>
  <c r="Y35" i="48" s="1"/>
  <c r="Q35" i="48"/>
  <c r="T35" i="48" s="1"/>
  <c r="X35" i="48" s="1"/>
  <c r="S35" i="48"/>
  <c r="V35" i="48" s="1"/>
  <c r="Z35" i="48" s="1"/>
  <c r="R36" i="48"/>
  <c r="L37" i="48"/>
  <c r="B48" i="48"/>
  <c r="W47" i="48"/>
  <c r="E73" i="46"/>
  <c r="C73" i="46"/>
  <c r="E72" i="46"/>
  <c r="C72" i="46"/>
  <c r="E71" i="46"/>
  <c r="C71" i="46"/>
  <c r="E70" i="46"/>
  <c r="C70" i="46"/>
  <c r="E69" i="46"/>
  <c r="C69" i="46"/>
  <c r="E68" i="46"/>
  <c r="C68" i="46"/>
  <c r="E67" i="46"/>
  <c r="C67" i="46"/>
  <c r="E66" i="46"/>
  <c r="C66" i="46"/>
  <c r="E65" i="46"/>
  <c r="C65" i="46"/>
  <c r="E64" i="46"/>
  <c r="C64" i="46"/>
  <c r="E63" i="46"/>
  <c r="C63" i="46"/>
  <c r="E62" i="46"/>
  <c r="C62" i="46"/>
  <c r="E61" i="46"/>
  <c r="C61" i="46"/>
  <c r="E60" i="46"/>
  <c r="C60" i="46"/>
  <c r="E59" i="46"/>
  <c r="C59" i="46"/>
  <c r="E57" i="46"/>
  <c r="C57" i="46"/>
  <c r="E56" i="46"/>
  <c r="C56" i="46"/>
  <c r="E55" i="46"/>
  <c r="C55" i="46"/>
  <c r="E54" i="46"/>
  <c r="C54" i="46"/>
  <c r="E53" i="46"/>
  <c r="C53" i="46"/>
  <c r="E52" i="46"/>
  <c r="C52" i="46"/>
  <c r="E51" i="46"/>
  <c r="C51" i="46"/>
  <c r="E50" i="46"/>
  <c r="C50" i="46"/>
  <c r="E49" i="46"/>
  <c r="C49" i="46"/>
  <c r="E48" i="46"/>
  <c r="C48" i="46"/>
  <c r="E47" i="46"/>
  <c r="C47" i="46"/>
  <c r="E46" i="46"/>
  <c r="C46" i="46"/>
  <c r="E45" i="46"/>
  <c r="C45" i="46"/>
  <c r="E44" i="46"/>
  <c r="C44" i="46"/>
  <c r="E43" i="46"/>
  <c r="C43" i="46"/>
  <c r="E42" i="46"/>
  <c r="C42" i="46"/>
  <c r="E41" i="46"/>
  <c r="C41" i="46"/>
  <c r="E40" i="46"/>
  <c r="C40" i="46"/>
  <c r="E39" i="46"/>
  <c r="C39" i="46"/>
  <c r="E38" i="46"/>
  <c r="C38" i="46"/>
  <c r="E37" i="46"/>
  <c r="C37" i="46"/>
  <c r="E36" i="46"/>
  <c r="C36" i="46"/>
  <c r="E35" i="46"/>
  <c r="C35" i="46"/>
  <c r="E34" i="46"/>
  <c r="C34" i="46"/>
  <c r="E33" i="46"/>
  <c r="C33" i="46"/>
  <c r="E32" i="46"/>
  <c r="C32" i="46"/>
  <c r="E31" i="46"/>
  <c r="C31" i="46"/>
  <c r="E30" i="46"/>
  <c r="C30" i="46"/>
  <c r="E29" i="46"/>
  <c r="C29" i="46"/>
  <c r="E28" i="46"/>
  <c r="C28" i="46"/>
  <c r="AG27" i="46"/>
  <c r="E27" i="46"/>
  <c r="C27" i="46"/>
  <c r="AG26" i="46"/>
  <c r="AG28" i="46" s="1"/>
  <c r="E26" i="46"/>
  <c r="C26" i="46"/>
  <c r="E25" i="46"/>
  <c r="C25" i="46"/>
  <c r="E24" i="46"/>
  <c r="C24" i="46"/>
  <c r="E23" i="46"/>
  <c r="C23" i="46"/>
  <c r="AH22" i="46"/>
  <c r="AL22" i="46" s="1"/>
  <c r="AG22" i="46"/>
  <c r="E22" i="46"/>
  <c r="C22" i="46"/>
  <c r="AH21" i="46"/>
  <c r="AL21" i="46" s="1"/>
  <c r="AK21" i="46" s="1"/>
  <c r="E21" i="46"/>
  <c r="C21" i="46"/>
  <c r="AH20" i="46"/>
  <c r="AL20" i="46" s="1"/>
  <c r="AK20" i="46" s="1"/>
  <c r="E20" i="46"/>
  <c r="C20" i="46"/>
  <c r="AH19" i="46"/>
  <c r="AL19" i="46" s="1"/>
  <c r="AK19" i="46" s="1"/>
  <c r="E19" i="46"/>
  <c r="C19" i="46"/>
  <c r="AH18" i="46"/>
  <c r="AL18" i="46" s="1"/>
  <c r="AK18" i="46" s="1"/>
  <c r="E18" i="46"/>
  <c r="C18" i="46"/>
  <c r="AH17" i="46"/>
  <c r="AL17" i="46" s="1"/>
  <c r="AK17" i="46" s="1"/>
  <c r="E17" i="46"/>
  <c r="C17" i="46"/>
  <c r="AH16" i="46"/>
  <c r="AL16" i="46" s="1"/>
  <c r="AK16" i="46" s="1"/>
  <c r="P16" i="46"/>
  <c r="P17" i="46" s="1"/>
  <c r="P18" i="46" s="1"/>
  <c r="P19" i="46" s="1"/>
  <c r="P20" i="46" s="1"/>
  <c r="P21" i="46" s="1"/>
  <c r="P22" i="46" s="1"/>
  <c r="P23" i="46" s="1"/>
  <c r="P24" i="46" s="1"/>
  <c r="P25" i="46" s="1"/>
  <c r="P26" i="46" s="1"/>
  <c r="P27" i="46" s="1"/>
  <c r="P28" i="46" s="1"/>
  <c r="P29" i="46" s="1"/>
  <c r="P30" i="46" s="1"/>
  <c r="P31" i="46" s="1"/>
  <c r="P32" i="46" s="1"/>
  <c r="P33" i="46" s="1"/>
  <c r="P34" i="46" s="1"/>
  <c r="P35" i="46" s="1"/>
  <c r="P36" i="46" s="1"/>
  <c r="P37" i="46" s="1"/>
  <c r="P38" i="46" s="1"/>
  <c r="P39" i="46" s="1"/>
  <c r="P40" i="46" s="1"/>
  <c r="P41" i="46" s="1"/>
  <c r="P42" i="46" s="1"/>
  <c r="P43" i="46" s="1"/>
  <c r="P44" i="46" s="1"/>
  <c r="P45" i="46" s="1"/>
  <c r="P46" i="46" s="1"/>
  <c r="P47" i="46" s="1"/>
  <c r="P48" i="46" s="1"/>
  <c r="P49" i="46" s="1"/>
  <c r="P50" i="46" s="1"/>
  <c r="P51" i="46" s="1"/>
  <c r="P52" i="46" s="1"/>
  <c r="P53" i="46" s="1"/>
  <c r="P54" i="46" s="1"/>
  <c r="P55" i="46" s="1"/>
  <c r="P56" i="46" s="1"/>
  <c r="P57" i="46" s="1"/>
  <c r="P58" i="46" s="1"/>
  <c r="P59" i="46" s="1"/>
  <c r="P60" i="46" s="1"/>
  <c r="P61" i="46" s="1"/>
  <c r="P62" i="46" s="1"/>
  <c r="P63" i="46" s="1"/>
  <c r="P64" i="46" s="1"/>
  <c r="P65" i="46" s="1"/>
  <c r="P66" i="46" s="1"/>
  <c r="P67" i="46" s="1"/>
  <c r="P68" i="46" s="1"/>
  <c r="P69" i="46" s="1"/>
  <c r="P70" i="46" s="1"/>
  <c r="P71" i="46" s="1"/>
  <c r="P72" i="46" s="1"/>
  <c r="P73" i="46" s="1"/>
  <c r="N16" i="46"/>
  <c r="N17" i="46" s="1"/>
  <c r="N18" i="46" s="1"/>
  <c r="N19" i="46" s="1"/>
  <c r="N20" i="46" s="1"/>
  <c r="N21" i="46" s="1"/>
  <c r="N22" i="46" s="1"/>
  <c r="N23" i="46" s="1"/>
  <c r="N24" i="46" s="1"/>
  <c r="N25" i="46" s="1"/>
  <c r="N26" i="46" s="1"/>
  <c r="N27" i="46" s="1"/>
  <c r="N28" i="46" s="1"/>
  <c r="N29" i="46" s="1"/>
  <c r="N30" i="46" s="1"/>
  <c r="N31" i="46" s="1"/>
  <c r="N32" i="46" s="1"/>
  <c r="N33" i="46" s="1"/>
  <c r="N34" i="46" s="1"/>
  <c r="N35" i="46" s="1"/>
  <c r="N36" i="46" s="1"/>
  <c r="N37" i="46" s="1"/>
  <c r="N38" i="46" s="1"/>
  <c r="N39" i="46" s="1"/>
  <c r="N40" i="46" s="1"/>
  <c r="N41" i="46" s="1"/>
  <c r="N42" i="46" s="1"/>
  <c r="N43" i="46" s="1"/>
  <c r="N44" i="46" s="1"/>
  <c r="N45" i="46" s="1"/>
  <c r="N46" i="46" s="1"/>
  <c r="N47" i="46" s="1"/>
  <c r="N48" i="46" s="1"/>
  <c r="N49" i="46" s="1"/>
  <c r="N50" i="46" s="1"/>
  <c r="N51" i="46" s="1"/>
  <c r="N52" i="46" s="1"/>
  <c r="N53" i="46" s="1"/>
  <c r="N54" i="46" s="1"/>
  <c r="N55" i="46" s="1"/>
  <c r="N56" i="46" s="1"/>
  <c r="N57" i="46" s="1"/>
  <c r="N58" i="46" s="1"/>
  <c r="N59" i="46" s="1"/>
  <c r="N60" i="46" s="1"/>
  <c r="N61" i="46" s="1"/>
  <c r="N62" i="46" s="1"/>
  <c r="N63" i="46" s="1"/>
  <c r="N64" i="46" s="1"/>
  <c r="N65" i="46" s="1"/>
  <c r="N66" i="46" s="1"/>
  <c r="N67" i="46" s="1"/>
  <c r="N68" i="46" s="1"/>
  <c r="N69" i="46" s="1"/>
  <c r="N70" i="46" s="1"/>
  <c r="N71" i="46" s="1"/>
  <c r="N72" i="46" s="1"/>
  <c r="N73" i="46" s="1"/>
  <c r="L16" i="46"/>
  <c r="E16" i="46"/>
  <c r="C16" i="46"/>
  <c r="E15" i="46"/>
  <c r="C15" i="46"/>
  <c r="P14" i="46"/>
  <c r="O14" i="46"/>
  <c r="O15" i="46" s="1"/>
  <c r="O16" i="46" s="1"/>
  <c r="O17" i="46" s="1"/>
  <c r="O18" i="46" s="1"/>
  <c r="O19" i="46" s="1"/>
  <c r="O20" i="46" s="1"/>
  <c r="O21" i="46" s="1"/>
  <c r="O22" i="46" s="1"/>
  <c r="O23" i="46" s="1"/>
  <c r="O24" i="46" s="1"/>
  <c r="O25" i="46" s="1"/>
  <c r="O26" i="46" s="1"/>
  <c r="O27" i="46" s="1"/>
  <c r="O28" i="46" s="1"/>
  <c r="O29" i="46" s="1"/>
  <c r="O30" i="46" s="1"/>
  <c r="O31" i="46" s="1"/>
  <c r="O32" i="46" s="1"/>
  <c r="O33" i="46" s="1"/>
  <c r="O34" i="46" s="1"/>
  <c r="O35" i="46" s="1"/>
  <c r="O36" i="46" s="1"/>
  <c r="O37" i="46" s="1"/>
  <c r="O38" i="46" s="1"/>
  <c r="O39" i="46" s="1"/>
  <c r="O40" i="46" s="1"/>
  <c r="O41" i="46" s="1"/>
  <c r="O42" i="46" s="1"/>
  <c r="O43" i="46" s="1"/>
  <c r="O44" i="46" s="1"/>
  <c r="O45" i="46" s="1"/>
  <c r="O46" i="46" s="1"/>
  <c r="O47" i="46" s="1"/>
  <c r="O48" i="46" s="1"/>
  <c r="O49" i="46" s="1"/>
  <c r="O50" i="46" s="1"/>
  <c r="O51" i="46" s="1"/>
  <c r="O52" i="46" s="1"/>
  <c r="O53" i="46" s="1"/>
  <c r="O54" i="46" s="1"/>
  <c r="O55" i="46" s="1"/>
  <c r="O56" i="46" s="1"/>
  <c r="O57" i="46" s="1"/>
  <c r="O58" i="46" s="1"/>
  <c r="O59" i="46" s="1"/>
  <c r="O60" i="46" s="1"/>
  <c r="O61" i="46" s="1"/>
  <c r="O62" i="46" s="1"/>
  <c r="O63" i="46" s="1"/>
  <c r="O64" i="46" s="1"/>
  <c r="O65" i="46" s="1"/>
  <c r="O66" i="46" s="1"/>
  <c r="O67" i="46" s="1"/>
  <c r="O68" i="46" s="1"/>
  <c r="O69" i="46" s="1"/>
  <c r="O70" i="46" s="1"/>
  <c r="O71" i="46" s="1"/>
  <c r="O72" i="46" s="1"/>
  <c r="O73" i="46" s="1"/>
  <c r="N14" i="46"/>
  <c r="M14" i="46"/>
  <c r="L14" i="46"/>
  <c r="R14" i="46" s="1"/>
  <c r="H14" i="46"/>
  <c r="F14" i="46"/>
  <c r="B14" i="46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P13" i="46"/>
  <c r="O13" i="46"/>
  <c r="N13" i="46"/>
  <c r="M13" i="46"/>
  <c r="L13" i="46"/>
  <c r="H13" i="46"/>
  <c r="F13" i="46"/>
  <c r="AB9" i="46"/>
  <c r="AA9" i="46"/>
  <c r="W9" i="46"/>
  <c r="T9" i="46"/>
  <c r="D13" i="46" s="1"/>
  <c r="D14" i="46" s="1"/>
  <c r="S9" i="46"/>
  <c r="AB8" i="46"/>
  <c r="AC8" i="46" s="1"/>
  <c r="AA8" i="46"/>
  <c r="Y8" i="46"/>
  <c r="X8" i="46"/>
  <c r="AB7" i="46"/>
  <c r="AC7" i="46" s="1"/>
  <c r="AA7" i="46"/>
  <c r="Y7" i="46"/>
  <c r="X7" i="46"/>
  <c r="AB6" i="46"/>
  <c r="AC6" i="46" s="1"/>
  <c r="AA6" i="46"/>
  <c r="Y6" i="46"/>
  <c r="X6" i="46"/>
  <c r="AB5" i="46"/>
  <c r="AC5" i="46" s="1"/>
  <c r="AA5" i="46"/>
  <c r="Y5" i="46"/>
  <c r="X5" i="46"/>
  <c r="AC4" i="46"/>
  <c r="AB4" i="46"/>
  <c r="AA4" i="46"/>
  <c r="X4" i="46"/>
  <c r="Y4" i="46" s="1"/>
  <c r="AC3" i="46"/>
  <c r="AC9" i="46" s="1"/>
  <c r="AB3" i="46"/>
  <c r="AA3" i="46"/>
  <c r="X3" i="46"/>
  <c r="C3" i="46"/>
  <c r="AA1" i="46"/>
  <c r="C1" i="46"/>
  <c r="O58" i="45"/>
  <c r="N58" i="45"/>
  <c r="O58" i="44"/>
  <c r="N58" i="44"/>
  <c r="O59" i="34"/>
  <c r="N58" i="34"/>
  <c r="G73" i="33"/>
  <c r="G69" i="33"/>
  <c r="G72" i="33"/>
  <c r="G71" i="33"/>
  <c r="G70" i="33"/>
  <c r="G67" i="33"/>
  <c r="G66" i="33"/>
  <c r="G65" i="33"/>
  <c r="G63" i="33"/>
  <c r="G62" i="33"/>
  <c r="G61" i="33"/>
  <c r="G60" i="33"/>
  <c r="G59" i="33"/>
  <c r="G58" i="33"/>
  <c r="G57" i="33"/>
  <c r="G56" i="33"/>
  <c r="G55" i="33"/>
  <c r="G53" i="33"/>
  <c r="G52" i="33"/>
  <c r="G51" i="33"/>
  <c r="G50" i="33"/>
  <c r="G49" i="33"/>
  <c r="G48" i="33"/>
  <c r="G47" i="33"/>
  <c r="G46" i="33"/>
  <c r="G45" i="33"/>
  <c r="G42" i="33"/>
  <c r="G43" i="33"/>
  <c r="G41" i="33"/>
  <c r="G40" i="33"/>
  <c r="G37" i="33"/>
  <c r="G36" i="33"/>
  <c r="G35" i="33"/>
  <c r="G38" i="33"/>
  <c r="G30" i="33"/>
  <c r="G33" i="33"/>
  <c r="G32" i="33"/>
  <c r="G31" i="33"/>
  <c r="G29" i="33"/>
  <c r="G28" i="33"/>
  <c r="G26" i="33"/>
  <c r="G27" i="33"/>
  <c r="G25" i="33"/>
  <c r="G23" i="33"/>
  <c r="G21" i="33"/>
  <c r="G20" i="33"/>
  <c r="G19" i="33"/>
  <c r="G18" i="33"/>
  <c r="G22" i="33" s="1"/>
  <c r="G14" i="33"/>
  <c r="G15" i="33"/>
  <c r="G16" i="33"/>
  <c r="G17" i="33"/>
  <c r="G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4" i="33"/>
  <c r="R65" i="33"/>
  <c r="R66" i="33"/>
  <c r="R67" i="33"/>
  <c r="R68" i="33"/>
  <c r="R69" i="33"/>
  <c r="R70" i="33"/>
  <c r="R71" i="33"/>
  <c r="R72" i="33"/>
  <c r="R73" i="33"/>
  <c r="R13" i="33"/>
  <c r="C18" i="33"/>
  <c r="E30" i="47" l="1"/>
  <c r="E32" i="47" s="1"/>
  <c r="F30" i="47"/>
  <c r="F32" i="47" s="1"/>
  <c r="D32" i="47"/>
  <c r="Y9" i="46"/>
  <c r="S36" i="48"/>
  <c r="V36" i="48" s="1"/>
  <c r="Z36" i="48" s="1"/>
  <c r="Q36" i="48"/>
  <c r="T36" i="48" s="1"/>
  <c r="X36" i="48" s="1"/>
  <c r="U36" i="48"/>
  <c r="Y36" i="48" s="1"/>
  <c r="B49" i="48"/>
  <c r="W48" i="48"/>
  <c r="R37" i="48"/>
  <c r="L38" i="48"/>
  <c r="T3" i="46"/>
  <c r="T6" i="46"/>
  <c r="U6" i="46" s="1"/>
  <c r="T8" i="46"/>
  <c r="U8" i="46" s="1"/>
  <c r="T4" i="46"/>
  <c r="U4" i="46" s="1"/>
  <c r="T5" i="46"/>
  <c r="U5" i="46" s="1"/>
  <c r="T7" i="46"/>
  <c r="U7" i="46" s="1"/>
  <c r="Q14" i="46"/>
  <c r="S14" i="46"/>
  <c r="AK22" i="46"/>
  <c r="G70" i="46"/>
  <c r="G66" i="46"/>
  <c r="G62" i="46"/>
  <c r="G73" i="46"/>
  <c r="G69" i="46"/>
  <c r="G65" i="46"/>
  <c r="G61" i="46"/>
  <c r="G72" i="46"/>
  <c r="G68" i="46"/>
  <c r="G67" i="46"/>
  <c r="G60" i="46"/>
  <c r="G50" i="46"/>
  <c r="G71" i="46"/>
  <c r="G59" i="46"/>
  <c r="G57" i="46"/>
  <c r="G53" i="46"/>
  <c r="G56" i="46"/>
  <c r="G49" i="46"/>
  <c r="G45" i="46"/>
  <c r="G51" i="46"/>
  <c r="G48" i="46"/>
  <c r="G44" i="46"/>
  <c r="G40" i="46"/>
  <c r="G36" i="46"/>
  <c r="G32" i="46"/>
  <c r="G63" i="46"/>
  <c r="G52" i="46"/>
  <c r="G47" i="46"/>
  <c r="G43" i="46"/>
  <c r="G35" i="46"/>
  <c r="G31" i="46"/>
  <c r="G28" i="46"/>
  <c r="G46" i="46"/>
  <c r="G41" i="46"/>
  <c r="G33" i="46"/>
  <c r="G26" i="46"/>
  <c r="G42" i="46"/>
  <c r="G34" i="46"/>
  <c r="G25" i="46"/>
  <c r="G58" i="46"/>
  <c r="G37" i="46"/>
  <c r="G29" i="46"/>
  <c r="G27" i="46"/>
  <c r="G24" i="46"/>
  <c r="G55" i="46"/>
  <c r="G23" i="46"/>
  <c r="G21" i="46"/>
  <c r="G20" i="46"/>
  <c r="G19" i="46"/>
  <c r="G18" i="46"/>
  <c r="G17" i="46"/>
  <c r="G16" i="46"/>
  <c r="G22" i="46"/>
  <c r="G30" i="46"/>
  <c r="G15" i="46"/>
  <c r="G38" i="46"/>
  <c r="J13" i="46"/>
  <c r="E13" i="46"/>
  <c r="D74" i="46"/>
  <c r="C13" i="46"/>
  <c r="R15" i="46"/>
  <c r="P74" i="46"/>
  <c r="W70" i="46"/>
  <c r="W66" i="46"/>
  <c r="W62" i="46"/>
  <c r="W73" i="46"/>
  <c r="W69" i="46"/>
  <c r="W65" i="46"/>
  <c r="W61" i="46"/>
  <c r="W72" i="46"/>
  <c r="W68" i="46"/>
  <c r="W64" i="46"/>
  <c r="W60" i="46"/>
  <c r="W67" i="46"/>
  <c r="W54" i="46"/>
  <c r="W50" i="46"/>
  <c r="W71" i="46"/>
  <c r="W59" i="46"/>
  <c r="W57" i="46"/>
  <c r="W53" i="46"/>
  <c r="W49" i="46"/>
  <c r="W63" i="46"/>
  <c r="W56" i="46"/>
  <c r="W45" i="46"/>
  <c r="W51" i="46"/>
  <c r="W48" i="46"/>
  <c r="W44" i="46"/>
  <c r="W40" i="46"/>
  <c r="W36" i="46"/>
  <c r="W32" i="46"/>
  <c r="W52" i="46"/>
  <c r="W47" i="46"/>
  <c r="W43" i="46"/>
  <c r="W39" i="46"/>
  <c r="W35" i="46"/>
  <c r="W31" i="46"/>
  <c r="W28" i="46"/>
  <c r="W58" i="46"/>
  <c r="W46" i="46"/>
  <c r="W41" i="46"/>
  <c r="W33" i="46"/>
  <c r="W26" i="46"/>
  <c r="W55" i="46"/>
  <c r="W34" i="46"/>
  <c r="W25" i="46"/>
  <c r="W37" i="46"/>
  <c r="W29" i="46"/>
  <c r="W27" i="46"/>
  <c r="W24" i="46"/>
  <c r="O74" i="46"/>
  <c r="W14" i="46"/>
  <c r="L17" i="46"/>
  <c r="W42" i="46"/>
  <c r="W15" i="46"/>
  <c r="W22" i="46"/>
  <c r="W23" i="46"/>
  <c r="W38" i="46"/>
  <c r="N74" i="46"/>
  <c r="R13" i="46"/>
  <c r="W16" i="46"/>
  <c r="W17" i="46"/>
  <c r="W18" i="46"/>
  <c r="W19" i="46"/>
  <c r="W20" i="46"/>
  <c r="W21" i="46"/>
  <c r="W30" i="46"/>
  <c r="T13" i="24"/>
  <c r="T12" i="24"/>
  <c r="M13" i="24"/>
  <c r="N13" i="24"/>
  <c r="L13" i="24"/>
  <c r="J13" i="24"/>
  <c r="K13" i="24"/>
  <c r="I13" i="24"/>
  <c r="M12" i="24"/>
  <c r="N12" i="24"/>
  <c r="L12" i="24"/>
  <c r="J12" i="24"/>
  <c r="K12" i="24"/>
  <c r="I12" i="24"/>
  <c r="G12" i="24"/>
  <c r="H12" i="24"/>
  <c r="F12" i="24"/>
  <c r="B18" i="24"/>
  <c r="B17" i="24"/>
  <c r="B16" i="24"/>
  <c r="B15" i="24"/>
  <c r="M11" i="24"/>
  <c r="N11" i="24"/>
  <c r="L11" i="24"/>
  <c r="J11" i="24"/>
  <c r="K11" i="24"/>
  <c r="I11" i="24"/>
  <c r="G11" i="24"/>
  <c r="H11" i="24"/>
  <c r="F11" i="24"/>
  <c r="M10" i="24"/>
  <c r="N10" i="24"/>
  <c r="L10" i="24"/>
  <c r="G10" i="24"/>
  <c r="H10" i="24"/>
  <c r="F10" i="24"/>
  <c r="D13" i="24"/>
  <c r="C13" i="24"/>
  <c r="D12" i="24"/>
  <c r="E12" i="24"/>
  <c r="C12" i="24"/>
  <c r="D11" i="24"/>
  <c r="E11" i="24"/>
  <c r="C11" i="24"/>
  <c r="B11" i="24"/>
  <c r="B10" i="24"/>
  <c r="G54" i="46" l="1"/>
  <c r="U9" i="46"/>
  <c r="R38" i="48"/>
  <c r="L39" i="48"/>
  <c r="W49" i="48"/>
  <c r="B50" i="48"/>
  <c r="S37" i="48"/>
  <c r="V37" i="48" s="1"/>
  <c r="Z37" i="48" s="1"/>
  <c r="U37" i="48"/>
  <c r="Y37" i="48" s="1"/>
  <c r="Q37" i="48"/>
  <c r="T37" i="48" s="1"/>
  <c r="X37" i="48" s="1"/>
  <c r="G64" i="46"/>
  <c r="H64" i="46" s="1"/>
  <c r="K64" i="46" s="1"/>
  <c r="G39" i="46"/>
  <c r="H39" i="46" s="1"/>
  <c r="K39" i="46" s="1"/>
  <c r="H30" i="46"/>
  <c r="K30" i="46" s="1"/>
  <c r="F30" i="46"/>
  <c r="I30" i="46" s="1"/>
  <c r="J30" i="46"/>
  <c r="H23" i="46"/>
  <c r="K23" i="46" s="1"/>
  <c r="F23" i="46"/>
  <c r="I23" i="46" s="1"/>
  <c r="J23" i="46"/>
  <c r="J29" i="46"/>
  <c r="F29" i="46"/>
  <c r="I29" i="46" s="1"/>
  <c r="H29" i="46"/>
  <c r="K29" i="46" s="1"/>
  <c r="J41" i="46"/>
  <c r="F41" i="46"/>
  <c r="I41" i="46" s="1"/>
  <c r="H41" i="46"/>
  <c r="K41" i="46" s="1"/>
  <c r="H52" i="46"/>
  <c r="K52" i="46" s="1"/>
  <c r="J52" i="46"/>
  <c r="F52" i="46"/>
  <c r="I52" i="46" s="1"/>
  <c r="J54" i="46"/>
  <c r="F54" i="46"/>
  <c r="I54" i="46" s="1"/>
  <c r="H54" i="46"/>
  <c r="K54" i="46" s="1"/>
  <c r="H69" i="46"/>
  <c r="K69" i="46" s="1"/>
  <c r="J69" i="46"/>
  <c r="F69" i="46"/>
  <c r="I69" i="46" s="1"/>
  <c r="M74" i="46"/>
  <c r="R17" i="46"/>
  <c r="L18" i="46"/>
  <c r="R16" i="46"/>
  <c r="D7" i="46"/>
  <c r="G19" i="24" s="1"/>
  <c r="J22" i="46"/>
  <c r="F22" i="46"/>
  <c r="I22" i="46" s="1"/>
  <c r="H22" i="46"/>
  <c r="K22" i="46" s="1"/>
  <c r="J19" i="46"/>
  <c r="F19" i="46"/>
  <c r="I19" i="46" s="1"/>
  <c r="H19" i="46"/>
  <c r="K19" i="46" s="1"/>
  <c r="J55" i="46"/>
  <c r="F55" i="46"/>
  <c r="I55" i="46" s="1"/>
  <c r="H55" i="46"/>
  <c r="K55" i="46" s="1"/>
  <c r="J37" i="46"/>
  <c r="F37" i="46"/>
  <c r="I37" i="46" s="1"/>
  <c r="H37" i="46"/>
  <c r="K37" i="46" s="1"/>
  <c r="H42" i="46"/>
  <c r="K42" i="46" s="1"/>
  <c r="J42" i="46"/>
  <c r="F42" i="46"/>
  <c r="I42" i="46" s="1"/>
  <c r="J46" i="46"/>
  <c r="F46" i="46"/>
  <c r="I46" i="46" s="1"/>
  <c r="H46" i="46"/>
  <c r="K46" i="46" s="1"/>
  <c r="F39" i="46"/>
  <c r="I39" i="46" s="1"/>
  <c r="J63" i="46"/>
  <c r="F63" i="46"/>
  <c r="I63" i="46" s="1"/>
  <c r="H63" i="46"/>
  <c r="K63" i="46" s="1"/>
  <c r="H44" i="46"/>
  <c r="K44" i="46" s="1"/>
  <c r="J44" i="46"/>
  <c r="F44" i="46"/>
  <c r="I44" i="46" s="1"/>
  <c r="J49" i="46"/>
  <c r="F49" i="46"/>
  <c r="I49" i="46" s="1"/>
  <c r="H49" i="46"/>
  <c r="K49" i="46" s="1"/>
  <c r="H59" i="46"/>
  <c r="K59" i="46" s="1"/>
  <c r="J59" i="46"/>
  <c r="F59" i="46"/>
  <c r="I59" i="46" s="1"/>
  <c r="J60" i="46"/>
  <c r="F60" i="46"/>
  <c r="I60" i="46" s="1"/>
  <c r="H60" i="46"/>
  <c r="K60" i="46" s="1"/>
  <c r="H72" i="46"/>
  <c r="K72" i="46" s="1"/>
  <c r="J72" i="46"/>
  <c r="F72" i="46"/>
  <c r="I72" i="46" s="1"/>
  <c r="H73" i="46"/>
  <c r="K73" i="46" s="1"/>
  <c r="J73" i="46"/>
  <c r="F73" i="46"/>
  <c r="I73" i="46" s="1"/>
  <c r="J18" i="46"/>
  <c r="F18" i="46"/>
  <c r="I18" i="46" s="1"/>
  <c r="H18" i="46"/>
  <c r="K18" i="46" s="1"/>
  <c r="H34" i="46"/>
  <c r="K34" i="46" s="1"/>
  <c r="J34" i="46"/>
  <c r="F34" i="46"/>
  <c r="I34" i="46" s="1"/>
  <c r="H35" i="46"/>
  <c r="K35" i="46" s="1"/>
  <c r="F35" i="46"/>
  <c r="I35" i="46" s="1"/>
  <c r="J35" i="46"/>
  <c r="J40" i="46"/>
  <c r="F40" i="46"/>
  <c r="I40" i="46" s="1"/>
  <c r="H40" i="46"/>
  <c r="K40" i="46" s="1"/>
  <c r="J45" i="46"/>
  <c r="F45" i="46"/>
  <c r="I45" i="46" s="1"/>
  <c r="H45" i="46"/>
  <c r="K45" i="46" s="1"/>
  <c r="H57" i="46"/>
  <c r="K57" i="46" s="1"/>
  <c r="J57" i="46"/>
  <c r="F57" i="46"/>
  <c r="I57" i="46" s="1"/>
  <c r="H68" i="46"/>
  <c r="K68" i="46" s="1"/>
  <c r="F68" i="46"/>
  <c r="I68" i="46" s="1"/>
  <c r="J68" i="46"/>
  <c r="J70" i="46"/>
  <c r="F70" i="46"/>
  <c r="I70" i="46" s="1"/>
  <c r="H70" i="46"/>
  <c r="K70" i="46" s="1"/>
  <c r="U13" i="46"/>
  <c r="Q13" i="46"/>
  <c r="S13" i="46"/>
  <c r="I13" i="46"/>
  <c r="S15" i="46"/>
  <c r="Q15" i="46"/>
  <c r="J14" i="46"/>
  <c r="U14" i="46" s="1"/>
  <c r="Y14" i="46" s="1"/>
  <c r="E14" i="46"/>
  <c r="K14" i="46" s="1"/>
  <c r="V14" i="46" s="1"/>
  <c r="Z14" i="46" s="1"/>
  <c r="C14" i="46"/>
  <c r="I14" i="46" s="1"/>
  <c r="T14" i="46" s="1"/>
  <c r="X14" i="46" s="1"/>
  <c r="H38" i="46"/>
  <c r="K38" i="46" s="1"/>
  <c r="F38" i="46"/>
  <c r="I38" i="46" s="1"/>
  <c r="J38" i="46"/>
  <c r="J16" i="46"/>
  <c r="F16" i="46"/>
  <c r="I16" i="46" s="1"/>
  <c r="H16" i="46"/>
  <c r="K16" i="46" s="1"/>
  <c r="J20" i="46"/>
  <c r="F20" i="46"/>
  <c r="I20" i="46" s="1"/>
  <c r="H20" i="46"/>
  <c r="K20" i="46" s="1"/>
  <c r="H24" i="46"/>
  <c r="K24" i="46" s="1"/>
  <c r="J24" i="46"/>
  <c r="F24" i="46"/>
  <c r="I24" i="46" s="1"/>
  <c r="H58" i="46"/>
  <c r="K58" i="46" s="1"/>
  <c r="F58" i="46"/>
  <c r="I58" i="46" s="1"/>
  <c r="J58" i="46"/>
  <c r="J26" i="46"/>
  <c r="F26" i="46"/>
  <c r="I26" i="46" s="1"/>
  <c r="H26" i="46"/>
  <c r="K26" i="46" s="1"/>
  <c r="H28" i="46"/>
  <c r="K28" i="46" s="1"/>
  <c r="F28" i="46"/>
  <c r="I28" i="46" s="1"/>
  <c r="J28" i="46"/>
  <c r="H43" i="46"/>
  <c r="K43" i="46" s="1"/>
  <c r="J43" i="46"/>
  <c r="F43" i="46"/>
  <c r="I43" i="46" s="1"/>
  <c r="J32" i="46"/>
  <c r="F32" i="46"/>
  <c r="I32" i="46" s="1"/>
  <c r="H32" i="46"/>
  <c r="K32" i="46" s="1"/>
  <c r="H48" i="46"/>
  <c r="K48" i="46" s="1"/>
  <c r="J48" i="46"/>
  <c r="F48" i="46"/>
  <c r="I48" i="46" s="1"/>
  <c r="H56" i="46"/>
  <c r="K56" i="46" s="1"/>
  <c r="F56" i="46"/>
  <c r="I56" i="46" s="1"/>
  <c r="J56" i="46"/>
  <c r="J71" i="46"/>
  <c r="F71" i="46"/>
  <c r="I71" i="46" s="1"/>
  <c r="H71" i="46"/>
  <c r="K71" i="46" s="1"/>
  <c r="J67" i="46"/>
  <c r="F67" i="46"/>
  <c r="I67" i="46" s="1"/>
  <c r="H67" i="46"/>
  <c r="K67" i="46" s="1"/>
  <c r="H61" i="46"/>
  <c r="K61" i="46" s="1"/>
  <c r="J61" i="46"/>
  <c r="F61" i="46"/>
  <c r="I61" i="46" s="1"/>
  <c r="J62" i="46"/>
  <c r="F62" i="46"/>
  <c r="I62" i="46" s="1"/>
  <c r="H62" i="46"/>
  <c r="K62" i="46" s="1"/>
  <c r="H15" i="46"/>
  <c r="J15" i="46"/>
  <c r="U15" i="46" s="1"/>
  <c r="Y15" i="46" s="1"/>
  <c r="F15" i="46"/>
  <c r="J17" i="46"/>
  <c r="F17" i="46"/>
  <c r="I17" i="46" s="1"/>
  <c r="H17" i="46"/>
  <c r="K17" i="46" s="1"/>
  <c r="J21" i="46"/>
  <c r="F21" i="46"/>
  <c r="I21" i="46" s="1"/>
  <c r="H21" i="46"/>
  <c r="K21" i="46" s="1"/>
  <c r="H27" i="46"/>
  <c r="K27" i="46" s="1"/>
  <c r="J27" i="46"/>
  <c r="F27" i="46"/>
  <c r="I27" i="46" s="1"/>
  <c r="H25" i="46"/>
  <c r="K25" i="46" s="1"/>
  <c r="J25" i="46"/>
  <c r="F25" i="46"/>
  <c r="I25" i="46" s="1"/>
  <c r="J33" i="46"/>
  <c r="F33" i="46"/>
  <c r="I33" i="46" s="1"/>
  <c r="H33" i="46"/>
  <c r="K33" i="46" s="1"/>
  <c r="H31" i="46"/>
  <c r="K31" i="46" s="1"/>
  <c r="J31" i="46"/>
  <c r="F31" i="46"/>
  <c r="I31" i="46" s="1"/>
  <c r="H47" i="46"/>
  <c r="K47" i="46" s="1"/>
  <c r="F47" i="46"/>
  <c r="I47" i="46" s="1"/>
  <c r="J47" i="46"/>
  <c r="J36" i="46"/>
  <c r="F36" i="46"/>
  <c r="I36" i="46" s="1"/>
  <c r="H36" i="46"/>
  <c r="K36" i="46" s="1"/>
  <c r="J51" i="46"/>
  <c r="F51" i="46"/>
  <c r="I51" i="46" s="1"/>
  <c r="H51" i="46"/>
  <c r="K51" i="46" s="1"/>
  <c r="H53" i="46"/>
  <c r="K53" i="46" s="1"/>
  <c r="F53" i="46"/>
  <c r="I53" i="46" s="1"/>
  <c r="J53" i="46"/>
  <c r="J50" i="46"/>
  <c r="F50" i="46"/>
  <c r="I50" i="46" s="1"/>
  <c r="H50" i="46"/>
  <c r="K50" i="46" s="1"/>
  <c r="H65" i="46"/>
  <c r="K65" i="46" s="1"/>
  <c r="J65" i="46"/>
  <c r="F65" i="46"/>
  <c r="I65" i="46" s="1"/>
  <c r="J66" i="46"/>
  <c r="F66" i="46"/>
  <c r="I66" i="46" s="1"/>
  <c r="H66" i="46"/>
  <c r="K66" i="46" s="1"/>
  <c r="K13" i="46"/>
  <c r="J39" i="46" l="1"/>
  <c r="G8" i="46"/>
  <c r="J19" i="24" s="1"/>
  <c r="G74" i="46"/>
  <c r="J64" i="46"/>
  <c r="F64" i="46"/>
  <c r="I64" i="46" s="1"/>
  <c r="I74" i="46" s="1"/>
  <c r="B51" i="48"/>
  <c r="W50" i="48"/>
  <c r="L40" i="48"/>
  <c r="R39" i="48"/>
  <c r="U38" i="48"/>
  <c r="Y38" i="48" s="1"/>
  <c r="Q38" i="48"/>
  <c r="T38" i="48" s="1"/>
  <c r="X38" i="48" s="1"/>
  <c r="S38" i="48"/>
  <c r="V38" i="48" s="1"/>
  <c r="Z38" i="48" s="1"/>
  <c r="I15" i="46"/>
  <c r="E7" i="46"/>
  <c r="H19" i="24" s="1"/>
  <c r="T13" i="46"/>
  <c r="S17" i="46"/>
  <c r="V17" i="46" s="1"/>
  <c r="Z17" i="46" s="1"/>
  <c r="U17" i="46"/>
  <c r="Y17" i="46" s="1"/>
  <c r="Q17" i="46"/>
  <c r="T17" i="46" s="1"/>
  <c r="X17" i="46" s="1"/>
  <c r="I6" i="46"/>
  <c r="C19" i="24" s="1"/>
  <c r="T15" i="46"/>
  <c r="X15" i="46" s="1"/>
  <c r="Y13" i="46"/>
  <c r="J6" i="46"/>
  <c r="D19" i="24" s="1"/>
  <c r="C7" i="46"/>
  <c r="F19" i="24" s="1"/>
  <c r="V13" i="46"/>
  <c r="R18" i="46"/>
  <c r="L19" i="46"/>
  <c r="E74" i="46"/>
  <c r="H8" i="46"/>
  <c r="K19" i="24" s="1"/>
  <c r="K15" i="46"/>
  <c r="V15" i="46" s="1"/>
  <c r="Z15" i="46" s="1"/>
  <c r="H74" i="46"/>
  <c r="S16" i="46"/>
  <c r="V16" i="46" s="1"/>
  <c r="Z16" i="46" s="1"/>
  <c r="U16" i="46"/>
  <c r="Y16" i="46" s="1"/>
  <c r="Q16" i="46"/>
  <c r="T16" i="46" s="1"/>
  <c r="X16" i="46" s="1"/>
  <c r="C74" i="46"/>
  <c r="T9" i="34"/>
  <c r="J74" i="46" l="1"/>
  <c r="F74" i="46"/>
  <c r="F8" i="46"/>
  <c r="I19" i="24" s="1"/>
  <c r="U39" i="48"/>
  <c r="Y39" i="48" s="1"/>
  <c r="Q39" i="48"/>
  <c r="T39" i="48" s="1"/>
  <c r="X39" i="48" s="1"/>
  <c r="S39" i="48"/>
  <c r="V39" i="48" s="1"/>
  <c r="Z39" i="48" s="1"/>
  <c r="L41" i="48"/>
  <c r="R40" i="48"/>
  <c r="B52" i="48"/>
  <c r="W51" i="48"/>
  <c r="R19" i="46"/>
  <c r="L20" i="46"/>
  <c r="K6" i="46"/>
  <c r="E19" i="24" s="1"/>
  <c r="S18" i="46"/>
  <c r="U18" i="46"/>
  <c r="Y18" i="46" s="1"/>
  <c r="Q18" i="46"/>
  <c r="T18" i="46" s="1"/>
  <c r="X18" i="46" s="1"/>
  <c r="K74" i="46"/>
  <c r="X13" i="46"/>
  <c r="Z13" i="46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2" i="45"/>
  <c r="C62" i="45"/>
  <c r="E61" i="45"/>
  <c r="C61" i="45"/>
  <c r="E60" i="45"/>
  <c r="C60" i="45"/>
  <c r="E59" i="45"/>
  <c r="C59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AG27" i="45"/>
  <c r="E27" i="45"/>
  <c r="C27" i="45"/>
  <c r="AG26" i="45"/>
  <c r="AG28" i="45" s="1"/>
  <c r="E26" i="45"/>
  <c r="C26" i="45"/>
  <c r="E25" i="45"/>
  <c r="C25" i="45"/>
  <c r="E24" i="45"/>
  <c r="C24" i="45"/>
  <c r="E23" i="45"/>
  <c r="C23" i="45"/>
  <c r="AH22" i="45"/>
  <c r="AH17" i="45" s="1"/>
  <c r="AL17" i="45" s="1"/>
  <c r="AG22" i="45"/>
  <c r="E22" i="45"/>
  <c r="C22" i="45"/>
  <c r="AH21" i="45"/>
  <c r="AL21" i="45" s="1"/>
  <c r="E21" i="45"/>
  <c r="C21" i="45"/>
  <c r="AH20" i="45"/>
  <c r="AL20" i="45" s="1"/>
  <c r="E20" i="45"/>
  <c r="C20" i="45"/>
  <c r="AH19" i="45"/>
  <c r="AL19" i="45" s="1"/>
  <c r="E19" i="45"/>
  <c r="C19" i="45"/>
  <c r="AH18" i="45"/>
  <c r="AL18" i="45" s="1"/>
  <c r="E18" i="45"/>
  <c r="C18" i="45"/>
  <c r="E17" i="45"/>
  <c r="C17" i="45"/>
  <c r="AH16" i="45"/>
  <c r="P16" i="45"/>
  <c r="P17" i="45" s="1"/>
  <c r="P18" i="45" s="1"/>
  <c r="P19" i="45" s="1"/>
  <c r="P20" i="45" s="1"/>
  <c r="P21" i="45" s="1"/>
  <c r="P22" i="45" s="1"/>
  <c r="P23" i="45" s="1"/>
  <c r="P24" i="45" s="1"/>
  <c r="P25" i="45" s="1"/>
  <c r="P26" i="45" s="1"/>
  <c r="P27" i="45" s="1"/>
  <c r="P28" i="45" s="1"/>
  <c r="P29" i="45" s="1"/>
  <c r="P30" i="45" s="1"/>
  <c r="P31" i="45" s="1"/>
  <c r="P32" i="45" s="1"/>
  <c r="P33" i="45" s="1"/>
  <c r="P34" i="45" s="1"/>
  <c r="P35" i="45" s="1"/>
  <c r="P36" i="45" s="1"/>
  <c r="P37" i="45" s="1"/>
  <c r="P38" i="45" s="1"/>
  <c r="P39" i="45" s="1"/>
  <c r="P40" i="45" s="1"/>
  <c r="P41" i="45" s="1"/>
  <c r="P42" i="45" s="1"/>
  <c r="P43" i="45" s="1"/>
  <c r="P44" i="45" s="1"/>
  <c r="P45" i="45" s="1"/>
  <c r="P46" i="45" s="1"/>
  <c r="P47" i="45" s="1"/>
  <c r="P48" i="45" s="1"/>
  <c r="P49" i="45" s="1"/>
  <c r="P50" i="45" s="1"/>
  <c r="P51" i="45" s="1"/>
  <c r="P52" i="45" s="1"/>
  <c r="P53" i="45" s="1"/>
  <c r="P54" i="45" s="1"/>
  <c r="P55" i="45" s="1"/>
  <c r="P56" i="45" s="1"/>
  <c r="P57" i="45" s="1"/>
  <c r="P58" i="45" s="1"/>
  <c r="P59" i="45" s="1"/>
  <c r="P60" i="45" s="1"/>
  <c r="P61" i="45" s="1"/>
  <c r="P62" i="45" s="1"/>
  <c r="P63" i="45" s="1"/>
  <c r="P64" i="45" s="1"/>
  <c r="P65" i="45" s="1"/>
  <c r="P66" i="45" s="1"/>
  <c r="P67" i="45" s="1"/>
  <c r="P68" i="45" s="1"/>
  <c r="P69" i="45" s="1"/>
  <c r="P70" i="45" s="1"/>
  <c r="P71" i="45" s="1"/>
  <c r="P72" i="45" s="1"/>
  <c r="P73" i="45" s="1"/>
  <c r="N16" i="45"/>
  <c r="N17" i="45" s="1"/>
  <c r="N18" i="45" s="1"/>
  <c r="N19" i="45" s="1"/>
  <c r="N20" i="45" s="1"/>
  <c r="N21" i="45" s="1"/>
  <c r="N22" i="45" s="1"/>
  <c r="N23" i="45" s="1"/>
  <c r="N24" i="45" s="1"/>
  <c r="N25" i="45" s="1"/>
  <c r="N26" i="45" s="1"/>
  <c r="N27" i="45" s="1"/>
  <c r="N28" i="45" s="1"/>
  <c r="N29" i="45" s="1"/>
  <c r="N30" i="45" s="1"/>
  <c r="N31" i="45" s="1"/>
  <c r="N32" i="45" s="1"/>
  <c r="N33" i="45" s="1"/>
  <c r="N34" i="45" s="1"/>
  <c r="N35" i="45" s="1"/>
  <c r="N36" i="45" s="1"/>
  <c r="N37" i="45" s="1"/>
  <c r="N38" i="45" s="1"/>
  <c r="N39" i="45" s="1"/>
  <c r="N40" i="45" s="1"/>
  <c r="N41" i="45" s="1"/>
  <c r="N42" i="45" s="1"/>
  <c r="N43" i="45" s="1"/>
  <c r="N44" i="45" s="1"/>
  <c r="N45" i="45" s="1"/>
  <c r="N46" i="45" s="1"/>
  <c r="N47" i="45" s="1"/>
  <c r="N48" i="45" s="1"/>
  <c r="N49" i="45" s="1"/>
  <c r="N50" i="45" s="1"/>
  <c r="N51" i="45" s="1"/>
  <c r="N52" i="45" s="1"/>
  <c r="N53" i="45" s="1"/>
  <c r="N54" i="45" s="1"/>
  <c r="N55" i="45" s="1"/>
  <c r="N56" i="45" s="1"/>
  <c r="N57" i="45" s="1"/>
  <c r="N59" i="45" s="1"/>
  <c r="N60" i="45" s="1"/>
  <c r="N61" i="45" s="1"/>
  <c r="N62" i="45" s="1"/>
  <c r="N63" i="45" s="1"/>
  <c r="N64" i="45" s="1"/>
  <c r="N65" i="45" s="1"/>
  <c r="N66" i="45" s="1"/>
  <c r="N67" i="45" s="1"/>
  <c r="N68" i="45" s="1"/>
  <c r="N69" i="45" s="1"/>
  <c r="N70" i="45" s="1"/>
  <c r="N71" i="45" s="1"/>
  <c r="N72" i="45" s="1"/>
  <c r="N73" i="45" s="1"/>
  <c r="L16" i="45"/>
  <c r="L17" i="45" s="1"/>
  <c r="E16" i="45"/>
  <c r="C16" i="45"/>
  <c r="E15" i="45"/>
  <c r="C15" i="45"/>
  <c r="A15" i="45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P14" i="45"/>
  <c r="O14" i="45"/>
  <c r="O15" i="45" s="1"/>
  <c r="O16" i="45" s="1"/>
  <c r="O17" i="45" s="1"/>
  <c r="O18" i="45" s="1"/>
  <c r="O19" i="45" s="1"/>
  <c r="O20" i="45" s="1"/>
  <c r="O21" i="45" s="1"/>
  <c r="O22" i="45" s="1"/>
  <c r="O23" i="45" s="1"/>
  <c r="O24" i="45" s="1"/>
  <c r="O25" i="45" s="1"/>
  <c r="O26" i="45" s="1"/>
  <c r="O27" i="45" s="1"/>
  <c r="O28" i="45" s="1"/>
  <c r="O29" i="45" s="1"/>
  <c r="O30" i="45" s="1"/>
  <c r="O31" i="45" s="1"/>
  <c r="O32" i="45" s="1"/>
  <c r="O33" i="45" s="1"/>
  <c r="O34" i="45" s="1"/>
  <c r="O35" i="45" s="1"/>
  <c r="O36" i="45" s="1"/>
  <c r="O37" i="45" s="1"/>
  <c r="O38" i="45" s="1"/>
  <c r="O39" i="45" s="1"/>
  <c r="O40" i="45" s="1"/>
  <c r="O41" i="45" s="1"/>
  <c r="O42" i="45" s="1"/>
  <c r="O43" i="45" s="1"/>
  <c r="O44" i="45" s="1"/>
  <c r="O45" i="45" s="1"/>
  <c r="O46" i="45" s="1"/>
  <c r="O47" i="45" s="1"/>
  <c r="O48" i="45" s="1"/>
  <c r="O49" i="45" s="1"/>
  <c r="O50" i="45" s="1"/>
  <c r="O51" i="45" s="1"/>
  <c r="O52" i="45" s="1"/>
  <c r="O53" i="45" s="1"/>
  <c r="O54" i="45" s="1"/>
  <c r="O55" i="45" s="1"/>
  <c r="O56" i="45" s="1"/>
  <c r="O57" i="45" s="1"/>
  <c r="O59" i="45" s="1"/>
  <c r="O60" i="45" s="1"/>
  <c r="O61" i="45" s="1"/>
  <c r="O62" i="45" s="1"/>
  <c r="O63" i="45" s="1"/>
  <c r="O64" i="45" s="1"/>
  <c r="O65" i="45" s="1"/>
  <c r="O66" i="45" s="1"/>
  <c r="O67" i="45" s="1"/>
  <c r="O68" i="45" s="1"/>
  <c r="O69" i="45" s="1"/>
  <c r="O70" i="45" s="1"/>
  <c r="O71" i="45" s="1"/>
  <c r="O72" i="45" s="1"/>
  <c r="O73" i="45" s="1"/>
  <c r="N14" i="45"/>
  <c r="M14" i="45"/>
  <c r="L14" i="45"/>
  <c r="H14" i="45"/>
  <c r="F14" i="45"/>
  <c r="B14" i="45"/>
  <c r="A14" i="45"/>
  <c r="P13" i="45"/>
  <c r="O13" i="45"/>
  <c r="O74" i="45" s="1"/>
  <c r="N13" i="45"/>
  <c r="M13" i="45"/>
  <c r="L13" i="45"/>
  <c r="H13" i="45"/>
  <c r="F13" i="45"/>
  <c r="AB9" i="45"/>
  <c r="AA9" i="45"/>
  <c r="X9" i="45"/>
  <c r="W9" i="45"/>
  <c r="T9" i="45"/>
  <c r="T4" i="45" s="1"/>
  <c r="U4" i="45" s="1"/>
  <c r="S9" i="45"/>
  <c r="AC8" i="45"/>
  <c r="AB8" i="45"/>
  <c r="AA8" i="45"/>
  <c r="AB7" i="45"/>
  <c r="AC7" i="45" s="1"/>
  <c r="AA7" i="45"/>
  <c r="AC6" i="45"/>
  <c r="AB6" i="45"/>
  <c r="AA6" i="45"/>
  <c r="AB5" i="45"/>
  <c r="AC5" i="45" s="1"/>
  <c r="AA5" i="45"/>
  <c r="AB4" i="45"/>
  <c r="AC4" i="45" s="1"/>
  <c r="AA4" i="45"/>
  <c r="AB3" i="45"/>
  <c r="AC3" i="45" s="1"/>
  <c r="AC9" i="45" s="1"/>
  <c r="AA3" i="45"/>
  <c r="C3" i="45"/>
  <c r="AA1" i="45"/>
  <c r="C1" i="45"/>
  <c r="C45" i="44"/>
  <c r="C46" i="44"/>
  <c r="C47" i="44"/>
  <c r="C1" i="43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E46" i="44"/>
  <c r="E45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AG28" i="44"/>
  <c r="AL22" i="44" s="1"/>
  <c r="E28" i="44"/>
  <c r="C28" i="44"/>
  <c r="AG27" i="44"/>
  <c r="E27" i="44"/>
  <c r="C27" i="44"/>
  <c r="AG26" i="44"/>
  <c r="E26" i="44"/>
  <c r="C26" i="44"/>
  <c r="E25" i="44"/>
  <c r="C25" i="44"/>
  <c r="E24" i="44"/>
  <c r="C24" i="44"/>
  <c r="E23" i="44"/>
  <c r="C23" i="44"/>
  <c r="AH22" i="44"/>
  <c r="AG22" i="44"/>
  <c r="E22" i="44"/>
  <c r="C22" i="44"/>
  <c r="AH21" i="44"/>
  <c r="AL21" i="44" s="1"/>
  <c r="E21" i="44"/>
  <c r="C21" i="44"/>
  <c r="AH20" i="44"/>
  <c r="AL20" i="44" s="1"/>
  <c r="AK20" i="44" s="1"/>
  <c r="E20" i="44"/>
  <c r="C20" i="44"/>
  <c r="AH19" i="44"/>
  <c r="AL19" i="44" s="1"/>
  <c r="E19" i="44"/>
  <c r="C19" i="44"/>
  <c r="AH18" i="44"/>
  <c r="AL18" i="44" s="1"/>
  <c r="E18" i="44"/>
  <c r="C18" i="44"/>
  <c r="AH17" i="44"/>
  <c r="AL17" i="44" s="1"/>
  <c r="AK17" i="44" s="1"/>
  <c r="E17" i="44"/>
  <c r="C17" i="44"/>
  <c r="AH16" i="44"/>
  <c r="AL16" i="44" s="1"/>
  <c r="AK16" i="44" s="1"/>
  <c r="P16" i="44"/>
  <c r="P17" i="44" s="1"/>
  <c r="P18" i="44" s="1"/>
  <c r="P19" i="44" s="1"/>
  <c r="P20" i="44" s="1"/>
  <c r="P21" i="44" s="1"/>
  <c r="P22" i="44" s="1"/>
  <c r="P23" i="44" s="1"/>
  <c r="P24" i="44" s="1"/>
  <c r="P25" i="44" s="1"/>
  <c r="P26" i="44" s="1"/>
  <c r="P27" i="44" s="1"/>
  <c r="P28" i="44" s="1"/>
  <c r="P29" i="44" s="1"/>
  <c r="P30" i="44" s="1"/>
  <c r="P31" i="44" s="1"/>
  <c r="P32" i="44" s="1"/>
  <c r="P33" i="44" s="1"/>
  <c r="P34" i="44" s="1"/>
  <c r="P35" i="44" s="1"/>
  <c r="P36" i="44" s="1"/>
  <c r="P37" i="44" s="1"/>
  <c r="P38" i="44" s="1"/>
  <c r="P39" i="44" s="1"/>
  <c r="P40" i="44" s="1"/>
  <c r="P41" i="44" s="1"/>
  <c r="P42" i="44" s="1"/>
  <c r="P43" i="44" s="1"/>
  <c r="P44" i="44" s="1"/>
  <c r="P45" i="44" s="1"/>
  <c r="P46" i="44" s="1"/>
  <c r="P47" i="44" s="1"/>
  <c r="P48" i="44" s="1"/>
  <c r="P49" i="44" s="1"/>
  <c r="P50" i="44" s="1"/>
  <c r="P51" i="44" s="1"/>
  <c r="P52" i="44" s="1"/>
  <c r="P53" i="44" s="1"/>
  <c r="P54" i="44" s="1"/>
  <c r="P55" i="44" s="1"/>
  <c r="P56" i="44" s="1"/>
  <c r="P57" i="44" s="1"/>
  <c r="P58" i="44" s="1"/>
  <c r="P59" i="44" s="1"/>
  <c r="P60" i="44" s="1"/>
  <c r="P61" i="44" s="1"/>
  <c r="P62" i="44" s="1"/>
  <c r="P63" i="44" s="1"/>
  <c r="P64" i="44" s="1"/>
  <c r="P65" i="44" s="1"/>
  <c r="P66" i="44" s="1"/>
  <c r="P67" i="44" s="1"/>
  <c r="P68" i="44" s="1"/>
  <c r="P69" i="44" s="1"/>
  <c r="P70" i="44" s="1"/>
  <c r="P71" i="44" s="1"/>
  <c r="P72" i="44" s="1"/>
  <c r="P73" i="44" s="1"/>
  <c r="N16" i="44"/>
  <c r="N17" i="44" s="1"/>
  <c r="N18" i="44" s="1"/>
  <c r="N19" i="44" s="1"/>
  <c r="N20" i="44" s="1"/>
  <c r="N21" i="44" s="1"/>
  <c r="N22" i="44" s="1"/>
  <c r="N23" i="44" s="1"/>
  <c r="N24" i="44" s="1"/>
  <c r="N25" i="44" s="1"/>
  <c r="N26" i="44" s="1"/>
  <c r="N27" i="44" s="1"/>
  <c r="N28" i="44" s="1"/>
  <c r="N29" i="44" s="1"/>
  <c r="N30" i="44" s="1"/>
  <c r="N31" i="44" s="1"/>
  <c r="N32" i="44" s="1"/>
  <c r="N33" i="44" s="1"/>
  <c r="N34" i="44" s="1"/>
  <c r="N35" i="44" s="1"/>
  <c r="N36" i="44" s="1"/>
  <c r="N37" i="44" s="1"/>
  <c r="N38" i="44" s="1"/>
  <c r="N39" i="44" s="1"/>
  <c r="N40" i="44" s="1"/>
  <c r="N41" i="44" s="1"/>
  <c r="N42" i="44" s="1"/>
  <c r="N43" i="44" s="1"/>
  <c r="N44" i="44" s="1"/>
  <c r="N45" i="44" s="1"/>
  <c r="N46" i="44" s="1"/>
  <c r="N47" i="44" s="1"/>
  <c r="N48" i="44" s="1"/>
  <c r="N49" i="44" s="1"/>
  <c r="N50" i="44" s="1"/>
  <c r="N51" i="44" s="1"/>
  <c r="N52" i="44" s="1"/>
  <c r="N53" i="44" s="1"/>
  <c r="N54" i="44" s="1"/>
  <c r="N55" i="44" s="1"/>
  <c r="N56" i="44" s="1"/>
  <c r="N57" i="44" s="1"/>
  <c r="N59" i="44" s="1"/>
  <c r="N60" i="44" s="1"/>
  <c r="N61" i="44" s="1"/>
  <c r="N62" i="44" s="1"/>
  <c r="N63" i="44" s="1"/>
  <c r="N64" i="44" s="1"/>
  <c r="N65" i="44" s="1"/>
  <c r="N66" i="44" s="1"/>
  <c r="N67" i="44" s="1"/>
  <c r="N68" i="44" s="1"/>
  <c r="N69" i="44" s="1"/>
  <c r="N70" i="44" s="1"/>
  <c r="N71" i="44" s="1"/>
  <c r="N72" i="44" s="1"/>
  <c r="N73" i="44" s="1"/>
  <c r="L16" i="44"/>
  <c r="L17" i="44" s="1"/>
  <c r="L18" i="44" s="1"/>
  <c r="E16" i="44"/>
  <c r="C16" i="44"/>
  <c r="E15" i="44"/>
  <c r="C15" i="44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P14" i="44"/>
  <c r="O14" i="44"/>
  <c r="O15" i="44" s="1"/>
  <c r="O16" i="44" s="1"/>
  <c r="O17" i="44" s="1"/>
  <c r="O18" i="44" s="1"/>
  <c r="O19" i="44" s="1"/>
  <c r="O20" i="44" s="1"/>
  <c r="O21" i="44" s="1"/>
  <c r="O22" i="44" s="1"/>
  <c r="O23" i="44" s="1"/>
  <c r="O24" i="44" s="1"/>
  <c r="O25" i="44" s="1"/>
  <c r="O26" i="44" s="1"/>
  <c r="O27" i="44" s="1"/>
  <c r="O28" i="44" s="1"/>
  <c r="O29" i="44" s="1"/>
  <c r="O30" i="44" s="1"/>
  <c r="O31" i="44" s="1"/>
  <c r="O32" i="44" s="1"/>
  <c r="O33" i="44" s="1"/>
  <c r="O34" i="44" s="1"/>
  <c r="O35" i="44" s="1"/>
  <c r="O36" i="44" s="1"/>
  <c r="O37" i="44" s="1"/>
  <c r="O38" i="44" s="1"/>
  <c r="O39" i="44" s="1"/>
  <c r="O40" i="44" s="1"/>
  <c r="O41" i="44" s="1"/>
  <c r="O42" i="44" s="1"/>
  <c r="O43" i="44" s="1"/>
  <c r="O44" i="44" s="1"/>
  <c r="O45" i="44" s="1"/>
  <c r="O46" i="44" s="1"/>
  <c r="O47" i="44" s="1"/>
  <c r="O48" i="44" s="1"/>
  <c r="O49" i="44" s="1"/>
  <c r="O50" i="44" s="1"/>
  <c r="O51" i="44" s="1"/>
  <c r="O52" i="44" s="1"/>
  <c r="O53" i="44" s="1"/>
  <c r="O54" i="44" s="1"/>
  <c r="O55" i="44" s="1"/>
  <c r="O56" i="44" s="1"/>
  <c r="O57" i="44" s="1"/>
  <c r="O59" i="44" s="1"/>
  <c r="O60" i="44" s="1"/>
  <c r="O61" i="44" s="1"/>
  <c r="O62" i="44" s="1"/>
  <c r="O63" i="44" s="1"/>
  <c r="O64" i="44" s="1"/>
  <c r="O65" i="44" s="1"/>
  <c r="O66" i="44" s="1"/>
  <c r="O67" i="44" s="1"/>
  <c r="O68" i="44" s="1"/>
  <c r="O69" i="44" s="1"/>
  <c r="O70" i="44" s="1"/>
  <c r="O71" i="44" s="1"/>
  <c r="O72" i="44" s="1"/>
  <c r="O73" i="44" s="1"/>
  <c r="N14" i="44"/>
  <c r="M14" i="44"/>
  <c r="L14" i="44"/>
  <c r="R14" i="44" s="1"/>
  <c r="H14" i="44"/>
  <c r="F14" i="44"/>
  <c r="B14" i="44"/>
  <c r="A14" i="44"/>
  <c r="P13" i="44"/>
  <c r="O13" i="44"/>
  <c r="N13" i="44"/>
  <c r="M13" i="44"/>
  <c r="L13" i="44"/>
  <c r="H13" i="44"/>
  <c r="F13" i="44"/>
  <c r="AB9" i="44"/>
  <c r="AA9" i="44"/>
  <c r="X9" i="44"/>
  <c r="X8" i="44" s="1"/>
  <c r="Y8" i="44" s="1"/>
  <c r="W9" i="44"/>
  <c r="T9" i="44"/>
  <c r="T8" i="44" s="1"/>
  <c r="U8" i="44" s="1"/>
  <c r="S9" i="44"/>
  <c r="AC8" i="44"/>
  <c r="AB8" i="44"/>
  <c r="AA8" i="44"/>
  <c r="AB7" i="44"/>
  <c r="AC7" i="44" s="1"/>
  <c r="AA7" i="44"/>
  <c r="AC6" i="44"/>
  <c r="AB6" i="44"/>
  <c r="AA6" i="44"/>
  <c r="AB5" i="44"/>
  <c r="AC5" i="44" s="1"/>
  <c r="AA5" i="44"/>
  <c r="AB4" i="44"/>
  <c r="AC4" i="44" s="1"/>
  <c r="AA4" i="44"/>
  <c r="AC3" i="44"/>
  <c r="AB3" i="44"/>
  <c r="AA3" i="44"/>
  <c r="C3" i="44"/>
  <c r="AA1" i="44"/>
  <c r="C1" i="44"/>
  <c r="X9" i="43"/>
  <c r="X6" i="43" s="1"/>
  <c r="Y6" i="43" s="1"/>
  <c r="T9" i="43"/>
  <c r="T3" i="43" s="1"/>
  <c r="E73" i="43"/>
  <c r="C73" i="43"/>
  <c r="E72" i="43"/>
  <c r="C72" i="43"/>
  <c r="E71" i="43"/>
  <c r="C71" i="43"/>
  <c r="E70" i="43"/>
  <c r="C70" i="43"/>
  <c r="E69" i="43"/>
  <c r="C69" i="43"/>
  <c r="E68" i="43"/>
  <c r="C68" i="43"/>
  <c r="E67" i="43"/>
  <c r="C67" i="43"/>
  <c r="E66" i="43"/>
  <c r="C66" i="43"/>
  <c r="E65" i="43"/>
  <c r="C65" i="43"/>
  <c r="E64" i="43"/>
  <c r="C64" i="43"/>
  <c r="E63" i="43"/>
  <c r="C63" i="43"/>
  <c r="E62" i="43"/>
  <c r="C62" i="43"/>
  <c r="E61" i="43"/>
  <c r="C61" i="43"/>
  <c r="E60" i="43"/>
  <c r="C60" i="43"/>
  <c r="E59" i="43"/>
  <c r="C59" i="43"/>
  <c r="E58" i="43"/>
  <c r="C58" i="43"/>
  <c r="E57" i="43"/>
  <c r="C57" i="43"/>
  <c r="E56" i="43"/>
  <c r="C56" i="43"/>
  <c r="E55" i="43"/>
  <c r="C55" i="43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AG27" i="43"/>
  <c r="E27" i="43"/>
  <c r="C27" i="43"/>
  <c r="AG26" i="43"/>
  <c r="AG28" i="43" s="1"/>
  <c r="E26" i="43"/>
  <c r="C26" i="43"/>
  <c r="E25" i="43"/>
  <c r="C25" i="43"/>
  <c r="E24" i="43"/>
  <c r="C24" i="43"/>
  <c r="E23" i="43"/>
  <c r="C23" i="43"/>
  <c r="AH22" i="43"/>
  <c r="AH21" i="43" s="1"/>
  <c r="AL21" i="43" s="1"/>
  <c r="AG22" i="43"/>
  <c r="E22" i="43"/>
  <c r="C22" i="43"/>
  <c r="E21" i="43"/>
  <c r="C21" i="43"/>
  <c r="E20" i="43"/>
  <c r="C20" i="43"/>
  <c r="E19" i="43"/>
  <c r="C19" i="43"/>
  <c r="AL18" i="43"/>
  <c r="AH18" i="43"/>
  <c r="E18" i="43"/>
  <c r="C18" i="43"/>
  <c r="AL17" i="43"/>
  <c r="AH17" i="43"/>
  <c r="E17" i="43"/>
  <c r="C17" i="43"/>
  <c r="AL16" i="43"/>
  <c r="AH16" i="43"/>
  <c r="P16" i="43"/>
  <c r="P17" i="43" s="1"/>
  <c r="P18" i="43" s="1"/>
  <c r="P19" i="43" s="1"/>
  <c r="P20" i="43" s="1"/>
  <c r="P21" i="43" s="1"/>
  <c r="P22" i="43" s="1"/>
  <c r="P23" i="43" s="1"/>
  <c r="P24" i="43" s="1"/>
  <c r="P25" i="43" s="1"/>
  <c r="P26" i="43" s="1"/>
  <c r="P27" i="43" s="1"/>
  <c r="P28" i="43" s="1"/>
  <c r="P29" i="43" s="1"/>
  <c r="P30" i="43" s="1"/>
  <c r="P31" i="43" s="1"/>
  <c r="P32" i="43" s="1"/>
  <c r="P33" i="43" s="1"/>
  <c r="P34" i="43" s="1"/>
  <c r="P35" i="43" s="1"/>
  <c r="P36" i="43" s="1"/>
  <c r="P37" i="43" s="1"/>
  <c r="P38" i="43" s="1"/>
  <c r="P39" i="43" s="1"/>
  <c r="P40" i="43" s="1"/>
  <c r="P41" i="43" s="1"/>
  <c r="P42" i="43" s="1"/>
  <c r="P43" i="43" s="1"/>
  <c r="P44" i="43" s="1"/>
  <c r="P45" i="43" s="1"/>
  <c r="P46" i="43" s="1"/>
  <c r="P47" i="43" s="1"/>
  <c r="P48" i="43" s="1"/>
  <c r="P49" i="43" s="1"/>
  <c r="P50" i="43" s="1"/>
  <c r="P51" i="43" s="1"/>
  <c r="P52" i="43" s="1"/>
  <c r="P53" i="43" s="1"/>
  <c r="P54" i="43" s="1"/>
  <c r="P55" i="43" s="1"/>
  <c r="P56" i="43" s="1"/>
  <c r="P57" i="43" s="1"/>
  <c r="P58" i="43" s="1"/>
  <c r="P59" i="43" s="1"/>
  <c r="P60" i="43" s="1"/>
  <c r="P61" i="43" s="1"/>
  <c r="P62" i="43" s="1"/>
  <c r="P63" i="43" s="1"/>
  <c r="P64" i="43" s="1"/>
  <c r="P65" i="43" s="1"/>
  <c r="P66" i="43" s="1"/>
  <c r="P67" i="43" s="1"/>
  <c r="P68" i="43" s="1"/>
  <c r="P69" i="43" s="1"/>
  <c r="P70" i="43" s="1"/>
  <c r="P71" i="43" s="1"/>
  <c r="P72" i="43" s="1"/>
  <c r="P73" i="43" s="1"/>
  <c r="N16" i="43"/>
  <c r="N17" i="43" s="1"/>
  <c r="N18" i="43" s="1"/>
  <c r="N19" i="43" s="1"/>
  <c r="N20" i="43" s="1"/>
  <c r="N21" i="43" s="1"/>
  <c r="N22" i="43" s="1"/>
  <c r="N23" i="43" s="1"/>
  <c r="N24" i="43" s="1"/>
  <c r="N25" i="43" s="1"/>
  <c r="N26" i="43" s="1"/>
  <c r="N27" i="43" s="1"/>
  <c r="N28" i="43" s="1"/>
  <c r="N29" i="43" s="1"/>
  <c r="N30" i="43" s="1"/>
  <c r="N31" i="43" s="1"/>
  <c r="N32" i="43" s="1"/>
  <c r="N33" i="43" s="1"/>
  <c r="N34" i="43" s="1"/>
  <c r="N35" i="43" s="1"/>
  <c r="N36" i="43" s="1"/>
  <c r="N37" i="43" s="1"/>
  <c r="N38" i="43" s="1"/>
  <c r="N39" i="43" s="1"/>
  <c r="N40" i="43" s="1"/>
  <c r="N41" i="43" s="1"/>
  <c r="N42" i="43" s="1"/>
  <c r="N43" i="43" s="1"/>
  <c r="N44" i="43" s="1"/>
  <c r="N45" i="43" s="1"/>
  <c r="N46" i="43" s="1"/>
  <c r="N47" i="43" s="1"/>
  <c r="N48" i="43" s="1"/>
  <c r="N49" i="43" s="1"/>
  <c r="N50" i="43" s="1"/>
  <c r="N51" i="43" s="1"/>
  <c r="N52" i="43" s="1"/>
  <c r="N53" i="43" s="1"/>
  <c r="N54" i="43" s="1"/>
  <c r="N55" i="43" s="1"/>
  <c r="N56" i="43" s="1"/>
  <c r="N57" i="43" s="1"/>
  <c r="N58" i="43" s="1"/>
  <c r="N59" i="43" s="1"/>
  <c r="N60" i="43" s="1"/>
  <c r="N61" i="43" s="1"/>
  <c r="N62" i="43" s="1"/>
  <c r="N63" i="43" s="1"/>
  <c r="N64" i="43" s="1"/>
  <c r="N65" i="43" s="1"/>
  <c r="N66" i="43" s="1"/>
  <c r="N67" i="43" s="1"/>
  <c r="N68" i="43" s="1"/>
  <c r="N69" i="43" s="1"/>
  <c r="N70" i="43" s="1"/>
  <c r="N71" i="43" s="1"/>
  <c r="N72" i="43" s="1"/>
  <c r="N73" i="43" s="1"/>
  <c r="L16" i="43"/>
  <c r="L17" i="43" s="1"/>
  <c r="E16" i="43"/>
  <c r="C16" i="43"/>
  <c r="O15" i="43"/>
  <c r="O16" i="43" s="1"/>
  <c r="O17" i="43" s="1"/>
  <c r="O18" i="43" s="1"/>
  <c r="O19" i="43" s="1"/>
  <c r="O20" i="43" s="1"/>
  <c r="O21" i="43" s="1"/>
  <c r="O22" i="43" s="1"/>
  <c r="O23" i="43" s="1"/>
  <c r="O24" i="43" s="1"/>
  <c r="O25" i="43" s="1"/>
  <c r="O26" i="43" s="1"/>
  <c r="O27" i="43" s="1"/>
  <c r="O28" i="43" s="1"/>
  <c r="O29" i="43" s="1"/>
  <c r="O30" i="43" s="1"/>
  <c r="O31" i="43" s="1"/>
  <c r="O32" i="43" s="1"/>
  <c r="O33" i="43" s="1"/>
  <c r="O34" i="43" s="1"/>
  <c r="O35" i="43" s="1"/>
  <c r="O36" i="43" s="1"/>
  <c r="O37" i="43" s="1"/>
  <c r="O38" i="43" s="1"/>
  <c r="O39" i="43" s="1"/>
  <c r="O40" i="43" s="1"/>
  <c r="O41" i="43" s="1"/>
  <c r="O42" i="43" s="1"/>
  <c r="O43" i="43" s="1"/>
  <c r="O44" i="43" s="1"/>
  <c r="O45" i="43" s="1"/>
  <c r="O46" i="43" s="1"/>
  <c r="O47" i="43" s="1"/>
  <c r="O48" i="43" s="1"/>
  <c r="O49" i="43" s="1"/>
  <c r="O50" i="43" s="1"/>
  <c r="O51" i="43" s="1"/>
  <c r="O52" i="43" s="1"/>
  <c r="O53" i="43" s="1"/>
  <c r="O54" i="43" s="1"/>
  <c r="O55" i="43" s="1"/>
  <c r="O56" i="43" s="1"/>
  <c r="O57" i="43" s="1"/>
  <c r="O58" i="43" s="1"/>
  <c r="O59" i="43" s="1"/>
  <c r="O60" i="43" s="1"/>
  <c r="O61" i="43" s="1"/>
  <c r="O62" i="43" s="1"/>
  <c r="O63" i="43" s="1"/>
  <c r="O64" i="43" s="1"/>
  <c r="O65" i="43" s="1"/>
  <c r="O66" i="43" s="1"/>
  <c r="O67" i="43" s="1"/>
  <c r="O68" i="43" s="1"/>
  <c r="O69" i="43" s="1"/>
  <c r="O70" i="43" s="1"/>
  <c r="O71" i="43" s="1"/>
  <c r="O72" i="43" s="1"/>
  <c r="O73" i="43" s="1"/>
  <c r="E15" i="43"/>
  <c r="C15" i="43"/>
  <c r="B15" i="43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P14" i="43"/>
  <c r="O14" i="43"/>
  <c r="N14" i="43"/>
  <c r="M14" i="43"/>
  <c r="L14" i="43"/>
  <c r="R14" i="43" s="1"/>
  <c r="H14" i="43"/>
  <c r="F14" i="43"/>
  <c r="B14" i="43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P13" i="43"/>
  <c r="P74" i="43" s="1"/>
  <c r="O13" i="43"/>
  <c r="N13" i="43"/>
  <c r="M13" i="43"/>
  <c r="L13" i="43"/>
  <c r="H13" i="43"/>
  <c r="F13" i="43"/>
  <c r="AB9" i="43"/>
  <c r="AA9" i="43"/>
  <c r="W9" i="43"/>
  <c r="S9" i="43"/>
  <c r="AC8" i="43"/>
  <c r="AB8" i="43"/>
  <c r="AA8" i="43"/>
  <c r="AC7" i="43"/>
  <c r="AB7" i="43"/>
  <c r="AA7" i="43"/>
  <c r="AC6" i="43"/>
  <c r="AB6" i="43"/>
  <c r="AA6" i="43"/>
  <c r="AC5" i="43"/>
  <c r="AB5" i="43"/>
  <c r="AA5" i="43"/>
  <c r="AB4" i="43"/>
  <c r="AC4" i="43" s="1"/>
  <c r="AA4" i="43"/>
  <c r="T4" i="43"/>
  <c r="U4" i="43" s="1"/>
  <c r="AB3" i="43"/>
  <c r="AC3" i="43" s="1"/>
  <c r="AA3" i="43"/>
  <c r="C3" i="43"/>
  <c r="AA1" i="43"/>
  <c r="T5" i="43" l="1"/>
  <c r="U5" i="43" s="1"/>
  <c r="T6" i="43"/>
  <c r="G68" i="33" s="1"/>
  <c r="T7" i="43"/>
  <c r="U7" i="43" s="1"/>
  <c r="T8" i="43"/>
  <c r="U8" i="43" s="1"/>
  <c r="S40" i="48"/>
  <c r="V40" i="48" s="1"/>
  <c r="Z40" i="48" s="1"/>
  <c r="U40" i="48"/>
  <c r="Y40" i="48" s="1"/>
  <c r="Q40" i="48"/>
  <c r="T40" i="48" s="1"/>
  <c r="X40" i="48" s="1"/>
  <c r="R41" i="48"/>
  <c r="L42" i="48"/>
  <c r="B53" i="48"/>
  <c r="W52" i="48"/>
  <c r="U6" i="43"/>
  <c r="U9" i="43" s="1"/>
  <c r="L21" i="46"/>
  <c r="R20" i="46"/>
  <c r="V18" i="46"/>
  <c r="S19" i="46"/>
  <c r="V19" i="46" s="1"/>
  <c r="Z19" i="46" s="1"/>
  <c r="U19" i="46"/>
  <c r="Q19" i="46"/>
  <c r="AC9" i="43"/>
  <c r="W14" i="44"/>
  <c r="T6" i="44"/>
  <c r="U6" i="44" s="1"/>
  <c r="T7" i="44"/>
  <c r="U7" i="44" s="1"/>
  <c r="T8" i="45"/>
  <c r="U8" i="45" s="1"/>
  <c r="T5" i="44"/>
  <c r="U5" i="44" s="1"/>
  <c r="T3" i="44"/>
  <c r="T4" i="44"/>
  <c r="U4" i="44" s="1"/>
  <c r="T3" i="45"/>
  <c r="T6" i="45"/>
  <c r="U6" i="45" s="1"/>
  <c r="T7" i="45"/>
  <c r="U7" i="45" s="1"/>
  <c r="T5" i="45"/>
  <c r="U5" i="45" s="1"/>
  <c r="D13" i="44"/>
  <c r="D43" i="44" s="1"/>
  <c r="D13" i="45"/>
  <c r="E13" i="45" s="1"/>
  <c r="AL16" i="45"/>
  <c r="AL22" i="45"/>
  <c r="AK20" i="45" s="1"/>
  <c r="G71" i="45"/>
  <c r="G67" i="45"/>
  <c r="G63" i="45"/>
  <c r="G69" i="45"/>
  <c r="G68" i="45"/>
  <c r="G65" i="45"/>
  <c r="G57" i="45"/>
  <c r="G61" i="45"/>
  <c r="G60" i="45"/>
  <c r="G53" i="45"/>
  <c r="G49" i="45"/>
  <c r="G56" i="45"/>
  <c r="G52" i="45"/>
  <c r="G48" i="45"/>
  <c r="G72" i="45"/>
  <c r="G59" i="45"/>
  <c r="G55" i="45"/>
  <c r="G51" i="45"/>
  <c r="G47" i="45"/>
  <c r="G45" i="45"/>
  <c r="G35" i="45"/>
  <c r="G31" i="45"/>
  <c r="G28" i="45"/>
  <c r="G73" i="45"/>
  <c r="G25" i="45"/>
  <c r="G41" i="45"/>
  <c r="G37" i="45"/>
  <c r="G33" i="45"/>
  <c r="G29" i="45"/>
  <c r="G27" i="45"/>
  <c r="G20" i="45"/>
  <c r="G19" i="45"/>
  <c r="G17" i="45"/>
  <c r="G16" i="45"/>
  <c r="G40" i="45"/>
  <c r="G43" i="45"/>
  <c r="G32" i="45"/>
  <c r="G23" i="45"/>
  <c r="G21" i="45"/>
  <c r="G36" i="45"/>
  <c r="G15" i="45"/>
  <c r="L18" i="45"/>
  <c r="W14" i="45"/>
  <c r="B15" i="45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R14" i="45"/>
  <c r="X8" i="45"/>
  <c r="Y8" i="45" s="1"/>
  <c r="X6" i="45"/>
  <c r="Y6" i="45" s="1"/>
  <c r="X4" i="45"/>
  <c r="Y4" i="45" s="1"/>
  <c r="X7" i="45"/>
  <c r="Y7" i="45" s="1"/>
  <c r="X5" i="45"/>
  <c r="Y5" i="45" s="1"/>
  <c r="X3" i="45"/>
  <c r="R15" i="45"/>
  <c r="P74" i="45"/>
  <c r="W36" i="45"/>
  <c r="W15" i="45"/>
  <c r="W23" i="45"/>
  <c r="W32" i="45"/>
  <c r="W31" i="45"/>
  <c r="W28" i="45"/>
  <c r="W38" i="45"/>
  <c r="W34" i="45"/>
  <c r="W37" i="45"/>
  <c r="W33" i="45"/>
  <c r="W29" i="45"/>
  <c r="W24" i="45"/>
  <c r="N74" i="45"/>
  <c r="R13" i="45"/>
  <c r="W17" i="45"/>
  <c r="W18" i="45"/>
  <c r="W19" i="45"/>
  <c r="AC9" i="44"/>
  <c r="S14" i="44"/>
  <c r="Q14" i="44"/>
  <c r="R15" i="44"/>
  <c r="X3" i="44"/>
  <c r="X5" i="44"/>
  <c r="Y5" i="44" s="1"/>
  <c r="X7" i="44"/>
  <c r="Y7" i="44" s="1"/>
  <c r="P74" i="44"/>
  <c r="B15" i="44"/>
  <c r="B16" i="44" s="1"/>
  <c r="B17" i="44" s="1"/>
  <c r="B18" i="44" s="1"/>
  <c r="B19" i="44" s="1"/>
  <c r="B20" i="44" s="1"/>
  <c r="B21" i="44" s="1"/>
  <c r="W18" i="44"/>
  <c r="AK21" i="44"/>
  <c r="X4" i="44"/>
  <c r="Y4" i="44" s="1"/>
  <c r="W15" i="44"/>
  <c r="W16" i="44"/>
  <c r="W17" i="44"/>
  <c r="AK18" i="44"/>
  <c r="AK22" i="44" s="1"/>
  <c r="W19" i="44"/>
  <c r="O74" i="44"/>
  <c r="L19" i="44"/>
  <c r="X6" i="44"/>
  <c r="N74" i="44"/>
  <c r="R13" i="44"/>
  <c r="AK19" i="44"/>
  <c r="W20" i="44"/>
  <c r="X8" i="43"/>
  <c r="Y8" i="43" s="1"/>
  <c r="D13" i="43"/>
  <c r="X7" i="43"/>
  <c r="Y7" i="43" s="1"/>
  <c r="X3" i="43"/>
  <c r="X4" i="43"/>
  <c r="Y4" i="43" s="1"/>
  <c r="X5" i="43"/>
  <c r="Y5" i="43" s="1"/>
  <c r="W71" i="43"/>
  <c r="W67" i="43"/>
  <c r="W63" i="43"/>
  <c r="W70" i="43"/>
  <c r="W73" i="43"/>
  <c r="W59" i="43"/>
  <c r="W55" i="43"/>
  <c r="W68" i="43"/>
  <c r="W58" i="43"/>
  <c r="W54" i="43"/>
  <c r="W69" i="43"/>
  <c r="W66" i="43"/>
  <c r="W65" i="43"/>
  <c r="W64" i="43"/>
  <c r="W57" i="43"/>
  <c r="W62" i="43"/>
  <c r="W56" i="43"/>
  <c r="W52" i="43"/>
  <c r="W48" i="43"/>
  <c r="W44" i="43"/>
  <c r="W51" i="43"/>
  <c r="W47" i="43"/>
  <c r="W43" i="43"/>
  <c r="W60" i="43"/>
  <c r="W50" i="43"/>
  <c r="W46" i="43"/>
  <c r="W45" i="43"/>
  <c r="W40" i="43"/>
  <c r="W36" i="43"/>
  <c r="W32" i="43"/>
  <c r="W23" i="43"/>
  <c r="W49" i="43"/>
  <c r="W39" i="43"/>
  <c r="W35" i="43"/>
  <c r="W31" i="43"/>
  <c r="W28" i="43"/>
  <c r="W26" i="43"/>
  <c r="W22" i="43"/>
  <c r="W21" i="43"/>
  <c r="W20" i="43"/>
  <c r="W19" i="43"/>
  <c r="W18" i="43"/>
  <c r="W53" i="43"/>
  <c r="W42" i="43"/>
  <c r="W38" i="43"/>
  <c r="W34" i="43"/>
  <c r="W30" i="43"/>
  <c r="W25" i="43"/>
  <c r="W33" i="43"/>
  <c r="W24" i="43"/>
  <c r="W14" i="43"/>
  <c r="W17" i="43"/>
  <c r="W16" i="43"/>
  <c r="W29" i="43"/>
  <c r="W27" i="43"/>
  <c r="W37" i="43"/>
  <c r="W72" i="43"/>
  <c r="W41" i="43"/>
  <c r="W15" i="43"/>
  <c r="W61" i="43"/>
  <c r="G71" i="43"/>
  <c r="G67" i="43"/>
  <c r="G63" i="43"/>
  <c r="G70" i="43"/>
  <c r="G73" i="43"/>
  <c r="G59" i="43"/>
  <c r="G55" i="43"/>
  <c r="G68" i="43"/>
  <c r="G58" i="43"/>
  <c r="G69" i="43"/>
  <c r="G65" i="43"/>
  <c r="G64" i="43"/>
  <c r="G57" i="43"/>
  <c r="G56" i="43"/>
  <c r="G52" i="43"/>
  <c r="G48" i="43"/>
  <c r="G44" i="43"/>
  <c r="G72" i="43"/>
  <c r="G60" i="43"/>
  <c r="G51" i="43"/>
  <c r="G47" i="43"/>
  <c r="G43" i="43"/>
  <c r="G61" i="43"/>
  <c r="G54" i="43"/>
  <c r="G62" i="43"/>
  <c r="G45" i="43"/>
  <c r="G40" i="43"/>
  <c r="G36" i="43"/>
  <c r="G32" i="43"/>
  <c r="G23" i="43"/>
  <c r="G49" i="43"/>
  <c r="G35" i="43"/>
  <c r="G31" i="43"/>
  <c r="G28" i="43"/>
  <c r="G22" i="43"/>
  <c r="G21" i="43"/>
  <c r="G20" i="43"/>
  <c r="G19" i="43"/>
  <c r="G18" i="43"/>
  <c r="G53" i="43"/>
  <c r="G34" i="43"/>
  <c r="G30" i="43"/>
  <c r="G25" i="43"/>
  <c r="G33" i="43"/>
  <c r="G24" i="43"/>
  <c r="G17" i="43"/>
  <c r="G16" i="43"/>
  <c r="G29" i="43"/>
  <c r="G27" i="43"/>
  <c r="G15" i="43"/>
  <c r="G37" i="43"/>
  <c r="G41" i="43"/>
  <c r="R13" i="43"/>
  <c r="S14" i="43"/>
  <c r="Q14" i="43"/>
  <c r="L18" i="43"/>
  <c r="R15" i="43"/>
  <c r="N74" i="43"/>
  <c r="O74" i="43"/>
  <c r="AL22" i="43"/>
  <c r="AK17" i="43" s="1"/>
  <c r="AH19" i="43"/>
  <c r="AL19" i="43" s="1"/>
  <c r="AH20" i="43"/>
  <c r="AL20" i="43" s="1"/>
  <c r="D14" i="44" l="1"/>
  <c r="D44" i="44" s="1"/>
  <c r="S41" i="48"/>
  <c r="V41" i="48" s="1"/>
  <c r="Z41" i="48" s="1"/>
  <c r="Q41" i="48"/>
  <c r="T41" i="48" s="1"/>
  <c r="X41" i="48" s="1"/>
  <c r="U41" i="48"/>
  <c r="Y41" i="48" s="1"/>
  <c r="B54" i="48"/>
  <c r="W53" i="48"/>
  <c r="R42" i="48"/>
  <c r="L43" i="48"/>
  <c r="R16" i="44"/>
  <c r="R17" i="44"/>
  <c r="S17" i="44" s="1"/>
  <c r="R18" i="44"/>
  <c r="J13" i="43"/>
  <c r="U13" i="43" s="1"/>
  <c r="D58" i="33"/>
  <c r="Y19" i="46"/>
  <c r="S20" i="46"/>
  <c r="U20" i="46"/>
  <c r="Y20" i="46" s="1"/>
  <c r="Q20" i="46"/>
  <c r="T20" i="46" s="1"/>
  <c r="X20" i="46" s="1"/>
  <c r="R21" i="46"/>
  <c r="L22" i="46"/>
  <c r="T19" i="46"/>
  <c r="Z18" i="46"/>
  <c r="G68" i="44"/>
  <c r="G54" i="44"/>
  <c r="Y6" i="44"/>
  <c r="G64" i="44"/>
  <c r="Y9" i="44"/>
  <c r="U9" i="45"/>
  <c r="U9" i="44"/>
  <c r="J13" i="44"/>
  <c r="U13" i="44" s="1"/>
  <c r="E13" i="44"/>
  <c r="K13" i="44" s="1"/>
  <c r="C13" i="44"/>
  <c r="I13" i="44" s="1"/>
  <c r="C13" i="45"/>
  <c r="I13" i="45" s="1"/>
  <c r="D14" i="45"/>
  <c r="D64" i="45" s="1"/>
  <c r="C64" i="45" s="1"/>
  <c r="G66" i="45"/>
  <c r="E44" i="44"/>
  <c r="C44" i="44"/>
  <c r="G26" i="45"/>
  <c r="H26" i="45" s="1"/>
  <c r="K26" i="45" s="1"/>
  <c r="J13" i="45"/>
  <c r="D63" i="45"/>
  <c r="J63" i="45" s="1"/>
  <c r="Y9" i="43"/>
  <c r="G42" i="45"/>
  <c r="H42" i="45" s="1"/>
  <c r="K42" i="45" s="1"/>
  <c r="G46" i="45"/>
  <c r="G44" i="45"/>
  <c r="F44" i="45" s="1"/>
  <c r="G70" i="45"/>
  <c r="C43" i="44"/>
  <c r="E43" i="44"/>
  <c r="G62" i="45"/>
  <c r="H62" i="45" s="1"/>
  <c r="K62" i="45" s="1"/>
  <c r="G58" i="45"/>
  <c r="AK21" i="45"/>
  <c r="AK18" i="45"/>
  <c r="W20" i="45"/>
  <c r="W16" i="45"/>
  <c r="W27" i="45"/>
  <c r="W25" i="45"/>
  <c r="W22" i="45"/>
  <c r="W35" i="45"/>
  <c r="W21" i="45"/>
  <c r="AK16" i="45"/>
  <c r="AK22" i="45" s="1"/>
  <c r="AK19" i="45"/>
  <c r="W30" i="45"/>
  <c r="W26" i="45"/>
  <c r="W39" i="45"/>
  <c r="G30" i="45"/>
  <c r="J30" i="45" s="1"/>
  <c r="G22" i="45"/>
  <c r="F22" i="45" s="1"/>
  <c r="I22" i="45" s="1"/>
  <c r="AK17" i="45"/>
  <c r="U13" i="45"/>
  <c r="Q13" i="45"/>
  <c r="S13" i="45"/>
  <c r="Q15" i="45"/>
  <c r="S15" i="45"/>
  <c r="L19" i="45"/>
  <c r="R18" i="45"/>
  <c r="J23" i="45"/>
  <c r="F23" i="45"/>
  <c r="I23" i="45" s="1"/>
  <c r="H23" i="45"/>
  <c r="K23" i="45" s="1"/>
  <c r="H19" i="45"/>
  <c r="K19" i="45" s="1"/>
  <c r="J19" i="45"/>
  <c r="F19" i="45"/>
  <c r="I19" i="45" s="1"/>
  <c r="H25" i="45"/>
  <c r="K25" i="45" s="1"/>
  <c r="J25" i="45"/>
  <c r="F25" i="45"/>
  <c r="I25" i="45" s="1"/>
  <c r="H47" i="45"/>
  <c r="K47" i="45" s="1"/>
  <c r="J47" i="45"/>
  <c r="F47" i="45"/>
  <c r="I47" i="45" s="1"/>
  <c r="J49" i="45"/>
  <c r="F49" i="45"/>
  <c r="I49" i="45" s="1"/>
  <c r="H49" i="45"/>
  <c r="K49" i="45" s="1"/>
  <c r="H70" i="45"/>
  <c r="K70" i="45" s="1"/>
  <c r="F70" i="45"/>
  <c r="I70" i="45" s="1"/>
  <c r="J70" i="45"/>
  <c r="Y9" i="45"/>
  <c r="J15" i="45"/>
  <c r="U15" i="45" s="1"/>
  <c r="Y15" i="45" s="1"/>
  <c r="F15" i="45"/>
  <c r="H15" i="45"/>
  <c r="H16" i="45"/>
  <c r="K16" i="45" s="1"/>
  <c r="J16" i="45"/>
  <c r="F16" i="45"/>
  <c r="I16" i="45" s="1"/>
  <c r="H20" i="45"/>
  <c r="K20" i="45" s="1"/>
  <c r="J20" i="45"/>
  <c r="F20" i="45"/>
  <c r="I20" i="45" s="1"/>
  <c r="H33" i="45"/>
  <c r="K33" i="45" s="1"/>
  <c r="J33" i="45"/>
  <c r="F33" i="45"/>
  <c r="I33" i="45" s="1"/>
  <c r="H30" i="45"/>
  <c r="K30" i="45" s="1"/>
  <c r="H51" i="45"/>
  <c r="K51" i="45" s="1"/>
  <c r="F51" i="45"/>
  <c r="I51" i="45" s="1"/>
  <c r="J51" i="45"/>
  <c r="J53" i="45"/>
  <c r="F53" i="45"/>
  <c r="I53" i="45" s="1"/>
  <c r="H53" i="45"/>
  <c r="K53" i="45" s="1"/>
  <c r="J58" i="45"/>
  <c r="F58" i="45"/>
  <c r="I58" i="45" s="1"/>
  <c r="H58" i="45"/>
  <c r="K58" i="45" s="1"/>
  <c r="B41" i="45"/>
  <c r="W40" i="45"/>
  <c r="C14" i="45"/>
  <c r="I14" i="45" s="1"/>
  <c r="J36" i="45"/>
  <c r="F36" i="45"/>
  <c r="I36" i="45" s="1"/>
  <c r="H36" i="45"/>
  <c r="K36" i="45" s="1"/>
  <c r="J43" i="45"/>
  <c r="F43" i="45"/>
  <c r="H43" i="45"/>
  <c r="H17" i="45"/>
  <c r="K17" i="45" s="1"/>
  <c r="J17" i="45"/>
  <c r="F17" i="45"/>
  <c r="I17" i="45" s="1"/>
  <c r="G24" i="45"/>
  <c r="H37" i="45"/>
  <c r="K37" i="45" s="1"/>
  <c r="J37" i="45"/>
  <c r="F37" i="45"/>
  <c r="I37" i="45" s="1"/>
  <c r="G34" i="45"/>
  <c r="G54" i="45"/>
  <c r="J28" i="45"/>
  <c r="F28" i="45"/>
  <c r="I28" i="45" s="1"/>
  <c r="H28" i="45"/>
  <c r="K28" i="45" s="1"/>
  <c r="J45" i="45"/>
  <c r="F45" i="45"/>
  <c r="I45" i="45" s="1"/>
  <c r="H45" i="45"/>
  <c r="K45" i="45" s="1"/>
  <c r="H55" i="45"/>
  <c r="K55" i="45" s="1"/>
  <c r="J55" i="45"/>
  <c r="F55" i="45"/>
  <c r="I55" i="45" s="1"/>
  <c r="H52" i="45"/>
  <c r="K52" i="45" s="1"/>
  <c r="J52" i="45"/>
  <c r="F52" i="45"/>
  <c r="I52" i="45" s="1"/>
  <c r="J60" i="45"/>
  <c r="H60" i="45"/>
  <c r="K60" i="45" s="1"/>
  <c r="F60" i="45"/>
  <c r="I60" i="45" s="1"/>
  <c r="G64" i="45"/>
  <c r="J68" i="45"/>
  <c r="F68" i="45"/>
  <c r="I68" i="45" s="1"/>
  <c r="H68" i="45"/>
  <c r="K68" i="45" s="1"/>
  <c r="J67" i="45"/>
  <c r="H67" i="45"/>
  <c r="K67" i="45" s="1"/>
  <c r="F67" i="45"/>
  <c r="I67" i="45" s="1"/>
  <c r="J46" i="45"/>
  <c r="H46" i="45"/>
  <c r="K46" i="45" s="1"/>
  <c r="F46" i="45"/>
  <c r="I46" i="45" s="1"/>
  <c r="H29" i="45"/>
  <c r="K29" i="45" s="1"/>
  <c r="F29" i="45"/>
  <c r="I29" i="45" s="1"/>
  <c r="J29" i="45"/>
  <c r="F42" i="45"/>
  <c r="I42" i="45" s="1"/>
  <c r="J35" i="45"/>
  <c r="F35" i="45"/>
  <c r="I35" i="45" s="1"/>
  <c r="H35" i="45"/>
  <c r="K35" i="45" s="1"/>
  <c r="J72" i="45"/>
  <c r="F72" i="45"/>
  <c r="I72" i="45" s="1"/>
  <c r="H72" i="45"/>
  <c r="K72" i="45" s="1"/>
  <c r="H66" i="45"/>
  <c r="K66" i="45" s="1"/>
  <c r="F66" i="45"/>
  <c r="I66" i="45" s="1"/>
  <c r="J66" i="45"/>
  <c r="S14" i="45"/>
  <c r="Q14" i="45"/>
  <c r="E43" i="45"/>
  <c r="C43" i="45"/>
  <c r="J32" i="45"/>
  <c r="F32" i="45"/>
  <c r="I32" i="45" s="1"/>
  <c r="H32" i="45"/>
  <c r="K32" i="45" s="1"/>
  <c r="G39" i="45"/>
  <c r="H48" i="45"/>
  <c r="K48" i="45" s="1"/>
  <c r="J48" i="45"/>
  <c r="F48" i="45"/>
  <c r="I48" i="45" s="1"/>
  <c r="H57" i="45"/>
  <c r="K57" i="45" s="1"/>
  <c r="F57" i="45"/>
  <c r="I57" i="45" s="1"/>
  <c r="J57" i="45"/>
  <c r="F63" i="45"/>
  <c r="H63" i="45"/>
  <c r="R16" i="45"/>
  <c r="K13" i="45"/>
  <c r="R17" i="45"/>
  <c r="J21" i="45"/>
  <c r="F21" i="45"/>
  <c r="I21" i="45" s="1"/>
  <c r="H21" i="45"/>
  <c r="K21" i="45" s="1"/>
  <c r="J40" i="45"/>
  <c r="F40" i="45"/>
  <c r="I40" i="45" s="1"/>
  <c r="H40" i="45"/>
  <c r="K40" i="45" s="1"/>
  <c r="G18" i="45"/>
  <c r="H27" i="45"/>
  <c r="K27" i="45" s="1"/>
  <c r="J27" i="45"/>
  <c r="F27" i="45"/>
  <c r="I27" i="45" s="1"/>
  <c r="H41" i="45"/>
  <c r="K41" i="45" s="1"/>
  <c r="F41" i="45"/>
  <c r="I41" i="45" s="1"/>
  <c r="J41" i="45"/>
  <c r="G38" i="45"/>
  <c r="F73" i="45"/>
  <c r="I73" i="45" s="1"/>
  <c r="J73" i="45"/>
  <c r="H73" i="45"/>
  <c r="K73" i="45" s="1"/>
  <c r="J31" i="45"/>
  <c r="F31" i="45"/>
  <c r="I31" i="45" s="1"/>
  <c r="H31" i="45"/>
  <c r="K31" i="45" s="1"/>
  <c r="G50" i="45"/>
  <c r="J59" i="45"/>
  <c r="F59" i="45"/>
  <c r="I59" i="45" s="1"/>
  <c r="H59" i="45"/>
  <c r="K59" i="45" s="1"/>
  <c r="H56" i="45"/>
  <c r="K56" i="45" s="1"/>
  <c r="J56" i="45"/>
  <c r="F56" i="45"/>
  <c r="I56" i="45" s="1"/>
  <c r="J61" i="45"/>
  <c r="H61" i="45"/>
  <c r="K61" i="45" s="1"/>
  <c r="F61" i="45"/>
  <c r="I61" i="45" s="1"/>
  <c r="H65" i="45"/>
  <c r="K65" i="45" s="1"/>
  <c r="F65" i="45"/>
  <c r="I65" i="45" s="1"/>
  <c r="J65" i="45"/>
  <c r="F69" i="45"/>
  <c r="I69" i="45" s="1"/>
  <c r="J69" i="45"/>
  <c r="H69" i="45"/>
  <c r="K69" i="45" s="1"/>
  <c r="H71" i="45"/>
  <c r="K71" i="45" s="1"/>
  <c r="F71" i="45"/>
  <c r="I71" i="45" s="1"/>
  <c r="J71" i="45"/>
  <c r="B22" i="44"/>
  <c r="W21" i="44"/>
  <c r="G71" i="44"/>
  <c r="G67" i="44"/>
  <c r="G63" i="44"/>
  <c r="G70" i="44"/>
  <c r="G66" i="44"/>
  <c r="G62" i="44"/>
  <c r="G73" i="44"/>
  <c r="G69" i="44"/>
  <c r="G65" i="44"/>
  <c r="G61" i="44"/>
  <c r="G58" i="44"/>
  <c r="G50" i="44"/>
  <c r="G57" i="44"/>
  <c r="G72" i="44"/>
  <c r="G60" i="44"/>
  <c r="G47" i="44"/>
  <c r="G43" i="44"/>
  <c r="G55" i="44"/>
  <c r="G46" i="44"/>
  <c r="G42" i="44"/>
  <c r="G56" i="44"/>
  <c r="G53" i="44"/>
  <c r="G52" i="44"/>
  <c r="G51" i="44"/>
  <c r="G49" i="44"/>
  <c r="G45" i="44"/>
  <c r="G59" i="44"/>
  <c r="G44" i="44"/>
  <c r="G38" i="44"/>
  <c r="G34" i="44"/>
  <c r="G30" i="44"/>
  <c r="G25" i="44"/>
  <c r="G48" i="44"/>
  <c r="G41" i="44"/>
  <c r="G37" i="44"/>
  <c r="G33" i="44"/>
  <c r="G29" i="44"/>
  <c r="G27" i="44"/>
  <c r="G24" i="44"/>
  <c r="G40" i="44"/>
  <c r="G36" i="44"/>
  <c r="G32" i="44"/>
  <c r="G23" i="44"/>
  <c r="G28" i="44"/>
  <c r="G20" i="44"/>
  <c r="G16" i="44"/>
  <c r="G31" i="44"/>
  <c r="G26" i="44"/>
  <c r="G19" i="44"/>
  <c r="G17" i="44"/>
  <c r="G39" i="44"/>
  <c r="G21" i="44"/>
  <c r="G35" i="44"/>
  <c r="G22" i="44"/>
  <c r="G18" i="44"/>
  <c r="G15" i="44"/>
  <c r="Q18" i="44"/>
  <c r="S18" i="44"/>
  <c r="J14" i="44"/>
  <c r="U14" i="44" s="1"/>
  <c r="Y14" i="44" s="1"/>
  <c r="E14" i="44"/>
  <c r="K14" i="44" s="1"/>
  <c r="V14" i="44" s="1"/>
  <c r="Z14" i="44" s="1"/>
  <c r="C14" i="44"/>
  <c r="I14" i="44" s="1"/>
  <c r="T14" i="44" s="1"/>
  <c r="X14" i="44" s="1"/>
  <c r="Q17" i="44"/>
  <c r="S15" i="44"/>
  <c r="Q15" i="44"/>
  <c r="D7" i="44"/>
  <c r="G17" i="24" s="1"/>
  <c r="Q13" i="44"/>
  <c r="S13" i="44"/>
  <c r="R19" i="44"/>
  <c r="L20" i="44"/>
  <c r="S16" i="44"/>
  <c r="Q16" i="44"/>
  <c r="D74" i="44"/>
  <c r="G38" i="43"/>
  <c r="H38" i="43" s="1"/>
  <c r="K38" i="43" s="1"/>
  <c r="G26" i="43"/>
  <c r="J26" i="43" s="1"/>
  <c r="G39" i="43"/>
  <c r="H39" i="43" s="1"/>
  <c r="K39" i="43" s="1"/>
  <c r="G46" i="43"/>
  <c r="J46" i="43" s="1"/>
  <c r="G66" i="43"/>
  <c r="H66" i="43" s="1"/>
  <c r="K66" i="43" s="1"/>
  <c r="C13" i="43"/>
  <c r="I13" i="43" s="1"/>
  <c r="D14" i="43"/>
  <c r="G42" i="43"/>
  <c r="J42" i="43" s="1"/>
  <c r="G50" i="43"/>
  <c r="H50" i="43" s="1"/>
  <c r="K50" i="43" s="1"/>
  <c r="E13" i="43"/>
  <c r="K13" i="43" s="1"/>
  <c r="J27" i="43"/>
  <c r="F27" i="43"/>
  <c r="I27" i="43" s="1"/>
  <c r="H27" i="43"/>
  <c r="K27" i="43" s="1"/>
  <c r="H34" i="43"/>
  <c r="K34" i="43" s="1"/>
  <c r="F34" i="43"/>
  <c r="I34" i="43" s="1"/>
  <c r="J34" i="43"/>
  <c r="H22" i="43"/>
  <c r="K22" i="43" s="1"/>
  <c r="J22" i="43"/>
  <c r="F22" i="43"/>
  <c r="I22" i="43" s="1"/>
  <c r="H62" i="43"/>
  <c r="K62" i="43" s="1"/>
  <c r="F62" i="43"/>
  <c r="I62" i="43" s="1"/>
  <c r="J62" i="43"/>
  <c r="J60" i="43"/>
  <c r="F60" i="43"/>
  <c r="I60" i="43" s="1"/>
  <c r="H60" i="43"/>
  <c r="K60" i="43" s="1"/>
  <c r="J65" i="43"/>
  <c r="H65" i="43"/>
  <c r="K65" i="43" s="1"/>
  <c r="F65" i="43"/>
  <c r="I65" i="43" s="1"/>
  <c r="M74" i="43"/>
  <c r="R17" i="43"/>
  <c r="J41" i="43"/>
  <c r="F41" i="43"/>
  <c r="I41" i="43" s="1"/>
  <c r="H41" i="43"/>
  <c r="K41" i="43" s="1"/>
  <c r="J29" i="43"/>
  <c r="F29" i="43"/>
  <c r="I29" i="43" s="1"/>
  <c r="H29" i="43"/>
  <c r="K29" i="43" s="1"/>
  <c r="J33" i="43"/>
  <c r="F33" i="43"/>
  <c r="I33" i="43" s="1"/>
  <c r="H33" i="43"/>
  <c r="K33" i="43" s="1"/>
  <c r="J19" i="43"/>
  <c r="F19" i="43"/>
  <c r="I19" i="43" s="1"/>
  <c r="H19" i="43"/>
  <c r="K19" i="43" s="1"/>
  <c r="H26" i="43"/>
  <c r="K26" i="43" s="1"/>
  <c r="J36" i="43"/>
  <c r="F36" i="43"/>
  <c r="I36" i="43" s="1"/>
  <c r="H36" i="43"/>
  <c r="K36" i="43" s="1"/>
  <c r="H46" i="43"/>
  <c r="K46" i="43" s="1"/>
  <c r="F46" i="43"/>
  <c r="I46" i="43" s="1"/>
  <c r="H43" i="43"/>
  <c r="K43" i="43" s="1"/>
  <c r="J43" i="43"/>
  <c r="F43" i="43"/>
  <c r="I43" i="43" s="1"/>
  <c r="J72" i="43"/>
  <c r="F72" i="43"/>
  <c r="I72" i="43" s="1"/>
  <c r="H72" i="43"/>
  <c r="K72" i="43" s="1"/>
  <c r="J56" i="43"/>
  <c r="F56" i="43"/>
  <c r="I56" i="43" s="1"/>
  <c r="H56" i="43"/>
  <c r="K56" i="43" s="1"/>
  <c r="J55" i="43"/>
  <c r="F55" i="43"/>
  <c r="I55" i="43" s="1"/>
  <c r="H55" i="43"/>
  <c r="K55" i="43" s="1"/>
  <c r="H63" i="43"/>
  <c r="K63" i="43" s="1"/>
  <c r="F63" i="43"/>
  <c r="I63" i="43" s="1"/>
  <c r="J63" i="43"/>
  <c r="AK20" i="43"/>
  <c r="R18" i="43"/>
  <c r="L19" i="43"/>
  <c r="J37" i="43"/>
  <c r="F37" i="43"/>
  <c r="I37" i="43" s="1"/>
  <c r="H37" i="43"/>
  <c r="K37" i="43" s="1"/>
  <c r="H42" i="43"/>
  <c r="K42" i="43" s="1"/>
  <c r="H28" i="43"/>
  <c r="K28" i="43" s="1"/>
  <c r="J28" i="43"/>
  <c r="F28" i="43"/>
  <c r="I28" i="43" s="1"/>
  <c r="H47" i="43"/>
  <c r="K47" i="43" s="1"/>
  <c r="J47" i="43"/>
  <c r="F47" i="43"/>
  <c r="I47" i="43" s="1"/>
  <c r="AK16" i="43"/>
  <c r="J24" i="43"/>
  <c r="F24" i="43"/>
  <c r="I24" i="43" s="1"/>
  <c r="H24" i="43"/>
  <c r="K24" i="43" s="1"/>
  <c r="J18" i="43"/>
  <c r="F18" i="43"/>
  <c r="I18" i="43" s="1"/>
  <c r="H18" i="43"/>
  <c r="K18" i="43" s="1"/>
  <c r="H35" i="43"/>
  <c r="K35" i="43" s="1"/>
  <c r="J35" i="43"/>
  <c r="F35" i="43"/>
  <c r="I35" i="43" s="1"/>
  <c r="J32" i="43"/>
  <c r="F32" i="43"/>
  <c r="I32" i="43" s="1"/>
  <c r="H32" i="43"/>
  <c r="K32" i="43" s="1"/>
  <c r="F61" i="43"/>
  <c r="I61" i="43" s="1"/>
  <c r="J61" i="43"/>
  <c r="H61" i="43"/>
  <c r="K61" i="43" s="1"/>
  <c r="J52" i="43"/>
  <c r="F52" i="43"/>
  <c r="I52" i="43" s="1"/>
  <c r="H52" i="43"/>
  <c r="K52" i="43" s="1"/>
  <c r="J68" i="43"/>
  <c r="F68" i="43"/>
  <c r="I68" i="43" s="1"/>
  <c r="H68" i="43"/>
  <c r="K68" i="43" s="1"/>
  <c r="H70" i="43"/>
  <c r="K70" i="43" s="1"/>
  <c r="F70" i="43"/>
  <c r="I70" i="43" s="1"/>
  <c r="J70" i="43"/>
  <c r="S13" i="43"/>
  <c r="Q13" i="43"/>
  <c r="H16" i="43"/>
  <c r="K16" i="43" s="1"/>
  <c r="J16" i="43"/>
  <c r="F16" i="43"/>
  <c r="I16" i="43" s="1"/>
  <c r="H25" i="43"/>
  <c r="K25" i="43" s="1"/>
  <c r="F25" i="43"/>
  <c r="I25" i="43" s="1"/>
  <c r="J25" i="43"/>
  <c r="J20" i="43"/>
  <c r="F20" i="43"/>
  <c r="I20" i="43" s="1"/>
  <c r="H20" i="43"/>
  <c r="K20" i="43" s="1"/>
  <c r="J49" i="43"/>
  <c r="F49" i="43"/>
  <c r="I49" i="43" s="1"/>
  <c r="H49" i="43"/>
  <c r="K49" i="43" s="1"/>
  <c r="J40" i="43"/>
  <c r="F40" i="43"/>
  <c r="I40" i="43" s="1"/>
  <c r="H40" i="43"/>
  <c r="K40" i="43" s="1"/>
  <c r="J44" i="43"/>
  <c r="F44" i="43"/>
  <c r="I44" i="43" s="1"/>
  <c r="H44" i="43"/>
  <c r="K44" i="43" s="1"/>
  <c r="H57" i="43"/>
  <c r="K57" i="43" s="1"/>
  <c r="F57" i="43"/>
  <c r="I57" i="43" s="1"/>
  <c r="J57" i="43"/>
  <c r="H69" i="43"/>
  <c r="K69" i="43" s="1"/>
  <c r="J69" i="43"/>
  <c r="F69" i="43"/>
  <c r="I69" i="43" s="1"/>
  <c r="J59" i="43"/>
  <c r="F59" i="43"/>
  <c r="I59" i="43" s="1"/>
  <c r="H59" i="43"/>
  <c r="K59" i="43" s="1"/>
  <c r="F67" i="43"/>
  <c r="I67" i="43" s="1"/>
  <c r="J67" i="43"/>
  <c r="H67" i="43"/>
  <c r="K67" i="43" s="1"/>
  <c r="AK19" i="43"/>
  <c r="R16" i="43"/>
  <c r="AK21" i="43"/>
  <c r="Q15" i="43"/>
  <c r="S15" i="43"/>
  <c r="AK18" i="43"/>
  <c r="J15" i="43"/>
  <c r="U15" i="43" s="1"/>
  <c r="Y15" i="43" s="1"/>
  <c r="F15" i="43"/>
  <c r="H15" i="43"/>
  <c r="H17" i="43"/>
  <c r="K17" i="43" s="1"/>
  <c r="J17" i="43"/>
  <c r="F17" i="43"/>
  <c r="I17" i="43" s="1"/>
  <c r="H30" i="43"/>
  <c r="K30" i="43" s="1"/>
  <c r="F30" i="43"/>
  <c r="I30" i="43" s="1"/>
  <c r="J30" i="43"/>
  <c r="J53" i="43"/>
  <c r="F53" i="43"/>
  <c r="I53" i="43" s="1"/>
  <c r="H53" i="43"/>
  <c r="K53" i="43" s="1"/>
  <c r="H21" i="43"/>
  <c r="K21" i="43" s="1"/>
  <c r="J21" i="43"/>
  <c r="F21" i="43"/>
  <c r="I21" i="43" s="1"/>
  <c r="H31" i="43"/>
  <c r="K31" i="43" s="1"/>
  <c r="J31" i="43"/>
  <c r="F31" i="43"/>
  <c r="I31" i="43" s="1"/>
  <c r="J23" i="43"/>
  <c r="F23" i="43"/>
  <c r="I23" i="43" s="1"/>
  <c r="H23" i="43"/>
  <c r="K23" i="43" s="1"/>
  <c r="J45" i="43"/>
  <c r="F45" i="43"/>
  <c r="I45" i="43" s="1"/>
  <c r="H45" i="43"/>
  <c r="K45" i="43" s="1"/>
  <c r="H54" i="43"/>
  <c r="K54" i="43" s="1"/>
  <c r="J54" i="43"/>
  <c r="F54" i="43"/>
  <c r="I54" i="43" s="1"/>
  <c r="H51" i="43"/>
  <c r="K51" i="43" s="1"/>
  <c r="J51" i="43"/>
  <c r="F51" i="43"/>
  <c r="I51" i="43" s="1"/>
  <c r="J48" i="43"/>
  <c r="F48" i="43"/>
  <c r="I48" i="43" s="1"/>
  <c r="H48" i="43"/>
  <c r="K48" i="43" s="1"/>
  <c r="J64" i="43"/>
  <c r="F64" i="43"/>
  <c r="I64" i="43" s="1"/>
  <c r="H64" i="43"/>
  <c r="K64" i="43" s="1"/>
  <c r="H58" i="43"/>
  <c r="K58" i="43" s="1"/>
  <c r="J58" i="43"/>
  <c r="F58" i="43"/>
  <c r="I58" i="43" s="1"/>
  <c r="H73" i="43"/>
  <c r="K73" i="43" s="1"/>
  <c r="F73" i="43"/>
  <c r="I73" i="43" s="1"/>
  <c r="J73" i="43"/>
  <c r="J71" i="43"/>
  <c r="F71" i="43"/>
  <c r="I71" i="43" s="1"/>
  <c r="H71" i="43"/>
  <c r="K71" i="43" s="1"/>
  <c r="J44" i="45" l="1"/>
  <c r="B55" i="48"/>
  <c r="W54" i="48"/>
  <c r="L44" i="48"/>
  <c r="R43" i="48"/>
  <c r="U42" i="48"/>
  <c r="Y42" i="48" s="1"/>
  <c r="Q42" i="48"/>
  <c r="T42" i="48" s="1"/>
  <c r="X42" i="48" s="1"/>
  <c r="S42" i="48"/>
  <c r="V42" i="48" s="1"/>
  <c r="Z42" i="48" s="1"/>
  <c r="M74" i="45"/>
  <c r="M74" i="44"/>
  <c r="C14" i="43"/>
  <c r="C7" i="43" s="1"/>
  <c r="F15" i="24" s="1"/>
  <c r="D59" i="33"/>
  <c r="D74" i="45"/>
  <c r="R22" i="46"/>
  <c r="L23" i="46"/>
  <c r="U21" i="46"/>
  <c r="Q21" i="46"/>
  <c r="T21" i="46" s="1"/>
  <c r="X21" i="46" s="1"/>
  <c r="S21" i="46"/>
  <c r="V21" i="46" s="1"/>
  <c r="Z21" i="46" s="1"/>
  <c r="V20" i="46"/>
  <c r="X19" i="46"/>
  <c r="F26" i="45"/>
  <c r="I26" i="45" s="1"/>
  <c r="H22" i="45"/>
  <c r="K22" i="45" s="1"/>
  <c r="J22" i="45"/>
  <c r="J42" i="45"/>
  <c r="J26" i="45"/>
  <c r="F38" i="43"/>
  <c r="I38" i="43" s="1"/>
  <c r="E64" i="45"/>
  <c r="E14" i="45"/>
  <c r="K14" i="45" s="1"/>
  <c r="V14" i="45" s="1"/>
  <c r="Z14" i="45" s="1"/>
  <c r="D7" i="43"/>
  <c r="G15" i="24" s="1"/>
  <c r="J14" i="45"/>
  <c r="F39" i="43"/>
  <c r="I39" i="43" s="1"/>
  <c r="J39" i="43"/>
  <c r="J14" i="43"/>
  <c r="J6" i="43" s="1"/>
  <c r="D15" i="24" s="1"/>
  <c r="D74" i="43"/>
  <c r="E14" i="43"/>
  <c r="K14" i="43" s="1"/>
  <c r="F50" i="43"/>
  <c r="I50" i="43" s="1"/>
  <c r="F66" i="43"/>
  <c r="I66" i="43" s="1"/>
  <c r="J38" i="43"/>
  <c r="H44" i="45"/>
  <c r="F62" i="45"/>
  <c r="I62" i="45" s="1"/>
  <c r="J50" i="43"/>
  <c r="F42" i="43"/>
  <c r="I42" i="43" s="1"/>
  <c r="J62" i="45"/>
  <c r="F30" i="45"/>
  <c r="I30" i="45" s="1"/>
  <c r="C63" i="45"/>
  <c r="I63" i="45" s="1"/>
  <c r="E63" i="45"/>
  <c r="K63" i="45" s="1"/>
  <c r="G8" i="45"/>
  <c r="J18" i="24" s="1"/>
  <c r="T14" i="45"/>
  <c r="X14" i="45" s="1"/>
  <c r="K43" i="45"/>
  <c r="H24" i="45"/>
  <c r="K24" i="45" s="1"/>
  <c r="J24" i="45"/>
  <c r="F24" i="45"/>
  <c r="I24" i="45" s="1"/>
  <c r="I15" i="45"/>
  <c r="T15" i="45" s="1"/>
  <c r="X15" i="45" s="1"/>
  <c r="V13" i="45"/>
  <c r="H38" i="45"/>
  <c r="K38" i="45" s="1"/>
  <c r="J38" i="45"/>
  <c r="F38" i="45"/>
  <c r="I38" i="45" s="1"/>
  <c r="S16" i="45"/>
  <c r="V16" i="45" s="1"/>
  <c r="Z16" i="45" s="1"/>
  <c r="U16" i="45"/>
  <c r="Y16" i="45" s="1"/>
  <c r="Q16" i="45"/>
  <c r="T16" i="45" s="1"/>
  <c r="X16" i="45" s="1"/>
  <c r="J39" i="45"/>
  <c r="F39" i="45"/>
  <c r="I39" i="45" s="1"/>
  <c r="H39" i="45"/>
  <c r="K39" i="45" s="1"/>
  <c r="I43" i="45"/>
  <c r="S18" i="45"/>
  <c r="Q18" i="45"/>
  <c r="T13" i="45"/>
  <c r="B42" i="45"/>
  <c r="W41" i="45"/>
  <c r="J50" i="45"/>
  <c r="F50" i="45"/>
  <c r="I50" i="45" s="1"/>
  <c r="H50" i="45"/>
  <c r="K50" i="45" s="1"/>
  <c r="I44" i="45"/>
  <c r="C44" i="45"/>
  <c r="E44" i="45"/>
  <c r="D7" i="45"/>
  <c r="G18" i="24" s="1"/>
  <c r="L20" i="45"/>
  <c r="R19" i="45"/>
  <c r="Y13" i="45"/>
  <c r="H18" i="45"/>
  <c r="K18" i="45" s="1"/>
  <c r="J18" i="45"/>
  <c r="F18" i="45"/>
  <c r="I18" i="45" s="1"/>
  <c r="H34" i="45"/>
  <c r="K34" i="45" s="1"/>
  <c r="J34" i="45"/>
  <c r="F34" i="45"/>
  <c r="I34" i="45" s="1"/>
  <c r="S17" i="45"/>
  <c r="V17" i="45" s="1"/>
  <c r="Z17" i="45" s="1"/>
  <c r="U17" i="45"/>
  <c r="Y17" i="45" s="1"/>
  <c r="Q17" i="45"/>
  <c r="T17" i="45" s="1"/>
  <c r="X17" i="45" s="1"/>
  <c r="J64" i="45"/>
  <c r="F64" i="45"/>
  <c r="I64" i="45" s="1"/>
  <c r="H64" i="45"/>
  <c r="K64" i="45" s="1"/>
  <c r="J54" i="45"/>
  <c r="F54" i="45"/>
  <c r="I54" i="45" s="1"/>
  <c r="H54" i="45"/>
  <c r="K54" i="45" s="1"/>
  <c r="K15" i="45"/>
  <c r="G74" i="45"/>
  <c r="R20" i="44"/>
  <c r="L21" i="44"/>
  <c r="J26" i="44"/>
  <c r="F26" i="44"/>
  <c r="I26" i="44" s="1"/>
  <c r="H26" i="44"/>
  <c r="K26" i="44" s="1"/>
  <c r="J28" i="44"/>
  <c r="F28" i="44"/>
  <c r="I28" i="44" s="1"/>
  <c r="H28" i="44"/>
  <c r="K28" i="44" s="1"/>
  <c r="H33" i="44"/>
  <c r="K33" i="44" s="1"/>
  <c r="J33" i="44"/>
  <c r="F33" i="44"/>
  <c r="I33" i="44" s="1"/>
  <c r="J51" i="44"/>
  <c r="F51" i="44"/>
  <c r="I51" i="44" s="1"/>
  <c r="H51" i="44"/>
  <c r="K51" i="44" s="1"/>
  <c r="J42" i="44"/>
  <c r="F42" i="44"/>
  <c r="I42" i="44" s="1"/>
  <c r="H42" i="44"/>
  <c r="K42" i="44" s="1"/>
  <c r="J47" i="44"/>
  <c r="F47" i="44"/>
  <c r="I47" i="44" s="1"/>
  <c r="H47" i="44"/>
  <c r="K47" i="44" s="1"/>
  <c r="J64" i="44"/>
  <c r="F64" i="44"/>
  <c r="I64" i="44" s="1"/>
  <c r="H64" i="44"/>
  <c r="K64" i="44" s="1"/>
  <c r="H73" i="44"/>
  <c r="K73" i="44" s="1"/>
  <c r="J73" i="44"/>
  <c r="F73" i="44"/>
  <c r="I73" i="44" s="1"/>
  <c r="J63" i="44"/>
  <c r="F63" i="44"/>
  <c r="I63" i="44" s="1"/>
  <c r="H63" i="44"/>
  <c r="K63" i="44" s="1"/>
  <c r="E7" i="44"/>
  <c r="H17" i="24" s="1"/>
  <c r="B23" i="44"/>
  <c r="W22" i="44"/>
  <c r="Q19" i="44"/>
  <c r="S19" i="44"/>
  <c r="J18" i="44"/>
  <c r="U18" i="44" s="1"/>
  <c r="Y18" i="44" s="1"/>
  <c r="F18" i="44"/>
  <c r="I18" i="44" s="1"/>
  <c r="T18" i="44" s="1"/>
  <c r="X18" i="44" s="1"/>
  <c r="H18" i="44"/>
  <c r="K18" i="44" s="1"/>
  <c r="V18" i="44" s="1"/>
  <c r="Z18" i="44" s="1"/>
  <c r="J39" i="44"/>
  <c r="F39" i="44"/>
  <c r="I39" i="44" s="1"/>
  <c r="H39" i="44"/>
  <c r="K39" i="44" s="1"/>
  <c r="J31" i="44"/>
  <c r="F31" i="44"/>
  <c r="I31" i="44" s="1"/>
  <c r="H31" i="44"/>
  <c r="K31" i="44" s="1"/>
  <c r="H23" i="44"/>
  <c r="K23" i="44" s="1"/>
  <c r="F23" i="44"/>
  <c r="I23" i="44" s="1"/>
  <c r="J23" i="44"/>
  <c r="H24" i="44"/>
  <c r="K24" i="44" s="1"/>
  <c r="J24" i="44"/>
  <c r="F24" i="44"/>
  <c r="I24" i="44" s="1"/>
  <c r="H37" i="44"/>
  <c r="K37" i="44" s="1"/>
  <c r="J37" i="44"/>
  <c r="F37" i="44"/>
  <c r="I37" i="44" s="1"/>
  <c r="J30" i="44"/>
  <c r="F30" i="44"/>
  <c r="I30" i="44" s="1"/>
  <c r="H30" i="44"/>
  <c r="K30" i="44" s="1"/>
  <c r="J59" i="44"/>
  <c r="F59" i="44"/>
  <c r="I59" i="44" s="1"/>
  <c r="H59" i="44"/>
  <c r="K59" i="44" s="1"/>
  <c r="J52" i="44"/>
  <c r="H52" i="44"/>
  <c r="K52" i="44" s="1"/>
  <c r="F52" i="44"/>
  <c r="I52" i="44" s="1"/>
  <c r="H46" i="44"/>
  <c r="K46" i="44" s="1"/>
  <c r="J46" i="44"/>
  <c r="F46" i="44"/>
  <c r="I46" i="44" s="1"/>
  <c r="J60" i="44"/>
  <c r="H60" i="44"/>
  <c r="K60" i="44" s="1"/>
  <c r="F60" i="44"/>
  <c r="I60" i="44" s="1"/>
  <c r="H50" i="44"/>
  <c r="K50" i="44" s="1"/>
  <c r="F50" i="44"/>
  <c r="I50" i="44" s="1"/>
  <c r="J50" i="44"/>
  <c r="H61" i="44"/>
  <c r="K61" i="44" s="1"/>
  <c r="J61" i="44"/>
  <c r="F61" i="44"/>
  <c r="I61" i="44" s="1"/>
  <c r="H62" i="44"/>
  <c r="K62" i="44" s="1"/>
  <c r="J62" i="44"/>
  <c r="F62" i="44"/>
  <c r="I62" i="44" s="1"/>
  <c r="J67" i="44"/>
  <c r="F67" i="44"/>
  <c r="I67" i="44" s="1"/>
  <c r="H67" i="44"/>
  <c r="K67" i="44" s="1"/>
  <c r="E74" i="44"/>
  <c r="J44" i="44"/>
  <c r="F44" i="44"/>
  <c r="I44" i="44" s="1"/>
  <c r="H44" i="44"/>
  <c r="K44" i="44" s="1"/>
  <c r="V13" i="44"/>
  <c r="J22" i="44"/>
  <c r="F22" i="44"/>
  <c r="I22" i="44" s="1"/>
  <c r="H22" i="44"/>
  <c r="K22" i="44" s="1"/>
  <c r="H17" i="44"/>
  <c r="K17" i="44" s="1"/>
  <c r="V17" i="44" s="1"/>
  <c r="Z17" i="44" s="1"/>
  <c r="J17" i="44"/>
  <c r="U17" i="44" s="1"/>
  <c r="Y17" i="44" s="1"/>
  <c r="F17" i="44"/>
  <c r="I17" i="44" s="1"/>
  <c r="T17" i="44" s="1"/>
  <c r="X17" i="44" s="1"/>
  <c r="H16" i="44"/>
  <c r="K16" i="44" s="1"/>
  <c r="V16" i="44" s="1"/>
  <c r="Z16" i="44" s="1"/>
  <c r="J16" i="44"/>
  <c r="U16" i="44" s="1"/>
  <c r="Y16" i="44" s="1"/>
  <c r="F16" i="44"/>
  <c r="I16" i="44" s="1"/>
  <c r="T16" i="44" s="1"/>
  <c r="X16" i="44" s="1"/>
  <c r="H32" i="44"/>
  <c r="K32" i="44" s="1"/>
  <c r="J32" i="44"/>
  <c r="F32" i="44"/>
  <c r="I32" i="44" s="1"/>
  <c r="H27" i="44"/>
  <c r="K27" i="44" s="1"/>
  <c r="J27" i="44"/>
  <c r="F27" i="44"/>
  <c r="I27" i="44" s="1"/>
  <c r="H41" i="44"/>
  <c r="K41" i="44" s="1"/>
  <c r="J41" i="44"/>
  <c r="F41" i="44"/>
  <c r="I41" i="44" s="1"/>
  <c r="J34" i="44"/>
  <c r="F34" i="44"/>
  <c r="I34" i="44" s="1"/>
  <c r="H34" i="44"/>
  <c r="K34" i="44" s="1"/>
  <c r="H45" i="44"/>
  <c r="K45" i="44" s="1"/>
  <c r="F45" i="44"/>
  <c r="I45" i="44" s="1"/>
  <c r="J45" i="44"/>
  <c r="H53" i="44"/>
  <c r="K53" i="44" s="1"/>
  <c r="J53" i="44"/>
  <c r="F53" i="44"/>
  <c r="I53" i="44" s="1"/>
  <c r="J55" i="44"/>
  <c r="F55" i="44"/>
  <c r="I55" i="44" s="1"/>
  <c r="H55" i="44"/>
  <c r="K55" i="44" s="1"/>
  <c r="J72" i="44"/>
  <c r="F72" i="44"/>
  <c r="I72" i="44" s="1"/>
  <c r="H72" i="44"/>
  <c r="K72" i="44" s="1"/>
  <c r="F54" i="44"/>
  <c r="I54" i="44" s="1"/>
  <c r="J54" i="44"/>
  <c r="H54" i="44"/>
  <c r="K54" i="44" s="1"/>
  <c r="H65" i="44"/>
  <c r="K65" i="44" s="1"/>
  <c r="F65" i="44"/>
  <c r="I65" i="44" s="1"/>
  <c r="J65" i="44"/>
  <c r="H66" i="44"/>
  <c r="K66" i="44" s="1"/>
  <c r="J66" i="44"/>
  <c r="F66" i="44"/>
  <c r="I66" i="44" s="1"/>
  <c r="J71" i="44"/>
  <c r="F71" i="44"/>
  <c r="I71" i="44" s="1"/>
  <c r="H71" i="44"/>
  <c r="K71" i="44" s="1"/>
  <c r="Y13" i="44"/>
  <c r="G74" i="44"/>
  <c r="G8" i="44"/>
  <c r="J17" i="24" s="1"/>
  <c r="F15" i="44"/>
  <c r="H15" i="44"/>
  <c r="J15" i="44"/>
  <c r="J21" i="44"/>
  <c r="F21" i="44"/>
  <c r="I21" i="44" s="1"/>
  <c r="H21" i="44"/>
  <c r="K21" i="44" s="1"/>
  <c r="H40" i="44"/>
  <c r="K40" i="44" s="1"/>
  <c r="J40" i="44"/>
  <c r="F40" i="44"/>
  <c r="I40" i="44" s="1"/>
  <c r="J25" i="44"/>
  <c r="F25" i="44"/>
  <c r="I25" i="44" s="1"/>
  <c r="H25" i="44"/>
  <c r="K25" i="44" s="1"/>
  <c r="J68" i="44"/>
  <c r="F68" i="44"/>
  <c r="I68" i="44" s="1"/>
  <c r="H68" i="44"/>
  <c r="K68" i="44" s="1"/>
  <c r="T13" i="44"/>
  <c r="J35" i="44"/>
  <c r="F35" i="44"/>
  <c r="I35" i="44" s="1"/>
  <c r="H35" i="44"/>
  <c r="K35" i="44" s="1"/>
  <c r="J19" i="44"/>
  <c r="U19" i="44" s="1"/>
  <c r="Y19" i="44" s="1"/>
  <c r="F19" i="44"/>
  <c r="I19" i="44" s="1"/>
  <c r="H19" i="44"/>
  <c r="K19" i="44" s="1"/>
  <c r="J20" i="44"/>
  <c r="F20" i="44"/>
  <c r="I20" i="44" s="1"/>
  <c r="H20" i="44"/>
  <c r="K20" i="44" s="1"/>
  <c r="H36" i="44"/>
  <c r="K36" i="44" s="1"/>
  <c r="J36" i="44"/>
  <c r="F36" i="44"/>
  <c r="I36" i="44" s="1"/>
  <c r="H29" i="44"/>
  <c r="K29" i="44" s="1"/>
  <c r="J29" i="44"/>
  <c r="F29" i="44"/>
  <c r="I29" i="44" s="1"/>
  <c r="J48" i="44"/>
  <c r="F48" i="44"/>
  <c r="I48" i="44" s="1"/>
  <c r="H48" i="44"/>
  <c r="K48" i="44" s="1"/>
  <c r="J38" i="44"/>
  <c r="F38" i="44"/>
  <c r="I38" i="44" s="1"/>
  <c r="H38" i="44"/>
  <c r="K38" i="44" s="1"/>
  <c r="H49" i="44"/>
  <c r="K49" i="44" s="1"/>
  <c r="J49" i="44"/>
  <c r="F49" i="44"/>
  <c r="I49" i="44" s="1"/>
  <c r="H56" i="44"/>
  <c r="K56" i="44" s="1"/>
  <c r="J56" i="44"/>
  <c r="F56" i="44"/>
  <c r="I56" i="44" s="1"/>
  <c r="J43" i="44"/>
  <c r="F43" i="44"/>
  <c r="H43" i="44"/>
  <c r="K43" i="44" s="1"/>
  <c r="H57" i="44"/>
  <c r="K57" i="44" s="1"/>
  <c r="J57" i="44"/>
  <c r="F57" i="44"/>
  <c r="I57" i="44" s="1"/>
  <c r="J58" i="44"/>
  <c r="F58" i="44"/>
  <c r="I58" i="44" s="1"/>
  <c r="H58" i="44"/>
  <c r="K58" i="44" s="1"/>
  <c r="H69" i="44"/>
  <c r="K69" i="44" s="1"/>
  <c r="J69" i="44"/>
  <c r="F69" i="44"/>
  <c r="I69" i="44" s="1"/>
  <c r="H70" i="44"/>
  <c r="K70" i="44" s="1"/>
  <c r="J70" i="44"/>
  <c r="F70" i="44"/>
  <c r="I70" i="44" s="1"/>
  <c r="J66" i="43"/>
  <c r="F26" i="43"/>
  <c r="I26" i="43" s="1"/>
  <c r="G8" i="43"/>
  <c r="J15" i="24" s="1"/>
  <c r="G74" i="43"/>
  <c r="Y13" i="43"/>
  <c r="U14" i="43"/>
  <c r="Y14" i="43" s="1"/>
  <c r="S18" i="43"/>
  <c r="V18" i="43" s="1"/>
  <c r="Z18" i="43" s="1"/>
  <c r="Q18" i="43"/>
  <c r="T18" i="43" s="1"/>
  <c r="X18" i="43" s="1"/>
  <c r="U18" i="43"/>
  <c r="Y18" i="43" s="1"/>
  <c r="K15" i="43"/>
  <c r="V15" i="43" s="1"/>
  <c r="Z15" i="43" s="1"/>
  <c r="H74" i="43"/>
  <c r="H8" i="43"/>
  <c r="K15" i="24" s="1"/>
  <c r="C74" i="43"/>
  <c r="R19" i="43"/>
  <c r="L20" i="43"/>
  <c r="S17" i="43"/>
  <c r="V17" i="43" s="1"/>
  <c r="Z17" i="43" s="1"/>
  <c r="U17" i="43"/>
  <c r="Y17" i="43" s="1"/>
  <c r="Q17" i="43"/>
  <c r="T17" i="43" s="1"/>
  <c r="X17" i="43" s="1"/>
  <c r="S16" i="43"/>
  <c r="V16" i="43" s="1"/>
  <c r="Z16" i="43" s="1"/>
  <c r="U16" i="43"/>
  <c r="Y16" i="43" s="1"/>
  <c r="Q16" i="43"/>
  <c r="T16" i="43" s="1"/>
  <c r="X16" i="43" s="1"/>
  <c r="V13" i="43"/>
  <c r="AK22" i="43"/>
  <c r="I15" i="43"/>
  <c r="T15" i="43" s="1"/>
  <c r="X15" i="43" s="1"/>
  <c r="T13" i="43"/>
  <c r="B13" i="24"/>
  <c r="G22" i="42"/>
  <c r="G16" i="42"/>
  <c r="G17" i="42"/>
  <c r="G18" i="42"/>
  <c r="G19" i="42"/>
  <c r="G20" i="42"/>
  <c r="G21" i="42"/>
  <c r="G15" i="42"/>
  <c r="D16" i="42"/>
  <c r="E16" i="42" s="1"/>
  <c r="D14" i="42"/>
  <c r="D15" i="42"/>
  <c r="T6" i="42"/>
  <c r="U6" i="42" s="1"/>
  <c r="Q6" i="42" s="1"/>
  <c r="E73" i="42"/>
  <c r="C73" i="42"/>
  <c r="E72" i="42"/>
  <c r="C72" i="42"/>
  <c r="E71" i="42"/>
  <c r="C71" i="42"/>
  <c r="E70" i="42"/>
  <c r="C70" i="42"/>
  <c r="E69" i="42"/>
  <c r="C69" i="42"/>
  <c r="E68" i="42"/>
  <c r="C68" i="42"/>
  <c r="E67" i="42"/>
  <c r="C67" i="42"/>
  <c r="E66" i="42"/>
  <c r="C66" i="42"/>
  <c r="E65" i="42"/>
  <c r="C65" i="42"/>
  <c r="E64" i="42"/>
  <c r="C64" i="42"/>
  <c r="E63" i="42"/>
  <c r="C63" i="42"/>
  <c r="E62" i="42"/>
  <c r="C62" i="42"/>
  <c r="E61" i="42"/>
  <c r="C61" i="42"/>
  <c r="E60" i="42"/>
  <c r="C60" i="42"/>
  <c r="E59" i="42"/>
  <c r="C59" i="42"/>
  <c r="E58" i="42"/>
  <c r="C58" i="42"/>
  <c r="E57" i="42"/>
  <c r="C57" i="42"/>
  <c r="E56" i="42"/>
  <c r="C56" i="42"/>
  <c r="E55" i="42"/>
  <c r="C55" i="42"/>
  <c r="E54" i="42"/>
  <c r="C54" i="42"/>
  <c r="E53" i="42"/>
  <c r="C53" i="42"/>
  <c r="E52" i="42"/>
  <c r="C52" i="42"/>
  <c r="E51" i="42"/>
  <c r="C51" i="42"/>
  <c r="E50" i="42"/>
  <c r="C50" i="42"/>
  <c r="E49" i="42"/>
  <c r="C49" i="42"/>
  <c r="E48" i="42"/>
  <c r="C48" i="42"/>
  <c r="E47" i="42"/>
  <c r="C47" i="42"/>
  <c r="E46" i="42"/>
  <c r="C46" i="42"/>
  <c r="E45" i="42"/>
  <c r="C45" i="42"/>
  <c r="E44" i="42"/>
  <c r="C44" i="42"/>
  <c r="E43" i="42"/>
  <c r="C43" i="42"/>
  <c r="E42" i="42"/>
  <c r="C42" i="42"/>
  <c r="E41" i="42"/>
  <c r="C41" i="42"/>
  <c r="E40" i="42"/>
  <c r="C40" i="42"/>
  <c r="E39" i="42"/>
  <c r="C39" i="42"/>
  <c r="E38" i="42"/>
  <c r="C38" i="42"/>
  <c r="E37" i="42"/>
  <c r="C37" i="42"/>
  <c r="E36" i="42"/>
  <c r="C36" i="42"/>
  <c r="E35" i="42"/>
  <c r="C35" i="42"/>
  <c r="E34" i="42"/>
  <c r="C34" i="42"/>
  <c r="E33" i="42"/>
  <c r="C33" i="42"/>
  <c r="E32" i="42"/>
  <c r="C32" i="42"/>
  <c r="E31" i="42"/>
  <c r="C31" i="42"/>
  <c r="E30" i="42"/>
  <c r="C30" i="42"/>
  <c r="E29" i="42"/>
  <c r="C29" i="42"/>
  <c r="E28" i="42"/>
  <c r="C28" i="42"/>
  <c r="E27" i="42"/>
  <c r="C27" i="42"/>
  <c r="E26" i="42"/>
  <c r="C26" i="42"/>
  <c r="E25" i="42"/>
  <c r="C25" i="42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B18" i="42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L17" i="42"/>
  <c r="E17" i="42"/>
  <c r="C17" i="42"/>
  <c r="N16" i="42"/>
  <c r="N17" i="42" s="1"/>
  <c r="N18" i="42" s="1"/>
  <c r="N19" i="42" s="1"/>
  <c r="N20" i="42" s="1"/>
  <c r="N21" i="42" s="1"/>
  <c r="N22" i="42" s="1"/>
  <c r="N23" i="42" s="1"/>
  <c r="N24" i="42" s="1"/>
  <c r="N25" i="42" s="1"/>
  <c r="N26" i="42" s="1"/>
  <c r="N27" i="42" s="1"/>
  <c r="N28" i="42" s="1"/>
  <c r="N29" i="42" s="1"/>
  <c r="N30" i="42" s="1"/>
  <c r="N31" i="42" s="1"/>
  <c r="N32" i="42" s="1"/>
  <c r="N33" i="42" s="1"/>
  <c r="N34" i="42" s="1"/>
  <c r="N35" i="42" s="1"/>
  <c r="N36" i="42" s="1"/>
  <c r="N37" i="42" s="1"/>
  <c r="N38" i="42" s="1"/>
  <c r="N39" i="42" s="1"/>
  <c r="N40" i="42" s="1"/>
  <c r="N41" i="42" s="1"/>
  <c r="N42" i="42" s="1"/>
  <c r="N43" i="42" s="1"/>
  <c r="N44" i="42" s="1"/>
  <c r="N45" i="42" s="1"/>
  <c r="N46" i="42" s="1"/>
  <c r="N47" i="42" s="1"/>
  <c r="N48" i="42" s="1"/>
  <c r="N49" i="42" s="1"/>
  <c r="N50" i="42" s="1"/>
  <c r="N51" i="42" s="1"/>
  <c r="N52" i="42" s="1"/>
  <c r="N53" i="42" s="1"/>
  <c r="N54" i="42" s="1"/>
  <c r="N55" i="42" s="1"/>
  <c r="N56" i="42" s="1"/>
  <c r="N57" i="42" s="1"/>
  <c r="N58" i="42" s="1"/>
  <c r="N59" i="42" s="1"/>
  <c r="N60" i="42" s="1"/>
  <c r="N61" i="42" s="1"/>
  <c r="N62" i="42" s="1"/>
  <c r="N63" i="42" s="1"/>
  <c r="N64" i="42" s="1"/>
  <c r="N65" i="42" s="1"/>
  <c r="N66" i="42" s="1"/>
  <c r="N67" i="42" s="1"/>
  <c r="N68" i="42" s="1"/>
  <c r="N69" i="42" s="1"/>
  <c r="N70" i="42" s="1"/>
  <c r="N71" i="42" s="1"/>
  <c r="N72" i="42" s="1"/>
  <c r="N73" i="42" s="1"/>
  <c r="L16" i="42"/>
  <c r="C16" i="42"/>
  <c r="E15" i="42"/>
  <c r="C15" i="42"/>
  <c r="P14" i="42"/>
  <c r="P15" i="42" s="1"/>
  <c r="P16" i="42" s="1"/>
  <c r="P17" i="42" s="1"/>
  <c r="P18" i="42" s="1"/>
  <c r="P19" i="42" s="1"/>
  <c r="P20" i="42" s="1"/>
  <c r="P21" i="42" s="1"/>
  <c r="P22" i="42" s="1"/>
  <c r="P23" i="42" s="1"/>
  <c r="P24" i="42" s="1"/>
  <c r="P25" i="42" s="1"/>
  <c r="P26" i="42" s="1"/>
  <c r="P27" i="42" s="1"/>
  <c r="P28" i="42" s="1"/>
  <c r="P29" i="42" s="1"/>
  <c r="P30" i="42" s="1"/>
  <c r="P31" i="42" s="1"/>
  <c r="P32" i="42" s="1"/>
  <c r="P33" i="42" s="1"/>
  <c r="P34" i="42" s="1"/>
  <c r="P35" i="42" s="1"/>
  <c r="P36" i="42" s="1"/>
  <c r="P37" i="42" s="1"/>
  <c r="P38" i="42" s="1"/>
  <c r="P39" i="42" s="1"/>
  <c r="P40" i="42" s="1"/>
  <c r="P41" i="42" s="1"/>
  <c r="P42" i="42" s="1"/>
  <c r="P43" i="42" s="1"/>
  <c r="P44" i="42" s="1"/>
  <c r="P45" i="42" s="1"/>
  <c r="P46" i="42" s="1"/>
  <c r="P47" i="42" s="1"/>
  <c r="P48" i="42" s="1"/>
  <c r="P49" i="42" s="1"/>
  <c r="P50" i="42" s="1"/>
  <c r="P51" i="42" s="1"/>
  <c r="P52" i="42" s="1"/>
  <c r="P53" i="42" s="1"/>
  <c r="P54" i="42" s="1"/>
  <c r="P55" i="42" s="1"/>
  <c r="P56" i="42" s="1"/>
  <c r="P57" i="42" s="1"/>
  <c r="P58" i="42" s="1"/>
  <c r="P59" i="42" s="1"/>
  <c r="P60" i="42" s="1"/>
  <c r="P61" i="42" s="1"/>
  <c r="P62" i="42" s="1"/>
  <c r="P63" i="42" s="1"/>
  <c r="P64" i="42" s="1"/>
  <c r="P65" i="42" s="1"/>
  <c r="P66" i="42" s="1"/>
  <c r="P67" i="42" s="1"/>
  <c r="P68" i="42" s="1"/>
  <c r="P69" i="42" s="1"/>
  <c r="P70" i="42" s="1"/>
  <c r="P71" i="42" s="1"/>
  <c r="P72" i="42" s="1"/>
  <c r="P73" i="42" s="1"/>
  <c r="O14" i="42"/>
  <c r="O15" i="42" s="1"/>
  <c r="O16" i="42" s="1"/>
  <c r="O17" i="42" s="1"/>
  <c r="O18" i="42" s="1"/>
  <c r="O19" i="42" s="1"/>
  <c r="O20" i="42" s="1"/>
  <c r="O21" i="42" s="1"/>
  <c r="O22" i="42" s="1"/>
  <c r="O23" i="42" s="1"/>
  <c r="O24" i="42" s="1"/>
  <c r="O25" i="42" s="1"/>
  <c r="O26" i="42" s="1"/>
  <c r="O27" i="42" s="1"/>
  <c r="O28" i="42" s="1"/>
  <c r="O29" i="42" s="1"/>
  <c r="O30" i="42" s="1"/>
  <c r="O31" i="42" s="1"/>
  <c r="O32" i="42" s="1"/>
  <c r="O33" i="42" s="1"/>
  <c r="O34" i="42" s="1"/>
  <c r="O35" i="42" s="1"/>
  <c r="O36" i="42" s="1"/>
  <c r="O37" i="42" s="1"/>
  <c r="O38" i="42" s="1"/>
  <c r="O39" i="42" s="1"/>
  <c r="O40" i="42" s="1"/>
  <c r="O41" i="42" s="1"/>
  <c r="O42" i="42" s="1"/>
  <c r="O43" i="42" s="1"/>
  <c r="O44" i="42" s="1"/>
  <c r="O45" i="42" s="1"/>
  <c r="O46" i="42" s="1"/>
  <c r="O47" i="42" s="1"/>
  <c r="O48" i="42" s="1"/>
  <c r="O49" i="42" s="1"/>
  <c r="O50" i="42" s="1"/>
  <c r="O51" i="42" s="1"/>
  <c r="O52" i="42" s="1"/>
  <c r="O53" i="42" s="1"/>
  <c r="O54" i="42" s="1"/>
  <c r="O55" i="42" s="1"/>
  <c r="O56" i="42" s="1"/>
  <c r="O57" i="42" s="1"/>
  <c r="O58" i="42" s="1"/>
  <c r="O59" i="42" s="1"/>
  <c r="O60" i="42" s="1"/>
  <c r="O61" i="42" s="1"/>
  <c r="O62" i="42" s="1"/>
  <c r="O63" i="42" s="1"/>
  <c r="O64" i="42" s="1"/>
  <c r="O65" i="42" s="1"/>
  <c r="O66" i="42" s="1"/>
  <c r="O67" i="42" s="1"/>
  <c r="O68" i="42" s="1"/>
  <c r="O69" i="42" s="1"/>
  <c r="O70" i="42" s="1"/>
  <c r="O71" i="42" s="1"/>
  <c r="O72" i="42" s="1"/>
  <c r="O73" i="42" s="1"/>
  <c r="N14" i="42"/>
  <c r="M14" i="42"/>
  <c r="M15" i="42" s="1"/>
  <c r="L14" i="42"/>
  <c r="E14" i="42"/>
  <c r="C14" i="42"/>
  <c r="B14" i="42"/>
  <c r="B15" i="42" s="1"/>
  <c r="B16" i="42" s="1"/>
  <c r="B17" i="42" s="1"/>
  <c r="A14" i="42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R13" i="42"/>
  <c r="P13" i="42"/>
  <c r="O13" i="42"/>
  <c r="N13" i="42"/>
  <c r="M13" i="42"/>
  <c r="L13" i="42"/>
  <c r="G13" i="42"/>
  <c r="E13" i="42"/>
  <c r="C13" i="42"/>
  <c r="X9" i="42"/>
  <c r="P9" i="42" s="1"/>
  <c r="O9" i="42" s="1"/>
  <c r="W9" i="42"/>
  <c r="S9" i="42"/>
  <c r="X8" i="42"/>
  <c r="Y8" i="42" s="1"/>
  <c r="W8" i="42"/>
  <c r="T8" i="42"/>
  <c r="U8" i="42" s="1"/>
  <c r="X7" i="42"/>
  <c r="P7" i="42" s="1"/>
  <c r="O7" i="42" s="1"/>
  <c r="W7" i="42"/>
  <c r="U7" i="42"/>
  <c r="T7" i="42"/>
  <c r="D7" i="42"/>
  <c r="G13" i="24" s="1"/>
  <c r="Y6" i="42"/>
  <c r="X6" i="42"/>
  <c r="W6" i="42"/>
  <c r="P6" i="42"/>
  <c r="O6" i="42" s="1"/>
  <c r="X5" i="42"/>
  <c r="Y5" i="42" s="1"/>
  <c r="W5" i="42"/>
  <c r="U5" i="42"/>
  <c r="T5" i="42"/>
  <c r="X4" i="42"/>
  <c r="Y4" i="42" s="1"/>
  <c r="W4" i="42"/>
  <c r="U4" i="42"/>
  <c r="T4" i="42"/>
  <c r="Y3" i="42"/>
  <c r="Q3" i="42" s="1"/>
  <c r="X3" i="42"/>
  <c r="W3" i="42"/>
  <c r="P3" i="42"/>
  <c r="O3" i="42" s="1"/>
  <c r="C3" i="42"/>
  <c r="W26" i="42" s="1"/>
  <c r="W1" i="42"/>
  <c r="C1" i="42"/>
  <c r="R3" i="26"/>
  <c r="S3" i="26"/>
  <c r="R4" i="26"/>
  <c r="X4" i="37" s="1"/>
  <c r="Y4" i="37" s="1"/>
  <c r="S4" i="26"/>
  <c r="R5" i="26"/>
  <c r="S5" i="26"/>
  <c r="R6" i="26"/>
  <c r="X6" i="41" s="1"/>
  <c r="P6" i="41" s="1"/>
  <c r="S6" i="26"/>
  <c r="R7" i="26"/>
  <c r="S7" i="26"/>
  <c r="R8" i="26"/>
  <c r="S8" i="26"/>
  <c r="Q9" i="26"/>
  <c r="W4" i="37"/>
  <c r="W8" i="41"/>
  <c r="X9" i="41"/>
  <c r="P9" i="41" s="1"/>
  <c r="O9" i="41" s="1"/>
  <c r="X7" i="41"/>
  <c r="Y7" i="41" s="1"/>
  <c r="W3" i="37"/>
  <c r="W1" i="37"/>
  <c r="X3" i="37"/>
  <c r="Y3" i="37" s="1"/>
  <c r="W5" i="37"/>
  <c r="X6" i="37"/>
  <c r="Y6" i="37" s="1"/>
  <c r="W7" i="37"/>
  <c r="W8" i="37"/>
  <c r="X8" i="37"/>
  <c r="Y8" i="37" s="1"/>
  <c r="W9" i="37"/>
  <c r="D15" i="41"/>
  <c r="D14" i="41"/>
  <c r="B12" i="24"/>
  <c r="D74" i="41"/>
  <c r="E73" i="41"/>
  <c r="C73" i="41"/>
  <c r="E72" i="41"/>
  <c r="C72" i="41"/>
  <c r="E71" i="41"/>
  <c r="C71" i="41"/>
  <c r="E70" i="41"/>
  <c r="C70" i="41"/>
  <c r="E69" i="41"/>
  <c r="C69" i="41"/>
  <c r="E68" i="41"/>
  <c r="C68" i="41"/>
  <c r="E67" i="41"/>
  <c r="C67" i="41"/>
  <c r="E66" i="41"/>
  <c r="C66" i="41"/>
  <c r="E65" i="41"/>
  <c r="C65" i="41"/>
  <c r="E64" i="41"/>
  <c r="C64" i="41"/>
  <c r="E63" i="41"/>
  <c r="C63" i="41"/>
  <c r="E62" i="41"/>
  <c r="C62" i="41"/>
  <c r="E61" i="41"/>
  <c r="C61" i="41"/>
  <c r="E60" i="41"/>
  <c r="C60" i="41"/>
  <c r="E59" i="41"/>
  <c r="C59" i="41"/>
  <c r="E58" i="41"/>
  <c r="C58" i="41"/>
  <c r="E57" i="41"/>
  <c r="C57" i="41"/>
  <c r="E56" i="41"/>
  <c r="C56" i="41"/>
  <c r="E55" i="41"/>
  <c r="C55" i="41"/>
  <c r="E54" i="41"/>
  <c r="C54" i="41"/>
  <c r="E53" i="41"/>
  <c r="C53" i="41"/>
  <c r="E52" i="41"/>
  <c r="C52" i="41"/>
  <c r="E51" i="41"/>
  <c r="C51" i="41"/>
  <c r="E50" i="41"/>
  <c r="C50" i="41"/>
  <c r="E49" i="41"/>
  <c r="C49" i="41"/>
  <c r="E48" i="41"/>
  <c r="C48" i="41"/>
  <c r="E47" i="41"/>
  <c r="C47" i="41"/>
  <c r="E46" i="41"/>
  <c r="C46" i="41"/>
  <c r="E45" i="41"/>
  <c r="C45" i="41"/>
  <c r="E44" i="41"/>
  <c r="C44" i="41"/>
  <c r="E43" i="41"/>
  <c r="C43" i="41"/>
  <c r="E42" i="41"/>
  <c r="C42" i="41"/>
  <c r="E41" i="41"/>
  <c r="C41" i="41"/>
  <c r="E40" i="41"/>
  <c r="C40" i="41"/>
  <c r="E39" i="41"/>
  <c r="C39" i="41"/>
  <c r="E38" i="41"/>
  <c r="C38" i="41"/>
  <c r="E37" i="41"/>
  <c r="C37" i="41"/>
  <c r="E36" i="41"/>
  <c r="C36" i="41"/>
  <c r="E35" i="41"/>
  <c r="C35" i="41"/>
  <c r="E34" i="41"/>
  <c r="C34" i="41"/>
  <c r="E33" i="41"/>
  <c r="C33" i="41"/>
  <c r="E32" i="41"/>
  <c r="C32" i="41"/>
  <c r="E31" i="41"/>
  <c r="C31" i="41"/>
  <c r="E30" i="41"/>
  <c r="C30" i="41"/>
  <c r="E29" i="41"/>
  <c r="C29" i="41"/>
  <c r="E28" i="41"/>
  <c r="C28" i="41"/>
  <c r="E27" i="41"/>
  <c r="C27" i="41"/>
  <c r="E26" i="41"/>
  <c r="C26" i="41"/>
  <c r="E25" i="41"/>
  <c r="C25" i="41"/>
  <c r="E24" i="41"/>
  <c r="C24" i="41"/>
  <c r="E23" i="41"/>
  <c r="C23" i="41"/>
  <c r="E22" i="41"/>
  <c r="C22" i="41"/>
  <c r="E21" i="41"/>
  <c r="C21" i="41"/>
  <c r="E20" i="41"/>
  <c r="C20" i="41"/>
  <c r="E19" i="41"/>
  <c r="C19" i="41"/>
  <c r="N18" i="41"/>
  <c r="N19" i="41" s="1"/>
  <c r="N20" i="41" s="1"/>
  <c r="N21" i="41" s="1"/>
  <c r="N22" i="41" s="1"/>
  <c r="N23" i="41" s="1"/>
  <c r="N24" i="41" s="1"/>
  <c r="N25" i="41" s="1"/>
  <c r="N26" i="41" s="1"/>
  <c r="N27" i="41" s="1"/>
  <c r="N28" i="41" s="1"/>
  <c r="N29" i="41" s="1"/>
  <c r="N30" i="41" s="1"/>
  <c r="N31" i="41" s="1"/>
  <c r="N32" i="41" s="1"/>
  <c r="N33" i="41" s="1"/>
  <c r="N34" i="41" s="1"/>
  <c r="N35" i="41" s="1"/>
  <c r="N36" i="41" s="1"/>
  <c r="N37" i="41" s="1"/>
  <c r="N38" i="41" s="1"/>
  <c r="N39" i="41" s="1"/>
  <c r="N40" i="41" s="1"/>
  <c r="N41" i="41" s="1"/>
  <c r="N42" i="41" s="1"/>
  <c r="N43" i="41" s="1"/>
  <c r="N44" i="41" s="1"/>
  <c r="N45" i="41" s="1"/>
  <c r="N46" i="41" s="1"/>
  <c r="N47" i="41" s="1"/>
  <c r="N48" i="41" s="1"/>
  <c r="N49" i="41" s="1"/>
  <c r="N50" i="41" s="1"/>
  <c r="N51" i="41" s="1"/>
  <c r="N52" i="41" s="1"/>
  <c r="N53" i="41" s="1"/>
  <c r="N54" i="41" s="1"/>
  <c r="N55" i="41" s="1"/>
  <c r="N56" i="41" s="1"/>
  <c r="N57" i="41" s="1"/>
  <c r="N58" i="41" s="1"/>
  <c r="N59" i="41" s="1"/>
  <c r="N60" i="41" s="1"/>
  <c r="N61" i="41" s="1"/>
  <c r="N62" i="41" s="1"/>
  <c r="N63" i="41" s="1"/>
  <c r="N64" i="41" s="1"/>
  <c r="N65" i="41" s="1"/>
  <c r="N66" i="41" s="1"/>
  <c r="N67" i="41" s="1"/>
  <c r="N68" i="41" s="1"/>
  <c r="N69" i="41" s="1"/>
  <c r="N70" i="41" s="1"/>
  <c r="N71" i="41" s="1"/>
  <c r="N72" i="41" s="1"/>
  <c r="N73" i="41" s="1"/>
  <c r="E18" i="41"/>
  <c r="C18" i="41"/>
  <c r="N17" i="41"/>
  <c r="E17" i="41"/>
  <c r="C17" i="41"/>
  <c r="N16" i="41"/>
  <c r="L16" i="41"/>
  <c r="E16" i="41"/>
  <c r="C16" i="41"/>
  <c r="E15" i="41"/>
  <c r="C15" i="41"/>
  <c r="B15" i="41"/>
  <c r="B16" i="41" s="1"/>
  <c r="B17" i="41" s="1"/>
  <c r="P14" i="41"/>
  <c r="P15" i="41" s="1"/>
  <c r="P16" i="41" s="1"/>
  <c r="P17" i="41" s="1"/>
  <c r="P18" i="41" s="1"/>
  <c r="P19" i="41" s="1"/>
  <c r="P20" i="41" s="1"/>
  <c r="P21" i="41" s="1"/>
  <c r="P22" i="41" s="1"/>
  <c r="P23" i="41" s="1"/>
  <c r="P24" i="41" s="1"/>
  <c r="P25" i="41" s="1"/>
  <c r="P26" i="41" s="1"/>
  <c r="P27" i="41" s="1"/>
  <c r="P28" i="41" s="1"/>
  <c r="P29" i="41" s="1"/>
  <c r="P30" i="41" s="1"/>
  <c r="P31" i="41" s="1"/>
  <c r="P32" i="41" s="1"/>
  <c r="P33" i="41" s="1"/>
  <c r="P34" i="41" s="1"/>
  <c r="P35" i="41" s="1"/>
  <c r="P36" i="41" s="1"/>
  <c r="P37" i="41" s="1"/>
  <c r="P38" i="41" s="1"/>
  <c r="P39" i="41" s="1"/>
  <c r="P40" i="41" s="1"/>
  <c r="P41" i="41" s="1"/>
  <c r="P42" i="41" s="1"/>
  <c r="P43" i="41" s="1"/>
  <c r="P44" i="41" s="1"/>
  <c r="P45" i="41" s="1"/>
  <c r="P46" i="41" s="1"/>
  <c r="P47" i="41" s="1"/>
  <c r="P48" i="41" s="1"/>
  <c r="P49" i="41" s="1"/>
  <c r="P50" i="41" s="1"/>
  <c r="P51" i="41" s="1"/>
  <c r="P52" i="41" s="1"/>
  <c r="P53" i="41" s="1"/>
  <c r="P54" i="41" s="1"/>
  <c r="P55" i="41" s="1"/>
  <c r="P56" i="41" s="1"/>
  <c r="P57" i="41" s="1"/>
  <c r="P58" i="41" s="1"/>
  <c r="P59" i="41" s="1"/>
  <c r="P60" i="41" s="1"/>
  <c r="P61" i="41" s="1"/>
  <c r="P62" i="41" s="1"/>
  <c r="P63" i="41" s="1"/>
  <c r="P64" i="41" s="1"/>
  <c r="P65" i="41" s="1"/>
  <c r="P66" i="41" s="1"/>
  <c r="P67" i="41" s="1"/>
  <c r="P68" i="41" s="1"/>
  <c r="P69" i="41" s="1"/>
  <c r="P70" i="41" s="1"/>
  <c r="P71" i="41" s="1"/>
  <c r="P72" i="41" s="1"/>
  <c r="P73" i="41" s="1"/>
  <c r="O14" i="41"/>
  <c r="O15" i="41" s="1"/>
  <c r="O16" i="41" s="1"/>
  <c r="O17" i="41" s="1"/>
  <c r="O18" i="41" s="1"/>
  <c r="O19" i="41" s="1"/>
  <c r="O20" i="41" s="1"/>
  <c r="O21" i="41" s="1"/>
  <c r="O22" i="41" s="1"/>
  <c r="O23" i="41" s="1"/>
  <c r="O24" i="41" s="1"/>
  <c r="O25" i="41" s="1"/>
  <c r="O26" i="41" s="1"/>
  <c r="O27" i="41" s="1"/>
  <c r="O28" i="41" s="1"/>
  <c r="O29" i="41" s="1"/>
  <c r="O30" i="41" s="1"/>
  <c r="O31" i="41" s="1"/>
  <c r="O32" i="41" s="1"/>
  <c r="O33" i="41" s="1"/>
  <c r="O34" i="41" s="1"/>
  <c r="O35" i="41" s="1"/>
  <c r="O36" i="41" s="1"/>
  <c r="O37" i="41" s="1"/>
  <c r="O38" i="41" s="1"/>
  <c r="O39" i="41" s="1"/>
  <c r="O40" i="41" s="1"/>
  <c r="O41" i="41" s="1"/>
  <c r="O42" i="41" s="1"/>
  <c r="O43" i="41" s="1"/>
  <c r="O44" i="41" s="1"/>
  <c r="O45" i="41" s="1"/>
  <c r="O46" i="41" s="1"/>
  <c r="O47" i="41" s="1"/>
  <c r="O48" i="41" s="1"/>
  <c r="O49" i="41" s="1"/>
  <c r="O50" i="41" s="1"/>
  <c r="O51" i="41" s="1"/>
  <c r="O52" i="41" s="1"/>
  <c r="O53" i="41" s="1"/>
  <c r="O54" i="41" s="1"/>
  <c r="O55" i="41" s="1"/>
  <c r="O56" i="41" s="1"/>
  <c r="O57" i="41" s="1"/>
  <c r="O58" i="41" s="1"/>
  <c r="O59" i="41" s="1"/>
  <c r="O60" i="41" s="1"/>
  <c r="O61" i="41" s="1"/>
  <c r="O62" i="41" s="1"/>
  <c r="O63" i="41" s="1"/>
  <c r="O64" i="41" s="1"/>
  <c r="O65" i="41" s="1"/>
  <c r="O66" i="41" s="1"/>
  <c r="O67" i="41" s="1"/>
  <c r="O68" i="41" s="1"/>
  <c r="O69" i="41" s="1"/>
  <c r="O70" i="41" s="1"/>
  <c r="O71" i="41" s="1"/>
  <c r="O72" i="41" s="1"/>
  <c r="O73" i="41" s="1"/>
  <c r="N14" i="41"/>
  <c r="M14" i="41"/>
  <c r="M15" i="41" s="1"/>
  <c r="L14" i="41"/>
  <c r="R14" i="41" s="1"/>
  <c r="E14" i="41"/>
  <c r="C14" i="41"/>
  <c r="B14" i="41"/>
  <c r="A14" i="4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P13" i="41"/>
  <c r="O13" i="41"/>
  <c r="N13" i="41"/>
  <c r="M13" i="41"/>
  <c r="L13" i="41"/>
  <c r="H13" i="41"/>
  <c r="G13" i="41"/>
  <c r="J13" i="41" s="1"/>
  <c r="E13" i="41"/>
  <c r="C13" i="41"/>
  <c r="W9" i="41"/>
  <c r="S9" i="41"/>
  <c r="X8" i="41"/>
  <c r="Y8" i="41" s="1"/>
  <c r="U8" i="41"/>
  <c r="T8" i="41"/>
  <c r="W7" i="41"/>
  <c r="T7" i="41"/>
  <c r="D7" i="41"/>
  <c r="T6" i="41"/>
  <c r="U6" i="41" s="1"/>
  <c r="W5" i="41"/>
  <c r="U5" i="41"/>
  <c r="T5" i="41"/>
  <c r="X4" i="41"/>
  <c r="Y4" i="41" s="1"/>
  <c r="W4" i="41"/>
  <c r="U4" i="41"/>
  <c r="T4" i="41"/>
  <c r="P4" i="41"/>
  <c r="W3" i="41"/>
  <c r="C3" i="41"/>
  <c r="W1" i="41"/>
  <c r="C1" i="41"/>
  <c r="S9" i="26" l="1"/>
  <c r="F8" i="43"/>
  <c r="I15" i="24" s="1"/>
  <c r="I14" i="43"/>
  <c r="I6" i="43" s="1"/>
  <c r="C15" i="24" s="1"/>
  <c r="E7" i="43"/>
  <c r="H15" i="24" s="1"/>
  <c r="U43" i="48"/>
  <c r="Y43" i="48" s="1"/>
  <c r="Q43" i="48"/>
  <c r="T43" i="48" s="1"/>
  <c r="X43" i="48" s="1"/>
  <c r="S43" i="48"/>
  <c r="V43" i="48" s="1"/>
  <c r="Z43" i="48" s="1"/>
  <c r="L45" i="48"/>
  <c r="R44" i="48"/>
  <c r="B56" i="48"/>
  <c r="W55" i="48"/>
  <c r="Z20" i="46"/>
  <c r="L24" i="46"/>
  <c r="R23" i="46"/>
  <c r="Y21" i="46"/>
  <c r="U22" i="46"/>
  <c r="Y22" i="46" s="1"/>
  <c r="Q22" i="46"/>
  <c r="S22" i="46"/>
  <c r="V22" i="46" s="1"/>
  <c r="Z22" i="46" s="1"/>
  <c r="T19" i="44"/>
  <c r="X19" i="44" s="1"/>
  <c r="F74" i="43"/>
  <c r="J74" i="43"/>
  <c r="J6" i="45"/>
  <c r="D18" i="24" s="1"/>
  <c r="U14" i="45"/>
  <c r="Y14" i="45" s="1"/>
  <c r="C7" i="45"/>
  <c r="F18" i="24" s="1"/>
  <c r="E74" i="43"/>
  <c r="E74" i="45"/>
  <c r="C74" i="45"/>
  <c r="J74" i="45"/>
  <c r="B43" i="45"/>
  <c r="W42" i="45"/>
  <c r="X13" i="45"/>
  <c r="U18" i="45"/>
  <c r="Y18" i="45" s="1"/>
  <c r="F74" i="45"/>
  <c r="H74" i="45"/>
  <c r="S19" i="45"/>
  <c r="V19" i="45" s="1"/>
  <c r="Z19" i="45" s="1"/>
  <c r="U19" i="45"/>
  <c r="Y19" i="45" s="1"/>
  <c r="Q19" i="45"/>
  <c r="T19" i="45" s="1"/>
  <c r="X19" i="45" s="1"/>
  <c r="K44" i="45"/>
  <c r="K74" i="45" s="1"/>
  <c r="V18" i="45"/>
  <c r="Z18" i="45" s="1"/>
  <c r="F8" i="45"/>
  <c r="I18" i="24" s="1"/>
  <c r="H8" i="45"/>
  <c r="K18" i="24" s="1"/>
  <c r="R20" i="45"/>
  <c r="L21" i="45"/>
  <c r="K6" i="45"/>
  <c r="E18" i="24" s="1"/>
  <c r="V15" i="45"/>
  <c r="Z15" i="45" s="1"/>
  <c r="E7" i="45"/>
  <c r="H18" i="24" s="1"/>
  <c r="Z13" i="45"/>
  <c r="I74" i="45"/>
  <c r="T18" i="45"/>
  <c r="X18" i="45" s="1"/>
  <c r="I6" i="45"/>
  <c r="C18" i="24" s="1"/>
  <c r="U15" i="44"/>
  <c r="J74" i="44"/>
  <c r="J6" i="44"/>
  <c r="D17" i="24" s="1"/>
  <c r="B24" i="44"/>
  <c r="W23" i="44"/>
  <c r="X13" i="44"/>
  <c r="K15" i="44"/>
  <c r="H8" i="44"/>
  <c r="K17" i="24" s="1"/>
  <c r="H74" i="44"/>
  <c r="Z13" i="44"/>
  <c r="R21" i="44"/>
  <c r="L22" i="44"/>
  <c r="I15" i="44"/>
  <c r="F8" i="44"/>
  <c r="I17" i="24" s="1"/>
  <c r="F74" i="44"/>
  <c r="V19" i="44"/>
  <c r="Z19" i="44" s="1"/>
  <c r="U20" i="44"/>
  <c r="Y20" i="44" s="1"/>
  <c r="Q20" i="44"/>
  <c r="S20" i="44"/>
  <c r="Z13" i="43"/>
  <c r="S19" i="43"/>
  <c r="V19" i="43" s="1"/>
  <c r="Z19" i="43" s="1"/>
  <c r="Q19" i="43"/>
  <c r="U19" i="43"/>
  <c r="Y19" i="43" s="1"/>
  <c r="V14" i="43"/>
  <c r="Z14" i="43" s="1"/>
  <c r="K74" i="43"/>
  <c r="K6" i="43"/>
  <c r="E15" i="24" s="1"/>
  <c r="I74" i="43"/>
  <c r="T14" i="43"/>
  <c r="X14" i="43" s="1"/>
  <c r="L21" i="43"/>
  <c r="R20" i="43"/>
  <c r="X13" i="43"/>
  <c r="C7" i="42"/>
  <c r="F13" i="24" s="1"/>
  <c r="E7" i="42"/>
  <c r="H13" i="24" s="1"/>
  <c r="Q5" i="42"/>
  <c r="Q8" i="42"/>
  <c r="M16" i="42"/>
  <c r="M17" i="42" s="1"/>
  <c r="M18" i="42" s="1"/>
  <c r="M19" i="42" s="1"/>
  <c r="M20" i="42" s="1"/>
  <c r="M21" i="42" s="1"/>
  <c r="M22" i="42" s="1"/>
  <c r="M23" i="42" s="1"/>
  <c r="M24" i="42" s="1"/>
  <c r="M25" i="42" s="1"/>
  <c r="M26" i="42" s="1"/>
  <c r="M27" i="42" s="1"/>
  <c r="M28" i="42" s="1"/>
  <c r="M29" i="42" s="1"/>
  <c r="M30" i="42" s="1"/>
  <c r="M31" i="42" s="1"/>
  <c r="M32" i="42" s="1"/>
  <c r="M33" i="42" s="1"/>
  <c r="M34" i="42" s="1"/>
  <c r="M35" i="42" s="1"/>
  <c r="M36" i="42" s="1"/>
  <c r="M37" i="42" s="1"/>
  <c r="M38" i="42" s="1"/>
  <c r="M39" i="42" s="1"/>
  <c r="M40" i="42" s="1"/>
  <c r="M41" i="42" s="1"/>
  <c r="M42" i="42" s="1"/>
  <c r="M43" i="42" s="1"/>
  <c r="M44" i="42" s="1"/>
  <c r="M45" i="42" s="1"/>
  <c r="M46" i="42" s="1"/>
  <c r="M47" i="42" s="1"/>
  <c r="M48" i="42" s="1"/>
  <c r="M49" i="42" s="1"/>
  <c r="M50" i="42" s="1"/>
  <c r="M51" i="42" s="1"/>
  <c r="M52" i="42" s="1"/>
  <c r="M53" i="42" s="1"/>
  <c r="M54" i="42" s="1"/>
  <c r="M55" i="42" s="1"/>
  <c r="M56" i="42" s="1"/>
  <c r="M57" i="42" s="1"/>
  <c r="M58" i="42" s="1"/>
  <c r="M59" i="42" s="1"/>
  <c r="M60" i="42" s="1"/>
  <c r="M61" i="42" s="1"/>
  <c r="M62" i="42" s="1"/>
  <c r="M63" i="42" s="1"/>
  <c r="M64" i="42" s="1"/>
  <c r="M65" i="42" s="1"/>
  <c r="M66" i="42" s="1"/>
  <c r="M67" i="42" s="1"/>
  <c r="M68" i="42" s="1"/>
  <c r="M69" i="42" s="1"/>
  <c r="M70" i="42" s="1"/>
  <c r="M71" i="42" s="1"/>
  <c r="M72" i="42" s="1"/>
  <c r="M73" i="42" s="1"/>
  <c r="R15" i="42"/>
  <c r="U9" i="42"/>
  <c r="G14" i="42"/>
  <c r="H13" i="42"/>
  <c r="Q13" i="42"/>
  <c r="L18" i="42"/>
  <c r="W30" i="42"/>
  <c r="W45" i="42"/>
  <c r="P4" i="42"/>
  <c r="O4" i="42" s="1"/>
  <c r="P5" i="42"/>
  <c r="O5" i="42" s="1"/>
  <c r="Y7" i="42"/>
  <c r="Q7" i="42" s="1"/>
  <c r="J13" i="42"/>
  <c r="N74" i="42"/>
  <c r="S13" i="42"/>
  <c r="R14" i="42"/>
  <c r="W71" i="42"/>
  <c r="W67" i="42"/>
  <c r="W63" i="42"/>
  <c r="W70" i="42"/>
  <c r="W66" i="42"/>
  <c r="W62" i="42"/>
  <c r="W73" i="42"/>
  <c r="W69" i="42"/>
  <c r="W65" i="42"/>
  <c r="W61" i="42"/>
  <c r="W59" i="42"/>
  <c r="W55" i="42"/>
  <c r="W51" i="42"/>
  <c r="W47" i="42"/>
  <c r="W43" i="42"/>
  <c r="W39" i="42"/>
  <c r="W68" i="42"/>
  <c r="W64" i="42"/>
  <c r="W58" i="42"/>
  <c r="W54" i="42"/>
  <c r="W50" i="42"/>
  <c r="W46" i="42"/>
  <c r="W42" i="42"/>
  <c r="W38" i="42"/>
  <c r="W72" i="42"/>
  <c r="W56" i="42"/>
  <c r="W48" i="42"/>
  <c r="W40" i="42"/>
  <c r="W60" i="42"/>
  <c r="W52" i="42"/>
  <c r="W44" i="42"/>
  <c r="W36" i="42"/>
  <c r="W49" i="42"/>
  <c r="W35" i="42"/>
  <c r="W34" i="42"/>
  <c r="W33" i="42"/>
  <c r="W29" i="42"/>
  <c r="W25" i="42"/>
  <c r="W21" i="42"/>
  <c r="W17" i="42"/>
  <c r="W53" i="42"/>
  <c r="W37" i="42"/>
  <c r="W32" i="42"/>
  <c r="W28" i="42"/>
  <c r="W24" i="42"/>
  <c r="W20" i="42"/>
  <c r="W16" i="42"/>
  <c r="W57" i="42"/>
  <c r="W41" i="42"/>
  <c r="W31" i="42"/>
  <c r="W27" i="42"/>
  <c r="W23" i="42"/>
  <c r="W19" i="42"/>
  <c r="W15" i="42"/>
  <c r="W14" i="42"/>
  <c r="Q4" i="42"/>
  <c r="Q9" i="42" s="1"/>
  <c r="P8" i="42"/>
  <c r="O8" i="42" s="1"/>
  <c r="O74" i="42"/>
  <c r="W22" i="42"/>
  <c r="F13" i="42"/>
  <c r="W18" i="42"/>
  <c r="C74" i="42"/>
  <c r="P74" i="42"/>
  <c r="E74" i="42"/>
  <c r="D74" i="42"/>
  <c r="O6" i="41"/>
  <c r="X9" i="37"/>
  <c r="P9" i="37" s="1"/>
  <c r="X5" i="41"/>
  <c r="X5" i="37"/>
  <c r="Y5" i="37" s="1"/>
  <c r="O4" i="41"/>
  <c r="X3" i="41"/>
  <c r="Q4" i="41"/>
  <c r="P7" i="41"/>
  <c r="O7" i="41" s="1"/>
  <c r="P8" i="41"/>
  <c r="O8" i="41" s="1"/>
  <c r="Q8" i="41"/>
  <c r="X7" i="37"/>
  <c r="Y7" i="37" s="1"/>
  <c r="E7" i="41"/>
  <c r="C74" i="41"/>
  <c r="M16" i="41"/>
  <c r="M17" i="41" s="1"/>
  <c r="M18" i="41" s="1"/>
  <c r="M19" i="41" s="1"/>
  <c r="M20" i="41" s="1"/>
  <c r="M21" i="41" s="1"/>
  <c r="M22" i="41" s="1"/>
  <c r="M23" i="41" s="1"/>
  <c r="M24" i="41" s="1"/>
  <c r="M25" i="41" s="1"/>
  <c r="M26" i="41" s="1"/>
  <c r="M27" i="41" s="1"/>
  <c r="M28" i="41" s="1"/>
  <c r="M29" i="41" s="1"/>
  <c r="M30" i="41" s="1"/>
  <c r="M31" i="41" s="1"/>
  <c r="M32" i="41" s="1"/>
  <c r="M33" i="41" s="1"/>
  <c r="M34" i="41" s="1"/>
  <c r="M35" i="41" s="1"/>
  <c r="M36" i="41" s="1"/>
  <c r="M37" i="41" s="1"/>
  <c r="M38" i="41" s="1"/>
  <c r="M39" i="41" s="1"/>
  <c r="M40" i="41" s="1"/>
  <c r="M41" i="41" s="1"/>
  <c r="M42" i="41" s="1"/>
  <c r="M43" i="41" s="1"/>
  <c r="M44" i="41" s="1"/>
  <c r="M45" i="41" s="1"/>
  <c r="M46" i="41" s="1"/>
  <c r="M47" i="41" s="1"/>
  <c r="M48" i="41" s="1"/>
  <c r="M49" i="41" s="1"/>
  <c r="M50" i="41" s="1"/>
  <c r="M51" i="41" s="1"/>
  <c r="M52" i="41" s="1"/>
  <c r="M53" i="41" s="1"/>
  <c r="M54" i="41" s="1"/>
  <c r="M55" i="41" s="1"/>
  <c r="M56" i="41" s="1"/>
  <c r="M57" i="41" s="1"/>
  <c r="M58" i="41" s="1"/>
  <c r="M59" i="41" s="1"/>
  <c r="M60" i="41" s="1"/>
  <c r="M61" i="41" s="1"/>
  <c r="M62" i="41" s="1"/>
  <c r="M63" i="41" s="1"/>
  <c r="M64" i="41" s="1"/>
  <c r="M65" i="41" s="1"/>
  <c r="M66" i="41" s="1"/>
  <c r="M67" i="41" s="1"/>
  <c r="M68" i="41" s="1"/>
  <c r="M69" i="41" s="1"/>
  <c r="M70" i="41" s="1"/>
  <c r="M71" i="41" s="1"/>
  <c r="M72" i="41" s="1"/>
  <c r="M73" i="41" s="1"/>
  <c r="R15" i="41"/>
  <c r="W17" i="41"/>
  <c r="B18" i="41"/>
  <c r="B19" i="41" s="1"/>
  <c r="B20" i="41" s="1"/>
  <c r="B21" i="41" s="1"/>
  <c r="S14" i="41"/>
  <c r="Q14" i="41"/>
  <c r="Y6" i="41"/>
  <c r="Q6" i="41" s="1"/>
  <c r="U7" i="41"/>
  <c r="Q7" i="41" s="1"/>
  <c r="E74" i="41"/>
  <c r="L17" i="41"/>
  <c r="W18" i="41"/>
  <c r="C7" i="41"/>
  <c r="F13" i="41"/>
  <c r="N74" i="41"/>
  <c r="R13" i="41"/>
  <c r="W15" i="41"/>
  <c r="W19" i="41"/>
  <c r="P74" i="41"/>
  <c r="K13" i="41"/>
  <c r="O74" i="41"/>
  <c r="G14" i="41"/>
  <c r="W14" i="41"/>
  <c r="W16" i="41"/>
  <c r="W20" i="41"/>
  <c r="G14" i="26"/>
  <c r="G13" i="26"/>
  <c r="G13" i="37"/>
  <c r="G14" i="37" s="1"/>
  <c r="R45" i="48" l="1"/>
  <c r="L46" i="48"/>
  <c r="B57" i="48"/>
  <c r="W56" i="48"/>
  <c r="S44" i="48"/>
  <c r="V44" i="48" s="1"/>
  <c r="Z44" i="48" s="1"/>
  <c r="Q44" i="48"/>
  <c r="T44" i="48" s="1"/>
  <c r="X44" i="48" s="1"/>
  <c r="U44" i="48"/>
  <c r="Y44" i="48" s="1"/>
  <c r="L25" i="46"/>
  <c r="R24" i="46"/>
  <c r="T22" i="46"/>
  <c r="U23" i="46"/>
  <c r="Q23" i="46"/>
  <c r="T23" i="46" s="1"/>
  <c r="X23" i="46" s="1"/>
  <c r="S23" i="46"/>
  <c r="S20" i="45"/>
  <c r="U20" i="45"/>
  <c r="Q20" i="45"/>
  <c r="T20" i="45" s="1"/>
  <c r="X20" i="45" s="1"/>
  <c r="B44" i="45"/>
  <c r="W43" i="45"/>
  <c r="R21" i="45"/>
  <c r="L22" i="45"/>
  <c r="I6" i="44"/>
  <c r="C17" i="24" s="1"/>
  <c r="T15" i="44"/>
  <c r="R22" i="44"/>
  <c r="L23" i="44"/>
  <c r="U21" i="44"/>
  <c r="Y21" i="44" s="1"/>
  <c r="Q21" i="44"/>
  <c r="T21" i="44" s="1"/>
  <c r="X21" i="44" s="1"/>
  <c r="S21" i="44"/>
  <c r="V21" i="44" s="1"/>
  <c r="Z21" i="44" s="1"/>
  <c r="T20" i="44"/>
  <c r="X20" i="44" s="1"/>
  <c r="K6" i="44"/>
  <c r="E17" i="24" s="1"/>
  <c r="V15" i="44"/>
  <c r="K74" i="44"/>
  <c r="B25" i="44"/>
  <c r="W24" i="44"/>
  <c r="V20" i="44"/>
  <c r="Z20" i="44" s="1"/>
  <c r="Y15" i="44"/>
  <c r="L22" i="43"/>
  <c r="R21" i="43"/>
  <c r="T19" i="43"/>
  <c r="X19" i="43" s="1"/>
  <c r="S20" i="43"/>
  <c r="V20" i="43" s="1"/>
  <c r="Z20" i="43" s="1"/>
  <c r="Q20" i="43"/>
  <c r="T20" i="43" s="1"/>
  <c r="X20" i="43" s="1"/>
  <c r="U20" i="43"/>
  <c r="Y20" i="43" s="1"/>
  <c r="G71" i="42"/>
  <c r="G67" i="42"/>
  <c r="G63" i="42"/>
  <c r="G70" i="42"/>
  <c r="G66" i="42"/>
  <c r="G62" i="42"/>
  <c r="G73" i="42"/>
  <c r="G69" i="42"/>
  <c r="G61" i="42"/>
  <c r="G59" i="42"/>
  <c r="G55" i="42"/>
  <c r="G51" i="42"/>
  <c r="G47" i="42"/>
  <c r="G43" i="42"/>
  <c r="G39" i="42"/>
  <c r="G68" i="42"/>
  <c r="G64" i="42"/>
  <c r="G58" i="42"/>
  <c r="G54" i="42"/>
  <c r="G50" i="42"/>
  <c r="G46" i="42"/>
  <c r="G42" i="42"/>
  <c r="G38" i="42"/>
  <c r="G72" i="42"/>
  <c r="G65" i="42"/>
  <c r="G56" i="42"/>
  <c r="G48" i="42"/>
  <c r="G40" i="42"/>
  <c r="G36" i="42"/>
  <c r="G60" i="42"/>
  <c r="G52" i="42"/>
  <c r="G44" i="42"/>
  <c r="G49" i="42"/>
  <c r="G35" i="42"/>
  <c r="G34" i="42"/>
  <c r="G33" i="42"/>
  <c r="G29" i="42"/>
  <c r="G25" i="42"/>
  <c r="G53" i="42"/>
  <c r="G37" i="42"/>
  <c r="G32" i="42"/>
  <c r="G28" i="42"/>
  <c r="G24" i="42"/>
  <c r="G57" i="42"/>
  <c r="G41" i="42"/>
  <c r="G31" i="42"/>
  <c r="G27" i="42"/>
  <c r="G23" i="42"/>
  <c r="G45" i="42"/>
  <c r="G26" i="42"/>
  <c r="G30" i="42"/>
  <c r="H14" i="42"/>
  <c r="K14" i="42" s="1"/>
  <c r="J14" i="42"/>
  <c r="U14" i="42" s="1"/>
  <c r="Y14" i="42" s="1"/>
  <c r="F14" i="42"/>
  <c r="I14" i="42" s="1"/>
  <c r="S14" i="42"/>
  <c r="Q14" i="42"/>
  <c r="U13" i="42"/>
  <c r="M74" i="42"/>
  <c r="R16" i="42"/>
  <c r="R18" i="42"/>
  <c r="L19" i="42"/>
  <c r="Y9" i="42"/>
  <c r="I13" i="42"/>
  <c r="R17" i="42"/>
  <c r="K13" i="42"/>
  <c r="S15" i="42"/>
  <c r="Q15" i="42"/>
  <c r="Y5" i="41"/>
  <c r="Q5" i="41" s="1"/>
  <c r="P5" i="41"/>
  <c r="O5" i="41" s="1"/>
  <c r="Y9" i="37"/>
  <c r="Y3" i="41"/>
  <c r="Q3" i="41" s="1"/>
  <c r="Q9" i="41" s="1"/>
  <c r="P3" i="41"/>
  <c r="O3" i="41" s="1"/>
  <c r="I13" i="41"/>
  <c r="M74" i="41"/>
  <c r="W21" i="41"/>
  <c r="B22" i="41"/>
  <c r="H14" i="41"/>
  <c r="J14" i="41"/>
  <c r="F14" i="41"/>
  <c r="I14" i="41" s="1"/>
  <c r="T14" i="41" s="1"/>
  <c r="X14" i="41" s="1"/>
  <c r="R16" i="41"/>
  <c r="R17" i="41"/>
  <c r="L18" i="41"/>
  <c r="S13" i="41"/>
  <c r="U13" i="41"/>
  <c r="Q13" i="41"/>
  <c r="S15" i="41"/>
  <c r="Q15" i="41"/>
  <c r="U9" i="41"/>
  <c r="D7" i="26"/>
  <c r="B58" i="48" l="1"/>
  <c r="W57" i="48"/>
  <c r="L47" i="48"/>
  <c r="R46" i="48"/>
  <c r="U45" i="48"/>
  <c r="Y45" i="48" s="1"/>
  <c r="Q45" i="48"/>
  <c r="T45" i="48" s="1"/>
  <c r="X45" i="48" s="1"/>
  <c r="S45" i="48"/>
  <c r="V45" i="48" s="1"/>
  <c r="Z45" i="48" s="1"/>
  <c r="Y23" i="46"/>
  <c r="V23" i="46"/>
  <c r="U24" i="46"/>
  <c r="Y24" i="46" s="1"/>
  <c r="Q24" i="46"/>
  <c r="T24" i="46" s="1"/>
  <c r="X24" i="46" s="1"/>
  <c r="S24" i="46"/>
  <c r="V24" i="46" s="1"/>
  <c r="Z24" i="46" s="1"/>
  <c r="X22" i="46"/>
  <c r="R25" i="46"/>
  <c r="L26" i="46"/>
  <c r="B45" i="45"/>
  <c r="W44" i="45"/>
  <c r="R22" i="45"/>
  <c r="L23" i="45"/>
  <c r="U21" i="45"/>
  <c r="Y21" i="45" s="1"/>
  <c r="Q21" i="45"/>
  <c r="T21" i="45" s="1"/>
  <c r="S21" i="45"/>
  <c r="V21" i="45" s="1"/>
  <c r="Z21" i="45" s="1"/>
  <c r="V20" i="45"/>
  <c r="Y20" i="45"/>
  <c r="U22" i="44"/>
  <c r="Y22" i="44" s="1"/>
  <c r="Q22" i="44"/>
  <c r="S22" i="44"/>
  <c r="Z15" i="44"/>
  <c r="X15" i="44"/>
  <c r="B26" i="44"/>
  <c r="W25" i="44"/>
  <c r="L24" i="44"/>
  <c r="R23" i="44"/>
  <c r="S21" i="43"/>
  <c r="Q21" i="43"/>
  <c r="U21" i="43"/>
  <c r="Y21" i="43" s="1"/>
  <c r="R22" i="43"/>
  <c r="L23" i="43"/>
  <c r="T14" i="42"/>
  <c r="X14" i="42" s="1"/>
  <c r="V14" i="42"/>
  <c r="Z14" i="42" s="1"/>
  <c r="S17" i="42"/>
  <c r="Q17" i="42"/>
  <c r="J22" i="42"/>
  <c r="F22" i="42"/>
  <c r="I22" i="42" s="1"/>
  <c r="H22" i="42"/>
  <c r="K22" i="42" s="1"/>
  <c r="J33" i="42"/>
  <c r="F33" i="42"/>
  <c r="I33" i="42" s="1"/>
  <c r="H33" i="42"/>
  <c r="K33" i="42" s="1"/>
  <c r="J72" i="42"/>
  <c r="F72" i="42"/>
  <c r="I72" i="42" s="1"/>
  <c r="H72" i="42"/>
  <c r="K72" i="42" s="1"/>
  <c r="J51" i="42"/>
  <c r="F51" i="42"/>
  <c r="I51" i="42" s="1"/>
  <c r="H51" i="42"/>
  <c r="K51" i="42" s="1"/>
  <c r="Q18" i="42"/>
  <c r="S18" i="42"/>
  <c r="J15" i="42"/>
  <c r="U15" i="42" s="1"/>
  <c r="Y15" i="42" s="1"/>
  <c r="F15" i="42"/>
  <c r="H15" i="42"/>
  <c r="G8" i="42"/>
  <c r="J18" i="42"/>
  <c r="U18" i="42" s="1"/>
  <c r="Y18" i="42" s="1"/>
  <c r="F18" i="42"/>
  <c r="I18" i="42" s="1"/>
  <c r="H18" i="42"/>
  <c r="K18" i="42" s="1"/>
  <c r="H27" i="42"/>
  <c r="K27" i="42" s="1"/>
  <c r="J27" i="42"/>
  <c r="F27" i="42"/>
  <c r="I27" i="42" s="1"/>
  <c r="J16" i="42"/>
  <c r="F16" i="42"/>
  <c r="I16" i="42" s="1"/>
  <c r="H16" i="42"/>
  <c r="K16" i="42" s="1"/>
  <c r="H32" i="42"/>
  <c r="K32" i="42" s="1"/>
  <c r="J32" i="42"/>
  <c r="F32" i="42"/>
  <c r="I32" i="42" s="1"/>
  <c r="J21" i="42"/>
  <c r="F21" i="42"/>
  <c r="I21" i="42" s="1"/>
  <c r="H21" i="42"/>
  <c r="K21" i="42" s="1"/>
  <c r="F34" i="42"/>
  <c r="I34" i="42" s="1"/>
  <c r="J34" i="42"/>
  <c r="H34" i="42"/>
  <c r="K34" i="42" s="1"/>
  <c r="J52" i="42"/>
  <c r="F52" i="42"/>
  <c r="I52" i="42" s="1"/>
  <c r="H52" i="42"/>
  <c r="K52" i="42" s="1"/>
  <c r="J48" i="42"/>
  <c r="F48" i="42"/>
  <c r="I48" i="42" s="1"/>
  <c r="H48" i="42"/>
  <c r="K48" i="42" s="1"/>
  <c r="H38" i="42"/>
  <c r="K38" i="42" s="1"/>
  <c r="J38" i="42"/>
  <c r="F38" i="42"/>
  <c r="I38" i="42" s="1"/>
  <c r="H54" i="42"/>
  <c r="K54" i="42" s="1"/>
  <c r="J54" i="42"/>
  <c r="F54" i="42"/>
  <c r="I54" i="42" s="1"/>
  <c r="J39" i="42"/>
  <c r="F39" i="42"/>
  <c r="I39" i="42" s="1"/>
  <c r="H39" i="42"/>
  <c r="K39" i="42" s="1"/>
  <c r="J55" i="42"/>
  <c r="F55" i="42"/>
  <c r="I55" i="42" s="1"/>
  <c r="H55" i="42"/>
  <c r="K55" i="42" s="1"/>
  <c r="H73" i="42"/>
  <c r="K73" i="42" s="1"/>
  <c r="J73" i="42"/>
  <c r="F73" i="42"/>
  <c r="I73" i="42" s="1"/>
  <c r="J63" i="42"/>
  <c r="F63" i="42"/>
  <c r="I63" i="42" s="1"/>
  <c r="H63" i="42"/>
  <c r="K63" i="42" s="1"/>
  <c r="L20" i="42"/>
  <c r="R19" i="42"/>
  <c r="Y13" i="42"/>
  <c r="H57" i="42"/>
  <c r="K57" i="42" s="1"/>
  <c r="J57" i="42"/>
  <c r="F57" i="42"/>
  <c r="I57" i="42" s="1"/>
  <c r="J17" i="42"/>
  <c r="U17" i="42" s="1"/>
  <c r="Y17" i="42" s="1"/>
  <c r="F17" i="42"/>
  <c r="I17" i="42" s="1"/>
  <c r="H17" i="42"/>
  <c r="K17" i="42" s="1"/>
  <c r="J44" i="42"/>
  <c r="F44" i="42"/>
  <c r="I44" i="42" s="1"/>
  <c r="H44" i="42"/>
  <c r="K44" i="42" s="1"/>
  <c r="H50" i="42"/>
  <c r="K50" i="42" s="1"/>
  <c r="F50" i="42"/>
  <c r="I50" i="42" s="1"/>
  <c r="J50" i="42"/>
  <c r="H70" i="42"/>
  <c r="K70" i="42" s="1"/>
  <c r="J70" i="42"/>
  <c r="F70" i="42"/>
  <c r="I70" i="42" s="1"/>
  <c r="V13" i="42"/>
  <c r="S16" i="42"/>
  <c r="V16" i="42" s="1"/>
  <c r="Z16" i="42" s="1"/>
  <c r="U16" i="42"/>
  <c r="Y16" i="42" s="1"/>
  <c r="Q16" i="42"/>
  <c r="T16" i="42" s="1"/>
  <c r="X16" i="42" s="1"/>
  <c r="J6" i="42"/>
  <c r="J30" i="42"/>
  <c r="F30" i="42"/>
  <c r="I30" i="42" s="1"/>
  <c r="H30" i="42"/>
  <c r="K30" i="42" s="1"/>
  <c r="H45" i="42"/>
  <c r="K45" i="42" s="1"/>
  <c r="F45" i="42"/>
  <c r="I45" i="42" s="1"/>
  <c r="J45" i="42"/>
  <c r="H31" i="42"/>
  <c r="K31" i="42" s="1"/>
  <c r="J31" i="42"/>
  <c r="F31" i="42"/>
  <c r="I31" i="42" s="1"/>
  <c r="H20" i="42"/>
  <c r="K20" i="42" s="1"/>
  <c r="J20" i="42"/>
  <c r="F20" i="42"/>
  <c r="I20" i="42" s="1"/>
  <c r="H37" i="42"/>
  <c r="K37" i="42" s="1"/>
  <c r="F37" i="42"/>
  <c r="I37" i="42" s="1"/>
  <c r="J37" i="42"/>
  <c r="J25" i="42"/>
  <c r="F25" i="42"/>
  <c r="I25" i="42" s="1"/>
  <c r="H25" i="42"/>
  <c r="K25" i="42" s="1"/>
  <c r="H35" i="42"/>
  <c r="K35" i="42" s="1"/>
  <c r="J35" i="42"/>
  <c r="F35" i="42"/>
  <c r="I35" i="42" s="1"/>
  <c r="J60" i="42"/>
  <c r="F60" i="42"/>
  <c r="I60" i="42" s="1"/>
  <c r="H60" i="42"/>
  <c r="K60" i="42" s="1"/>
  <c r="J56" i="42"/>
  <c r="F56" i="42"/>
  <c r="I56" i="42" s="1"/>
  <c r="H56" i="42"/>
  <c r="K56" i="42" s="1"/>
  <c r="H42" i="42"/>
  <c r="K42" i="42" s="1"/>
  <c r="F42" i="42"/>
  <c r="I42" i="42" s="1"/>
  <c r="J42" i="42"/>
  <c r="H58" i="42"/>
  <c r="K58" i="42" s="1"/>
  <c r="F58" i="42"/>
  <c r="I58" i="42" s="1"/>
  <c r="J58" i="42"/>
  <c r="J43" i="42"/>
  <c r="F43" i="42"/>
  <c r="I43" i="42" s="1"/>
  <c r="H43" i="42"/>
  <c r="K43" i="42" s="1"/>
  <c r="J59" i="42"/>
  <c r="F59" i="42"/>
  <c r="I59" i="42" s="1"/>
  <c r="H59" i="42"/>
  <c r="K59" i="42" s="1"/>
  <c r="H62" i="42"/>
  <c r="K62" i="42" s="1"/>
  <c r="J62" i="42"/>
  <c r="F62" i="42"/>
  <c r="I62" i="42" s="1"/>
  <c r="J67" i="42"/>
  <c r="F67" i="42"/>
  <c r="I67" i="42" s="1"/>
  <c r="H67" i="42"/>
  <c r="K67" i="42" s="1"/>
  <c r="T13" i="42"/>
  <c r="H23" i="42"/>
  <c r="K23" i="42" s="1"/>
  <c r="J23" i="42"/>
  <c r="F23" i="42"/>
  <c r="I23" i="42" s="1"/>
  <c r="H28" i="42"/>
  <c r="K28" i="42" s="1"/>
  <c r="J28" i="42"/>
  <c r="F28" i="42"/>
  <c r="I28" i="42" s="1"/>
  <c r="J40" i="42"/>
  <c r="F40" i="42"/>
  <c r="I40" i="42" s="1"/>
  <c r="H40" i="42"/>
  <c r="K40" i="42" s="1"/>
  <c r="J68" i="42"/>
  <c r="F68" i="42"/>
  <c r="I68" i="42" s="1"/>
  <c r="H68" i="42"/>
  <c r="K68" i="42" s="1"/>
  <c r="H69" i="42"/>
  <c r="K69" i="42" s="1"/>
  <c r="J69" i="42"/>
  <c r="F69" i="42"/>
  <c r="I69" i="42" s="1"/>
  <c r="G74" i="42"/>
  <c r="J26" i="42"/>
  <c r="F26" i="42"/>
  <c r="I26" i="42" s="1"/>
  <c r="H26" i="42"/>
  <c r="K26" i="42" s="1"/>
  <c r="H19" i="42"/>
  <c r="K19" i="42" s="1"/>
  <c r="F19" i="42"/>
  <c r="I19" i="42" s="1"/>
  <c r="J19" i="42"/>
  <c r="H41" i="42"/>
  <c r="K41" i="42" s="1"/>
  <c r="J41" i="42"/>
  <c r="F41" i="42"/>
  <c r="I41" i="42" s="1"/>
  <c r="H24" i="42"/>
  <c r="K24" i="42" s="1"/>
  <c r="J24" i="42"/>
  <c r="F24" i="42"/>
  <c r="I24" i="42" s="1"/>
  <c r="H53" i="42"/>
  <c r="K53" i="42" s="1"/>
  <c r="F53" i="42"/>
  <c r="I53" i="42" s="1"/>
  <c r="J53" i="42"/>
  <c r="J29" i="42"/>
  <c r="F29" i="42"/>
  <c r="I29" i="42" s="1"/>
  <c r="H29" i="42"/>
  <c r="K29" i="42" s="1"/>
  <c r="H49" i="42"/>
  <c r="K49" i="42" s="1"/>
  <c r="J49" i="42"/>
  <c r="F49" i="42"/>
  <c r="I49" i="42" s="1"/>
  <c r="J36" i="42"/>
  <c r="H36" i="42"/>
  <c r="K36" i="42" s="1"/>
  <c r="F36" i="42"/>
  <c r="I36" i="42" s="1"/>
  <c r="H65" i="42"/>
  <c r="K65" i="42" s="1"/>
  <c r="J65" i="42"/>
  <c r="F65" i="42"/>
  <c r="I65" i="42" s="1"/>
  <c r="H46" i="42"/>
  <c r="K46" i="42" s="1"/>
  <c r="J46" i="42"/>
  <c r="F46" i="42"/>
  <c r="I46" i="42" s="1"/>
  <c r="J64" i="42"/>
  <c r="F64" i="42"/>
  <c r="I64" i="42" s="1"/>
  <c r="H64" i="42"/>
  <c r="K64" i="42" s="1"/>
  <c r="J47" i="42"/>
  <c r="F47" i="42"/>
  <c r="I47" i="42" s="1"/>
  <c r="H47" i="42"/>
  <c r="K47" i="42" s="1"/>
  <c r="H61" i="42"/>
  <c r="K61" i="42" s="1"/>
  <c r="F61" i="42"/>
  <c r="I61" i="42" s="1"/>
  <c r="J61" i="42"/>
  <c r="H66" i="42"/>
  <c r="K66" i="42" s="1"/>
  <c r="J66" i="42"/>
  <c r="F66" i="42"/>
  <c r="I66" i="42" s="1"/>
  <c r="J71" i="42"/>
  <c r="F71" i="42"/>
  <c r="I71" i="42" s="1"/>
  <c r="H71" i="42"/>
  <c r="K71" i="42" s="1"/>
  <c r="Y9" i="41"/>
  <c r="G67" i="41"/>
  <c r="G62" i="41"/>
  <c r="G61" i="41"/>
  <c r="H61" i="41" s="1"/>
  <c r="K61" i="41" s="1"/>
  <c r="G60" i="41"/>
  <c r="F60" i="41" s="1"/>
  <c r="I60" i="41" s="1"/>
  <c r="G59" i="41"/>
  <c r="G42" i="41"/>
  <c r="G26" i="41"/>
  <c r="F26" i="41" s="1"/>
  <c r="I26" i="41" s="1"/>
  <c r="G41" i="41"/>
  <c r="F41" i="41" s="1"/>
  <c r="I41" i="41" s="1"/>
  <c r="G25" i="41"/>
  <c r="G44" i="41"/>
  <c r="G28" i="41"/>
  <c r="H28" i="41" s="1"/>
  <c r="K28" i="41" s="1"/>
  <c r="G27" i="41"/>
  <c r="H27" i="41" s="1"/>
  <c r="K27" i="41" s="1"/>
  <c r="G47" i="41"/>
  <c r="G21" i="41"/>
  <c r="G18" i="41"/>
  <c r="J18" i="41" s="1"/>
  <c r="G72" i="41"/>
  <c r="H72" i="41" s="1"/>
  <c r="K72" i="41" s="1"/>
  <c r="G35" i="41"/>
  <c r="G71" i="41"/>
  <c r="G64" i="41"/>
  <c r="H64" i="41" s="1"/>
  <c r="K64" i="41" s="1"/>
  <c r="G30" i="41"/>
  <c r="J30" i="41" s="1"/>
  <c r="G29" i="41"/>
  <c r="G43" i="41"/>
  <c r="G22" i="41"/>
  <c r="H22" i="41" s="1"/>
  <c r="K22" i="41" s="1"/>
  <c r="G63" i="41"/>
  <c r="J63" i="41" s="1"/>
  <c r="G73" i="41"/>
  <c r="G57" i="41"/>
  <c r="G56" i="41"/>
  <c r="H56" i="41" s="1"/>
  <c r="K56" i="41" s="1"/>
  <c r="G55" i="41"/>
  <c r="H55" i="41" s="1"/>
  <c r="K55" i="41" s="1"/>
  <c r="G38" i="41"/>
  <c r="G54" i="41"/>
  <c r="G37" i="41"/>
  <c r="J37" i="41" s="1"/>
  <c r="G58" i="41"/>
  <c r="J58" i="41" s="1"/>
  <c r="G40" i="41"/>
  <c r="G24" i="41"/>
  <c r="G20" i="41"/>
  <c r="F20" i="41" s="1"/>
  <c r="I20" i="41" s="1"/>
  <c r="G31" i="41"/>
  <c r="J31" i="41" s="1"/>
  <c r="G15" i="41"/>
  <c r="G39" i="41"/>
  <c r="G23" i="41"/>
  <c r="F23" i="41" s="1"/>
  <c r="I23" i="41" s="1"/>
  <c r="G68" i="41"/>
  <c r="H68" i="41" s="1"/>
  <c r="K68" i="41" s="1"/>
  <c r="G48" i="41"/>
  <c r="G17" i="41"/>
  <c r="G70" i="41"/>
  <c r="H70" i="41" s="1"/>
  <c r="K70" i="41" s="1"/>
  <c r="G69" i="41"/>
  <c r="H69" i="41" s="1"/>
  <c r="K69" i="41" s="1"/>
  <c r="G53" i="41"/>
  <c r="G52" i="41"/>
  <c r="G51" i="41"/>
  <c r="F51" i="41" s="1"/>
  <c r="I51" i="41" s="1"/>
  <c r="G34" i="41"/>
  <c r="J34" i="41" s="1"/>
  <c r="G49" i="41"/>
  <c r="G33" i="41"/>
  <c r="G50" i="41"/>
  <c r="H50" i="41" s="1"/>
  <c r="K50" i="41" s="1"/>
  <c r="G36" i="41"/>
  <c r="F36" i="41" s="1"/>
  <c r="I36" i="41" s="1"/>
  <c r="G16" i="41"/>
  <c r="H16" i="41" s="1"/>
  <c r="K16" i="41" s="1"/>
  <c r="G66" i="41"/>
  <c r="G65" i="41"/>
  <c r="H65" i="41" s="1"/>
  <c r="K65" i="41" s="1"/>
  <c r="G46" i="41"/>
  <c r="F46" i="41" s="1"/>
  <c r="I46" i="41" s="1"/>
  <c r="G45" i="41"/>
  <c r="G32" i="41"/>
  <c r="G19" i="41"/>
  <c r="H19" i="41" s="1"/>
  <c r="K19" i="41" s="1"/>
  <c r="J16" i="41"/>
  <c r="U16" i="41" s="1"/>
  <c r="Y16" i="41" s="1"/>
  <c r="F16" i="41"/>
  <c r="I16" i="41" s="1"/>
  <c r="H33" i="41"/>
  <c r="K33" i="41" s="1"/>
  <c r="J33" i="41"/>
  <c r="F33" i="41"/>
  <c r="I33" i="41" s="1"/>
  <c r="H52" i="41"/>
  <c r="K52" i="41" s="1"/>
  <c r="J52" i="41"/>
  <c r="F52" i="41"/>
  <c r="I52" i="41" s="1"/>
  <c r="V13" i="41"/>
  <c r="S16" i="41"/>
  <c r="Q16" i="41"/>
  <c r="U14" i="41"/>
  <c r="Y14" i="41" s="1"/>
  <c r="J39" i="41"/>
  <c r="F39" i="41"/>
  <c r="I39" i="41" s="1"/>
  <c r="H39" i="41"/>
  <c r="K39" i="41" s="1"/>
  <c r="J15" i="41"/>
  <c r="U15" i="41" s="1"/>
  <c r="Y15" i="41" s="1"/>
  <c r="F15" i="41"/>
  <c r="I15" i="41" s="1"/>
  <c r="T15" i="41" s="1"/>
  <c r="X15" i="41" s="1"/>
  <c r="H15" i="41"/>
  <c r="K15" i="41" s="1"/>
  <c r="H24" i="41"/>
  <c r="K24" i="41" s="1"/>
  <c r="F24" i="41"/>
  <c r="I24" i="41" s="1"/>
  <c r="J24" i="41"/>
  <c r="H40" i="41"/>
  <c r="K40" i="41" s="1"/>
  <c r="J40" i="41"/>
  <c r="F40" i="41"/>
  <c r="I40" i="41" s="1"/>
  <c r="J54" i="41"/>
  <c r="F54" i="41"/>
  <c r="I54" i="41" s="1"/>
  <c r="H54" i="41"/>
  <c r="K54" i="41" s="1"/>
  <c r="J38" i="41"/>
  <c r="F38" i="41"/>
  <c r="I38" i="41" s="1"/>
  <c r="H38" i="41"/>
  <c r="K38" i="41" s="1"/>
  <c r="J57" i="41"/>
  <c r="F57" i="41"/>
  <c r="I57" i="41" s="1"/>
  <c r="H57" i="41"/>
  <c r="K57" i="41" s="1"/>
  <c r="H73" i="41"/>
  <c r="K73" i="41" s="1"/>
  <c r="J73" i="41"/>
  <c r="F73" i="41"/>
  <c r="I73" i="41" s="1"/>
  <c r="J35" i="41"/>
  <c r="F35" i="41"/>
  <c r="I35" i="41" s="1"/>
  <c r="H35" i="41"/>
  <c r="K35" i="41" s="1"/>
  <c r="J53" i="41"/>
  <c r="F53" i="41"/>
  <c r="I53" i="41" s="1"/>
  <c r="H53" i="41"/>
  <c r="K53" i="41" s="1"/>
  <c r="K14" i="41"/>
  <c r="J21" i="41"/>
  <c r="F21" i="41"/>
  <c r="I21" i="41" s="1"/>
  <c r="H21" i="41"/>
  <c r="K21" i="41" s="1"/>
  <c r="J47" i="41"/>
  <c r="F47" i="41"/>
  <c r="I47" i="41" s="1"/>
  <c r="H47" i="41"/>
  <c r="K47" i="41" s="1"/>
  <c r="H44" i="41"/>
  <c r="K44" i="41" s="1"/>
  <c r="F44" i="41"/>
  <c r="I44" i="41" s="1"/>
  <c r="J44" i="41"/>
  <c r="H25" i="41"/>
  <c r="K25" i="41" s="1"/>
  <c r="J25" i="41"/>
  <c r="F25" i="41"/>
  <c r="I25" i="41" s="1"/>
  <c r="J41" i="41"/>
  <c r="J42" i="41"/>
  <c r="F42" i="41"/>
  <c r="I42" i="41" s="1"/>
  <c r="H42" i="41"/>
  <c r="K42" i="41" s="1"/>
  <c r="H59" i="41"/>
  <c r="K59" i="41" s="1"/>
  <c r="J59" i="41"/>
  <c r="F59" i="41"/>
  <c r="I59" i="41" s="1"/>
  <c r="H62" i="41"/>
  <c r="K62" i="41" s="1"/>
  <c r="J62" i="41"/>
  <c r="F62" i="41"/>
  <c r="I62" i="41" s="1"/>
  <c r="J67" i="41"/>
  <c r="F67" i="41"/>
  <c r="I67" i="41" s="1"/>
  <c r="H67" i="41"/>
  <c r="K67" i="41" s="1"/>
  <c r="Y13" i="41"/>
  <c r="Q17" i="41"/>
  <c r="S17" i="41"/>
  <c r="B23" i="41"/>
  <c r="W22" i="41"/>
  <c r="J49" i="41"/>
  <c r="H49" i="41"/>
  <c r="K49" i="41" s="1"/>
  <c r="F49" i="41"/>
  <c r="I49" i="41" s="1"/>
  <c r="V15" i="41"/>
  <c r="Z15" i="41" s="1"/>
  <c r="T13" i="41"/>
  <c r="L19" i="41"/>
  <c r="R18" i="41"/>
  <c r="J17" i="41"/>
  <c r="F17" i="41"/>
  <c r="I17" i="41" s="1"/>
  <c r="H17" i="41"/>
  <c r="K17" i="41" s="1"/>
  <c r="J43" i="41"/>
  <c r="F43" i="41"/>
  <c r="I43" i="41" s="1"/>
  <c r="H43" i="41"/>
  <c r="K43" i="41" s="1"/>
  <c r="H32" i="41"/>
  <c r="K32" i="41" s="1"/>
  <c r="J32" i="41"/>
  <c r="F32" i="41"/>
  <c r="I32" i="41" s="1"/>
  <c r="H48" i="41"/>
  <c r="K48" i="41" s="1"/>
  <c r="J48" i="41"/>
  <c r="F48" i="41"/>
  <c r="I48" i="41" s="1"/>
  <c r="H29" i="41"/>
  <c r="K29" i="41" s="1"/>
  <c r="J29" i="41"/>
  <c r="F29" i="41"/>
  <c r="I29" i="41" s="1"/>
  <c r="H45" i="41"/>
  <c r="K45" i="41" s="1"/>
  <c r="J45" i="41"/>
  <c r="F45" i="41"/>
  <c r="I45" i="41" s="1"/>
  <c r="J46" i="41"/>
  <c r="H66" i="41"/>
  <c r="K66" i="41" s="1"/>
  <c r="J66" i="41"/>
  <c r="F66" i="41"/>
  <c r="I66" i="41" s="1"/>
  <c r="J71" i="41"/>
  <c r="F71" i="41"/>
  <c r="I71" i="41" s="1"/>
  <c r="H71" i="41"/>
  <c r="K71" i="41" s="1"/>
  <c r="D13" i="34"/>
  <c r="D13" i="33"/>
  <c r="AH17" i="33"/>
  <c r="AL20" i="34"/>
  <c r="AL18" i="34"/>
  <c r="AH22" i="34"/>
  <c r="AH16" i="34"/>
  <c r="AH18" i="33"/>
  <c r="AH16" i="33"/>
  <c r="AH15" i="33"/>
  <c r="AH14" i="33"/>
  <c r="AG24" i="33"/>
  <c r="AG23" i="33"/>
  <c r="AH13" i="33" s="1"/>
  <c r="AB9" i="33"/>
  <c r="W9" i="33"/>
  <c r="S9" i="33"/>
  <c r="AA8" i="33"/>
  <c r="Y8" i="33"/>
  <c r="T8" i="33"/>
  <c r="U8" i="33" s="1"/>
  <c r="AA7" i="33"/>
  <c r="X7" i="33"/>
  <c r="Y7" i="33" s="1"/>
  <c r="T7" i="33"/>
  <c r="U7" i="33" s="1"/>
  <c r="X6" i="33"/>
  <c r="Y6" i="33" s="1"/>
  <c r="T6" i="33"/>
  <c r="AA5" i="33"/>
  <c r="X5" i="33"/>
  <c r="Y5" i="33" s="1"/>
  <c r="T5" i="33"/>
  <c r="U5" i="33" s="1"/>
  <c r="AA4" i="33"/>
  <c r="X4" i="33"/>
  <c r="Y4" i="33" s="1"/>
  <c r="T4" i="33"/>
  <c r="AA3" i="33"/>
  <c r="X3" i="33"/>
  <c r="T3" i="33"/>
  <c r="AA1" i="33"/>
  <c r="X6" i="34"/>
  <c r="Y6" i="34" s="1"/>
  <c r="X7" i="34"/>
  <c r="Y7" i="34" s="1"/>
  <c r="X8" i="34"/>
  <c r="Y8" i="34" s="1"/>
  <c r="AG26" i="34"/>
  <c r="AG28" i="34" s="1"/>
  <c r="AG27" i="34"/>
  <c r="AH17" i="34"/>
  <c r="AL17" i="34" s="1"/>
  <c r="AH18" i="34"/>
  <c r="AH19" i="34"/>
  <c r="AL19" i="34" s="1"/>
  <c r="AH20" i="34"/>
  <c r="AH21" i="34"/>
  <c r="AL21" i="34" s="1"/>
  <c r="AG22" i="34"/>
  <c r="T3" i="34"/>
  <c r="S9" i="34"/>
  <c r="AB9" i="34"/>
  <c r="W9" i="34"/>
  <c r="AA8" i="34"/>
  <c r="AA7" i="34"/>
  <c r="AA5" i="34"/>
  <c r="X5" i="34"/>
  <c r="Y5" i="34" s="1"/>
  <c r="AA4" i="34"/>
  <c r="X4" i="34"/>
  <c r="Y4" i="34" s="1"/>
  <c r="AA3" i="34"/>
  <c r="X3" i="34"/>
  <c r="AA1" i="34"/>
  <c r="G39" i="33" l="1"/>
  <c r="U6" i="33"/>
  <c r="G64" i="33"/>
  <c r="G54" i="33"/>
  <c r="G34" i="33"/>
  <c r="G24" i="33"/>
  <c r="G44" i="33"/>
  <c r="B59" i="48"/>
  <c r="W58" i="48"/>
  <c r="L48" i="48"/>
  <c r="R47" i="48"/>
  <c r="U46" i="48"/>
  <c r="Y46" i="48" s="1"/>
  <c r="Q46" i="48"/>
  <c r="T46" i="48" s="1"/>
  <c r="X46" i="48" s="1"/>
  <c r="S46" i="48"/>
  <c r="V46" i="48" s="1"/>
  <c r="Z46" i="48" s="1"/>
  <c r="L27" i="46"/>
  <c r="R26" i="46"/>
  <c r="Z23" i="46"/>
  <c r="S25" i="46"/>
  <c r="V25" i="46" s="1"/>
  <c r="Z25" i="46" s="1"/>
  <c r="U25" i="46"/>
  <c r="Y25" i="46" s="1"/>
  <c r="Q25" i="46"/>
  <c r="T25" i="46" s="1"/>
  <c r="X25" i="46" s="1"/>
  <c r="S22" i="45"/>
  <c r="V22" i="45" s="1"/>
  <c r="Z22" i="45" s="1"/>
  <c r="U22" i="45"/>
  <c r="Q22" i="45"/>
  <c r="X21" i="45"/>
  <c r="B46" i="45"/>
  <c r="W45" i="45"/>
  <c r="Z20" i="45"/>
  <c r="R23" i="45"/>
  <c r="L24" i="45"/>
  <c r="R24" i="44"/>
  <c r="L25" i="44"/>
  <c r="V22" i="44"/>
  <c r="B27" i="44"/>
  <c r="W26" i="44"/>
  <c r="T22" i="44"/>
  <c r="U23" i="44"/>
  <c r="Q23" i="44"/>
  <c r="T23" i="44" s="1"/>
  <c r="X23" i="44" s="1"/>
  <c r="S23" i="44"/>
  <c r="V23" i="44" s="1"/>
  <c r="Z23" i="44" s="1"/>
  <c r="S22" i="43"/>
  <c r="V22" i="43" s="1"/>
  <c r="Z22" i="43" s="1"/>
  <c r="Q22" i="43"/>
  <c r="T22" i="43" s="1"/>
  <c r="X22" i="43" s="1"/>
  <c r="U22" i="43"/>
  <c r="Y22" i="43" s="1"/>
  <c r="T21" i="43"/>
  <c r="R23" i="43"/>
  <c r="L24" i="43"/>
  <c r="V21" i="43"/>
  <c r="T17" i="42"/>
  <c r="X17" i="42" s="1"/>
  <c r="T18" i="42"/>
  <c r="X18" i="42" s="1"/>
  <c r="X13" i="42"/>
  <c r="U19" i="42"/>
  <c r="Y19" i="42" s="1"/>
  <c r="Q19" i="42"/>
  <c r="T19" i="42" s="1"/>
  <c r="X19" i="42" s="1"/>
  <c r="S19" i="42"/>
  <c r="I15" i="42"/>
  <c r="F8" i="42"/>
  <c r="F74" i="42"/>
  <c r="R20" i="42"/>
  <c r="L21" i="42"/>
  <c r="V17" i="42"/>
  <c r="Z17" i="42" s="1"/>
  <c r="Z13" i="42"/>
  <c r="K15" i="42"/>
  <c r="H74" i="42"/>
  <c r="H8" i="42"/>
  <c r="V18" i="42"/>
  <c r="Z18" i="42" s="1"/>
  <c r="J74" i="42"/>
  <c r="T16" i="41"/>
  <c r="X16" i="41" s="1"/>
  <c r="J36" i="41"/>
  <c r="F65" i="41"/>
  <c r="I65" i="41" s="1"/>
  <c r="J26" i="41"/>
  <c r="J28" i="41"/>
  <c r="F70" i="41"/>
  <c r="I70" i="41" s="1"/>
  <c r="H51" i="41"/>
  <c r="K51" i="41" s="1"/>
  <c r="F50" i="41"/>
  <c r="I50" i="41" s="1"/>
  <c r="F64" i="41"/>
  <c r="I64" i="41" s="1"/>
  <c r="F22" i="41"/>
  <c r="I22" i="41" s="1"/>
  <c r="J20" i="41"/>
  <c r="J23" i="41"/>
  <c r="H37" i="41"/>
  <c r="K37" i="41" s="1"/>
  <c r="J65" i="41"/>
  <c r="J64" i="41"/>
  <c r="F19" i="41"/>
  <c r="I19" i="41" s="1"/>
  <c r="J22" i="41"/>
  <c r="H23" i="41"/>
  <c r="K23" i="41" s="1"/>
  <c r="J61" i="41"/>
  <c r="F28" i="41"/>
  <c r="I28" i="41" s="1"/>
  <c r="F18" i="41"/>
  <c r="I18" i="41" s="1"/>
  <c r="F56" i="41"/>
  <c r="I56" i="41" s="1"/>
  <c r="H20" i="41"/>
  <c r="K20" i="41" s="1"/>
  <c r="J70" i="41"/>
  <c r="J50" i="41"/>
  <c r="J19" i="41"/>
  <c r="F61" i="41"/>
  <c r="I61" i="41" s="1"/>
  <c r="H26" i="41"/>
  <c r="K26" i="41" s="1"/>
  <c r="H18" i="41"/>
  <c r="K18" i="41" s="1"/>
  <c r="J56" i="41"/>
  <c r="F37" i="41"/>
  <c r="I37" i="41" s="1"/>
  <c r="J51" i="41"/>
  <c r="G8" i="41"/>
  <c r="H34" i="41"/>
  <c r="K34" i="41" s="1"/>
  <c r="H60" i="41"/>
  <c r="K60" i="41" s="1"/>
  <c r="F27" i="41"/>
  <c r="I27" i="41" s="1"/>
  <c r="F72" i="41"/>
  <c r="I72" i="41" s="1"/>
  <c r="F68" i="41"/>
  <c r="I68" i="41" s="1"/>
  <c r="J68" i="41"/>
  <c r="H30" i="41"/>
  <c r="K30" i="41" s="1"/>
  <c r="F69" i="41"/>
  <c r="I69" i="41" s="1"/>
  <c r="H36" i="41"/>
  <c r="K36" i="41" s="1"/>
  <c r="J60" i="41"/>
  <c r="H41" i="41"/>
  <c r="K41" i="41" s="1"/>
  <c r="J27" i="41"/>
  <c r="F34" i="41"/>
  <c r="I34" i="41" s="1"/>
  <c r="J72" i="41"/>
  <c r="H63" i="41"/>
  <c r="K63" i="41" s="1"/>
  <c r="F55" i="41"/>
  <c r="I55" i="41" s="1"/>
  <c r="H58" i="41"/>
  <c r="K58" i="41" s="1"/>
  <c r="H31" i="41"/>
  <c r="K31" i="41" s="1"/>
  <c r="V16" i="41"/>
  <c r="Z16" i="41" s="1"/>
  <c r="H46" i="41"/>
  <c r="K46" i="41" s="1"/>
  <c r="F30" i="41"/>
  <c r="I30" i="41" s="1"/>
  <c r="G74" i="41"/>
  <c r="J69" i="41"/>
  <c r="F63" i="41"/>
  <c r="I63" i="41" s="1"/>
  <c r="J55" i="41"/>
  <c r="F58" i="41"/>
  <c r="I58" i="41" s="1"/>
  <c r="F31" i="41"/>
  <c r="I31" i="41" s="1"/>
  <c r="V17" i="41"/>
  <c r="Z17" i="41" s="1"/>
  <c r="I6" i="41"/>
  <c r="Z13" i="41"/>
  <c r="T17" i="41"/>
  <c r="X17" i="41" s="1"/>
  <c r="X13" i="41"/>
  <c r="U17" i="41"/>
  <c r="J6" i="41"/>
  <c r="R19" i="41"/>
  <c r="L20" i="41"/>
  <c r="K6" i="41"/>
  <c r="V14" i="41"/>
  <c r="Z14" i="41" s="1"/>
  <c r="U18" i="41"/>
  <c r="Y18" i="41" s="1"/>
  <c r="Q18" i="41"/>
  <c r="S18" i="41"/>
  <c r="B24" i="41"/>
  <c r="W23" i="41"/>
  <c r="AG13" i="33"/>
  <c r="AL16" i="34"/>
  <c r="AK16" i="34" s="1"/>
  <c r="AL22" i="34"/>
  <c r="AK17" i="34"/>
  <c r="AG18" i="33"/>
  <c r="AG14" i="33"/>
  <c r="AG26" i="33"/>
  <c r="AH19" i="33" s="1"/>
  <c r="U4" i="33"/>
  <c r="D14" i="34"/>
  <c r="D7" i="34" s="1"/>
  <c r="G16" i="24" s="1"/>
  <c r="D14" i="33"/>
  <c r="D7" i="33" s="1"/>
  <c r="G22" i="24" s="1"/>
  <c r="AG15" i="33"/>
  <c r="AG17" i="33"/>
  <c r="AG16" i="33"/>
  <c r="Y9" i="33"/>
  <c r="U9" i="33"/>
  <c r="AK18" i="34"/>
  <c r="AK21" i="34"/>
  <c r="AK20" i="34"/>
  <c r="AK19" i="34"/>
  <c r="Y9" i="34"/>
  <c r="R48" i="48" l="1"/>
  <c r="L49" i="48"/>
  <c r="S47" i="48"/>
  <c r="V47" i="48" s="1"/>
  <c r="Z47" i="48" s="1"/>
  <c r="U47" i="48"/>
  <c r="Y47" i="48" s="1"/>
  <c r="Q47" i="48"/>
  <c r="T47" i="48" s="1"/>
  <c r="X47" i="48" s="1"/>
  <c r="B60" i="48"/>
  <c r="W59" i="48"/>
  <c r="S26" i="46"/>
  <c r="V26" i="46" s="1"/>
  <c r="Z26" i="46" s="1"/>
  <c r="U26" i="46"/>
  <c r="Y26" i="46" s="1"/>
  <c r="Q26" i="46"/>
  <c r="T26" i="46" s="1"/>
  <c r="X26" i="46" s="1"/>
  <c r="L28" i="46"/>
  <c r="R27" i="46"/>
  <c r="U23" i="45"/>
  <c r="Y23" i="45" s="1"/>
  <c r="Q23" i="45"/>
  <c r="T23" i="45" s="1"/>
  <c r="X23" i="45" s="1"/>
  <c r="S23" i="45"/>
  <c r="V23" i="45" s="1"/>
  <c r="Z23" i="45" s="1"/>
  <c r="B47" i="45"/>
  <c r="W46" i="45"/>
  <c r="T22" i="45"/>
  <c r="L25" i="45"/>
  <c r="R24" i="45"/>
  <c r="Y22" i="45"/>
  <c r="X22" i="44"/>
  <c r="Y23" i="44"/>
  <c r="B28" i="44"/>
  <c r="W27" i="44"/>
  <c r="R25" i="44"/>
  <c r="L26" i="44"/>
  <c r="Z22" i="44"/>
  <c r="S24" i="44"/>
  <c r="V24" i="44" s="1"/>
  <c r="Z24" i="44" s="1"/>
  <c r="U24" i="44"/>
  <c r="Y24" i="44" s="1"/>
  <c r="Q24" i="44"/>
  <c r="T24" i="44" s="1"/>
  <c r="X24" i="44" s="1"/>
  <c r="S23" i="43"/>
  <c r="V23" i="43" s="1"/>
  <c r="Z23" i="43" s="1"/>
  <c r="U23" i="43"/>
  <c r="Y23" i="43" s="1"/>
  <c r="Q23" i="43"/>
  <c r="Z21" i="43"/>
  <c r="R24" i="43"/>
  <c r="L25" i="43"/>
  <c r="X21" i="43"/>
  <c r="S20" i="42"/>
  <c r="V20" i="42" s="1"/>
  <c r="Z20" i="42" s="1"/>
  <c r="U20" i="42"/>
  <c r="Y20" i="42" s="1"/>
  <c r="Q20" i="42"/>
  <c r="I74" i="42"/>
  <c r="I6" i="42"/>
  <c r="T15" i="42"/>
  <c r="V15" i="42"/>
  <c r="K6" i="42"/>
  <c r="E13" i="24" s="1"/>
  <c r="K74" i="42"/>
  <c r="V19" i="42"/>
  <c r="Z19" i="42" s="1"/>
  <c r="R21" i="42"/>
  <c r="L22" i="42"/>
  <c r="I74" i="41"/>
  <c r="V18" i="41"/>
  <c r="Z18" i="41" s="1"/>
  <c r="H8" i="41"/>
  <c r="J74" i="41"/>
  <c r="K74" i="41"/>
  <c r="H74" i="41"/>
  <c r="F74" i="41"/>
  <c r="F8" i="41"/>
  <c r="U19" i="41"/>
  <c r="Y19" i="41" s="1"/>
  <c r="S19" i="41"/>
  <c r="Q19" i="41"/>
  <c r="T19" i="41" s="1"/>
  <c r="X19" i="41" s="1"/>
  <c r="Y17" i="41"/>
  <c r="B25" i="41"/>
  <c r="W24" i="41"/>
  <c r="R20" i="41"/>
  <c r="L21" i="41"/>
  <c r="T18" i="41"/>
  <c r="X18" i="41" s="1"/>
  <c r="AG19" i="33"/>
  <c r="O9" i="37"/>
  <c r="S9" i="37"/>
  <c r="T8" i="37"/>
  <c r="T7" i="37"/>
  <c r="T6" i="37"/>
  <c r="T5" i="37"/>
  <c r="T4" i="37"/>
  <c r="R49" i="48" l="1"/>
  <c r="L50" i="48"/>
  <c r="B61" i="48"/>
  <c r="W60" i="48"/>
  <c r="S48" i="48"/>
  <c r="V48" i="48" s="1"/>
  <c r="Z48" i="48" s="1"/>
  <c r="U48" i="48"/>
  <c r="Y48" i="48" s="1"/>
  <c r="Q48" i="48"/>
  <c r="T48" i="48" s="1"/>
  <c r="X48" i="48" s="1"/>
  <c r="U27" i="46"/>
  <c r="Y27" i="46" s="1"/>
  <c r="Q27" i="46"/>
  <c r="T27" i="46" s="1"/>
  <c r="X27" i="46" s="1"/>
  <c r="S27" i="46"/>
  <c r="V27" i="46" s="1"/>
  <c r="Z27" i="46" s="1"/>
  <c r="R28" i="46"/>
  <c r="L29" i="46"/>
  <c r="U24" i="45"/>
  <c r="Q24" i="45"/>
  <c r="T24" i="45" s="1"/>
  <c r="X24" i="45" s="1"/>
  <c r="S24" i="45"/>
  <c r="V24" i="45" s="1"/>
  <c r="X22" i="45"/>
  <c r="B48" i="45"/>
  <c r="W47" i="45"/>
  <c r="R25" i="45"/>
  <c r="L26" i="45"/>
  <c r="S25" i="44"/>
  <c r="V25" i="44" s="1"/>
  <c r="Z25" i="44" s="1"/>
  <c r="U25" i="44"/>
  <c r="Q25" i="44"/>
  <c r="T25" i="44" s="1"/>
  <c r="X25" i="44" s="1"/>
  <c r="L27" i="44"/>
  <c r="R26" i="44"/>
  <c r="B29" i="44"/>
  <c r="W28" i="44"/>
  <c r="L26" i="43"/>
  <c r="R25" i="43"/>
  <c r="T23" i="43"/>
  <c r="U24" i="43"/>
  <c r="Y24" i="43" s="1"/>
  <c r="Q24" i="43"/>
  <c r="T24" i="43" s="1"/>
  <c r="X24" i="43" s="1"/>
  <c r="S24" i="43"/>
  <c r="V24" i="43" s="1"/>
  <c r="S21" i="42"/>
  <c r="U21" i="42"/>
  <c r="Q21" i="42"/>
  <c r="T21" i="42" s="1"/>
  <c r="X21" i="42" s="1"/>
  <c r="X15" i="42"/>
  <c r="Z15" i="42"/>
  <c r="T20" i="42"/>
  <c r="X20" i="42" s="1"/>
  <c r="R22" i="42"/>
  <c r="L23" i="42"/>
  <c r="R21" i="41"/>
  <c r="L22" i="41"/>
  <c r="S20" i="41"/>
  <c r="V20" i="41" s="1"/>
  <c r="Z20" i="41" s="1"/>
  <c r="U20" i="41"/>
  <c r="Y20" i="41" s="1"/>
  <c r="Q20" i="41"/>
  <c r="V19" i="41"/>
  <c r="B26" i="41"/>
  <c r="W25" i="41"/>
  <c r="Q3" i="37"/>
  <c r="AA9" i="34"/>
  <c r="AA9" i="33"/>
  <c r="AB6" i="33"/>
  <c r="AC6" i="33" s="1"/>
  <c r="AB6" i="34"/>
  <c r="AC6" i="34" s="1"/>
  <c r="P3" i="37"/>
  <c r="O3" i="37" s="1"/>
  <c r="AB7" i="34"/>
  <c r="AC7" i="34" s="1"/>
  <c r="AB7" i="33"/>
  <c r="AC7" i="33" s="1"/>
  <c r="AB3" i="34"/>
  <c r="AC3" i="34" s="1"/>
  <c r="AB3" i="33"/>
  <c r="AC3" i="33" s="1"/>
  <c r="AB5" i="33"/>
  <c r="AC5" i="33" s="1"/>
  <c r="AB5" i="34"/>
  <c r="AC5" i="34" s="1"/>
  <c r="AB8" i="34"/>
  <c r="AC8" i="34" s="1"/>
  <c r="AB8" i="33"/>
  <c r="AC8" i="33" s="1"/>
  <c r="AB4" i="34"/>
  <c r="AC4" i="34" s="1"/>
  <c r="AB4" i="33"/>
  <c r="AC4" i="33" s="1"/>
  <c r="U6" i="37"/>
  <c r="Q6" i="37" s="1"/>
  <c r="P6" i="37"/>
  <c r="O6" i="37" s="1"/>
  <c r="U7" i="37"/>
  <c r="P4" i="37"/>
  <c r="O4" i="37" s="1"/>
  <c r="U4" i="37"/>
  <c r="Q4" i="37" s="1"/>
  <c r="P8" i="37"/>
  <c r="O8" i="37" s="1"/>
  <c r="U8" i="37"/>
  <c r="Q8" i="37" s="1"/>
  <c r="U5" i="37"/>
  <c r="P5" i="37"/>
  <c r="U49" i="48" l="1"/>
  <c r="Y49" i="48" s="1"/>
  <c r="Q49" i="48"/>
  <c r="T49" i="48" s="1"/>
  <c r="X49" i="48" s="1"/>
  <c r="S49" i="48"/>
  <c r="V49" i="48" s="1"/>
  <c r="Z49" i="48" s="1"/>
  <c r="B62" i="48"/>
  <c r="W61" i="48"/>
  <c r="L51" i="48"/>
  <c r="R50" i="48"/>
  <c r="S28" i="46"/>
  <c r="V28" i="46" s="1"/>
  <c r="Z28" i="46" s="1"/>
  <c r="U28" i="46"/>
  <c r="Y28" i="46" s="1"/>
  <c r="Q28" i="46"/>
  <c r="T28" i="46" s="1"/>
  <c r="X28" i="46" s="1"/>
  <c r="R29" i="46"/>
  <c r="L30" i="46"/>
  <c r="B49" i="45"/>
  <c r="W48" i="45"/>
  <c r="S25" i="45"/>
  <c r="V25" i="45" s="1"/>
  <c r="Z25" i="45" s="1"/>
  <c r="Q25" i="45"/>
  <c r="T25" i="45" s="1"/>
  <c r="X25" i="45" s="1"/>
  <c r="U25" i="45"/>
  <c r="Y25" i="45" s="1"/>
  <c r="Y24" i="45"/>
  <c r="Z24" i="45"/>
  <c r="L27" i="45"/>
  <c r="R26" i="45"/>
  <c r="U26" i="44"/>
  <c r="Y26" i="44" s="1"/>
  <c r="Q26" i="44"/>
  <c r="T26" i="44" s="1"/>
  <c r="X26" i="44" s="1"/>
  <c r="S26" i="44"/>
  <c r="V26" i="44" s="1"/>
  <c r="L28" i="44"/>
  <c r="R27" i="44"/>
  <c r="Y25" i="44"/>
  <c r="B30" i="44"/>
  <c r="W29" i="44"/>
  <c r="Z24" i="43"/>
  <c r="X23" i="43"/>
  <c r="U25" i="43"/>
  <c r="Y25" i="43" s="1"/>
  <c r="Q25" i="43"/>
  <c r="S25" i="43"/>
  <c r="V25" i="43" s="1"/>
  <c r="Z25" i="43" s="1"/>
  <c r="L27" i="43"/>
  <c r="R26" i="43"/>
  <c r="L24" i="42"/>
  <c r="R23" i="42"/>
  <c r="Y21" i="42"/>
  <c r="U22" i="42"/>
  <c r="Y22" i="42" s="1"/>
  <c r="Q22" i="42"/>
  <c r="T22" i="42" s="1"/>
  <c r="X22" i="42" s="1"/>
  <c r="S22" i="42"/>
  <c r="V22" i="42" s="1"/>
  <c r="Z22" i="42" s="1"/>
  <c r="V21" i="42"/>
  <c r="B27" i="41"/>
  <c r="W26" i="41"/>
  <c r="T20" i="41"/>
  <c r="L23" i="41"/>
  <c r="R22" i="41"/>
  <c r="U21" i="41"/>
  <c r="Q21" i="41"/>
  <c r="T21" i="41" s="1"/>
  <c r="X21" i="41" s="1"/>
  <c r="S21" i="41"/>
  <c r="V21" i="41" s="1"/>
  <c r="Z21" i="41" s="1"/>
  <c r="Z19" i="41"/>
  <c r="P7" i="37"/>
  <c r="O7" i="37" s="1"/>
  <c r="Q7" i="37"/>
  <c r="G15" i="26"/>
  <c r="AC9" i="33"/>
  <c r="AC9" i="34"/>
  <c r="U9" i="37"/>
  <c r="Q5" i="37"/>
  <c r="O5" i="37"/>
  <c r="B63" i="48" l="1"/>
  <c r="W62" i="48"/>
  <c r="U50" i="48"/>
  <c r="Y50" i="48" s="1"/>
  <c r="Q50" i="48"/>
  <c r="T50" i="48" s="1"/>
  <c r="X50" i="48" s="1"/>
  <c r="S50" i="48"/>
  <c r="V50" i="48" s="1"/>
  <c r="Z50" i="48" s="1"/>
  <c r="R51" i="48"/>
  <c r="L52" i="48"/>
  <c r="U29" i="46"/>
  <c r="Y29" i="46" s="1"/>
  <c r="Q29" i="46"/>
  <c r="T29" i="46" s="1"/>
  <c r="X29" i="46" s="1"/>
  <c r="S29" i="46"/>
  <c r="V29" i="46" s="1"/>
  <c r="Z29" i="46" s="1"/>
  <c r="L31" i="46"/>
  <c r="R30" i="46"/>
  <c r="B50" i="45"/>
  <c r="W49" i="45"/>
  <c r="S26" i="45"/>
  <c r="V26" i="45" s="1"/>
  <c r="U26" i="45"/>
  <c r="Y26" i="45" s="1"/>
  <c r="Q26" i="45"/>
  <c r="T26" i="45" s="1"/>
  <c r="X26" i="45" s="1"/>
  <c r="L28" i="45"/>
  <c r="R27" i="45"/>
  <c r="L29" i="44"/>
  <c r="R28" i="44"/>
  <c r="B31" i="44"/>
  <c r="W30" i="44"/>
  <c r="Z26" i="44"/>
  <c r="S27" i="44"/>
  <c r="V27" i="44" s="1"/>
  <c r="Z27" i="44" s="1"/>
  <c r="Q27" i="44"/>
  <c r="T27" i="44" s="1"/>
  <c r="X27" i="44" s="1"/>
  <c r="U27" i="44"/>
  <c r="Y27" i="44" s="1"/>
  <c r="L28" i="43"/>
  <c r="R27" i="43"/>
  <c r="T25" i="43"/>
  <c r="X25" i="43" s="1"/>
  <c r="S26" i="43"/>
  <c r="V26" i="43" s="1"/>
  <c r="Z26" i="43" s="1"/>
  <c r="U26" i="43"/>
  <c r="Y26" i="43" s="1"/>
  <c r="Q26" i="43"/>
  <c r="T26" i="43" s="1"/>
  <c r="X26" i="43" s="1"/>
  <c r="U23" i="42"/>
  <c r="Q23" i="42"/>
  <c r="T23" i="42" s="1"/>
  <c r="S23" i="42"/>
  <c r="R24" i="42"/>
  <c r="L25" i="42"/>
  <c r="Z21" i="42"/>
  <c r="Q9" i="37"/>
  <c r="G25" i="37" s="1"/>
  <c r="G17" i="37"/>
  <c r="G37" i="37"/>
  <c r="G45" i="37"/>
  <c r="G57" i="37"/>
  <c r="G61" i="37"/>
  <c r="G73" i="37"/>
  <c r="G23" i="37"/>
  <c r="G15" i="37"/>
  <c r="G59" i="37"/>
  <c r="G24" i="37"/>
  <c r="G32" i="37"/>
  <c r="G40" i="37"/>
  <c r="G48" i="37"/>
  <c r="G56" i="37"/>
  <c r="G64" i="37"/>
  <c r="G72" i="37"/>
  <c r="G18" i="37"/>
  <c r="G22" i="37"/>
  <c r="G26" i="37"/>
  <c r="G30" i="37"/>
  <c r="G34" i="37"/>
  <c r="G38" i="37"/>
  <c r="G42" i="37"/>
  <c r="G46" i="37"/>
  <c r="G50" i="37"/>
  <c r="G54" i="37"/>
  <c r="G58" i="37"/>
  <c r="G62" i="37"/>
  <c r="G66" i="37"/>
  <c r="G70" i="37"/>
  <c r="G47" i="37"/>
  <c r="G19" i="37"/>
  <c r="G27" i="37"/>
  <c r="G35" i="37"/>
  <c r="G43" i="37"/>
  <c r="G51" i="37"/>
  <c r="G55" i="37"/>
  <c r="G63" i="37"/>
  <c r="G67" i="37"/>
  <c r="G20" i="37"/>
  <c r="G28" i="37"/>
  <c r="G36" i="37"/>
  <c r="G44" i="37"/>
  <c r="G52" i="37"/>
  <c r="G60" i="37"/>
  <c r="G68" i="37"/>
  <c r="B28" i="41"/>
  <c r="W27" i="41"/>
  <c r="Y21" i="41"/>
  <c r="L24" i="41"/>
  <c r="R23" i="41"/>
  <c r="X20" i="41"/>
  <c r="U22" i="41"/>
  <c r="Y22" i="41" s="1"/>
  <c r="Q22" i="41"/>
  <c r="T22" i="41" s="1"/>
  <c r="X22" i="41" s="1"/>
  <c r="S22" i="41"/>
  <c r="V22" i="41" s="1"/>
  <c r="G70" i="34"/>
  <c r="G38" i="34"/>
  <c r="G22" i="34"/>
  <c r="G19" i="34"/>
  <c r="G25" i="34"/>
  <c r="G31" i="34"/>
  <c r="G36" i="34"/>
  <c r="G43" i="34"/>
  <c r="G49" i="34"/>
  <c r="G55" i="34"/>
  <c r="G60" i="34"/>
  <c r="G67" i="34"/>
  <c r="G72" i="34"/>
  <c r="G66" i="34"/>
  <c r="G50" i="34"/>
  <c r="G18" i="34"/>
  <c r="G20" i="34"/>
  <c r="G27" i="34"/>
  <c r="G32" i="34"/>
  <c r="G37" i="34"/>
  <c r="G45" i="34"/>
  <c r="G51" i="34"/>
  <c r="G56" i="34"/>
  <c r="G61" i="34"/>
  <c r="G68" i="34"/>
  <c r="G73" i="34"/>
  <c r="G42" i="34"/>
  <c r="G17" i="34"/>
  <c r="G41" i="34"/>
  <c r="G53" i="34"/>
  <c r="G65" i="34"/>
  <c r="G62" i="34"/>
  <c r="G46" i="34"/>
  <c r="G30" i="34"/>
  <c r="G16" i="34"/>
  <c r="G21" i="34"/>
  <c r="G28" i="34"/>
  <c r="G33" i="34"/>
  <c r="G40" i="34"/>
  <c r="G47" i="34"/>
  <c r="G52" i="34"/>
  <c r="G57" i="34"/>
  <c r="G63" i="34"/>
  <c r="G69" i="34"/>
  <c r="G15" i="34"/>
  <c r="G58" i="34"/>
  <c r="G26" i="34"/>
  <c r="G23" i="34"/>
  <c r="G29" i="34"/>
  <c r="G35" i="34"/>
  <c r="G48" i="34"/>
  <c r="G59" i="34"/>
  <c r="G71" i="34"/>
  <c r="G16" i="26"/>
  <c r="E73" i="37"/>
  <c r="C73" i="37"/>
  <c r="E72" i="37"/>
  <c r="C72" i="37"/>
  <c r="E71" i="37"/>
  <c r="C71" i="37"/>
  <c r="E70" i="37"/>
  <c r="C70" i="37"/>
  <c r="E69" i="37"/>
  <c r="C69" i="37"/>
  <c r="E68" i="37"/>
  <c r="C68" i="37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C51" i="37"/>
  <c r="E50" i="37"/>
  <c r="C50" i="37"/>
  <c r="E49" i="37"/>
  <c r="C49" i="37"/>
  <c r="E48" i="37"/>
  <c r="C48" i="37"/>
  <c r="E47" i="37"/>
  <c r="C47" i="37"/>
  <c r="E46" i="37"/>
  <c r="C46" i="37"/>
  <c r="E45" i="37"/>
  <c r="C45" i="37"/>
  <c r="E44" i="37"/>
  <c r="C44" i="37"/>
  <c r="E43" i="37"/>
  <c r="C43" i="37"/>
  <c r="E42" i="37"/>
  <c r="C42" i="37"/>
  <c r="E41" i="37"/>
  <c r="C41" i="37"/>
  <c r="E40" i="37"/>
  <c r="C40" i="37"/>
  <c r="E39" i="37"/>
  <c r="C39" i="37"/>
  <c r="E38" i="37"/>
  <c r="C38" i="37"/>
  <c r="E37" i="37"/>
  <c r="C37" i="37"/>
  <c r="E36" i="37"/>
  <c r="C36" i="37"/>
  <c r="E35" i="37"/>
  <c r="C35" i="37"/>
  <c r="E34" i="37"/>
  <c r="C34" i="37"/>
  <c r="E33" i="37"/>
  <c r="C33" i="37"/>
  <c r="E32" i="37"/>
  <c r="C32" i="37"/>
  <c r="E31" i="37"/>
  <c r="C31" i="37"/>
  <c r="E30" i="37"/>
  <c r="C30" i="37"/>
  <c r="E29" i="37"/>
  <c r="C29" i="37"/>
  <c r="E28" i="37"/>
  <c r="C28" i="37"/>
  <c r="E27" i="37"/>
  <c r="C27" i="37"/>
  <c r="E26" i="37"/>
  <c r="C26" i="37"/>
  <c r="E25" i="37"/>
  <c r="C25" i="37"/>
  <c r="E24" i="37"/>
  <c r="C24" i="37"/>
  <c r="E23" i="37"/>
  <c r="C23" i="37"/>
  <c r="E22" i="37"/>
  <c r="C22" i="37"/>
  <c r="E21" i="37"/>
  <c r="C21" i="37"/>
  <c r="E20" i="37"/>
  <c r="C20" i="37"/>
  <c r="E19" i="37"/>
  <c r="C19" i="37"/>
  <c r="E18" i="37"/>
  <c r="C18" i="37"/>
  <c r="E17" i="37"/>
  <c r="C17" i="37"/>
  <c r="N16" i="37"/>
  <c r="N17" i="37" s="1"/>
  <c r="N18" i="37" s="1"/>
  <c r="N19" i="37" s="1"/>
  <c r="N20" i="37" s="1"/>
  <c r="N21" i="37" s="1"/>
  <c r="N22" i="37" s="1"/>
  <c r="N23" i="37" s="1"/>
  <c r="N24" i="37" s="1"/>
  <c r="N25" i="37" s="1"/>
  <c r="N26" i="37" s="1"/>
  <c r="N27" i="37" s="1"/>
  <c r="N28" i="37" s="1"/>
  <c r="N29" i="37" s="1"/>
  <c r="N30" i="37" s="1"/>
  <c r="N31" i="37" s="1"/>
  <c r="N32" i="37" s="1"/>
  <c r="N33" i="37" s="1"/>
  <c r="N34" i="37" s="1"/>
  <c r="N35" i="37" s="1"/>
  <c r="N36" i="37" s="1"/>
  <c r="N37" i="37" s="1"/>
  <c r="N38" i="37" s="1"/>
  <c r="N39" i="37" s="1"/>
  <c r="N40" i="37" s="1"/>
  <c r="N41" i="37" s="1"/>
  <c r="N42" i="37" s="1"/>
  <c r="N43" i="37" s="1"/>
  <c r="N44" i="37" s="1"/>
  <c r="N45" i="37" s="1"/>
  <c r="N46" i="37" s="1"/>
  <c r="N47" i="37" s="1"/>
  <c r="N48" i="37" s="1"/>
  <c r="N49" i="37" s="1"/>
  <c r="N50" i="37" s="1"/>
  <c r="N51" i="37" s="1"/>
  <c r="N52" i="37" s="1"/>
  <c r="N53" i="37" s="1"/>
  <c r="N54" i="37" s="1"/>
  <c r="N55" i="37" s="1"/>
  <c r="N56" i="37" s="1"/>
  <c r="N57" i="37" s="1"/>
  <c r="N58" i="37" s="1"/>
  <c r="N59" i="37" s="1"/>
  <c r="N60" i="37" s="1"/>
  <c r="N61" i="37" s="1"/>
  <c r="N62" i="37" s="1"/>
  <c r="N63" i="37" s="1"/>
  <c r="N64" i="37" s="1"/>
  <c r="N65" i="37" s="1"/>
  <c r="N66" i="37" s="1"/>
  <c r="N67" i="37" s="1"/>
  <c r="N68" i="37" s="1"/>
  <c r="N69" i="37" s="1"/>
  <c r="N70" i="37" s="1"/>
  <c r="N71" i="37" s="1"/>
  <c r="N72" i="37" s="1"/>
  <c r="N73" i="37" s="1"/>
  <c r="L16" i="37"/>
  <c r="E16" i="37"/>
  <c r="C16" i="37"/>
  <c r="E15" i="37"/>
  <c r="C15" i="37"/>
  <c r="B14" i="37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A14" i="37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P13" i="37"/>
  <c r="O13" i="37"/>
  <c r="N13" i="37"/>
  <c r="M13" i="37"/>
  <c r="L13" i="37"/>
  <c r="H13" i="37"/>
  <c r="F13" i="37"/>
  <c r="C13" i="37"/>
  <c r="C3" i="37"/>
  <c r="C1" i="37"/>
  <c r="B64" i="48" l="1"/>
  <c r="W63" i="48"/>
  <c r="R52" i="48"/>
  <c r="L53" i="48"/>
  <c r="S51" i="48"/>
  <c r="V51" i="48" s="1"/>
  <c r="Z51" i="48" s="1"/>
  <c r="Q51" i="48"/>
  <c r="T51" i="48" s="1"/>
  <c r="X51" i="48" s="1"/>
  <c r="U51" i="48"/>
  <c r="Y51" i="48" s="1"/>
  <c r="R31" i="46"/>
  <c r="L32" i="46"/>
  <c r="U30" i="46"/>
  <c r="Y30" i="46" s="1"/>
  <c r="Q30" i="46"/>
  <c r="T30" i="46" s="1"/>
  <c r="X30" i="46" s="1"/>
  <c r="S30" i="46"/>
  <c r="V30" i="46" s="1"/>
  <c r="Z30" i="46" s="1"/>
  <c r="U27" i="45"/>
  <c r="Y27" i="45" s="1"/>
  <c r="Q27" i="45"/>
  <c r="T27" i="45" s="1"/>
  <c r="X27" i="45" s="1"/>
  <c r="S27" i="45"/>
  <c r="V27" i="45" s="1"/>
  <c r="Z27" i="45" s="1"/>
  <c r="L29" i="45"/>
  <c r="R28" i="45"/>
  <c r="Z26" i="45"/>
  <c r="B51" i="45"/>
  <c r="W50" i="45"/>
  <c r="B32" i="44"/>
  <c r="W31" i="44"/>
  <c r="R29" i="44"/>
  <c r="L30" i="44"/>
  <c r="U28" i="44"/>
  <c r="Y28" i="44" s="1"/>
  <c r="Q28" i="44"/>
  <c r="T28" i="44" s="1"/>
  <c r="X28" i="44" s="1"/>
  <c r="S28" i="44"/>
  <c r="V28" i="44" s="1"/>
  <c r="Z28" i="44" s="1"/>
  <c r="U27" i="43"/>
  <c r="Y27" i="43" s="1"/>
  <c r="Q27" i="43"/>
  <c r="T27" i="43" s="1"/>
  <c r="X27" i="43" s="1"/>
  <c r="S27" i="43"/>
  <c r="V27" i="43" s="1"/>
  <c r="Z27" i="43" s="1"/>
  <c r="L29" i="43"/>
  <c r="R28" i="43"/>
  <c r="V23" i="42"/>
  <c r="X23" i="42"/>
  <c r="R25" i="42"/>
  <c r="L26" i="42"/>
  <c r="Y23" i="42"/>
  <c r="S24" i="42"/>
  <c r="V24" i="42" s="1"/>
  <c r="Z24" i="42" s="1"/>
  <c r="U24" i="42"/>
  <c r="Y24" i="42" s="1"/>
  <c r="Q24" i="42"/>
  <c r="T24" i="42" s="1"/>
  <c r="X24" i="42" s="1"/>
  <c r="G16" i="37"/>
  <c r="G39" i="37"/>
  <c r="G69" i="37"/>
  <c r="G53" i="37"/>
  <c r="G33" i="37"/>
  <c r="G71" i="37"/>
  <c r="G31" i="37"/>
  <c r="G65" i="37"/>
  <c r="G49" i="37"/>
  <c r="G21" i="37"/>
  <c r="G29" i="37"/>
  <c r="G8" i="37" s="1"/>
  <c r="G41" i="37"/>
  <c r="F41" i="37" s="1"/>
  <c r="Z22" i="41"/>
  <c r="L25" i="41"/>
  <c r="R24" i="41"/>
  <c r="B29" i="41"/>
  <c r="W28" i="41"/>
  <c r="S23" i="41"/>
  <c r="V23" i="41" s="1"/>
  <c r="Z23" i="41" s="1"/>
  <c r="U23" i="41"/>
  <c r="Y23" i="41" s="1"/>
  <c r="Q23" i="41"/>
  <c r="T23" i="41" s="1"/>
  <c r="W73" i="37"/>
  <c r="W72" i="37"/>
  <c r="W71" i="37"/>
  <c r="W70" i="37"/>
  <c r="W69" i="37"/>
  <c r="W68" i="37"/>
  <c r="W67" i="37"/>
  <c r="W66" i="37"/>
  <c r="W65" i="37"/>
  <c r="W64" i="37"/>
  <c r="W63" i="37"/>
  <c r="W62" i="37"/>
  <c r="W61" i="37"/>
  <c r="W60" i="37"/>
  <c r="W59" i="37"/>
  <c r="W58" i="37"/>
  <c r="W57" i="37"/>
  <c r="W56" i="37"/>
  <c r="W55" i="37"/>
  <c r="W54" i="37"/>
  <c r="W53" i="37"/>
  <c r="W52" i="37"/>
  <c r="W51" i="37"/>
  <c r="W50" i="37"/>
  <c r="W49" i="37"/>
  <c r="W48" i="37"/>
  <c r="W47" i="37"/>
  <c r="W46" i="37"/>
  <c r="W45" i="37"/>
  <c r="W44" i="37"/>
  <c r="W43" i="37"/>
  <c r="W42" i="37"/>
  <c r="W41" i="37"/>
  <c r="W40" i="37"/>
  <c r="W39" i="37"/>
  <c r="W38" i="37"/>
  <c r="W37" i="37"/>
  <c r="W36" i="37"/>
  <c r="W35" i="37"/>
  <c r="W34" i="37"/>
  <c r="W33" i="37"/>
  <c r="W32" i="37"/>
  <c r="W31" i="37"/>
  <c r="W30" i="37"/>
  <c r="W29" i="37"/>
  <c r="W28" i="37"/>
  <c r="W27" i="37"/>
  <c r="W26" i="37"/>
  <c r="W25" i="37"/>
  <c r="W24" i="37"/>
  <c r="W23" i="37"/>
  <c r="W22" i="37"/>
  <c r="W21" i="37"/>
  <c r="W20" i="37"/>
  <c r="W19" i="37"/>
  <c r="W18" i="37"/>
  <c r="W17" i="37"/>
  <c r="W16" i="37"/>
  <c r="W15" i="37"/>
  <c r="W14" i="37"/>
  <c r="D7" i="37"/>
  <c r="J13" i="37"/>
  <c r="E13" i="37"/>
  <c r="I13" i="37"/>
  <c r="R13" i="37"/>
  <c r="L17" i="37"/>
  <c r="L54" i="48" l="1"/>
  <c r="R53" i="48"/>
  <c r="S52" i="48"/>
  <c r="V52" i="48" s="1"/>
  <c r="Z52" i="48" s="1"/>
  <c r="Q52" i="48"/>
  <c r="T52" i="48" s="1"/>
  <c r="X52" i="48" s="1"/>
  <c r="U52" i="48"/>
  <c r="Y52" i="48" s="1"/>
  <c r="B65" i="48"/>
  <c r="W64" i="48"/>
  <c r="S31" i="46"/>
  <c r="V31" i="46" s="1"/>
  <c r="Z31" i="46" s="1"/>
  <c r="Q31" i="46"/>
  <c r="T31" i="46" s="1"/>
  <c r="X31" i="46" s="1"/>
  <c r="U31" i="46"/>
  <c r="Y31" i="46" s="1"/>
  <c r="R32" i="46"/>
  <c r="L33" i="46"/>
  <c r="B52" i="45"/>
  <c r="W51" i="45"/>
  <c r="L30" i="45"/>
  <c r="R29" i="45"/>
  <c r="S28" i="45"/>
  <c r="V28" i="45" s="1"/>
  <c r="Z28" i="45" s="1"/>
  <c r="U28" i="45"/>
  <c r="Y28" i="45" s="1"/>
  <c r="Q28" i="45"/>
  <c r="T28" i="45" s="1"/>
  <c r="X28" i="45" s="1"/>
  <c r="B33" i="44"/>
  <c r="W32" i="44"/>
  <c r="R30" i="44"/>
  <c r="L31" i="44"/>
  <c r="S29" i="44"/>
  <c r="V29" i="44" s="1"/>
  <c r="Z29" i="44" s="1"/>
  <c r="U29" i="44"/>
  <c r="Y29" i="44" s="1"/>
  <c r="Q29" i="44"/>
  <c r="T29" i="44" s="1"/>
  <c r="X29" i="44" s="1"/>
  <c r="R29" i="43"/>
  <c r="L30" i="43"/>
  <c r="S28" i="43"/>
  <c r="V28" i="43" s="1"/>
  <c r="Z28" i="43" s="1"/>
  <c r="U28" i="43"/>
  <c r="Y28" i="43" s="1"/>
  <c r="Q28" i="43"/>
  <c r="T28" i="43" s="1"/>
  <c r="X28" i="43" s="1"/>
  <c r="R26" i="42"/>
  <c r="L27" i="42"/>
  <c r="S25" i="42"/>
  <c r="V25" i="42" s="1"/>
  <c r="Z25" i="42" s="1"/>
  <c r="U25" i="42"/>
  <c r="Y25" i="42" s="1"/>
  <c r="Q25" i="42"/>
  <c r="T25" i="42" s="1"/>
  <c r="X25" i="42" s="1"/>
  <c r="Z23" i="42"/>
  <c r="X23" i="41"/>
  <c r="B30" i="41"/>
  <c r="W29" i="41"/>
  <c r="R25" i="41"/>
  <c r="L26" i="41"/>
  <c r="U24" i="41"/>
  <c r="Y24" i="41" s="1"/>
  <c r="Q24" i="41"/>
  <c r="T24" i="41" s="1"/>
  <c r="X24" i="41" s="1"/>
  <c r="S24" i="41"/>
  <c r="V24" i="41" s="1"/>
  <c r="Z24" i="41" s="1"/>
  <c r="K13" i="37"/>
  <c r="H14" i="37"/>
  <c r="F14" i="37"/>
  <c r="L18" i="37"/>
  <c r="U13" i="37"/>
  <c r="S13" i="37"/>
  <c r="Q13" i="37"/>
  <c r="J14" i="37"/>
  <c r="E14" i="37"/>
  <c r="E7" i="37" s="1"/>
  <c r="C14" i="37"/>
  <c r="C7" i="37" s="1"/>
  <c r="D74" i="37"/>
  <c r="B22" i="24"/>
  <c r="O15" i="33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P13" i="34"/>
  <c r="N13" i="34"/>
  <c r="M13" i="34"/>
  <c r="L13" i="34"/>
  <c r="N15" i="33"/>
  <c r="L15" i="33"/>
  <c r="M15" i="33"/>
  <c r="R13" i="26"/>
  <c r="C3" i="33"/>
  <c r="C3" i="34"/>
  <c r="B66" i="48" l="1"/>
  <c r="W65" i="48"/>
  <c r="U53" i="48"/>
  <c r="Y53" i="48" s="1"/>
  <c r="Q53" i="48"/>
  <c r="T53" i="48" s="1"/>
  <c r="X53" i="48" s="1"/>
  <c r="S53" i="48"/>
  <c r="V53" i="48" s="1"/>
  <c r="Z53" i="48" s="1"/>
  <c r="L55" i="48"/>
  <c r="R54" i="48"/>
  <c r="R33" i="46"/>
  <c r="L34" i="46"/>
  <c r="S32" i="46"/>
  <c r="V32" i="46" s="1"/>
  <c r="Z32" i="46" s="1"/>
  <c r="Q32" i="46"/>
  <c r="T32" i="46" s="1"/>
  <c r="X32" i="46" s="1"/>
  <c r="U32" i="46"/>
  <c r="Y32" i="46" s="1"/>
  <c r="U29" i="45"/>
  <c r="Y29" i="45" s="1"/>
  <c r="Q29" i="45"/>
  <c r="T29" i="45" s="1"/>
  <c r="X29" i="45" s="1"/>
  <c r="S29" i="45"/>
  <c r="V29" i="45" s="1"/>
  <c r="Z29" i="45" s="1"/>
  <c r="R30" i="45"/>
  <c r="L31" i="45"/>
  <c r="B53" i="45"/>
  <c r="W52" i="45"/>
  <c r="S30" i="44"/>
  <c r="V30" i="44" s="1"/>
  <c r="Z30" i="44" s="1"/>
  <c r="U30" i="44"/>
  <c r="Y30" i="44" s="1"/>
  <c r="Q30" i="44"/>
  <c r="T30" i="44" s="1"/>
  <c r="X30" i="44" s="1"/>
  <c r="R31" i="44"/>
  <c r="L32" i="44"/>
  <c r="B34" i="44"/>
  <c r="W33" i="44"/>
  <c r="L31" i="43"/>
  <c r="R30" i="43"/>
  <c r="U29" i="43"/>
  <c r="Y29" i="43" s="1"/>
  <c r="Q29" i="43"/>
  <c r="T29" i="43" s="1"/>
  <c r="X29" i="43" s="1"/>
  <c r="S29" i="43"/>
  <c r="V29" i="43" s="1"/>
  <c r="Z29" i="43" s="1"/>
  <c r="L28" i="42"/>
  <c r="R27" i="42"/>
  <c r="U26" i="42"/>
  <c r="Y26" i="42" s="1"/>
  <c r="Q26" i="42"/>
  <c r="T26" i="42" s="1"/>
  <c r="X26" i="42" s="1"/>
  <c r="S26" i="42"/>
  <c r="V26" i="42" s="1"/>
  <c r="B31" i="41"/>
  <c r="W30" i="41"/>
  <c r="S25" i="41"/>
  <c r="V25" i="41" s="1"/>
  <c r="Z25" i="41" s="1"/>
  <c r="U25" i="41"/>
  <c r="Y25" i="41" s="1"/>
  <c r="Q25" i="41"/>
  <c r="T25" i="41" s="1"/>
  <c r="X25" i="41" s="1"/>
  <c r="R26" i="41"/>
  <c r="L27" i="41"/>
  <c r="J15" i="37"/>
  <c r="H15" i="37"/>
  <c r="K15" i="37" s="1"/>
  <c r="F15" i="37"/>
  <c r="I15" i="37" s="1"/>
  <c r="G17" i="26"/>
  <c r="C74" i="37"/>
  <c r="I14" i="37"/>
  <c r="K14" i="37"/>
  <c r="E74" i="37"/>
  <c r="T13" i="37"/>
  <c r="V13" i="37"/>
  <c r="Y13" i="37"/>
  <c r="L19" i="37"/>
  <c r="B67" i="48" l="1"/>
  <c r="W66" i="48"/>
  <c r="U54" i="48"/>
  <c r="Y54" i="48" s="1"/>
  <c r="Q54" i="48"/>
  <c r="T54" i="48" s="1"/>
  <c r="X54" i="48" s="1"/>
  <c r="S54" i="48"/>
  <c r="V54" i="48" s="1"/>
  <c r="Z54" i="48" s="1"/>
  <c r="L56" i="48"/>
  <c r="R55" i="48"/>
  <c r="L35" i="46"/>
  <c r="R34" i="46"/>
  <c r="U33" i="46"/>
  <c r="Y33" i="46" s="1"/>
  <c r="Q33" i="46"/>
  <c r="T33" i="46" s="1"/>
  <c r="X33" i="46" s="1"/>
  <c r="S33" i="46"/>
  <c r="V33" i="46" s="1"/>
  <c r="Z33" i="46" s="1"/>
  <c r="S30" i="45"/>
  <c r="V30" i="45" s="1"/>
  <c r="Z30" i="45" s="1"/>
  <c r="U30" i="45"/>
  <c r="Y30" i="45" s="1"/>
  <c r="Q30" i="45"/>
  <c r="T30" i="45" s="1"/>
  <c r="X30" i="45" s="1"/>
  <c r="B54" i="45"/>
  <c r="W53" i="45"/>
  <c r="R31" i="45"/>
  <c r="L32" i="45"/>
  <c r="L33" i="44"/>
  <c r="R32" i="44"/>
  <c r="U31" i="44"/>
  <c r="Y31" i="44" s="1"/>
  <c r="Q31" i="44"/>
  <c r="T31" i="44" s="1"/>
  <c r="X31" i="44" s="1"/>
  <c r="S31" i="44"/>
  <c r="V31" i="44" s="1"/>
  <c r="Z31" i="44" s="1"/>
  <c r="B35" i="44"/>
  <c r="W34" i="44"/>
  <c r="U30" i="43"/>
  <c r="Y30" i="43" s="1"/>
  <c r="Q30" i="43"/>
  <c r="T30" i="43" s="1"/>
  <c r="X30" i="43" s="1"/>
  <c r="S30" i="43"/>
  <c r="V30" i="43" s="1"/>
  <c r="Z30" i="43" s="1"/>
  <c r="R31" i="43"/>
  <c r="L32" i="43"/>
  <c r="U27" i="42"/>
  <c r="Y27" i="42" s="1"/>
  <c r="Q27" i="42"/>
  <c r="T27" i="42" s="1"/>
  <c r="X27" i="42" s="1"/>
  <c r="S27" i="42"/>
  <c r="V27" i="42" s="1"/>
  <c r="Z27" i="42" s="1"/>
  <c r="Z26" i="42"/>
  <c r="R28" i="42"/>
  <c r="L29" i="42"/>
  <c r="B32" i="41"/>
  <c r="W31" i="41"/>
  <c r="R27" i="41"/>
  <c r="L28" i="41"/>
  <c r="S26" i="41"/>
  <c r="V26" i="41" s="1"/>
  <c r="Z26" i="41" s="1"/>
  <c r="U26" i="41"/>
  <c r="Y26" i="41" s="1"/>
  <c r="Q26" i="41"/>
  <c r="T26" i="41" s="1"/>
  <c r="X26" i="41" s="1"/>
  <c r="G18" i="26"/>
  <c r="J16" i="37"/>
  <c r="H16" i="37"/>
  <c r="K16" i="37" s="1"/>
  <c r="F16" i="37"/>
  <c r="I16" i="37" s="1"/>
  <c r="L20" i="37"/>
  <c r="Z13" i="37"/>
  <c r="X13" i="37"/>
  <c r="O13" i="34"/>
  <c r="O14" i="26"/>
  <c r="S55" i="48" l="1"/>
  <c r="V55" i="48" s="1"/>
  <c r="Z55" i="48" s="1"/>
  <c r="Q55" i="48"/>
  <c r="T55" i="48" s="1"/>
  <c r="X55" i="48" s="1"/>
  <c r="U55" i="48"/>
  <c r="Y55" i="48" s="1"/>
  <c r="R56" i="48"/>
  <c r="L57" i="48"/>
  <c r="B68" i="48"/>
  <c r="W67" i="48"/>
  <c r="U34" i="46"/>
  <c r="Y34" i="46" s="1"/>
  <c r="Q34" i="46"/>
  <c r="T34" i="46" s="1"/>
  <c r="X34" i="46" s="1"/>
  <c r="S34" i="46"/>
  <c r="V34" i="46" s="1"/>
  <c r="Z34" i="46" s="1"/>
  <c r="L36" i="46"/>
  <c r="R35" i="46"/>
  <c r="B55" i="45"/>
  <c r="W54" i="45"/>
  <c r="R32" i="45"/>
  <c r="L33" i="45"/>
  <c r="S31" i="45"/>
  <c r="V31" i="45" s="1"/>
  <c r="Z31" i="45" s="1"/>
  <c r="U31" i="45"/>
  <c r="Y31" i="45" s="1"/>
  <c r="Q31" i="45"/>
  <c r="T31" i="45" s="1"/>
  <c r="X31" i="45" s="1"/>
  <c r="U32" i="44"/>
  <c r="Y32" i="44" s="1"/>
  <c r="Q32" i="44"/>
  <c r="T32" i="44" s="1"/>
  <c r="X32" i="44" s="1"/>
  <c r="S32" i="44"/>
  <c r="V32" i="44" s="1"/>
  <c r="Z32" i="44" s="1"/>
  <c r="B36" i="44"/>
  <c r="W35" i="44"/>
  <c r="R33" i="44"/>
  <c r="L34" i="44"/>
  <c r="S31" i="43"/>
  <c r="V31" i="43" s="1"/>
  <c r="Z31" i="43" s="1"/>
  <c r="U31" i="43"/>
  <c r="Y31" i="43" s="1"/>
  <c r="Q31" i="43"/>
  <c r="T31" i="43" s="1"/>
  <c r="X31" i="43" s="1"/>
  <c r="R32" i="43"/>
  <c r="L33" i="43"/>
  <c r="S28" i="42"/>
  <c r="V28" i="42" s="1"/>
  <c r="Z28" i="42" s="1"/>
  <c r="Q28" i="42"/>
  <c r="T28" i="42" s="1"/>
  <c r="X28" i="42" s="1"/>
  <c r="U28" i="42"/>
  <c r="Y28" i="42" s="1"/>
  <c r="R29" i="42"/>
  <c r="L30" i="42"/>
  <c r="U27" i="41"/>
  <c r="Y27" i="41" s="1"/>
  <c r="Q27" i="41"/>
  <c r="T27" i="41" s="1"/>
  <c r="X27" i="41" s="1"/>
  <c r="S27" i="41"/>
  <c r="V27" i="41" s="1"/>
  <c r="Z27" i="41" s="1"/>
  <c r="L29" i="41"/>
  <c r="R28" i="41"/>
  <c r="B33" i="41"/>
  <c r="W32" i="41"/>
  <c r="O14" i="37"/>
  <c r="G19" i="26"/>
  <c r="J17" i="37"/>
  <c r="J6" i="37" s="1"/>
  <c r="H17" i="37"/>
  <c r="K17" i="37" s="1"/>
  <c r="K6" i="37" s="1"/>
  <c r="F17" i="37"/>
  <c r="I17" i="37" s="1"/>
  <c r="I6" i="37" s="1"/>
  <c r="L21" i="37"/>
  <c r="M13" i="33"/>
  <c r="M14" i="26"/>
  <c r="O14" i="34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S56" i="48" l="1"/>
  <c r="V56" i="48" s="1"/>
  <c r="Z56" i="48" s="1"/>
  <c r="U56" i="48"/>
  <c r="Y56" i="48" s="1"/>
  <c r="Q56" i="48"/>
  <c r="T56" i="48" s="1"/>
  <c r="X56" i="48" s="1"/>
  <c r="B69" i="48"/>
  <c r="W68" i="48"/>
  <c r="R57" i="48"/>
  <c r="L58" i="48"/>
  <c r="R36" i="46"/>
  <c r="L37" i="46"/>
  <c r="S35" i="46"/>
  <c r="V35" i="46" s="1"/>
  <c r="Z35" i="46" s="1"/>
  <c r="U35" i="46"/>
  <c r="Y35" i="46" s="1"/>
  <c r="Q35" i="46"/>
  <c r="T35" i="46" s="1"/>
  <c r="X35" i="46" s="1"/>
  <c r="L34" i="45"/>
  <c r="R33" i="45"/>
  <c r="U32" i="45"/>
  <c r="Y32" i="45" s="1"/>
  <c r="Q32" i="45"/>
  <c r="T32" i="45" s="1"/>
  <c r="X32" i="45" s="1"/>
  <c r="S32" i="45"/>
  <c r="V32" i="45" s="1"/>
  <c r="Z32" i="45" s="1"/>
  <c r="B56" i="45"/>
  <c r="W55" i="45"/>
  <c r="B37" i="44"/>
  <c r="W36" i="44"/>
  <c r="R34" i="44"/>
  <c r="L35" i="44"/>
  <c r="S33" i="44"/>
  <c r="V33" i="44" s="1"/>
  <c r="Z33" i="44" s="1"/>
  <c r="Q33" i="44"/>
  <c r="T33" i="44" s="1"/>
  <c r="X33" i="44" s="1"/>
  <c r="U33" i="44"/>
  <c r="Y33" i="44" s="1"/>
  <c r="S32" i="43"/>
  <c r="V32" i="43" s="1"/>
  <c r="Z32" i="43" s="1"/>
  <c r="U32" i="43"/>
  <c r="Y32" i="43" s="1"/>
  <c r="Q32" i="43"/>
  <c r="T32" i="43" s="1"/>
  <c r="X32" i="43" s="1"/>
  <c r="R33" i="43"/>
  <c r="L34" i="43"/>
  <c r="S29" i="42"/>
  <c r="V29" i="42" s="1"/>
  <c r="Z29" i="42" s="1"/>
  <c r="U29" i="42"/>
  <c r="Y29" i="42" s="1"/>
  <c r="Q29" i="42"/>
  <c r="T29" i="42" s="1"/>
  <c r="X29" i="42" s="1"/>
  <c r="R30" i="42"/>
  <c r="L31" i="42"/>
  <c r="R29" i="41"/>
  <c r="L30" i="41"/>
  <c r="B34" i="41"/>
  <c r="W33" i="41"/>
  <c r="U28" i="41"/>
  <c r="Y28" i="41" s="1"/>
  <c r="Q28" i="41"/>
  <c r="T28" i="41" s="1"/>
  <c r="X28" i="41" s="1"/>
  <c r="S28" i="41"/>
  <c r="V28" i="41" s="1"/>
  <c r="Z28" i="41" s="1"/>
  <c r="H18" i="37"/>
  <c r="K18" i="37" s="1"/>
  <c r="F18" i="37"/>
  <c r="I18" i="37" s="1"/>
  <c r="J18" i="37"/>
  <c r="G20" i="26"/>
  <c r="O15" i="37"/>
  <c r="O16" i="37" s="1"/>
  <c r="O17" i="37" s="1"/>
  <c r="O18" i="37" s="1"/>
  <c r="O19" i="37" s="1"/>
  <c r="O20" i="37" s="1"/>
  <c r="O21" i="37" s="1"/>
  <c r="O22" i="37" s="1"/>
  <c r="O23" i="37" s="1"/>
  <c r="O24" i="37" s="1"/>
  <c r="O25" i="37" s="1"/>
  <c r="O26" i="37" s="1"/>
  <c r="O27" i="37" s="1"/>
  <c r="O28" i="37" s="1"/>
  <c r="O29" i="37" s="1"/>
  <c r="O30" i="37" s="1"/>
  <c r="O31" i="37" s="1"/>
  <c r="O32" i="37" s="1"/>
  <c r="O33" i="37" s="1"/>
  <c r="O34" i="37" s="1"/>
  <c r="O35" i="37" s="1"/>
  <c r="O36" i="37" s="1"/>
  <c r="O37" i="37" s="1"/>
  <c r="O38" i="37" s="1"/>
  <c r="O39" i="37" s="1"/>
  <c r="O40" i="37" s="1"/>
  <c r="O41" i="37" s="1"/>
  <c r="O42" i="37" s="1"/>
  <c r="O43" i="37" s="1"/>
  <c r="O44" i="37" s="1"/>
  <c r="O45" i="37" s="1"/>
  <c r="O46" i="37" s="1"/>
  <c r="O47" i="37" s="1"/>
  <c r="O48" i="37" s="1"/>
  <c r="O49" i="37" s="1"/>
  <c r="O50" i="37" s="1"/>
  <c r="O51" i="37" s="1"/>
  <c r="O52" i="37" s="1"/>
  <c r="O53" i="37" s="1"/>
  <c r="O54" i="37" s="1"/>
  <c r="O55" i="37" s="1"/>
  <c r="O56" i="37" s="1"/>
  <c r="O57" i="37" s="1"/>
  <c r="O58" i="37" s="1"/>
  <c r="O59" i="37" s="1"/>
  <c r="O60" i="37" s="1"/>
  <c r="O61" i="37" s="1"/>
  <c r="O62" i="37" s="1"/>
  <c r="O63" i="37" s="1"/>
  <c r="O64" i="37" s="1"/>
  <c r="O65" i="37" s="1"/>
  <c r="O66" i="37" s="1"/>
  <c r="O67" i="37" s="1"/>
  <c r="O68" i="37" s="1"/>
  <c r="O69" i="37" s="1"/>
  <c r="O70" i="37" s="1"/>
  <c r="O71" i="37" s="1"/>
  <c r="O72" i="37" s="1"/>
  <c r="O73" i="37" s="1"/>
  <c r="M14" i="37"/>
  <c r="M15" i="37" s="1"/>
  <c r="L22" i="37"/>
  <c r="M14" i="33"/>
  <c r="M14" i="34"/>
  <c r="M15" i="26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B70" i="48" l="1"/>
  <c r="W69" i="48"/>
  <c r="R58" i="48"/>
  <c r="L59" i="48"/>
  <c r="U57" i="48"/>
  <c r="Y57" i="48" s="1"/>
  <c r="Q57" i="48"/>
  <c r="T57" i="48" s="1"/>
  <c r="X57" i="48" s="1"/>
  <c r="S57" i="48"/>
  <c r="V57" i="48" s="1"/>
  <c r="Z57" i="48" s="1"/>
  <c r="R37" i="46"/>
  <c r="L38" i="46"/>
  <c r="S36" i="46"/>
  <c r="V36" i="46" s="1"/>
  <c r="Z36" i="46" s="1"/>
  <c r="U36" i="46"/>
  <c r="Y36" i="46" s="1"/>
  <c r="Q36" i="46"/>
  <c r="T36" i="46" s="1"/>
  <c r="X36" i="46" s="1"/>
  <c r="U33" i="45"/>
  <c r="Y33" i="45" s="1"/>
  <c r="Q33" i="45"/>
  <c r="T33" i="45" s="1"/>
  <c r="X33" i="45" s="1"/>
  <c r="S33" i="45"/>
  <c r="V33" i="45" s="1"/>
  <c r="Z33" i="45" s="1"/>
  <c r="B57" i="45"/>
  <c r="W56" i="45"/>
  <c r="R34" i="45"/>
  <c r="L35" i="45"/>
  <c r="B38" i="44"/>
  <c r="W37" i="44"/>
  <c r="R35" i="44"/>
  <c r="L36" i="44"/>
  <c r="S34" i="44"/>
  <c r="V34" i="44" s="1"/>
  <c r="Z34" i="44" s="1"/>
  <c r="U34" i="44"/>
  <c r="Y34" i="44" s="1"/>
  <c r="Q34" i="44"/>
  <c r="T34" i="44" s="1"/>
  <c r="X34" i="44" s="1"/>
  <c r="U33" i="43"/>
  <c r="Y33" i="43" s="1"/>
  <c r="Q33" i="43"/>
  <c r="T33" i="43" s="1"/>
  <c r="X33" i="43" s="1"/>
  <c r="S33" i="43"/>
  <c r="V33" i="43" s="1"/>
  <c r="Z33" i="43" s="1"/>
  <c r="L35" i="43"/>
  <c r="R34" i="43"/>
  <c r="U30" i="42"/>
  <c r="Y30" i="42" s="1"/>
  <c r="Q30" i="42"/>
  <c r="T30" i="42" s="1"/>
  <c r="X30" i="42" s="1"/>
  <c r="S30" i="42"/>
  <c r="V30" i="42" s="1"/>
  <c r="Z30" i="42" s="1"/>
  <c r="L32" i="42"/>
  <c r="R31" i="42"/>
  <c r="B35" i="41"/>
  <c r="W34" i="41"/>
  <c r="R30" i="41"/>
  <c r="L31" i="41"/>
  <c r="S29" i="41"/>
  <c r="V29" i="41" s="1"/>
  <c r="Z29" i="41" s="1"/>
  <c r="U29" i="41"/>
  <c r="Y29" i="41" s="1"/>
  <c r="Q29" i="41"/>
  <c r="T29" i="41" s="1"/>
  <c r="X29" i="41" s="1"/>
  <c r="O74" i="37"/>
  <c r="G21" i="26"/>
  <c r="F19" i="37"/>
  <c r="I19" i="37" s="1"/>
  <c r="H19" i="37"/>
  <c r="K19" i="37" s="1"/>
  <c r="J19" i="37"/>
  <c r="M16" i="37"/>
  <c r="L23" i="37"/>
  <c r="R59" i="48" l="1"/>
  <c r="L60" i="48"/>
  <c r="S58" i="48"/>
  <c r="V58" i="48" s="1"/>
  <c r="Z58" i="48" s="1"/>
  <c r="U58" i="48"/>
  <c r="Y58" i="48" s="1"/>
  <c r="Q58" i="48"/>
  <c r="T58" i="48" s="1"/>
  <c r="X58" i="48" s="1"/>
  <c r="B71" i="48"/>
  <c r="W70" i="48"/>
  <c r="L39" i="46"/>
  <c r="R38" i="46"/>
  <c r="U37" i="46"/>
  <c r="Y37" i="46" s="1"/>
  <c r="Q37" i="46"/>
  <c r="T37" i="46" s="1"/>
  <c r="X37" i="46" s="1"/>
  <c r="S37" i="46"/>
  <c r="V37" i="46" s="1"/>
  <c r="Z37" i="46" s="1"/>
  <c r="B58" i="45"/>
  <c r="W57" i="45"/>
  <c r="R35" i="45"/>
  <c r="L36" i="45"/>
  <c r="S34" i="45"/>
  <c r="V34" i="45" s="1"/>
  <c r="Z34" i="45" s="1"/>
  <c r="Q34" i="45"/>
  <c r="T34" i="45" s="1"/>
  <c r="X34" i="45" s="1"/>
  <c r="U34" i="45"/>
  <c r="Y34" i="45" s="1"/>
  <c r="U35" i="44"/>
  <c r="Y35" i="44" s="1"/>
  <c r="Q35" i="44"/>
  <c r="T35" i="44" s="1"/>
  <c r="X35" i="44" s="1"/>
  <c r="S35" i="44"/>
  <c r="V35" i="44" s="1"/>
  <c r="Z35" i="44" s="1"/>
  <c r="L37" i="44"/>
  <c r="R36" i="44"/>
  <c r="B39" i="44"/>
  <c r="W38" i="44"/>
  <c r="R35" i="43"/>
  <c r="L36" i="43"/>
  <c r="U34" i="43"/>
  <c r="Y34" i="43" s="1"/>
  <c r="Q34" i="43"/>
  <c r="T34" i="43" s="1"/>
  <c r="X34" i="43" s="1"/>
  <c r="S34" i="43"/>
  <c r="V34" i="43" s="1"/>
  <c r="Z34" i="43" s="1"/>
  <c r="R32" i="42"/>
  <c r="L33" i="42"/>
  <c r="U31" i="42"/>
  <c r="Y31" i="42" s="1"/>
  <c r="Q31" i="42"/>
  <c r="T31" i="42" s="1"/>
  <c r="X31" i="42" s="1"/>
  <c r="S31" i="42"/>
  <c r="V31" i="42" s="1"/>
  <c r="Z31" i="42" s="1"/>
  <c r="B36" i="41"/>
  <c r="W35" i="41"/>
  <c r="R31" i="41"/>
  <c r="L32" i="41"/>
  <c r="S30" i="41"/>
  <c r="V30" i="41" s="1"/>
  <c r="Z30" i="41" s="1"/>
  <c r="U30" i="41"/>
  <c r="Y30" i="41" s="1"/>
  <c r="Q30" i="41"/>
  <c r="T30" i="41" s="1"/>
  <c r="X30" i="41" s="1"/>
  <c r="F21" i="34"/>
  <c r="G22" i="26"/>
  <c r="H20" i="37"/>
  <c r="K20" i="37" s="1"/>
  <c r="J20" i="37"/>
  <c r="F20" i="37"/>
  <c r="I20" i="37" s="1"/>
  <c r="M17" i="37"/>
  <c r="L24" i="37"/>
  <c r="L13" i="33"/>
  <c r="L14" i="26"/>
  <c r="N13" i="33"/>
  <c r="N14" i="26"/>
  <c r="E73" i="34"/>
  <c r="C73" i="34"/>
  <c r="E72" i="34"/>
  <c r="C72" i="34"/>
  <c r="E71" i="34"/>
  <c r="C71" i="34"/>
  <c r="E70" i="34"/>
  <c r="C70" i="34"/>
  <c r="E69" i="34"/>
  <c r="C69" i="34"/>
  <c r="E68" i="34"/>
  <c r="C68" i="34"/>
  <c r="E67" i="34"/>
  <c r="C67" i="34"/>
  <c r="E66" i="34"/>
  <c r="C66" i="34"/>
  <c r="E65" i="34"/>
  <c r="C65" i="34"/>
  <c r="E64" i="34"/>
  <c r="C64" i="34"/>
  <c r="E63" i="34"/>
  <c r="C63" i="34"/>
  <c r="E62" i="34"/>
  <c r="C62" i="34"/>
  <c r="E61" i="34"/>
  <c r="C61" i="34"/>
  <c r="E60" i="34"/>
  <c r="C60" i="34"/>
  <c r="E59" i="34"/>
  <c r="C59" i="34"/>
  <c r="E57" i="34"/>
  <c r="C57" i="34"/>
  <c r="E56" i="34"/>
  <c r="C56" i="34"/>
  <c r="E55" i="34"/>
  <c r="C55" i="34"/>
  <c r="E54" i="34"/>
  <c r="C54" i="34"/>
  <c r="E53" i="34"/>
  <c r="C53" i="34"/>
  <c r="E52" i="34"/>
  <c r="C52" i="34"/>
  <c r="E51" i="34"/>
  <c r="C51" i="34"/>
  <c r="E50" i="34"/>
  <c r="C50" i="34"/>
  <c r="E49" i="34"/>
  <c r="C49" i="34"/>
  <c r="E48" i="34"/>
  <c r="C48" i="34"/>
  <c r="E47" i="34"/>
  <c r="C47" i="34"/>
  <c r="E46" i="34"/>
  <c r="C46" i="34"/>
  <c r="E45" i="34"/>
  <c r="C45" i="34"/>
  <c r="E44" i="34"/>
  <c r="C44" i="34"/>
  <c r="E43" i="34"/>
  <c r="C43" i="34"/>
  <c r="E42" i="34"/>
  <c r="C42" i="34"/>
  <c r="E41" i="34"/>
  <c r="C41" i="34"/>
  <c r="E40" i="34"/>
  <c r="C40" i="34"/>
  <c r="E39" i="34"/>
  <c r="C39" i="34"/>
  <c r="E38" i="34"/>
  <c r="C38" i="34"/>
  <c r="E37" i="34"/>
  <c r="C37" i="34"/>
  <c r="E36" i="34"/>
  <c r="C36" i="34"/>
  <c r="E35" i="34"/>
  <c r="C35" i="34"/>
  <c r="E34" i="34"/>
  <c r="C34" i="34"/>
  <c r="E33" i="34"/>
  <c r="C33" i="34"/>
  <c r="E32" i="34"/>
  <c r="C32" i="34"/>
  <c r="E31" i="34"/>
  <c r="C31" i="34"/>
  <c r="E30" i="34"/>
  <c r="C30" i="34"/>
  <c r="E29" i="34"/>
  <c r="C29" i="34"/>
  <c r="E28" i="34"/>
  <c r="C28" i="34"/>
  <c r="E27" i="34"/>
  <c r="C27" i="34"/>
  <c r="E26" i="34"/>
  <c r="C26" i="34"/>
  <c r="E25" i="34"/>
  <c r="C25" i="34"/>
  <c r="E24" i="34"/>
  <c r="C24" i="34"/>
  <c r="E23" i="34"/>
  <c r="C23" i="34"/>
  <c r="E22" i="34"/>
  <c r="C22" i="34"/>
  <c r="J21" i="34"/>
  <c r="H21" i="34"/>
  <c r="E21" i="34"/>
  <c r="C21" i="34"/>
  <c r="J20" i="34"/>
  <c r="H20" i="34"/>
  <c r="F20" i="34"/>
  <c r="E20" i="34"/>
  <c r="C20" i="34"/>
  <c r="J19" i="34"/>
  <c r="H19" i="34"/>
  <c r="F19" i="34"/>
  <c r="E19" i="34"/>
  <c r="C19" i="34"/>
  <c r="J18" i="34"/>
  <c r="H18" i="34"/>
  <c r="F18" i="34"/>
  <c r="E18" i="34"/>
  <c r="C18" i="34"/>
  <c r="J17" i="34"/>
  <c r="H17" i="34"/>
  <c r="F17" i="34"/>
  <c r="E17" i="34"/>
  <c r="C17" i="34"/>
  <c r="L16" i="34"/>
  <c r="J16" i="34"/>
  <c r="H16" i="34"/>
  <c r="F16" i="34"/>
  <c r="E16" i="34"/>
  <c r="C16" i="34"/>
  <c r="J15" i="34"/>
  <c r="H15" i="34"/>
  <c r="F15" i="34"/>
  <c r="E15" i="34"/>
  <c r="C15" i="34"/>
  <c r="P16" i="34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N16" i="34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H14" i="34"/>
  <c r="F14" i="34"/>
  <c r="B14" i="34"/>
  <c r="B15" i="34" s="1"/>
  <c r="B16" i="34" s="1"/>
  <c r="B17" i="34" s="1"/>
  <c r="B18" i="34" s="1"/>
  <c r="B19" i="34" s="1"/>
  <c r="B20" i="34" s="1"/>
  <c r="B21" i="34" s="1"/>
  <c r="B22" i="34" s="1"/>
  <c r="A14" i="34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O74" i="34"/>
  <c r="J13" i="34"/>
  <c r="H13" i="34"/>
  <c r="F13" i="34"/>
  <c r="E13" i="34"/>
  <c r="C13" i="34"/>
  <c r="W14" i="34"/>
  <c r="C1" i="34"/>
  <c r="C1" i="33"/>
  <c r="J73" i="33"/>
  <c r="H73" i="33"/>
  <c r="F73" i="33"/>
  <c r="E73" i="33"/>
  <c r="C73" i="33"/>
  <c r="J72" i="33"/>
  <c r="H72" i="33"/>
  <c r="F72" i="33"/>
  <c r="E72" i="33"/>
  <c r="C72" i="33"/>
  <c r="J71" i="33"/>
  <c r="H71" i="33"/>
  <c r="F71" i="33"/>
  <c r="E71" i="33"/>
  <c r="C71" i="33"/>
  <c r="I71" i="33" s="1"/>
  <c r="J70" i="33"/>
  <c r="H70" i="33"/>
  <c r="F70" i="33"/>
  <c r="E70" i="33"/>
  <c r="C70" i="33"/>
  <c r="J69" i="33"/>
  <c r="H69" i="33"/>
  <c r="F69" i="33"/>
  <c r="E69" i="33"/>
  <c r="C69" i="33"/>
  <c r="J68" i="33"/>
  <c r="H68" i="33"/>
  <c r="F68" i="33"/>
  <c r="E68" i="33"/>
  <c r="C68" i="33"/>
  <c r="E67" i="33"/>
  <c r="C67" i="33"/>
  <c r="J66" i="33"/>
  <c r="H66" i="33"/>
  <c r="F66" i="33"/>
  <c r="E66" i="33"/>
  <c r="C66" i="33"/>
  <c r="E65" i="33"/>
  <c r="C65" i="33"/>
  <c r="E64" i="33"/>
  <c r="C64" i="33"/>
  <c r="J63" i="33"/>
  <c r="H63" i="33"/>
  <c r="F63" i="33"/>
  <c r="E63" i="33"/>
  <c r="C63" i="33"/>
  <c r="J62" i="33"/>
  <c r="H62" i="33"/>
  <c r="F62" i="33"/>
  <c r="E62" i="33"/>
  <c r="C62" i="33"/>
  <c r="J61" i="33"/>
  <c r="H61" i="33"/>
  <c r="F61" i="33"/>
  <c r="E61" i="33"/>
  <c r="C61" i="33"/>
  <c r="J60" i="33"/>
  <c r="H60" i="33"/>
  <c r="F60" i="33"/>
  <c r="E60" i="33"/>
  <c r="C60" i="33"/>
  <c r="J59" i="33"/>
  <c r="H59" i="33"/>
  <c r="F59" i="33"/>
  <c r="E59" i="33"/>
  <c r="C59" i="33"/>
  <c r="J58" i="33"/>
  <c r="H58" i="33"/>
  <c r="F58" i="33"/>
  <c r="E58" i="33"/>
  <c r="C58" i="33"/>
  <c r="J57" i="33"/>
  <c r="H57" i="33"/>
  <c r="F57" i="33"/>
  <c r="E57" i="33"/>
  <c r="C57" i="33"/>
  <c r="J56" i="33"/>
  <c r="H56" i="33"/>
  <c r="F56" i="33"/>
  <c r="E56" i="33"/>
  <c r="C56" i="33"/>
  <c r="E55" i="33"/>
  <c r="C55" i="33"/>
  <c r="J54" i="33"/>
  <c r="H54" i="33"/>
  <c r="F54" i="33"/>
  <c r="E54" i="33"/>
  <c r="C54" i="33"/>
  <c r="J53" i="33"/>
  <c r="H53" i="33"/>
  <c r="F53" i="33"/>
  <c r="E53" i="33"/>
  <c r="C53" i="33"/>
  <c r="J52" i="33"/>
  <c r="H52" i="33"/>
  <c r="F52" i="33"/>
  <c r="E52" i="33"/>
  <c r="C52" i="33"/>
  <c r="J51" i="33"/>
  <c r="H51" i="33"/>
  <c r="F51" i="33"/>
  <c r="E51" i="33"/>
  <c r="C51" i="33"/>
  <c r="I51" i="33" s="1"/>
  <c r="J50" i="33"/>
  <c r="H50" i="33"/>
  <c r="F50" i="33"/>
  <c r="E50" i="33"/>
  <c r="C50" i="33"/>
  <c r="J49" i="33"/>
  <c r="H49" i="33"/>
  <c r="F49" i="33"/>
  <c r="E49" i="33"/>
  <c r="C49" i="33"/>
  <c r="J48" i="33"/>
  <c r="H48" i="33"/>
  <c r="F48" i="33"/>
  <c r="E48" i="33"/>
  <c r="C48" i="33"/>
  <c r="J47" i="33"/>
  <c r="H47" i="33"/>
  <c r="F47" i="33"/>
  <c r="E47" i="33"/>
  <c r="C47" i="33"/>
  <c r="J46" i="33"/>
  <c r="H46" i="33"/>
  <c r="F46" i="33"/>
  <c r="E46" i="33"/>
  <c r="K46" i="33" s="1"/>
  <c r="C46" i="33"/>
  <c r="E45" i="33"/>
  <c r="C45" i="33"/>
  <c r="J44" i="33"/>
  <c r="H44" i="33"/>
  <c r="F44" i="33"/>
  <c r="E44" i="33"/>
  <c r="C44" i="33"/>
  <c r="J43" i="33"/>
  <c r="H43" i="33"/>
  <c r="F43" i="33"/>
  <c r="E43" i="33"/>
  <c r="C43" i="33"/>
  <c r="J42" i="33"/>
  <c r="H42" i="33"/>
  <c r="F42" i="33"/>
  <c r="E42" i="33"/>
  <c r="C42" i="33"/>
  <c r="J41" i="33"/>
  <c r="H41" i="33"/>
  <c r="F41" i="33"/>
  <c r="E41" i="33"/>
  <c r="C41" i="33"/>
  <c r="E40" i="33"/>
  <c r="C40" i="33"/>
  <c r="J39" i="33"/>
  <c r="H39" i="33"/>
  <c r="F39" i="33"/>
  <c r="E39" i="33"/>
  <c r="C39" i="33"/>
  <c r="J38" i="33"/>
  <c r="H38" i="33"/>
  <c r="F38" i="33"/>
  <c r="E38" i="33"/>
  <c r="C38" i="33"/>
  <c r="J37" i="33"/>
  <c r="H37" i="33"/>
  <c r="F37" i="33"/>
  <c r="E37" i="33"/>
  <c r="C37" i="33"/>
  <c r="I37" i="33" s="1"/>
  <c r="J36" i="33"/>
  <c r="H36" i="33"/>
  <c r="F36" i="33"/>
  <c r="E36" i="33"/>
  <c r="C36" i="33"/>
  <c r="I36" i="33" s="1"/>
  <c r="E35" i="33"/>
  <c r="C35" i="33"/>
  <c r="J34" i="33"/>
  <c r="H34" i="33"/>
  <c r="F34" i="33"/>
  <c r="E34" i="33"/>
  <c r="C34" i="33"/>
  <c r="J33" i="33"/>
  <c r="H33" i="33"/>
  <c r="F33" i="33"/>
  <c r="E33" i="33"/>
  <c r="K33" i="33" s="1"/>
  <c r="C33" i="33"/>
  <c r="J32" i="33"/>
  <c r="H32" i="33"/>
  <c r="F32" i="33"/>
  <c r="E32" i="33"/>
  <c r="K32" i="33" s="1"/>
  <c r="C32" i="33"/>
  <c r="J31" i="33"/>
  <c r="H31" i="33"/>
  <c r="F31" i="33"/>
  <c r="E31" i="33"/>
  <c r="C31" i="33"/>
  <c r="J30" i="33"/>
  <c r="H30" i="33"/>
  <c r="F30" i="33"/>
  <c r="E30" i="33"/>
  <c r="C30" i="33"/>
  <c r="J29" i="33"/>
  <c r="H29" i="33"/>
  <c r="F29" i="33"/>
  <c r="E29" i="33"/>
  <c r="C29" i="33"/>
  <c r="I29" i="33" s="1"/>
  <c r="J28" i="33"/>
  <c r="H28" i="33"/>
  <c r="F28" i="33"/>
  <c r="E28" i="33"/>
  <c r="K28" i="33" s="1"/>
  <c r="C28" i="33"/>
  <c r="J27" i="33"/>
  <c r="H27" i="33"/>
  <c r="F27" i="33"/>
  <c r="E27" i="33"/>
  <c r="C27" i="33"/>
  <c r="J26" i="33"/>
  <c r="H26" i="33"/>
  <c r="F26" i="33"/>
  <c r="E26" i="33"/>
  <c r="C26" i="33"/>
  <c r="E25" i="33"/>
  <c r="C25" i="33"/>
  <c r="J24" i="33"/>
  <c r="H24" i="33"/>
  <c r="F24" i="33"/>
  <c r="E24" i="33"/>
  <c r="C24" i="33"/>
  <c r="J23" i="33"/>
  <c r="H23" i="33"/>
  <c r="F23" i="33"/>
  <c r="E23" i="33"/>
  <c r="C23" i="33"/>
  <c r="J22" i="33"/>
  <c r="H22" i="33"/>
  <c r="F22" i="33"/>
  <c r="E22" i="33"/>
  <c r="C22" i="33"/>
  <c r="J21" i="33"/>
  <c r="H21" i="33"/>
  <c r="F21" i="33"/>
  <c r="E21" i="33"/>
  <c r="C21" i="33"/>
  <c r="J20" i="33"/>
  <c r="H20" i="33"/>
  <c r="F20" i="33"/>
  <c r="E20" i="33"/>
  <c r="C20" i="33"/>
  <c r="J19" i="33"/>
  <c r="H19" i="33"/>
  <c r="F19" i="33"/>
  <c r="E19" i="33"/>
  <c r="C19" i="33"/>
  <c r="J18" i="33"/>
  <c r="H18" i="33"/>
  <c r="F18" i="33"/>
  <c r="E18" i="33"/>
  <c r="J17" i="33"/>
  <c r="H17" i="33"/>
  <c r="F17" i="33"/>
  <c r="E17" i="33"/>
  <c r="C17" i="33"/>
  <c r="L16" i="33"/>
  <c r="J16" i="33"/>
  <c r="H16" i="33"/>
  <c r="F16" i="33"/>
  <c r="E16" i="33"/>
  <c r="C16" i="33"/>
  <c r="J15" i="33"/>
  <c r="H15" i="33"/>
  <c r="F15" i="33"/>
  <c r="E15" i="33"/>
  <c r="C15" i="33"/>
  <c r="N16" i="33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H14" i="33"/>
  <c r="F14" i="33"/>
  <c r="B14" i="33"/>
  <c r="B15" i="33" s="1"/>
  <c r="B16" i="33" s="1"/>
  <c r="B17" i="33" s="1"/>
  <c r="B18" i="33" s="1"/>
  <c r="B19" i="33" s="1"/>
  <c r="B20" i="33" s="1"/>
  <c r="B21" i="33" s="1"/>
  <c r="B22" i="33" s="1"/>
  <c r="B23" i="33" s="1"/>
  <c r="A14" i="33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J13" i="33"/>
  <c r="H13" i="33"/>
  <c r="F13" i="33"/>
  <c r="E13" i="33"/>
  <c r="C13" i="33"/>
  <c r="K42" i="33" l="1"/>
  <c r="R60" i="48"/>
  <c r="L61" i="48"/>
  <c r="B72" i="48"/>
  <c r="W71" i="48"/>
  <c r="U59" i="48"/>
  <c r="Y59" i="48" s="1"/>
  <c r="Q59" i="48"/>
  <c r="T59" i="48" s="1"/>
  <c r="X59" i="48" s="1"/>
  <c r="S59" i="48"/>
  <c r="V59" i="48" s="1"/>
  <c r="Z59" i="48" s="1"/>
  <c r="U38" i="46"/>
  <c r="Y38" i="46" s="1"/>
  <c r="Q38" i="46"/>
  <c r="T38" i="46" s="1"/>
  <c r="X38" i="46" s="1"/>
  <c r="S38" i="46"/>
  <c r="V38" i="46" s="1"/>
  <c r="Z38" i="46" s="1"/>
  <c r="R39" i="46"/>
  <c r="L40" i="46"/>
  <c r="I70" i="33"/>
  <c r="K66" i="33"/>
  <c r="K50" i="33"/>
  <c r="I47" i="33"/>
  <c r="I43" i="33"/>
  <c r="K43" i="33"/>
  <c r="I33" i="33"/>
  <c r="K29" i="33"/>
  <c r="I19" i="33"/>
  <c r="K15" i="33"/>
  <c r="I16" i="33"/>
  <c r="R36" i="45"/>
  <c r="L37" i="45"/>
  <c r="S35" i="45"/>
  <c r="V35" i="45" s="1"/>
  <c r="Z35" i="45" s="1"/>
  <c r="U35" i="45"/>
  <c r="Y35" i="45" s="1"/>
  <c r="Q35" i="45"/>
  <c r="T35" i="45" s="1"/>
  <c r="X35" i="45" s="1"/>
  <c r="B59" i="45"/>
  <c r="W58" i="45"/>
  <c r="B40" i="44"/>
  <c r="W39" i="44"/>
  <c r="U36" i="44"/>
  <c r="Y36" i="44" s="1"/>
  <c r="Q36" i="44"/>
  <c r="T36" i="44" s="1"/>
  <c r="X36" i="44" s="1"/>
  <c r="S36" i="44"/>
  <c r="V36" i="44" s="1"/>
  <c r="Z36" i="44" s="1"/>
  <c r="R37" i="44"/>
  <c r="L38" i="44"/>
  <c r="R36" i="43"/>
  <c r="L37" i="43"/>
  <c r="S35" i="43"/>
  <c r="V35" i="43" s="1"/>
  <c r="Z35" i="43" s="1"/>
  <c r="U35" i="43"/>
  <c r="Y35" i="43" s="1"/>
  <c r="Q35" i="43"/>
  <c r="T35" i="43" s="1"/>
  <c r="X35" i="43" s="1"/>
  <c r="L34" i="42"/>
  <c r="R33" i="42"/>
  <c r="S32" i="42"/>
  <c r="V32" i="42" s="1"/>
  <c r="Z32" i="42" s="1"/>
  <c r="U32" i="42"/>
  <c r="Y32" i="42" s="1"/>
  <c r="Q32" i="42"/>
  <c r="T32" i="42" s="1"/>
  <c r="X32" i="42" s="1"/>
  <c r="U31" i="41"/>
  <c r="Y31" i="41" s="1"/>
  <c r="Q31" i="41"/>
  <c r="T31" i="41" s="1"/>
  <c r="X31" i="41" s="1"/>
  <c r="S31" i="41"/>
  <c r="V31" i="41" s="1"/>
  <c r="Z31" i="41" s="1"/>
  <c r="L33" i="41"/>
  <c r="R32" i="41"/>
  <c r="B37" i="41"/>
  <c r="W36" i="41"/>
  <c r="W14" i="33"/>
  <c r="I20" i="33"/>
  <c r="K23" i="33"/>
  <c r="I27" i="33"/>
  <c r="K30" i="33"/>
  <c r="I38" i="33"/>
  <c r="K44" i="33"/>
  <c r="K47" i="33"/>
  <c r="K51" i="33"/>
  <c r="I68" i="33"/>
  <c r="I72" i="33"/>
  <c r="I17" i="33"/>
  <c r="I21" i="33"/>
  <c r="K24" i="33"/>
  <c r="K27" i="33"/>
  <c r="I28" i="33"/>
  <c r="K31" i="33"/>
  <c r="I32" i="33"/>
  <c r="I39" i="33"/>
  <c r="K41" i="33"/>
  <c r="K48" i="33"/>
  <c r="K52" i="33"/>
  <c r="I66" i="33"/>
  <c r="I69" i="33"/>
  <c r="I73" i="33"/>
  <c r="K54" i="33"/>
  <c r="I53" i="33"/>
  <c r="K53" i="33"/>
  <c r="I44" i="33"/>
  <c r="K34" i="33"/>
  <c r="I49" i="33"/>
  <c r="K49" i="33"/>
  <c r="I26" i="33"/>
  <c r="K26" i="33"/>
  <c r="I18" i="33"/>
  <c r="G23" i="26"/>
  <c r="L14" i="37"/>
  <c r="N14" i="37"/>
  <c r="N74" i="37" s="1"/>
  <c r="M18" i="37"/>
  <c r="L25" i="37"/>
  <c r="P13" i="33"/>
  <c r="U13" i="33" s="1"/>
  <c r="P14" i="26"/>
  <c r="N14" i="33"/>
  <c r="N74" i="33" s="1"/>
  <c r="N14" i="34"/>
  <c r="N74" i="34" s="1"/>
  <c r="N15" i="26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L14" i="33"/>
  <c r="L14" i="34"/>
  <c r="L15" i="26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I30" i="33"/>
  <c r="I34" i="33"/>
  <c r="I42" i="33"/>
  <c r="K56" i="33"/>
  <c r="I58" i="33"/>
  <c r="K58" i="33"/>
  <c r="I60" i="33"/>
  <c r="K60" i="33"/>
  <c r="K62" i="33"/>
  <c r="K68" i="33"/>
  <c r="K70" i="33"/>
  <c r="K72" i="33"/>
  <c r="I15" i="34"/>
  <c r="K15" i="34"/>
  <c r="I16" i="34"/>
  <c r="I17" i="34"/>
  <c r="K17" i="34"/>
  <c r="I18" i="34"/>
  <c r="K18" i="34"/>
  <c r="I19" i="34"/>
  <c r="I20" i="34"/>
  <c r="I21" i="34"/>
  <c r="K21" i="34"/>
  <c r="B23" i="34"/>
  <c r="W22" i="34"/>
  <c r="W21" i="34"/>
  <c r="W20" i="34"/>
  <c r="W19" i="34"/>
  <c r="W18" i="34"/>
  <c r="W17" i="34"/>
  <c r="W16" i="34"/>
  <c r="W15" i="34"/>
  <c r="I13" i="34"/>
  <c r="K13" i="34"/>
  <c r="L17" i="34"/>
  <c r="K19" i="34"/>
  <c r="R13" i="34"/>
  <c r="K16" i="34"/>
  <c r="K20" i="34"/>
  <c r="K18" i="33"/>
  <c r="K22" i="33"/>
  <c r="K36" i="33"/>
  <c r="K57" i="33"/>
  <c r="K59" i="33"/>
  <c r="K61" i="33"/>
  <c r="K63" i="33"/>
  <c r="K69" i="33"/>
  <c r="K71" i="33"/>
  <c r="K73" i="33"/>
  <c r="K17" i="33"/>
  <c r="K21" i="33"/>
  <c r="K37" i="33"/>
  <c r="I24" i="33"/>
  <c r="I13" i="33"/>
  <c r="I15" i="33"/>
  <c r="I23" i="33"/>
  <c r="I31" i="33"/>
  <c r="I46" i="33"/>
  <c r="I50" i="33"/>
  <c r="I54" i="33"/>
  <c r="I57" i="33"/>
  <c r="I59" i="33"/>
  <c r="I61" i="33"/>
  <c r="I63" i="33"/>
  <c r="I22" i="33"/>
  <c r="I48" i="33"/>
  <c r="I52" i="33"/>
  <c r="I56" i="33"/>
  <c r="I62" i="33"/>
  <c r="B24" i="33"/>
  <c r="B25" i="33" s="1"/>
  <c r="B26" i="33" s="1"/>
  <c r="W23" i="33"/>
  <c r="K16" i="33"/>
  <c r="K20" i="33"/>
  <c r="K38" i="33"/>
  <c r="W24" i="33"/>
  <c r="W22" i="33"/>
  <c r="W20" i="33"/>
  <c r="W19" i="33"/>
  <c r="W18" i="33"/>
  <c r="W17" i="33"/>
  <c r="W16" i="33"/>
  <c r="W15" i="33"/>
  <c r="K13" i="33"/>
  <c r="L17" i="33"/>
  <c r="K19" i="33"/>
  <c r="W21" i="33"/>
  <c r="I41" i="33"/>
  <c r="O74" i="33"/>
  <c r="K39" i="33"/>
  <c r="F64" i="33"/>
  <c r="I64" i="33" s="1"/>
  <c r="H64" i="33"/>
  <c r="K64" i="33" s="1"/>
  <c r="J64" i="33"/>
  <c r="S60" i="48" l="1"/>
  <c r="V60" i="48" s="1"/>
  <c r="Z60" i="48" s="1"/>
  <c r="U60" i="48"/>
  <c r="Y60" i="48" s="1"/>
  <c r="Q60" i="48"/>
  <c r="T60" i="48" s="1"/>
  <c r="X60" i="48" s="1"/>
  <c r="B73" i="48"/>
  <c r="W73" i="48" s="1"/>
  <c r="W72" i="48"/>
  <c r="R61" i="48"/>
  <c r="L62" i="48"/>
  <c r="S39" i="46"/>
  <c r="V39" i="46" s="1"/>
  <c r="Z39" i="46" s="1"/>
  <c r="Q39" i="46"/>
  <c r="T39" i="46" s="1"/>
  <c r="X39" i="46" s="1"/>
  <c r="U39" i="46"/>
  <c r="Y39" i="46" s="1"/>
  <c r="R40" i="46"/>
  <c r="L41" i="46"/>
  <c r="L38" i="45"/>
  <c r="R37" i="45"/>
  <c r="B60" i="45"/>
  <c r="W59" i="45"/>
  <c r="U36" i="45"/>
  <c r="Y36" i="45" s="1"/>
  <c r="Q36" i="45"/>
  <c r="T36" i="45" s="1"/>
  <c r="X36" i="45" s="1"/>
  <c r="S36" i="45"/>
  <c r="V36" i="45" s="1"/>
  <c r="Z36" i="45" s="1"/>
  <c r="R38" i="44"/>
  <c r="L39" i="44"/>
  <c r="S37" i="44"/>
  <c r="V37" i="44" s="1"/>
  <c r="Z37" i="44" s="1"/>
  <c r="Q37" i="44"/>
  <c r="T37" i="44" s="1"/>
  <c r="X37" i="44" s="1"/>
  <c r="U37" i="44"/>
  <c r="Y37" i="44" s="1"/>
  <c r="B41" i="44"/>
  <c r="W40" i="44"/>
  <c r="R37" i="43"/>
  <c r="L38" i="43"/>
  <c r="S36" i="43"/>
  <c r="V36" i="43" s="1"/>
  <c r="Z36" i="43" s="1"/>
  <c r="U36" i="43"/>
  <c r="Y36" i="43" s="1"/>
  <c r="Q36" i="43"/>
  <c r="T36" i="43" s="1"/>
  <c r="X36" i="43" s="1"/>
  <c r="S33" i="42"/>
  <c r="V33" i="42" s="1"/>
  <c r="Z33" i="42" s="1"/>
  <c r="U33" i="42"/>
  <c r="Y33" i="42" s="1"/>
  <c r="Q33" i="42"/>
  <c r="T33" i="42" s="1"/>
  <c r="X33" i="42" s="1"/>
  <c r="L35" i="42"/>
  <c r="R34" i="42"/>
  <c r="R33" i="41"/>
  <c r="L34" i="41"/>
  <c r="B38" i="41"/>
  <c r="W37" i="41"/>
  <c r="U32" i="41"/>
  <c r="Y32" i="41" s="1"/>
  <c r="Q32" i="41"/>
  <c r="T32" i="41" s="1"/>
  <c r="X32" i="41" s="1"/>
  <c r="S32" i="41"/>
  <c r="V32" i="41" s="1"/>
  <c r="Z32" i="41" s="1"/>
  <c r="S13" i="33"/>
  <c r="P14" i="37"/>
  <c r="R14" i="37" s="1"/>
  <c r="G24" i="26"/>
  <c r="J22" i="34"/>
  <c r="H22" i="34"/>
  <c r="F22" i="34"/>
  <c r="M19" i="37"/>
  <c r="L26" i="37"/>
  <c r="D74" i="33"/>
  <c r="Q13" i="33"/>
  <c r="T13" i="33" s="1"/>
  <c r="P14" i="33"/>
  <c r="P14" i="34"/>
  <c r="P15" i="26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U13" i="34"/>
  <c r="Q13" i="34"/>
  <c r="S13" i="34"/>
  <c r="R15" i="34"/>
  <c r="L18" i="34"/>
  <c r="B24" i="34"/>
  <c r="W23" i="34"/>
  <c r="E14" i="34"/>
  <c r="E7" i="34" s="1"/>
  <c r="H16" i="24" s="1"/>
  <c r="J14" i="34"/>
  <c r="J6" i="34" s="1"/>
  <c r="D16" i="24" s="1"/>
  <c r="C14" i="34"/>
  <c r="C7" i="34" s="1"/>
  <c r="F16" i="24" s="1"/>
  <c r="D74" i="34"/>
  <c r="L18" i="33"/>
  <c r="V13" i="33"/>
  <c r="E14" i="33"/>
  <c r="E7" i="33" s="1"/>
  <c r="H22" i="24" s="1"/>
  <c r="J14" i="33"/>
  <c r="J6" i="33" s="1"/>
  <c r="D22" i="24" s="1"/>
  <c r="C14" i="33"/>
  <c r="C7" i="33" s="1"/>
  <c r="F22" i="24" s="1"/>
  <c r="M16" i="33"/>
  <c r="W25" i="33"/>
  <c r="Y13" i="33"/>
  <c r="B27" i="33"/>
  <c r="W26" i="33"/>
  <c r="U61" i="48" l="1"/>
  <c r="Y61" i="48" s="1"/>
  <c r="Q61" i="48"/>
  <c r="T61" i="48" s="1"/>
  <c r="X61" i="48" s="1"/>
  <c r="S61" i="48"/>
  <c r="V61" i="48" s="1"/>
  <c r="Z61" i="48" s="1"/>
  <c r="L63" i="48"/>
  <c r="R62" i="48"/>
  <c r="S40" i="46"/>
  <c r="V40" i="46" s="1"/>
  <c r="Z40" i="46" s="1"/>
  <c r="Q40" i="46"/>
  <c r="T40" i="46" s="1"/>
  <c r="X40" i="46" s="1"/>
  <c r="U40" i="46"/>
  <c r="Y40" i="46" s="1"/>
  <c r="R41" i="46"/>
  <c r="L42" i="46"/>
  <c r="R38" i="45"/>
  <c r="L39" i="45"/>
  <c r="B61" i="45"/>
  <c r="W60" i="45"/>
  <c r="U37" i="45"/>
  <c r="Y37" i="45" s="1"/>
  <c r="Q37" i="45"/>
  <c r="T37" i="45" s="1"/>
  <c r="X37" i="45" s="1"/>
  <c r="S37" i="45"/>
  <c r="V37" i="45" s="1"/>
  <c r="Z37" i="45" s="1"/>
  <c r="B42" i="44"/>
  <c r="W41" i="44"/>
  <c r="S38" i="44"/>
  <c r="V38" i="44" s="1"/>
  <c r="Z38" i="44" s="1"/>
  <c r="U38" i="44"/>
  <c r="Y38" i="44" s="1"/>
  <c r="Q38" i="44"/>
  <c r="T38" i="44" s="1"/>
  <c r="X38" i="44" s="1"/>
  <c r="R39" i="44"/>
  <c r="L40" i="44"/>
  <c r="L39" i="43"/>
  <c r="R38" i="43"/>
  <c r="U37" i="43"/>
  <c r="Y37" i="43" s="1"/>
  <c r="Q37" i="43"/>
  <c r="T37" i="43" s="1"/>
  <c r="X37" i="43" s="1"/>
  <c r="S37" i="43"/>
  <c r="V37" i="43" s="1"/>
  <c r="Z37" i="43" s="1"/>
  <c r="R35" i="42"/>
  <c r="L36" i="42"/>
  <c r="U34" i="42"/>
  <c r="Y34" i="42" s="1"/>
  <c r="Q34" i="42"/>
  <c r="T34" i="42" s="1"/>
  <c r="X34" i="42" s="1"/>
  <c r="S34" i="42"/>
  <c r="V34" i="42" s="1"/>
  <c r="Z34" i="42" s="1"/>
  <c r="B39" i="41"/>
  <c r="W38" i="41"/>
  <c r="S33" i="41"/>
  <c r="V33" i="41" s="1"/>
  <c r="Z33" i="41" s="1"/>
  <c r="U33" i="41"/>
  <c r="Y33" i="41" s="1"/>
  <c r="Q33" i="41"/>
  <c r="T33" i="41" s="1"/>
  <c r="X33" i="41" s="1"/>
  <c r="R34" i="41"/>
  <c r="L35" i="41"/>
  <c r="I22" i="34"/>
  <c r="K22" i="34"/>
  <c r="G25" i="26"/>
  <c r="J23" i="34"/>
  <c r="H23" i="34"/>
  <c r="K23" i="34" s="1"/>
  <c r="F23" i="34"/>
  <c r="I23" i="34" s="1"/>
  <c r="P15" i="37"/>
  <c r="M20" i="37"/>
  <c r="S14" i="37"/>
  <c r="V14" i="37" s="1"/>
  <c r="Z14" i="37" s="1"/>
  <c r="Q14" i="37"/>
  <c r="T14" i="37" s="1"/>
  <c r="X14" i="37" s="1"/>
  <c r="U14" i="37"/>
  <c r="Y14" i="37" s="1"/>
  <c r="L27" i="37"/>
  <c r="R14" i="34"/>
  <c r="P74" i="34"/>
  <c r="P15" i="33"/>
  <c r="K14" i="34"/>
  <c r="K6" i="34" s="1"/>
  <c r="E16" i="24" s="1"/>
  <c r="E74" i="34"/>
  <c r="B25" i="34"/>
  <c r="W24" i="34"/>
  <c r="R16" i="34"/>
  <c r="V13" i="34"/>
  <c r="I14" i="34"/>
  <c r="I6" i="34" s="1"/>
  <c r="C16" i="24" s="1"/>
  <c r="C74" i="34"/>
  <c r="T13" i="34"/>
  <c r="L19" i="34"/>
  <c r="Y13" i="34"/>
  <c r="S15" i="34"/>
  <c r="V15" i="34" s="1"/>
  <c r="Z15" i="34" s="1"/>
  <c r="U15" i="34"/>
  <c r="Y15" i="34" s="1"/>
  <c r="Q15" i="34"/>
  <c r="T15" i="34" s="1"/>
  <c r="X15" i="34" s="1"/>
  <c r="B28" i="33"/>
  <c r="W27" i="33"/>
  <c r="I14" i="33"/>
  <c r="I6" i="33" s="1"/>
  <c r="C22" i="24" s="1"/>
  <c r="C74" i="33"/>
  <c r="Z13" i="33"/>
  <c r="L19" i="33"/>
  <c r="X13" i="33"/>
  <c r="M17" i="33"/>
  <c r="K14" i="33"/>
  <c r="K6" i="33" s="1"/>
  <c r="E22" i="24" s="1"/>
  <c r="E74" i="33"/>
  <c r="U62" i="48" l="1"/>
  <c r="Y62" i="48" s="1"/>
  <c r="Q62" i="48"/>
  <c r="T62" i="48" s="1"/>
  <c r="X62" i="48" s="1"/>
  <c r="S62" i="48"/>
  <c r="V62" i="48" s="1"/>
  <c r="Z62" i="48" s="1"/>
  <c r="L64" i="48"/>
  <c r="R63" i="48"/>
  <c r="U41" i="46"/>
  <c r="Y41" i="46" s="1"/>
  <c r="Q41" i="46"/>
  <c r="T41" i="46" s="1"/>
  <c r="X41" i="46" s="1"/>
  <c r="S41" i="46"/>
  <c r="V41" i="46" s="1"/>
  <c r="Z41" i="46" s="1"/>
  <c r="R42" i="46"/>
  <c r="L43" i="46"/>
  <c r="B62" i="45"/>
  <c r="W61" i="45"/>
  <c r="R39" i="45"/>
  <c r="L40" i="45"/>
  <c r="S38" i="45"/>
  <c r="V38" i="45" s="1"/>
  <c r="Z38" i="45" s="1"/>
  <c r="Q38" i="45"/>
  <c r="T38" i="45" s="1"/>
  <c r="X38" i="45" s="1"/>
  <c r="U38" i="45"/>
  <c r="Y38" i="45" s="1"/>
  <c r="U39" i="44"/>
  <c r="Y39" i="44" s="1"/>
  <c r="Q39" i="44"/>
  <c r="T39" i="44" s="1"/>
  <c r="X39" i="44" s="1"/>
  <c r="S39" i="44"/>
  <c r="V39" i="44" s="1"/>
  <c r="Z39" i="44" s="1"/>
  <c r="B43" i="44"/>
  <c r="W42" i="44"/>
  <c r="L41" i="44"/>
  <c r="R40" i="44"/>
  <c r="U38" i="43"/>
  <c r="Y38" i="43" s="1"/>
  <c r="Q38" i="43"/>
  <c r="T38" i="43" s="1"/>
  <c r="X38" i="43" s="1"/>
  <c r="S38" i="43"/>
  <c r="V38" i="43" s="1"/>
  <c r="Z38" i="43" s="1"/>
  <c r="R39" i="43"/>
  <c r="L40" i="43"/>
  <c r="R36" i="42"/>
  <c r="L37" i="42"/>
  <c r="U35" i="42"/>
  <c r="Y35" i="42" s="1"/>
  <c r="S35" i="42"/>
  <c r="V35" i="42" s="1"/>
  <c r="Z35" i="42" s="1"/>
  <c r="Q35" i="42"/>
  <c r="T35" i="42" s="1"/>
  <c r="X35" i="42" s="1"/>
  <c r="B40" i="41"/>
  <c r="W39" i="41"/>
  <c r="R35" i="41"/>
  <c r="L36" i="41"/>
  <c r="S34" i="41"/>
  <c r="V34" i="41" s="1"/>
  <c r="Z34" i="41" s="1"/>
  <c r="U34" i="41"/>
  <c r="Y34" i="41" s="1"/>
  <c r="Q34" i="41"/>
  <c r="T34" i="41" s="1"/>
  <c r="X34" i="41" s="1"/>
  <c r="P16" i="37"/>
  <c r="R15" i="37"/>
  <c r="G26" i="26"/>
  <c r="M21" i="37"/>
  <c r="L28" i="37"/>
  <c r="Q14" i="33"/>
  <c r="T14" i="33" s="1"/>
  <c r="X14" i="33" s="1"/>
  <c r="S14" i="33"/>
  <c r="V14" i="33" s="1"/>
  <c r="U14" i="33"/>
  <c r="Y14" i="33" s="1"/>
  <c r="P16" i="33"/>
  <c r="S14" i="34"/>
  <c r="V14" i="34" s="1"/>
  <c r="Z14" i="34" s="1"/>
  <c r="U14" i="34"/>
  <c r="Y14" i="34" s="1"/>
  <c r="Q14" i="34"/>
  <c r="T14" i="34" s="1"/>
  <c r="X14" i="34" s="1"/>
  <c r="R17" i="34"/>
  <c r="Z13" i="34"/>
  <c r="L20" i="34"/>
  <c r="X13" i="34"/>
  <c r="S16" i="34"/>
  <c r="V16" i="34" s="1"/>
  <c r="Z16" i="34" s="1"/>
  <c r="U16" i="34"/>
  <c r="Y16" i="34" s="1"/>
  <c r="Q16" i="34"/>
  <c r="T16" i="34" s="1"/>
  <c r="X16" i="34" s="1"/>
  <c r="B26" i="34"/>
  <c r="W25" i="34"/>
  <c r="L20" i="33"/>
  <c r="B29" i="33"/>
  <c r="W28" i="33"/>
  <c r="M18" i="33"/>
  <c r="R64" i="48" l="1"/>
  <c r="L65" i="48"/>
  <c r="U63" i="48"/>
  <c r="Y63" i="48" s="1"/>
  <c r="Q63" i="48"/>
  <c r="T63" i="48" s="1"/>
  <c r="X63" i="48" s="1"/>
  <c r="S63" i="48"/>
  <c r="V63" i="48" s="1"/>
  <c r="Z63" i="48" s="1"/>
  <c r="U42" i="46"/>
  <c r="Y42" i="46" s="1"/>
  <c r="Q42" i="46"/>
  <c r="T42" i="46" s="1"/>
  <c r="X42" i="46" s="1"/>
  <c r="S42" i="46"/>
  <c r="V42" i="46" s="1"/>
  <c r="Z42" i="46" s="1"/>
  <c r="L44" i="46"/>
  <c r="R43" i="46"/>
  <c r="S39" i="45"/>
  <c r="V39" i="45" s="1"/>
  <c r="Z39" i="45" s="1"/>
  <c r="U39" i="45"/>
  <c r="Y39" i="45" s="1"/>
  <c r="Q39" i="45"/>
  <c r="T39" i="45" s="1"/>
  <c r="X39" i="45" s="1"/>
  <c r="B63" i="45"/>
  <c r="W62" i="45"/>
  <c r="R40" i="45"/>
  <c r="L41" i="45"/>
  <c r="B44" i="44"/>
  <c r="W43" i="44"/>
  <c r="U40" i="44"/>
  <c r="Y40" i="44" s="1"/>
  <c r="Q40" i="44"/>
  <c r="T40" i="44" s="1"/>
  <c r="X40" i="44" s="1"/>
  <c r="S40" i="44"/>
  <c r="V40" i="44" s="1"/>
  <c r="Z40" i="44" s="1"/>
  <c r="L42" i="44"/>
  <c r="R41" i="44"/>
  <c r="S39" i="43"/>
  <c r="V39" i="43" s="1"/>
  <c r="Z39" i="43" s="1"/>
  <c r="Q39" i="43"/>
  <c r="T39" i="43" s="1"/>
  <c r="X39" i="43" s="1"/>
  <c r="U39" i="43"/>
  <c r="Y39" i="43" s="1"/>
  <c r="R40" i="43"/>
  <c r="L41" i="43"/>
  <c r="L38" i="42"/>
  <c r="R37" i="42"/>
  <c r="U36" i="42"/>
  <c r="Y36" i="42" s="1"/>
  <c r="Q36" i="42"/>
  <c r="T36" i="42" s="1"/>
  <c r="X36" i="42" s="1"/>
  <c r="S36" i="42"/>
  <c r="V36" i="42" s="1"/>
  <c r="Z36" i="42" s="1"/>
  <c r="U35" i="41"/>
  <c r="Y35" i="41" s="1"/>
  <c r="Q35" i="41"/>
  <c r="T35" i="41" s="1"/>
  <c r="X35" i="41" s="1"/>
  <c r="S35" i="41"/>
  <c r="V35" i="41" s="1"/>
  <c r="Z35" i="41" s="1"/>
  <c r="L37" i="41"/>
  <c r="R36" i="41"/>
  <c r="B41" i="41"/>
  <c r="W40" i="41"/>
  <c r="G27" i="26"/>
  <c r="U15" i="37"/>
  <c r="Y15" i="37" s="1"/>
  <c r="S15" i="37"/>
  <c r="V15" i="37" s="1"/>
  <c r="Z15" i="37" s="1"/>
  <c r="Q15" i="37"/>
  <c r="T15" i="37" s="1"/>
  <c r="X15" i="37" s="1"/>
  <c r="P17" i="37"/>
  <c r="R16" i="37"/>
  <c r="M22" i="37"/>
  <c r="L29" i="37"/>
  <c r="U15" i="33"/>
  <c r="Y15" i="33" s="1"/>
  <c r="Q15" i="33"/>
  <c r="T15" i="33" s="1"/>
  <c r="X15" i="33" s="1"/>
  <c r="S15" i="33"/>
  <c r="V15" i="33" s="1"/>
  <c r="Z15" i="33" s="1"/>
  <c r="P17" i="33"/>
  <c r="B27" i="34"/>
  <c r="W26" i="34"/>
  <c r="L21" i="34"/>
  <c r="S17" i="34"/>
  <c r="V17" i="34" s="1"/>
  <c r="U17" i="34"/>
  <c r="Y17" i="34" s="1"/>
  <c r="Q17" i="34"/>
  <c r="R18" i="34"/>
  <c r="B30" i="33"/>
  <c r="W29" i="33"/>
  <c r="Z14" i="33"/>
  <c r="M19" i="33"/>
  <c r="L21" i="33"/>
  <c r="S64" i="48" l="1"/>
  <c r="V64" i="48" s="1"/>
  <c r="Z64" i="48" s="1"/>
  <c r="Q64" i="48"/>
  <c r="T64" i="48" s="1"/>
  <c r="X64" i="48" s="1"/>
  <c r="U64" i="48"/>
  <c r="Y64" i="48" s="1"/>
  <c r="R65" i="48"/>
  <c r="L66" i="48"/>
  <c r="R44" i="46"/>
  <c r="L45" i="46"/>
  <c r="U43" i="46"/>
  <c r="Y43" i="46" s="1"/>
  <c r="Q43" i="46"/>
  <c r="T43" i="46" s="1"/>
  <c r="X43" i="46" s="1"/>
  <c r="S43" i="46"/>
  <c r="V43" i="46" s="1"/>
  <c r="Z43" i="46" s="1"/>
  <c r="B64" i="45"/>
  <c r="W63" i="45"/>
  <c r="U40" i="45"/>
  <c r="Y40" i="45" s="1"/>
  <c r="Q40" i="45"/>
  <c r="T40" i="45" s="1"/>
  <c r="X40" i="45" s="1"/>
  <c r="S40" i="45"/>
  <c r="V40" i="45" s="1"/>
  <c r="Z40" i="45" s="1"/>
  <c r="L42" i="45"/>
  <c r="R41" i="45"/>
  <c r="S41" i="44"/>
  <c r="V41" i="44" s="1"/>
  <c r="Z41" i="44" s="1"/>
  <c r="U41" i="44"/>
  <c r="Y41" i="44" s="1"/>
  <c r="Q41" i="44"/>
  <c r="T41" i="44" s="1"/>
  <c r="X41" i="44" s="1"/>
  <c r="R42" i="44"/>
  <c r="L43" i="44"/>
  <c r="B45" i="44"/>
  <c r="W44" i="44"/>
  <c r="S40" i="43"/>
  <c r="V40" i="43" s="1"/>
  <c r="Z40" i="43" s="1"/>
  <c r="U40" i="43"/>
  <c r="Y40" i="43" s="1"/>
  <c r="Q40" i="43"/>
  <c r="T40" i="43" s="1"/>
  <c r="X40" i="43" s="1"/>
  <c r="R41" i="43"/>
  <c r="L42" i="43"/>
  <c r="U37" i="42"/>
  <c r="Y37" i="42" s="1"/>
  <c r="Q37" i="42"/>
  <c r="T37" i="42" s="1"/>
  <c r="X37" i="42" s="1"/>
  <c r="S37" i="42"/>
  <c r="V37" i="42" s="1"/>
  <c r="Z37" i="42" s="1"/>
  <c r="R38" i="42"/>
  <c r="L39" i="42"/>
  <c r="R37" i="41"/>
  <c r="L38" i="41"/>
  <c r="B42" i="41"/>
  <c r="W41" i="41"/>
  <c r="U36" i="41"/>
  <c r="Y36" i="41" s="1"/>
  <c r="Q36" i="41"/>
  <c r="T36" i="41" s="1"/>
  <c r="X36" i="41" s="1"/>
  <c r="S36" i="41"/>
  <c r="V36" i="41" s="1"/>
  <c r="Z36" i="41" s="1"/>
  <c r="J21" i="37"/>
  <c r="F21" i="37"/>
  <c r="I21" i="37" s="1"/>
  <c r="H21" i="37"/>
  <c r="K21" i="37" s="1"/>
  <c r="U16" i="37"/>
  <c r="Y16" i="37" s="1"/>
  <c r="Q16" i="37"/>
  <c r="T16" i="37" s="1"/>
  <c r="X16" i="37" s="1"/>
  <c r="S16" i="37"/>
  <c r="V16" i="37" s="1"/>
  <c r="Z16" i="37" s="1"/>
  <c r="P18" i="37"/>
  <c r="R17" i="37"/>
  <c r="G28" i="26"/>
  <c r="J26" i="34"/>
  <c r="H26" i="34"/>
  <c r="K26" i="34" s="1"/>
  <c r="F26" i="34"/>
  <c r="I26" i="34" s="1"/>
  <c r="M23" i="37"/>
  <c r="L30" i="37"/>
  <c r="U16" i="33"/>
  <c r="Y16" i="33" s="1"/>
  <c r="Q16" i="33"/>
  <c r="T16" i="33" s="1"/>
  <c r="X16" i="33" s="1"/>
  <c r="S16" i="33"/>
  <c r="V16" i="33" s="1"/>
  <c r="Z16" i="33" s="1"/>
  <c r="P18" i="33"/>
  <c r="S18" i="34"/>
  <c r="V18" i="34" s="1"/>
  <c r="Z18" i="34" s="1"/>
  <c r="U18" i="34"/>
  <c r="Q18" i="34"/>
  <c r="T18" i="34" s="1"/>
  <c r="X18" i="34" s="1"/>
  <c r="Z17" i="34"/>
  <c r="R19" i="34"/>
  <c r="T17" i="34"/>
  <c r="L22" i="34"/>
  <c r="B28" i="34"/>
  <c r="W27" i="34"/>
  <c r="L22" i="33"/>
  <c r="B31" i="33"/>
  <c r="W30" i="33"/>
  <c r="M20" i="33"/>
  <c r="R66" i="48" l="1"/>
  <c r="L67" i="48"/>
  <c r="S65" i="48"/>
  <c r="V65" i="48" s="1"/>
  <c r="Z65" i="48" s="1"/>
  <c r="Q65" i="48"/>
  <c r="T65" i="48" s="1"/>
  <c r="X65" i="48" s="1"/>
  <c r="U65" i="48"/>
  <c r="Y65" i="48" s="1"/>
  <c r="R45" i="46"/>
  <c r="L46" i="46"/>
  <c r="S44" i="46"/>
  <c r="V44" i="46" s="1"/>
  <c r="Z44" i="46" s="1"/>
  <c r="U44" i="46"/>
  <c r="Y44" i="46" s="1"/>
  <c r="Q44" i="46"/>
  <c r="T44" i="46" s="1"/>
  <c r="X44" i="46" s="1"/>
  <c r="L43" i="45"/>
  <c r="R42" i="45"/>
  <c r="U41" i="45"/>
  <c r="Y41" i="45" s="1"/>
  <c r="Q41" i="45"/>
  <c r="T41" i="45" s="1"/>
  <c r="X41" i="45" s="1"/>
  <c r="S41" i="45"/>
  <c r="V41" i="45" s="1"/>
  <c r="Z41" i="45" s="1"/>
  <c r="B65" i="45"/>
  <c r="W64" i="45"/>
  <c r="S42" i="44"/>
  <c r="V42" i="44" s="1"/>
  <c r="Z42" i="44" s="1"/>
  <c r="U42" i="44"/>
  <c r="Y42" i="44" s="1"/>
  <c r="Q42" i="44"/>
  <c r="T42" i="44" s="1"/>
  <c r="X42" i="44" s="1"/>
  <c r="B46" i="44"/>
  <c r="W45" i="44"/>
  <c r="R43" i="44"/>
  <c r="L44" i="44"/>
  <c r="U41" i="43"/>
  <c r="Y41" i="43" s="1"/>
  <c r="Q41" i="43"/>
  <c r="T41" i="43" s="1"/>
  <c r="X41" i="43" s="1"/>
  <c r="S41" i="43"/>
  <c r="V41" i="43" s="1"/>
  <c r="Z41" i="43" s="1"/>
  <c r="L43" i="43"/>
  <c r="R42" i="43"/>
  <c r="S38" i="42"/>
  <c r="V38" i="42" s="1"/>
  <c r="Z38" i="42" s="1"/>
  <c r="U38" i="42"/>
  <c r="Y38" i="42" s="1"/>
  <c r="Q38" i="42"/>
  <c r="T38" i="42" s="1"/>
  <c r="X38" i="42" s="1"/>
  <c r="R39" i="42"/>
  <c r="L40" i="42"/>
  <c r="B43" i="41"/>
  <c r="W42" i="41"/>
  <c r="R38" i="41"/>
  <c r="L39" i="41"/>
  <c r="S37" i="41"/>
  <c r="V37" i="41" s="1"/>
  <c r="Z37" i="41" s="1"/>
  <c r="Q37" i="41"/>
  <c r="T37" i="41" s="1"/>
  <c r="X37" i="41" s="1"/>
  <c r="U37" i="41"/>
  <c r="Y37" i="41" s="1"/>
  <c r="H22" i="37"/>
  <c r="K22" i="37" s="1"/>
  <c r="J22" i="37"/>
  <c r="F22" i="37"/>
  <c r="I22" i="37" s="1"/>
  <c r="J27" i="34"/>
  <c r="H27" i="34"/>
  <c r="K27" i="34" s="1"/>
  <c r="F27" i="34"/>
  <c r="I27" i="34" s="1"/>
  <c r="G29" i="26"/>
  <c r="S17" i="37"/>
  <c r="V17" i="37" s="1"/>
  <c r="Z17" i="37" s="1"/>
  <c r="Q17" i="37"/>
  <c r="T17" i="37" s="1"/>
  <c r="X17" i="37" s="1"/>
  <c r="U17" i="37"/>
  <c r="Y17" i="37" s="1"/>
  <c r="P19" i="37"/>
  <c r="R18" i="37"/>
  <c r="M24" i="37"/>
  <c r="L31" i="37"/>
  <c r="U17" i="33"/>
  <c r="Y17" i="33" s="1"/>
  <c r="Q17" i="33"/>
  <c r="T17" i="33" s="1"/>
  <c r="X17" i="33" s="1"/>
  <c r="S17" i="33"/>
  <c r="V17" i="33" s="1"/>
  <c r="Z17" i="33" s="1"/>
  <c r="P19" i="33"/>
  <c r="B29" i="34"/>
  <c r="W28" i="34"/>
  <c r="X17" i="34"/>
  <c r="R20" i="34"/>
  <c r="Y18" i="34"/>
  <c r="L23" i="34"/>
  <c r="S19" i="34"/>
  <c r="U19" i="34"/>
  <c r="Y19" i="34" s="1"/>
  <c r="Q19" i="34"/>
  <c r="T19" i="34" s="1"/>
  <c r="X19" i="34" s="1"/>
  <c r="B32" i="33"/>
  <c r="W31" i="33"/>
  <c r="M21" i="33"/>
  <c r="L23" i="33"/>
  <c r="L68" i="48" l="1"/>
  <c r="R67" i="48"/>
  <c r="U66" i="48"/>
  <c r="Y66" i="48" s="1"/>
  <c r="Q66" i="48"/>
  <c r="T66" i="48" s="1"/>
  <c r="X66" i="48" s="1"/>
  <c r="S66" i="48"/>
  <c r="V66" i="48" s="1"/>
  <c r="Z66" i="48" s="1"/>
  <c r="R46" i="46"/>
  <c r="L47" i="46"/>
  <c r="S45" i="46"/>
  <c r="V45" i="46" s="1"/>
  <c r="Z45" i="46" s="1"/>
  <c r="U45" i="46"/>
  <c r="Y45" i="46" s="1"/>
  <c r="Q45" i="46"/>
  <c r="T45" i="46" s="1"/>
  <c r="X45" i="46" s="1"/>
  <c r="S42" i="45"/>
  <c r="V42" i="45" s="1"/>
  <c r="Z42" i="45" s="1"/>
  <c r="U42" i="45"/>
  <c r="Y42" i="45" s="1"/>
  <c r="Q42" i="45"/>
  <c r="T42" i="45" s="1"/>
  <c r="X42" i="45" s="1"/>
  <c r="B66" i="45"/>
  <c r="W65" i="45"/>
  <c r="L44" i="45"/>
  <c r="R43" i="45"/>
  <c r="B47" i="44"/>
  <c r="W46" i="44"/>
  <c r="R44" i="44"/>
  <c r="L45" i="44"/>
  <c r="S43" i="44"/>
  <c r="V43" i="44" s="1"/>
  <c r="Z43" i="44" s="1"/>
  <c r="U43" i="44"/>
  <c r="Y43" i="44" s="1"/>
  <c r="Q43" i="44"/>
  <c r="R43" i="43"/>
  <c r="L44" i="43"/>
  <c r="U42" i="43"/>
  <c r="Y42" i="43" s="1"/>
  <c r="Q42" i="43"/>
  <c r="T42" i="43" s="1"/>
  <c r="X42" i="43" s="1"/>
  <c r="S42" i="43"/>
  <c r="V42" i="43" s="1"/>
  <c r="Z42" i="43" s="1"/>
  <c r="S39" i="42"/>
  <c r="V39" i="42" s="1"/>
  <c r="Z39" i="42" s="1"/>
  <c r="Q39" i="42"/>
  <c r="T39" i="42" s="1"/>
  <c r="X39" i="42" s="1"/>
  <c r="U39" i="42"/>
  <c r="Y39" i="42" s="1"/>
  <c r="R40" i="42"/>
  <c r="L41" i="42"/>
  <c r="R39" i="41"/>
  <c r="L40" i="41"/>
  <c r="B44" i="41"/>
  <c r="W43" i="41"/>
  <c r="S38" i="41"/>
  <c r="V38" i="41" s="1"/>
  <c r="Z38" i="41" s="1"/>
  <c r="U38" i="41"/>
  <c r="Y38" i="41" s="1"/>
  <c r="Q38" i="41"/>
  <c r="T38" i="41" s="1"/>
  <c r="X38" i="41" s="1"/>
  <c r="F23" i="37"/>
  <c r="I23" i="37" s="1"/>
  <c r="H23" i="37"/>
  <c r="K23" i="37" s="1"/>
  <c r="J23" i="37"/>
  <c r="S18" i="37"/>
  <c r="V18" i="37" s="1"/>
  <c r="Z18" i="37" s="1"/>
  <c r="Q18" i="37"/>
  <c r="T18" i="37" s="1"/>
  <c r="X18" i="37" s="1"/>
  <c r="U18" i="37"/>
  <c r="Y18" i="37" s="1"/>
  <c r="P20" i="37"/>
  <c r="R19" i="37"/>
  <c r="J28" i="34"/>
  <c r="H28" i="34"/>
  <c r="K28" i="34" s="1"/>
  <c r="F28" i="34"/>
  <c r="I28" i="34" s="1"/>
  <c r="G30" i="26"/>
  <c r="M25" i="37"/>
  <c r="L32" i="37"/>
  <c r="U18" i="33"/>
  <c r="Y18" i="33" s="1"/>
  <c r="Q18" i="33"/>
  <c r="T18" i="33" s="1"/>
  <c r="X18" i="33" s="1"/>
  <c r="S18" i="33"/>
  <c r="V18" i="33" s="1"/>
  <c r="Z18" i="33" s="1"/>
  <c r="P20" i="33"/>
  <c r="V19" i="34"/>
  <c r="L24" i="34"/>
  <c r="S20" i="34"/>
  <c r="V20" i="34" s="1"/>
  <c r="Z20" i="34" s="1"/>
  <c r="U20" i="34"/>
  <c r="Y20" i="34" s="1"/>
  <c r="Q20" i="34"/>
  <c r="R21" i="34"/>
  <c r="B30" i="34"/>
  <c r="W29" i="34"/>
  <c r="B33" i="33"/>
  <c r="W32" i="33"/>
  <c r="M22" i="33"/>
  <c r="L24" i="33"/>
  <c r="U67" i="48" l="1"/>
  <c r="Y67" i="48" s="1"/>
  <c r="Q67" i="48"/>
  <c r="T67" i="48" s="1"/>
  <c r="X67" i="48" s="1"/>
  <c r="S67" i="48"/>
  <c r="V67" i="48" s="1"/>
  <c r="Z67" i="48" s="1"/>
  <c r="L69" i="48"/>
  <c r="R68" i="48"/>
  <c r="L48" i="46"/>
  <c r="R47" i="46"/>
  <c r="U46" i="46"/>
  <c r="Y46" i="46" s="1"/>
  <c r="Q46" i="46"/>
  <c r="T46" i="46" s="1"/>
  <c r="X46" i="46" s="1"/>
  <c r="S46" i="46"/>
  <c r="V46" i="46" s="1"/>
  <c r="Z46" i="46" s="1"/>
  <c r="B67" i="45"/>
  <c r="W66" i="45"/>
  <c r="U43" i="45"/>
  <c r="Y43" i="45" s="1"/>
  <c r="Q43" i="45"/>
  <c r="T43" i="45" s="1"/>
  <c r="X43" i="45" s="1"/>
  <c r="S43" i="45"/>
  <c r="V43" i="45" s="1"/>
  <c r="Z43" i="45" s="1"/>
  <c r="R44" i="45"/>
  <c r="L45" i="45"/>
  <c r="U44" i="44"/>
  <c r="Y44" i="44" s="1"/>
  <c r="Q44" i="44"/>
  <c r="T44" i="44" s="1"/>
  <c r="X44" i="44" s="1"/>
  <c r="S44" i="44"/>
  <c r="V44" i="44" s="1"/>
  <c r="Z44" i="44" s="1"/>
  <c r="B48" i="44"/>
  <c r="W47" i="44"/>
  <c r="L46" i="44"/>
  <c r="R45" i="44"/>
  <c r="R44" i="43"/>
  <c r="L45" i="43"/>
  <c r="S43" i="43"/>
  <c r="V43" i="43" s="1"/>
  <c r="Z43" i="43" s="1"/>
  <c r="U43" i="43"/>
  <c r="Y43" i="43" s="1"/>
  <c r="Q43" i="43"/>
  <c r="T43" i="43" s="1"/>
  <c r="X43" i="43" s="1"/>
  <c r="U40" i="42"/>
  <c r="Y40" i="42" s="1"/>
  <c r="Q40" i="42"/>
  <c r="T40" i="42" s="1"/>
  <c r="X40" i="42" s="1"/>
  <c r="S40" i="42"/>
  <c r="V40" i="42" s="1"/>
  <c r="Z40" i="42" s="1"/>
  <c r="L42" i="42"/>
  <c r="R41" i="42"/>
  <c r="B45" i="41"/>
  <c r="W44" i="41"/>
  <c r="L41" i="41"/>
  <c r="R40" i="41"/>
  <c r="U39" i="41"/>
  <c r="Y39" i="41" s="1"/>
  <c r="Q39" i="41"/>
  <c r="T39" i="41" s="1"/>
  <c r="X39" i="41" s="1"/>
  <c r="S39" i="41"/>
  <c r="V39" i="41" s="1"/>
  <c r="Z39" i="41" s="1"/>
  <c r="F24" i="37"/>
  <c r="J24" i="37"/>
  <c r="H24" i="37"/>
  <c r="J29" i="34"/>
  <c r="H29" i="34"/>
  <c r="K29" i="34" s="1"/>
  <c r="F29" i="34"/>
  <c r="I29" i="34" s="1"/>
  <c r="G31" i="26"/>
  <c r="S19" i="37"/>
  <c r="V19" i="37" s="1"/>
  <c r="Z19" i="37" s="1"/>
  <c r="Q19" i="37"/>
  <c r="T19" i="37" s="1"/>
  <c r="X19" i="37" s="1"/>
  <c r="U19" i="37"/>
  <c r="Y19" i="37" s="1"/>
  <c r="P21" i="37"/>
  <c r="R20" i="37"/>
  <c r="M26" i="37"/>
  <c r="L33" i="37"/>
  <c r="U19" i="33"/>
  <c r="Y19" i="33" s="1"/>
  <c r="Q19" i="33"/>
  <c r="T19" i="33" s="1"/>
  <c r="X19" i="33" s="1"/>
  <c r="S19" i="33"/>
  <c r="V19" i="33" s="1"/>
  <c r="Z19" i="33" s="1"/>
  <c r="P21" i="33"/>
  <c r="S21" i="34"/>
  <c r="V21" i="34" s="1"/>
  <c r="Z21" i="34" s="1"/>
  <c r="U21" i="34"/>
  <c r="Y21" i="34" s="1"/>
  <c r="Q21" i="34"/>
  <c r="T21" i="34" s="1"/>
  <c r="X21" i="34" s="1"/>
  <c r="R22" i="34"/>
  <c r="B31" i="34"/>
  <c r="W30" i="34"/>
  <c r="L25" i="34"/>
  <c r="Z19" i="34"/>
  <c r="T20" i="34"/>
  <c r="L25" i="33"/>
  <c r="M23" i="33"/>
  <c r="B34" i="33"/>
  <c r="W33" i="33"/>
  <c r="R69" i="48" l="1"/>
  <c r="L70" i="48"/>
  <c r="S68" i="48"/>
  <c r="V68" i="48" s="1"/>
  <c r="Z68" i="48" s="1"/>
  <c r="U68" i="48"/>
  <c r="Y68" i="48" s="1"/>
  <c r="Q68" i="48"/>
  <c r="T68" i="48" s="1"/>
  <c r="X68" i="48" s="1"/>
  <c r="U47" i="46"/>
  <c r="Y47" i="46" s="1"/>
  <c r="Q47" i="46"/>
  <c r="T47" i="46" s="1"/>
  <c r="X47" i="46" s="1"/>
  <c r="S47" i="46"/>
  <c r="V47" i="46" s="1"/>
  <c r="Z47" i="46" s="1"/>
  <c r="R48" i="46"/>
  <c r="L49" i="46"/>
  <c r="L46" i="45"/>
  <c r="R45" i="45"/>
  <c r="S44" i="45"/>
  <c r="V44" i="45" s="1"/>
  <c r="Z44" i="45" s="1"/>
  <c r="Q44" i="45"/>
  <c r="T44" i="45" s="1"/>
  <c r="X44" i="45" s="1"/>
  <c r="U44" i="45"/>
  <c r="Y44" i="45" s="1"/>
  <c r="B68" i="45"/>
  <c r="W67" i="45"/>
  <c r="B49" i="44"/>
  <c r="W48" i="44"/>
  <c r="U45" i="44"/>
  <c r="Y45" i="44" s="1"/>
  <c r="Q45" i="44"/>
  <c r="T45" i="44" s="1"/>
  <c r="X45" i="44" s="1"/>
  <c r="S45" i="44"/>
  <c r="V45" i="44" s="1"/>
  <c r="Z45" i="44" s="1"/>
  <c r="R46" i="44"/>
  <c r="L47" i="44"/>
  <c r="R45" i="43"/>
  <c r="L46" i="43"/>
  <c r="S44" i="43"/>
  <c r="V44" i="43" s="1"/>
  <c r="Z44" i="43" s="1"/>
  <c r="U44" i="43"/>
  <c r="Y44" i="43" s="1"/>
  <c r="Q44" i="43"/>
  <c r="T44" i="43" s="1"/>
  <c r="X44" i="43" s="1"/>
  <c r="R42" i="42"/>
  <c r="L43" i="42"/>
  <c r="U41" i="42"/>
  <c r="Y41" i="42" s="1"/>
  <c r="Q41" i="42"/>
  <c r="T41" i="42" s="1"/>
  <c r="X41" i="42" s="1"/>
  <c r="S41" i="42"/>
  <c r="V41" i="42" s="1"/>
  <c r="Z41" i="42" s="1"/>
  <c r="R41" i="41"/>
  <c r="L42" i="41"/>
  <c r="U40" i="41"/>
  <c r="Y40" i="41" s="1"/>
  <c r="Q40" i="41"/>
  <c r="T40" i="41" s="1"/>
  <c r="X40" i="41" s="1"/>
  <c r="S40" i="41"/>
  <c r="V40" i="41" s="1"/>
  <c r="Z40" i="41" s="1"/>
  <c r="B46" i="41"/>
  <c r="W45" i="41"/>
  <c r="I24" i="37"/>
  <c r="K24" i="37"/>
  <c r="F25" i="37"/>
  <c r="I25" i="37" s="1"/>
  <c r="H25" i="37"/>
  <c r="K25" i="37" s="1"/>
  <c r="J25" i="37"/>
  <c r="U20" i="37"/>
  <c r="Y20" i="37" s="1"/>
  <c r="Q20" i="37"/>
  <c r="T20" i="37" s="1"/>
  <c r="X20" i="37" s="1"/>
  <c r="S20" i="37"/>
  <c r="V20" i="37" s="1"/>
  <c r="Z20" i="37" s="1"/>
  <c r="P22" i="37"/>
  <c r="R21" i="37"/>
  <c r="J30" i="34"/>
  <c r="H30" i="34"/>
  <c r="K30" i="34" s="1"/>
  <c r="F30" i="34"/>
  <c r="I30" i="34" s="1"/>
  <c r="G32" i="26"/>
  <c r="M27" i="37"/>
  <c r="L34" i="37"/>
  <c r="U20" i="33"/>
  <c r="Y20" i="33" s="1"/>
  <c r="Q20" i="33"/>
  <c r="T20" i="33" s="1"/>
  <c r="X20" i="33" s="1"/>
  <c r="S20" i="33"/>
  <c r="V20" i="33" s="1"/>
  <c r="Z20" i="33" s="1"/>
  <c r="P22" i="33"/>
  <c r="L26" i="34"/>
  <c r="S22" i="34"/>
  <c r="V22" i="34" s="1"/>
  <c r="Z22" i="34" s="1"/>
  <c r="U22" i="34"/>
  <c r="Y22" i="34" s="1"/>
  <c r="Q22" i="34"/>
  <c r="T22" i="34" s="1"/>
  <c r="X22" i="34" s="1"/>
  <c r="R23" i="34"/>
  <c r="X20" i="34"/>
  <c r="B32" i="34"/>
  <c r="W31" i="34"/>
  <c r="M24" i="33"/>
  <c r="L26" i="33"/>
  <c r="B35" i="33"/>
  <c r="W34" i="33"/>
  <c r="R70" i="48" l="1"/>
  <c r="L71" i="48"/>
  <c r="S69" i="48"/>
  <c r="V69" i="48" s="1"/>
  <c r="Z69" i="48" s="1"/>
  <c r="U69" i="48"/>
  <c r="Y69" i="48" s="1"/>
  <c r="Q69" i="48"/>
  <c r="T69" i="48" s="1"/>
  <c r="X69" i="48" s="1"/>
  <c r="S48" i="46"/>
  <c r="V48" i="46" s="1"/>
  <c r="Z48" i="46" s="1"/>
  <c r="U48" i="46"/>
  <c r="Y48" i="46" s="1"/>
  <c r="Q48" i="46"/>
  <c r="T48" i="46" s="1"/>
  <c r="X48" i="46" s="1"/>
  <c r="L50" i="46"/>
  <c r="R49" i="46"/>
  <c r="S45" i="45"/>
  <c r="V45" i="45" s="1"/>
  <c r="Z45" i="45" s="1"/>
  <c r="U45" i="45"/>
  <c r="Y45" i="45" s="1"/>
  <c r="Q45" i="45"/>
  <c r="T45" i="45" s="1"/>
  <c r="X45" i="45" s="1"/>
  <c r="B69" i="45"/>
  <c r="W68" i="45"/>
  <c r="R46" i="45"/>
  <c r="L47" i="45"/>
  <c r="B50" i="44"/>
  <c r="W49" i="44"/>
  <c r="R47" i="44"/>
  <c r="L48" i="44"/>
  <c r="S46" i="44"/>
  <c r="V46" i="44" s="1"/>
  <c r="Z46" i="44" s="1"/>
  <c r="U46" i="44"/>
  <c r="Y46" i="44" s="1"/>
  <c r="Q46" i="44"/>
  <c r="T46" i="44" s="1"/>
  <c r="X46" i="44" s="1"/>
  <c r="L47" i="43"/>
  <c r="R46" i="43"/>
  <c r="U45" i="43"/>
  <c r="Y45" i="43" s="1"/>
  <c r="Q45" i="43"/>
  <c r="T45" i="43" s="1"/>
  <c r="X45" i="43" s="1"/>
  <c r="S45" i="43"/>
  <c r="V45" i="43" s="1"/>
  <c r="Z45" i="43" s="1"/>
  <c r="R43" i="42"/>
  <c r="L44" i="42"/>
  <c r="S42" i="42"/>
  <c r="V42" i="42" s="1"/>
  <c r="Z42" i="42" s="1"/>
  <c r="Q42" i="42"/>
  <c r="T42" i="42" s="1"/>
  <c r="X42" i="42" s="1"/>
  <c r="U42" i="42"/>
  <c r="Y42" i="42" s="1"/>
  <c r="R42" i="41"/>
  <c r="L43" i="41"/>
  <c r="B47" i="41"/>
  <c r="W46" i="41"/>
  <c r="S41" i="41"/>
  <c r="V41" i="41" s="1"/>
  <c r="Z41" i="41" s="1"/>
  <c r="U41" i="41"/>
  <c r="Y41" i="41" s="1"/>
  <c r="Q41" i="41"/>
  <c r="T41" i="41" s="1"/>
  <c r="X41" i="41" s="1"/>
  <c r="H26" i="37"/>
  <c r="K26" i="37" s="1"/>
  <c r="F26" i="37"/>
  <c r="I26" i="37" s="1"/>
  <c r="J26" i="37"/>
  <c r="J31" i="34"/>
  <c r="H31" i="34"/>
  <c r="K31" i="34" s="1"/>
  <c r="F31" i="34"/>
  <c r="I31" i="34" s="1"/>
  <c r="G33" i="26"/>
  <c r="Q21" i="37"/>
  <c r="T21" i="37" s="1"/>
  <c r="X21" i="37" s="1"/>
  <c r="U21" i="37"/>
  <c r="Y21" i="37" s="1"/>
  <c r="S21" i="37"/>
  <c r="V21" i="37" s="1"/>
  <c r="Z21" i="37" s="1"/>
  <c r="P23" i="37"/>
  <c r="R22" i="37"/>
  <c r="M28" i="37"/>
  <c r="L35" i="37"/>
  <c r="U21" i="33"/>
  <c r="Y21" i="33" s="1"/>
  <c r="Q21" i="33"/>
  <c r="T21" i="33" s="1"/>
  <c r="X21" i="33" s="1"/>
  <c r="S21" i="33"/>
  <c r="V21" i="33" s="1"/>
  <c r="Z21" i="33" s="1"/>
  <c r="P23" i="33"/>
  <c r="B33" i="34"/>
  <c r="W32" i="34"/>
  <c r="S23" i="34"/>
  <c r="V23" i="34" s="1"/>
  <c r="U23" i="34"/>
  <c r="Y23" i="34" s="1"/>
  <c r="Q23" i="34"/>
  <c r="T23" i="34" s="1"/>
  <c r="R24" i="34"/>
  <c r="L27" i="34"/>
  <c r="L27" i="33"/>
  <c r="B36" i="33"/>
  <c r="W35" i="33"/>
  <c r="M25" i="33"/>
  <c r="L72" i="48" l="1"/>
  <c r="R71" i="48"/>
  <c r="U70" i="48"/>
  <c r="Y70" i="48" s="1"/>
  <c r="Q70" i="48"/>
  <c r="T70" i="48" s="1"/>
  <c r="X70" i="48" s="1"/>
  <c r="S70" i="48"/>
  <c r="V70" i="48" s="1"/>
  <c r="Z70" i="48" s="1"/>
  <c r="R50" i="46"/>
  <c r="L51" i="46"/>
  <c r="S49" i="46"/>
  <c r="V49" i="46" s="1"/>
  <c r="Z49" i="46" s="1"/>
  <c r="U49" i="46"/>
  <c r="Y49" i="46" s="1"/>
  <c r="Q49" i="46"/>
  <c r="T49" i="46" s="1"/>
  <c r="X49" i="46" s="1"/>
  <c r="B70" i="45"/>
  <c r="W69" i="45"/>
  <c r="L48" i="45"/>
  <c r="R47" i="45"/>
  <c r="U46" i="45"/>
  <c r="Y46" i="45" s="1"/>
  <c r="Q46" i="45"/>
  <c r="T46" i="45" s="1"/>
  <c r="X46" i="45" s="1"/>
  <c r="S46" i="45"/>
  <c r="V46" i="45" s="1"/>
  <c r="Z46" i="45" s="1"/>
  <c r="B51" i="44"/>
  <c r="W50" i="44"/>
  <c r="R48" i="44"/>
  <c r="L49" i="44"/>
  <c r="S47" i="44"/>
  <c r="V47" i="44" s="1"/>
  <c r="Z47" i="44" s="1"/>
  <c r="U47" i="44"/>
  <c r="Y47" i="44" s="1"/>
  <c r="Q47" i="44"/>
  <c r="T47" i="44" s="1"/>
  <c r="X47" i="44" s="1"/>
  <c r="U46" i="43"/>
  <c r="Y46" i="43" s="1"/>
  <c r="Q46" i="43"/>
  <c r="T46" i="43" s="1"/>
  <c r="X46" i="43" s="1"/>
  <c r="S46" i="43"/>
  <c r="V46" i="43" s="1"/>
  <c r="Z46" i="43" s="1"/>
  <c r="R47" i="43"/>
  <c r="L48" i="43"/>
  <c r="R44" i="42"/>
  <c r="L45" i="42"/>
  <c r="S43" i="42"/>
  <c r="V43" i="42" s="1"/>
  <c r="Z43" i="42" s="1"/>
  <c r="U43" i="42"/>
  <c r="Y43" i="42" s="1"/>
  <c r="Q43" i="42"/>
  <c r="T43" i="42" s="1"/>
  <c r="X43" i="42" s="1"/>
  <c r="S42" i="41"/>
  <c r="V42" i="41" s="1"/>
  <c r="Z42" i="41" s="1"/>
  <c r="U42" i="41"/>
  <c r="Y42" i="41" s="1"/>
  <c r="Q42" i="41"/>
  <c r="T42" i="41" s="1"/>
  <c r="X42" i="41" s="1"/>
  <c r="B48" i="41"/>
  <c r="W47" i="41"/>
  <c r="R43" i="41"/>
  <c r="L44" i="41"/>
  <c r="U22" i="37"/>
  <c r="Y22" i="37" s="1"/>
  <c r="S22" i="37"/>
  <c r="V22" i="37" s="1"/>
  <c r="Z22" i="37" s="1"/>
  <c r="Q22" i="37"/>
  <c r="T22" i="37" s="1"/>
  <c r="X22" i="37" s="1"/>
  <c r="P24" i="37"/>
  <c r="R23" i="37"/>
  <c r="J32" i="34"/>
  <c r="H32" i="34"/>
  <c r="K32" i="34" s="1"/>
  <c r="F32" i="34"/>
  <c r="I32" i="34" s="1"/>
  <c r="G34" i="26"/>
  <c r="M29" i="37"/>
  <c r="L36" i="37"/>
  <c r="U22" i="33"/>
  <c r="Y22" i="33" s="1"/>
  <c r="Q22" i="33"/>
  <c r="T22" i="33" s="1"/>
  <c r="X22" i="33" s="1"/>
  <c r="S22" i="33"/>
  <c r="V22" i="33" s="1"/>
  <c r="Z22" i="33" s="1"/>
  <c r="P24" i="33"/>
  <c r="L28" i="34"/>
  <c r="X23" i="34"/>
  <c r="B34" i="34"/>
  <c r="W33" i="34"/>
  <c r="Q24" i="34"/>
  <c r="S24" i="34"/>
  <c r="R25" i="34"/>
  <c r="Z23" i="34"/>
  <c r="B37" i="33"/>
  <c r="W36" i="33"/>
  <c r="M26" i="33"/>
  <c r="L28" i="33"/>
  <c r="U71" i="48" l="1"/>
  <c r="Y71" i="48" s="1"/>
  <c r="Q71" i="48"/>
  <c r="T71" i="48" s="1"/>
  <c r="X71" i="48" s="1"/>
  <c r="S71" i="48"/>
  <c r="V71" i="48" s="1"/>
  <c r="Z71" i="48" s="1"/>
  <c r="R72" i="48"/>
  <c r="L73" i="48"/>
  <c r="R51" i="46"/>
  <c r="L52" i="46"/>
  <c r="S50" i="46"/>
  <c r="V50" i="46" s="1"/>
  <c r="Z50" i="46" s="1"/>
  <c r="Q50" i="46"/>
  <c r="T50" i="46" s="1"/>
  <c r="X50" i="46" s="1"/>
  <c r="U50" i="46"/>
  <c r="Y50" i="46" s="1"/>
  <c r="U47" i="45"/>
  <c r="Y47" i="45" s="1"/>
  <c r="Q47" i="45"/>
  <c r="T47" i="45" s="1"/>
  <c r="X47" i="45" s="1"/>
  <c r="S47" i="45"/>
  <c r="V47" i="45" s="1"/>
  <c r="Z47" i="45" s="1"/>
  <c r="R48" i="45"/>
  <c r="L49" i="45"/>
  <c r="B71" i="45"/>
  <c r="W70" i="45"/>
  <c r="B52" i="44"/>
  <c r="W51" i="44"/>
  <c r="L50" i="44"/>
  <c r="R49" i="44"/>
  <c r="U48" i="44"/>
  <c r="Y48" i="44" s="1"/>
  <c r="Q48" i="44"/>
  <c r="T48" i="44" s="1"/>
  <c r="X48" i="44" s="1"/>
  <c r="S48" i="44"/>
  <c r="V48" i="44" s="1"/>
  <c r="Z48" i="44" s="1"/>
  <c r="S47" i="43"/>
  <c r="V47" i="43" s="1"/>
  <c r="Z47" i="43" s="1"/>
  <c r="U47" i="43"/>
  <c r="Y47" i="43" s="1"/>
  <c r="Q47" i="43"/>
  <c r="T47" i="43" s="1"/>
  <c r="X47" i="43" s="1"/>
  <c r="R48" i="43"/>
  <c r="L49" i="43"/>
  <c r="U44" i="42"/>
  <c r="Y44" i="42" s="1"/>
  <c r="Q44" i="42"/>
  <c r="T44" i="42" s="1"/>
  <c r="X44" i="42" s="1"/>
  <c r="S44" i="42"/>
  <c r="V44" i="42" s="1"/>
  <c r="Z44" i="42" s="1"/>
  <c r="L46" i="42"/>
  <c r="R45" i="42"/>
  <c r="B49" i="41"/>
  <c r="W48" i="41"/>
  <c r="L45" i="41"/>
  <c r="R44" i="41"/>
  <c r="U43" i="41"/>
  <c r="Y43" i="41" s="1"/>
  <c r="Q43" i="41"/>
  <c r="T43" i="41" s="1"/>
  <c r="X43" i="41" s="1"/>
  <c r="S43" i="41"/>
  <c r="V43" i="41" s="1"/>
  <c r="Z43" i="41" s="1"/>
  <c r="J33" i="34"/>
  <c r="H33" i="34"/>
  <c r="K33" i="34" s="1"/>
  <c r="F33" i="34"/>
  <c r="I33" i="34" s="1"/>
  <c r="G35" i="26"/>
  <c r="S23" i="37"/>
  <c r="V23" i="37" s="1"/>
  <c r="Z23" i="37" s="1"/>
  <c r="Q23" i="37"/>
  <c r="T23" i="37" s="1"/>
  <c r="X23" i="37" s="1"/>
  <c r="U23" i="37"/>
  <c r="Y23" i="37" s="1"/>
  <c r="P25" i="37"/>
  <c r="R24" i="37"/>
  <c r="M30" i="37"/>
  <c r="L37" i="37"/>
  <c r="U23" i="33"/>
  <c r="Y23" i="33" s="1"/>
  <c r="Q23" i="33"/>
  <c r="T23" i="33" s="1"/>
  <c r="X23" i="33" s="1"/>
  <c r="S23" i="33"/>
  <c r="V23" i="33" s="1"/>
  <c r="Z23" i="33" s="1"/>
  <c r="P25" i="33"/>
  <c r="S25" i="34"/>
  <c r="Q25" i="34"/>
  <c r="R26" i="34"/>
  <c r="L29" i="34"/>
  <c r="B35" i="34"/>
  <c r="W34" i="34"/>
  <c r="M27" i="33"/>
  <c r="B38" i="33"/>
  <c r="W37" i="33"/>
  <c r="L29" i="33"/>
  <c r="S72" i="48" l="1"/>
  <c r="V72" i="48" s="1"/>
  <c r="Z72" i="48" s="1"/>
  <c r="Q72" i="48"/>
  <c r="T72" i="48" s="1"/>
  <c r="X72" i="48" s="1"/>
  <c r="U72" i="48"/>
  <c r="Y72" i="48" s="1"/>
  <c r="R73" i="48"/>
  <c r="L74" i="48"/>
  <c r="L53" i="46"/>
  <c r="R52" i="46"/>
  <c r="U51" i="46"/>
  <c r="Y51" i="46" s="1"/>
  <c r="Q51" i="46"/>
  <c r="T51" i="46" s="1"/>
  <c r="X51" i="46" s="1"/>
  <c r="S51" i="46"/>
  <c r="V51" i="46" s="1"/>
  <c r="Z51" i="46" s="1"/>
  <c r="S48" i="45"/>
  <c r="V48" i="45" s="1"/>
  <c r="Z48" i="45" s="1"/>
  <c r="U48" i="45"/>
  <c r="Y48" i="45" s="1"/>
  <c r="Q48" i="45"/>
  <c r="T48" i="45" s="1"/>
  <c r="X48" i="45" s="1"/>
  <c r="B72" i="45"/>
  <c r="W71" i="45"/>
  <c r="R49" i="45"/>
  <c r="L50" i="45"/>
  <c r="B53" i="44"/>
  <c r="W52" i="44"/>
  <c r="Q49" i="44"/>
  <c r="T49" i="44" s="1"/>
  <c r="X49" i="44" s="1"/>
  <c r="U49" i="44"/>
  <c r="Y49" i="44" s="1"/>
  <c r="S49" i="44"/>
  <c r="V49" i="44" s="1"/>
  <c r="Z49" i="44" s="1"/>
  <c r="R50" i="44"/>
  <c r="L51" i="44"/>
  <c r="S48" i="43"/>
  <c r="V48" i="43" s="1"/>
  <c r="Z48" i="43" s="1"/>
  <c r="U48" i="43"/>
  <c r="Y48" i="43" s="1"/>
  <c r="Q48" i="43"/>
  <c r="T48" i="43" s="1"/>
  <c r="X48" i="43" s="1"/>
  <c r="R49" i="43"/>
  <c r="L50" i="43"/>
  <c r="R46" i="42"/>
  <c r="L47" i="42"/>
  <c r="U45" i="42"/>
  <c r="Y45" i="42" s="1"/>
  <c r="Q45" i="42"/>
  <c r="T45" i="42" s="1"/>
  <c r="X45" i="42" s="1"/>
  <c r="S45" i="42"/>
  <c r="V45" i="42" s="1"/>
  <c r="Z45" i="42" s="1"/>
  <c r="U44" i="41"/>
  <c r="Y44" i="41" s="1"/>
  <c r="Q44" i="41"/>
  <c r="T44" i="41" s="1"/>
  <c r="X44" i="41" s="1"/>
  <c r="S44" i="41"/>
  <c r="V44" i="41" s="1"/>
  <c r="Z44" i="41" s="1"/>
  <c r="R45" i="41"/>
  <c r="L46" i="41"/>
  <c r="B50" i="41"/>
  <c r="W49" i="41"/>
  <c r="U24" i="37"/>
  <c r="Y24" i="37" s="1"/>
  <c r="S24" i="37"/>
  <c r="V24" i="37" s="1"/>
  <c r="Z24" i="37" s="1"/>
  <c r="Q24" i="37"/>
  <c r="T24" i="37" s="1"/>
  <c r="X24" i="37" s="1"/>
  <c r="P26" i="37"/>
  <c r="R25" i="37"/>
  <c r="G36" i="26"/>
  <c r="M31" i="37"/>
  <c r="L38" i="37"/>
  <c r="U24" i="33"/>
  <c r="Y24" i="33" s="1"/>
  <c r="Q24" i="33"/>
  <c r="T24" i="33" s="1"/>
  <c r="X24" i="33" s="1"/>
  <c r="S24" i="33"/>
  <c r="V24" i="33" s="1"/>
  <c r="Z24" i="33" s="1"/>
  <c r="P26" i="33"/>
  <c r="R27" i="34"/>
  <c r="B36" i="34"/>
  <c r="W35" i="34"/>
  <c r="L30" i="34"/>
  <c r="S26" i="34"/>
  <c r="V26" i="34" s="1"/>
  <c r="Z26" i="34" s="1"/>
  <c r="U26" i="34"/>
  <c r="Y26" i="34" s="1"/>
  <c r="Q26" i="34"/>
  <c r="T26" i="34" s="1"/>
  <c r="X26" i="34" s="1"/>
  <c r="L30" i="33"/>
  <c r="M28" i="33"/>
  <c r="B39" i="33"/>
  <c r="W38" i="33"/>
  <c r="S73" i="48" l="1"/>
  <c r="Q73" i="48"/>
  <c r="U73" i="48"/>
  <c r="R74" i="48"/>
  <c r="U52" i="46"/>
  <c r="Y52" i="46" s="1"/>
  <c r="Q52" i="46"/>
  <c r="T52" i="46" s="1"/>
  <c r="X52" i="46" s="1"/>
  <c r="S52" i="46"/>
  <c r="V52" i="46" s="1"/>
  <c r="Z52" i="46" s="1"/>
  <c r="L54" i="46"/>
  <c r="R53" i="46"/>
  <c r="B73" i="45"/>
  <c r="W73" i="45" s="1"/>
  <c r="W72" i="45"/>
  <c r="R50" i="45"/>
  <c r="L51" i="45"/>
  <c r="S49" i="45"/>
  <c r="V49" i="45" s="1"/>
  <c r="Z49" i="45" s="1"/>
  <c r="U49" i="45"/>
  <c r="Y49" i="45" s="1"/>
  <c r="Q49" i="45"/>
  <c r="T49" i="45" s="1"/>
  <c r="X49" i="45" s="1"/>
  <c r="B54" i="44"/>
  <c r="W53" i="44"/>
  <c r="R51" i="44"/>
  <c r="L52" i="44"/>
  <c r="S50" i="44"/>
  <c r="V50" i="44" s="1"/>
  <c r="Z50" i="44" s="1"/>
  <c r="Q50" i="44"/>
  <c r="T50" i="44" s="1"/>
  <c r="X50" i="44" s="1"/>
  <c r="U50" i="44"/>
  <c r="Y50" i="44" s="1"/>
  <c r="U49" i="43"/>
  <c r="Y49" i="43" s="1"/>
  <c r="Q49" i="43"/>
  <c r="T49" i="43" s="1"/>
  <c r="X49" i="43" s="1"/>
  <c r="S49" i="43"/>
  <c r="V49" i="43" s="1"/>
  <c r="Z49" i="43" s="1"/>
  <c r="L51" i="43"/>
  <c r="R50" i="43"/>
  <c r="R47" i="42"/>
  <c r="L48" i="42"/>
  <c r="S46" i="42"/>
  <c r="V46" i="42" s="1"/>
  <c r="Z46" i="42" s="1"/>
  <c r="U46" i="42"/>
  <c r="Y46" i="42" s="1"/>
  <c r="Q46" i="42"/>
  <c r="T46" i="42" s="1"/>
  <c r="X46" i="42" s="1"/>
  <c r="S45" i="41"/>
  <c r="V45" i="41" s="1"/>
  <c r="Z45" i="41" s="1"/>
  <c r="U45" i="41"/>
  <c r="Y45" i="41" s="1"/>
  <c r="Q45" i="41"/>
  <c r="T45" i="41" s="1"/>
  <c r="X45" i="41" s="1"/>
  <c r="B51" i="41"/>
  <c r="W50" i="41"/>
  <c r="R46" i="41"/>
  <c r="L47" i="41"/>
  <c r="G37" i="26"/>
  <c r="Q25" i="37"/>
  <c r="T25" i="37" s="1"/>
  <c r="X25" i="37" s="1"/>
  <c r="U25" i="37"/>
  <c r="Y25" i="37" s="1"/>
  <c r="S25" i="37"/>
  <c r="V25" i="37" s="1"/>
  <c r="Z25" i="37" s="1"/>
  <c r="P27" i="37"/>
  <c r="R26" i="37"/>
  <c r="M32" i="37"/>
  <c r="L39" i="37"/>
  <c r="S25" i="33"/>
  <c r="Q25" i="33"/>
  <c r="P27" i="33"/>
  <c r="R28" i="34"/>
  <c r="B37" i="34"/>
  <c r="W36" i="34"/>
  <c r="L31" i="34"/>
  <c r="S27" i="34"/>
  <c r="V27" i="34" s="1"/>
  <c r="Z27" i="34" s="1"/>
  <c r="U27" i="34"/>
  <c r="Y27" i="34" s="1"/>
  <c r="Q27" i="34"/>
  <c r="T27" i="34" s="1"/>
  <c r="X27" i="34" s="1"/>
  <c r="B40" i="33"/>
  <c r="W39" i="33"/>
  <c r="M29" i="33"/>
  <c r="L31" i="33"/>
  <c r="U74" i="48" l="1"/>
  <c r="Y73" i="48"/>
  <c r="Y74" i="48" s="1"/>
  <c r="E4" i="48" s="1"/>
  <c r="T73" i="48"/>
  <c r="Q74" i="48"/>
  <c r="V73" i="48"/>
  <c r="S74" i="48"/>
  <c r="R54" i="46"/>
  <c r="L55" i="46"/>
  <c r="S53" i="46"/>
  <c r="V53" i="46" s="1"/>
  <c r="Z53" i="46" s="1"/>
  <c r="Q53" i="46"/>
  <c r="T53" i="46" s="1"/>
  <c r="X53" i="46" s="1"/>
  <c r="U53" i="46"/>
  <c r="Y53" i="46" s="1"/>
  <c r="L52" i="45"/>
  <c r="R51" i="45"/>
  <c r="U50" i="45"/>
  <c r="Y50" i="45" s="1"/>
  <c r="Q50" i="45"/>
  <c r="T50" i="45" s="1"/>
  <c r="X50" i="45" s="1"/>
  <c r="S50" i="45"/>
  <c r="V50" i="45" s="1"/>
  <c r="Z50" i="45" s="1"/>
  <c r="B55" i="44"/>
  <c r="W54" i="44"/>
  <c r="L53" i="44"/>
  <c r="R52" i="44"/>
  <c r="S51" i="44"/>
  <c r="V51" i="44" s="1"/>
  <c r="Z51" i="44" s="1"/>
  <c r="Q51" i="44"/>
  <c r="T51" i="44" s="1"/>
  <c r="X51" i="44" s="1"/>
  <c r="U51" i="44"/>
  <c r="Y51" i="44" s="1"/>
  <c r="R51" i="43"/>
  <c r="L52" i="43"/>
  <c r="U50" i="43"/>
  <c r="Y50" i="43" s="1"/>
  <c r="Q50" i="43"/>
  <c r="T50" i="43" s="1"/>
  <c r="X50" i="43" s="1"/>
  <c r="S50" i="43"/>
  <c r="V50" i="43" s="1"/>
  <c r="Z50" i="43" s="1"/>
  <c r="R48" i="42"/>
  <c r="L49" i="42"/>
  <c r="S47" i="42"/>
  <c r="V47" i="42" s="1"/>
  <c r="Z47" i="42" s="1"/>
  <c r="Q47" i="42"/>
  <c r="T47" i="42" s="1"/>
  <c r="X47" i="42" s="1"/>
  <c r="U47" i="42"/>
  <c r="Y47" i="42" s="1"/>
  <c r="B52" i="41"/>
  <c r="W51" i="41"/>
  <c r="R47" i="41"/>
  <c r="L48" i="41"/>
  <c r="S46" i="41"/>
  <c r="V46" i="41" s="1"/>
  <c r="Z46" i="41" s="1"/>
  <c r="U46" i="41"/>
  <c r="Y46" i="41" s="1"/>
  <c r="Q46" i="41"/>
  <c r="T46" i="41" s="1"/>
  <c r="X46" i="41" s="1"/>
  <c r="U26" i="37"/>
  <c r="Y26" i="37" s="1"/>
  <c r="S26" i="37"/>
  <c r="V26" i="37" s="1"/>
  <c r="Z26" i="37" s="1"/>
  <c r="Q26" i="37"/>
  <c r="T26" i="37" s="1"/>
  <c r="X26" i="37" s="1"/>
  <c r="P28" i="37"/>
  <c r="R27" i="37"/>
  <c r="J36" i="34"/>
  <c r="H36" i="34"/>
  <c r="K36" i="34" s="1"/>
  <c r="F36" i="34"/>
  <c r="I36" i="34" s="1"/>
  <c r="G38" i="26"/>
  <c r="M33" i="37"/>
  <c r="L40" i="37"/>
  <c r="S26" i="33"/>
  <c r="V26" i="33" s="1"/>
  <c r="Z26" i="33" s="1"/>
  <c r="Q26" i="33"/>
  <c r="T26" i="33" s="1"/>
  <c r="X26" i="33" s="1"/>
  <c r="U26" i="33"/>
  <c r="Y26" i="33" s="1"/>
  <c r="P28" i="33"/>
  <c r="L32" i="34"/>
  <c r="B38" i="34"/>
  <c r="W37" i="34"/>
  <c r="S28" i="34"/>
  <c r="V28" i="34" s="1"/>
  <c r="Z28" i="34" s="1"/>
  <c r="U28" i="34"/>
  <c r="Y28" i="34" s="1"/>
  <c r="Q28" i="34"/>
  <c r="T28" i="34" s="1"/>
  <c r="X28" i="34" s="1"/>
  <c r="R29" i="34"/>
  <c r="M30" i="33"/>
  <c r="L32" i="33"/>
  <c r="B41" i="33"/>
  <c r="W40" i="33"/>
  <c r="T74" i="48" l="1"/>
  <c r="X73" i="48"/>
  <c r="X74" i="48" s="1"/>
  <c r="D4" i="48" s="1"/>
  <c r="V74" i="48"/>
  <c r="Z73" i="48"/>
  <c r="Z74" i="48" s="1"/>
  <c r="F4" i="48" s="1"/>
  <c r="R55" i="46"/>
  <c r="L56" i="46"/>
  <c r="S54" i="46"/>
  <c r="V54" i="46" s="1"/>
  <c r="Z54" i="46" s="1"/>
  <c r="U54" i="46"/>
  <c r="Y54" i="46" s="1"/>
  <c r="Q54" i="46"/>
  <c r="T54" i="46" s="1"/>
  <c r="X54" i="46" s="1"/>
  <c r="U51" i="45"/>
  <c r="Y51" i="45" s="1"/>
  <c r="Q51" i="45"/>
  <c r="T51" i="45" s="1"/>
  <c r="X51" i="45" s="1"/>
  <c r="S51" i="45"/>
  <c r="V51" i="45" s="1"/>
  <c r="Z51" i="45" s="1"/>
  <c r="R52" i="45"/>
  <c r="L53" i="45"/>
  <c r="B56" i="44"/>
  <c r="W55" i="44"/>
  <c r="U52" i="44"/>
  <c r="Y52" i="44" s="1"/>
  <c r="Q52" i="44"/>
  <c r="T52" i="44" s="1"/>
  <c r="X52" i="44" s="1"/>
  <c r="S52" i="44"/>
  <c r="V52" i="44" s="1"/>
  <c r="Z52" i="44" s="1"/>
  <c r="L54" i="44"/>
  <c r="R53" i="44"/>
  <c r="R52" i="43"/>
  <c r="L53" i="43"/>
  <c r="S51" i="43"/>
  <c r="V51" i="43" s="1"/>
  <c r="Z51" i="43" s="1"/>
  <c r="U51" i="43"/>
  <c r="Y51" i="43" s="1"/>
  <c r="Q51" i="43"/>
  <c r="T51" i="43" s="1"/>
  <c r="X51" i="43" s="1"/>
  <c r="L50" i="42"/>
  <c r="R49" i="42"/>
  <c r="U48" i="42"/>
  <c r="Y48" i="42" s="1"/>
  <c r="Q48" i="42"/>
  <c r="T48" i="42" s="1"/>
  <c r="X48" i="42" s="1"/>
  <c r="S48" i="42"/>
  <c r="V48" i="42" s="1"/>
  <c r="Z48" i="42" s="1"/>
  <c r="U47" i="41"/>
  <c r="Y47" i="41" s="1"/>
  <c r="Q47" i="41"/>
  <c r="T47" i="41" s="1"/>
  <c r="X47" i="41" s="1"/>
  <c r="S47" i="41"/>
  <c r="V47" i="41" s="1"/>
  <c r="Z47" i="41" s="1"/>
  <c r="L49" i="41"/>
  <c r="R48" i="41"/>
  <c r="B53" i="41"/>
  <c r="W52" i="41"/>
  <c r="J37" i="34"/>
  <c r="H37" i="34"/>
  <c r="K37" i="34" s="1"/>
  <c r="F37" i="34"/>
  <c r="I37" i="34" s="1"/>
  <c r="G39" i="26"/>
  <c r="Q27" i="37"/>
  <c r="S27" i="37"/>
  <c r="P29" i="37"/>
  <c r="R28" i="37"/>
  <c r="M34" i="37"/>
  <c r="L41" i="37"/>
  <c r="U27" i="33"/>
  <c r="Y27" i="33" s="1"/>
  <c r="Q27" i="33"/>
  <c r="T27" i="33" s="1"/>
  <c r="X27" i="33" s="1"/>
  <c r="S27" i="33"/>
  <c r="V27" i="33" s="1"/>
  <c r="Z27" i="33" s="1"/>
  <c r="P29" i="33"/>
  <c r="S29" i="34"/>
  <c r="V29" i="34" s="1"/>
  <c r="Z29" i="34" s="1"/>
  <c r="U29" i="34"/>
  <c r="Y29" i="34" s="1"/>
  <c r="Q29" i="34"/>
  <c r="T29" i="34" s="1"/>
  <c r="X29" i="34" s="1"/>
  <c r="R30" i="34"/>
  <c r="B39" i="34"/>
  <c r="W38" i="34"/>
  <c r="L33" i="34"/>
  <c r="M31" i="33"/>
  <c r="B42" i="33"/>
  <c r="W41" i="33"/>
  <c r="L33" i="33"/>
  <c r="L57" i="46" l="1"/>
  <c r="R56" i="46"/>
  <c r="U55" i="46"/>
  <c r="Y55" i="46" s="1"/>
  <c r="Q55" i="46"/>
  <c r="T55" i="46" s="1"/>
  <c r="X55" i="46" s="1"/>
  <c r="S55" i="46"/>
  <c r="V55" i="46" s="1"/>
  <c r="Z55" i="46" s="1"/>
  <c r="R53" i="45"/>
  <c r="L54" i="45"/>
  <c r="S52" i="45"/>
  <c r="V52" i="45" s="1"/>
  <c r="Z52" i="45" s="1"/>
  <c r="U52" i="45"/>
  <c r="Y52" i="45" s="1"/>
  <c r="Q52" i="45"/>
  <c r="T52" i="45" s="1"/>
  <c r="X52" i="45" s="1"/>
  <c r="B57" i="44"/>
  <c r="W56" i="44"/>
  <c r="U53" i="44"/>
  <c r="Y53" i="44" s="1"/>
  <c r="S53" i="44"/>
  <c r="V53" i="44" s="1"/>
  <c r="Z53" i="44" s="1"/>
  <c r="Q53" i="44"/>
  <c r="T53" i="44" s="1"/>
  <c r="X53" i="44" s="1"/>
  <c r="L55" i="44"/>
  <c r="R54" i="44"/>
  <c r="R53" i="43"/>
  <c r="L54" i="43"/>
  <c r="S52" i="43"/>
  <c r="V52" i="43" s="1"/>
  <c r="Z52" i="43" s="1"/>
  <c r="U52" i="43"/>
  <c r="Y52" i="43" s="1"/>
  <c r="Q52" i="43"/>
  <c r="T52" i="43" s="1"/>
  <c r="X52" i="43" s="1"/>
  <c r="U49" i="42"/>
  <c r="Y49" i="42" s="1"/>
  <c r="Q49" i="42"/>
  <c r="T49" i="42" s="1"/>
  <c r="X49" i="42" s="1"/>
  <c r="S49" i="42"/>
  <c r="V49" i="42" s="1"/>
  <c r="Z49" i="42" s="1"/>
  <c r="R50" i="42"/>
  <c r="L51" i="42"/>
  <c r="R49" i="41"/>
  <c r="L50" i="41"/>
  <c r="B54" i="41"/>
  <c r="W53" i="41"/>
  <c r="U48" i="41"/>
  <c r="Y48" i="41" s="1"/>
  <c r="Q48" i="41"/>
  <c r="T48" i="41" s="1"/>
  <c r="X48" i="41" s="1"/>
  <c r="S48" i="41"/>
  <c r="V48" i="41" s="1"/>
  <c r="Z48" i="41" s="1"/>
  <c r="S28" i="37"/>
  <c r="Q28" i="37"/>
  <c r="P30" i="37"/>
  <c r="R29" i="37"/>
  <c r="J38" i="34"/>
  <c r="H38" i="34"/>
  <c r="K38" i="34" s="1"/>
  <c r="F38" i="34"/>
  <c r="I38" i="34" s="1"/>
  <c r="G40" i="26"/>
  <c r="M35" i="37"/>
  <c r="L42" i="37"/>
  <c r="U28" i="33"/>
  <c r="Y28" i="33" s="1"/>
  <c r="Q28" i="33"/>
  <c r="T28" i="33" s="1"/>
  <c r="X28" i="33" s="1"/>
  <c r="S28" i="33"/>
  <c r="V28" i="33" s="1"/>
  <c r="Z28" i="33" s="1"/>
  <c r="P30" i="33"/>
  <c r="S30" i="34"/>
  <c r="V30" i="34" s="1"/>
  <c r="Z30" i="34" s="1"/>
  <c r="U30" i="34"/>
  <c r="Y30" i="34" s="1"/>
  <c r="Q30" i="34"/>
  <c r="T30" i="34" s="1"/>
  <c r="X30" i="34" s="1"/>
  <c r="L34" i="34"/>
  <c r="R31" i="34"/>
  <c r="B40" i="34"/>
  <c r="W39" i="34"/>
  <c r="B43" i="33"/>
  <c r="W42" i="33"/>
  <c r="L34" i="33"/>
  <c r="M32" i="33"/>
  <c r="U56" i="46" l="1"/>
  <c r="Y56" i="46" s="1"/>
  <c r="Q56" i="46"/>
  <c r="T56" i="46" s="1"/>
  <c r="X56" i="46" s="1"/>
  <c r="S56" i="46"/>
  <c r="V56" i="46" s="1"/>
  <c r="Z56" i="46" s="1"/>
  <c r="L58" i="46"/>
  <c r="R57" i="46"/>
  <c r="R54" i="45"/>
  <c r="L55" i="45"/>
  <c r="S53" i="45"/>
  <c r="V53" i="45" s="1"/>
  <c r="Z53" i="45" s="1"/>
  <c r="U53" i="45"/>
  <c r="Y53" i="45" s="1"/>
  <c r="Q53" i="45"/>
  <c r="T53" i="45" s="1"/>
  <c r="X53" i="45" s="1"/>
  <c r="S54" i="44"/>
  <c r="V54" i="44" s="1"/>
  <c r="Z54" i="44" s="1"/>
  <c r="Q54" i="44"/>
  <c r="T54" i="44" s="1"/>
  <c r="X54" i="44" s="1"/>
  <c r="U54" i="44"/>
  <c r="Y54" i="44" s="1"/>
  <c r="R55" i="44"/>
  <c r="L56" i="44"/>
  <c r="B58" i="44"/>
  <c r="W57" i="44"/>
  <c r="R54" i="43"/>
  <c r="L55" i="43"/>
  <c r="U53" i="43"/>
  <c r="Y53" i="43" s="1"/>
  <c r="Q53" i="43"/>
  <c r="T53" i="43" s="1"/>
  <c r="X53" i="43" s="1"/>
  <c r="S53" i="43"/>
  <c r="V53" i="43" s="1"/>
  <c r="Z53" i="43" s="1"/>
  <c r="S50" i="42"/>
  <c r="V50" i="42" s="1"/>
  <c r="Z50" i="42" s="1"/>
  <c r="U50" i="42"/>
  <c r="Y50" i="42" s="1"/>
  <c r="Q50" i="42"/>
  <c r="T50" i="42" s="1"/>
  <c r="X50" i="42" s="1"/>
  <c r="R51" i="42"/>
  <c r="L52" i="42"/>
  <c r="U49" i="41"/>
  <c r="Y49" i="41" s="1"/>
  <c r="Q49" i="41"/>
  <c r="T49" i="41" s="1"/>
  <c r="X49" i="41" s="1"/>
  <c r="S49" i="41"/>
  <c r="V49" i="41" s="1"/>
  <c r="Z49" i="41" s="1"/>
  <c r="B55" i="41"/>
  <c r="W54" i="41"/>
  <c r="R50" i="41"/>
  <c r="L51" i="41"/>
  <c r="G41" i="26"/>
  <c r="Q29" i="37"/>
  <c r="S29" i="37"/>
  <c r="P31" i="37"/>
  <c r="R30" i="37"/>
  <c r="M36" i="37"/>
  <c r="L43" i="37"/>
  <c r="S29" i="33"/>
  <c r="V29" i="33" s="1"/>
  <c r="Z29" i="33" s="1"/>
  <c r="U29" i="33"/>
  <c r="Y29" i="33" s="1"/>
  <c r="Q29" i="33"/>
  <c r="T29" i="33" s="1"/>
  <c r="X29" i="33" s="1"/>
  <c r="P31" i="33"/>
  <c r="B41" i="34"/>
  <c r="W40" i="34"/>
  <c r="S31" i="34"/>
  <c r="V31" i="34" s="1"/>
  <c r="Z31" i="34" s="1"/>
  <c r="U31" i="34"/>
  <c r="Y31" i="34" s="1"/>
  <c r="Q31" i="34"/>
  <c r="T31" i="34" s="1"/>
  <c r="X31" i="34" s="1"/>
  <c r="R32" i="34"/>
  <c r="L35" i="34"/>
  <c r="M33" i="33"/>
  <c r="L35" i="33"/>
  <c r="B44" i="33"/>
  <c r="W43" i="33"/>
  <c r="L59" i="46" l="1"/>
  <c r="R58" i="46"/>
  <c r="S57" i="46"/>
  <c r="V57" i="46" s="1"/>
  <c r="Z57" i="46" s="1"/>
  <c r="U57" i="46"/>
  <c r="Y57" i="46" s="1"/>
  <c r="Q57" i="46"/>
  <c r="T57" i="46" s="1"/>
  <c r="X57" i="46" s="1"/>
  <c r="L56" i="45"/>
  <c r="R55" i="45"/>
  <c r="U54" i="45"/>
  <c r="Y54" i="45" s="1"/>
  <c r="Q54" i="45"/>
  <c r="T54" i="45" s="1"/>
  <c r="X54" i="45" s="1"/>
  <c r="S54" i="45"/>
  <c r="V54" i="45" s="1"/>
  <c r="Z54" i="45" s="1"/>
  <c r="S55" i="44"/>
  <c r="V55" i="44" s="1"/>
  <c r="Z55" i="44" s="1"/>
  <c r="Q55" i="44"/>
  <c r="T55" i="44" s="1"/>
  <c r="X55" i="44" s="1"/>
  <c r="U55" i="44"/>
  <c r="Y55" i="44" s="1"/>
  <c r="B59" i="44"/>
  <c r="W58" i="44"/>
  <c r="L57" i="44"/>
  <c r="R56" i="44"/>
  <c r="R55" i="43"/>
  <c r="L56" i="43"/>
  <c r="S54" i="43"/>
  <c r="V54" i="43" s="1"/>
  <c r="Z54" i="43" s="1"/>
  <c r="U54" i="43"/>
  <c r="Y54" i="43" s="1"/>
  <c r="Q54" i="43"/>
  <c r="T54" i="43" s="1"/>
  <c r="X54" i="43" s="1"/>
  <c r="S51" i="42"/>
  <c r="V51" i="42" s="1"/>
  <c r="Z51" i="42" s="1"/>
  <c r="U51" i="42"/>
  <c r="Y51" i="42" s="1"/>
  <c r="Q51" i="42"/>
  <c r="T51" i="42" s="1"/>
  <c r="X51" i="42" s="1"/>
  <c r="R52" i="42"/>
  <c r="L53" i="42"/>
  <c r="B56" i="41"/>
  <c r="W55" i="41"/>
  <c r="L52" i="41"/>
  <c r="R51" i="41"/>
  <c r="U50" i="41"/>
  <c r="Y50" i="41" s="1"/>
  <c r="Q50" i="41"/>
  <c r="T50" i="41" s="1"/>
  <c r="X50" i="41" s="1"/>
  <c r="S50" i="41"/>
  <c r="V50" i="41" s="1"/>
  <c r="Z50" i="41" s="1"/>
  <c r="S30" i="37"/>
  <c r="Q30" i="37"/>
  <c r="P32" i="37"/>
  <c r="R31" i="37"/>
  <c r="G42" i="26"/>
  <c r="M37" i="37"/>
  <c r="L44" i="37"/>
  <c r="Q30" i="33"/>
  <c r="T30" i="33" s="1"/>
  <c r="X30" i="33" s="1"/>
  <c r="U30" i="33"/>
  <c r="Y30" i="33" s="1"/>
  <c r="S30" i="33"/>
  <c r="V30" i="33" s="1"/>
  <c r="Z30" i="33" s="1"/>
  <c r="P32" i="33"/>
  <c r="L36" i="34"/>
  <c r="S32" i="34"/>
  <c r="V32" i="34" s="1"/>
  <c r="Z32" i="34" s="1"/>
  <c r="U32" i="34"/>
  <c r="Y32" i="34" s="1"/>
  <c r="Q32" i="34"/>
  <c r="T32" i="34" s="1"/>
  <c r="X32" i="34" s="1"/>
  <c r="R33" i="34"/>
  <c r="B42" i="34"/>
  <c r="W41" i="34"/>
  <c r="L36" i="33"/>
  <c r="B45" i="33"/>
  <c r="W44" i="33"/>
  <c r="M34" i="33"/>
  <c r="U58" i="46" l="1"/>
  <c r="Y58" i="46" s="1"/>
  <c r="Q58" i="46"/>
  <c r="T58" i="46" s="1"/>
  <c r="X58" i="46" s="1"/>
  <c r="S58" i="46"/>
  <c r="V58" i="46" s="1"/>
  <c r="Z58" i="46" s="1"/>
  <c r="L60" i="46"/>
  <c r="R59" i="46"/>
  <c r="U55" i="45"/>
  <c r="Y55" i="45" s="1"/>
  <c r="Q55" i="45"/>
  <c r="T55" i="45" s="1"/>
  <c r="X55" i="45" s="1"/>
  <c r="S55" i="45"/>
  <c r="V55" i="45" s="1"/>
  <c r="Z55" i="45" s="1"/>
  <c r="L57" i="45"/>
  <c r="R56" i="45"/>
  <c r="B60" i="44"/>
  <c r="W59" i="44"/>
  <c r="U56" i="44"/>
  <c r="Y56" i="44" s="1"/>
  <c r="Q56" i="44"/>
  <c r="T56" i="44" s="1"/>
  <c r="X56" i="44" s="1"/>
  <c r="S56" i="44"/>
  <c r="V56" i="44" s="1"/>
  <c r="Z56" i="44" s="1"/>
  <c r="R57" i="44"/>
  <c r="L58" i="44"/>
  <c r="R56" i="43"/>
  <c r="L57" i="43"/>
  <c r="S55" i="43"/>
  <c r="V55" i="43" s="1"/>
  <c r="Z55" i="43" s="1"/>
  <c r="U55" i="43"/>
  <c r="Y55" i="43" s="1"/>
  <c r="Q55" i="43"/>
  <c r="T55" i="43" s="1"/>
  <c r="X55" i="43" s="1"/>
  <c r="U52" i="42"/>
  <c r="Y52" i="42" s="1"/>
  <c r="Q52" i="42"/>
  <c r="T52" i="42" s="1"/>
  <c r="X52" i="42" s="1"/>
  <c r="S52" i="42"/>
  <c r="V52" i="42" s="1"/>
  <c r="Z52" i="42" s="1"/>
  <c r="L54" i="42"/>
  <c r="R53" i="42"/>
  <c r="R52" i="41"/>
  <c r="L53" i="41"/>
  <c r="U51" i="41"/>
  <c r="Y51" i="41" s="1"/>
  <c r="Q51" i="41"/>
  <c r="T51" i="41" s="1"/>
  <c r="X51" i="41" s="1"/>
  <c r="S51" i="41"/>
  <c r="V51" i="41" s="1"/>
  <c r="Z51" i="41" s="1"/>
  <c r="B57" i="41"/>
  <c r="W56" i="41"/>
  <c r="J41" i="34"/>
  <c r="H41" i="34"/>
  <c r="K41" i="34" s="1"/>
  <c r="F41" i="34"/>
  <c r="I41" i="34" s="1"/>
  <c r="G43" i="26"/>
  <c r="Q31" i="37"/>
  <c r="S31" i="37"/>
  <c r="P33" i="37"/>
  <c r="R32" i="37"/>
  <c r="M38" i="37"/>
  <c r="L45" i="37"/>
  <c r="S31" i="33"/>
  <c r="V31" i="33" s="1"/>
  <c r="Z31" i="33" s="1"/>
  <c r="U31" i="33"/>
  <c r="Y31" i="33" s="1"/>
  <c r="Q31" i="33"/>
  <c r="T31" i="33" s="1"/>
  <c r="X31" i="33" s="1"/>
  <c r="P33" i="33"/>
  <c r="B43" i="34"/>
  <c r="W42" i="34"/>
  <c r="S33" i="34"/>
  <c r="V33" i="34" s="1"/>
  <c r="Z33" i="34" s="1"/>
  <c r="U33" i="34"/>
  <c r="Y33" i="34" s="1"/>
  <c r="Q33" i="34"/>
  <c r="T33" i="34" s="1"/>
  <c r="X33" i="34" s="1"/>
  <c r="L37" i="34"/>
  <c r="R34" i="34"/>
  <c r="M35" i="33"/>
  <c r="B46" i="33"/>
  <c r="W45" i="33"/>
  <c r="L37" i="33"/>
  <c r="L61" i="46" l="1"/>
  <c r="R60" i="46"/>
  <c r="S59" i="46"/>
  <c r="V59" i="46" s="1"/>
  <c r="Z59" i="46" s="1"/>
  <c r="Q59" i="46"/>
  <c r="T59" i="46" s="1"/>
  <c r="X59" i="46" s="1"/>
  <c r="U59" i="46"/>
  <c r="Y59" i="46" s="1"/>
  <c r="R57" i="45"/>
  <c r="L58" i="45"/>
  <c r="U56" i="45"/>
  <c r="Y56" i="45" s="1"/>
  <c r="Q56" i="45"/>
  <c r="T56" i="45" s="1"/>
  <c r="X56" i="45" s="1"/>
  <c r="S56" i="45"/>
  <c r="V56" i="45" s="1"/>
  <c r="Z56" i="45" s="1"/>
  <c r="R58" i="44"/>
  <c r="L59" i="44"/>
  <c r="B61" i="44"/>
  <c r="W60" i="44"/>
  <c r="S57" i="44"/>
  <c r="V57" i="44" s="1"/>
  <c r="Z57" i="44" s="1"/>
  <c r="Q57" i="44"/>
  <c r="T57" i="44" s="1"/>
  <c r="X57" i="44" s="1"/>
  <c r="U57" i="44"/>
  <c r="Y57" i="44" s="1"/>
  <c r="L58" i="43"/>
  <c r="R57" i="43"/>
  <c r="U56" i="43"/>
  <c r="Y56" i="43" s="1"/>
  <c r="Q56" i="43"/>
  <c r="T56" i="43" s="1"/>
  <c r="X56" i="43" s="1"/>
  <c r="S56" i="43"/>
  <c r="V56" i="43" s="1"/>
  <c r="Z56" i="43" s="1"/>
  <c r="R54" i="42"/>
  <c r="L55" i="42"/>
  <c r="U53" i="42"/>
  <c r="Y53" i="42" s="1"/>
  <c r="Q53" i="42"/>
  <c r="T53" i="42" s="1"/>
  <c r="X53" i="42" s="1"/>
  <c r="S53" i="42"/>
  <c r="V53" i="42" s="1"/>
  <c r="Z53" i="42" s="1"/>
  <c r="R53" i="41"/>
  <c r="L54" i="41"/>
  <c r="B58" i="41"/>
  <c r="W57" i="41"/>
  <c r="S52" i="41"/>
  <c r="V52" i="41" s="1"/>
  <c r="Z52" i="41" s="1"/>
  <c r="U52" i="41"/>
  <c r="Y52" i="41" s="1"/>
  <c r="Q52" i="41"/>
  <c r="T52" i="41" s="1"/>
  <c r="X52" i="41" s="1"/>
  <c r="S32" i="37"/>
  <c r="Q32" i="37"/>
  <c r="P34" i="37"/>
  <c r="R33" i="37"/>
  <c r="J42" i="34"/>
  <c r="H42" i="34"/>
  <c r="K42" i="34" s="1"/>
  <c r="F42" i="34"/>
  <c r="I42" i="34" s="1"/>
  <c r="G44" i="26"/>
  <c r="M39" i="37"/>
  <c r="L46" i="37"/>
  <c r="U32" i="33"/>
  <c r="Y32" i="33" s="1"/>
  <c r="Q32" i="33"/>
  <c r="T32" i="33" s="1"/>
  <c r="X32" i="33" s="1"/>
  <c r="S32" i="33"/>
  <c r="V32" i="33" s="1"/>
  <c r="Z32" i="33" s="1"/>
  <c r="P34" i="33"/>
  <c r="S34" i="34"/>
  <c r="Q34" i="34"/>
  <c r="B44" i="34"/>
  <c r="W43" i="34"/>
  <c r="R35" i="34"/>
  <c r="L38" i="34"/>
  <c r="M36" i="33"/>
  <c r="B47" i="33"/>
  <c r="W46" i="33"/>
  <c r="L38" i="33"/>
  <c r="S60" i="46" l="1"/>
  <c r="V60" i="46" s="1"/>
  <c r="Z60" i="46" s="1"/>
  <c r="U60" i="46"/>
  <c r="Y60" i="46" s="1"/>
  <c r="Q60" i="46"/>
  <c r="T60" i="46" s="1"/>
  <c r="X60" i="46" s="1"/>
  <c r="R61" i="46"/>
  <c r="L62" i="46"/>
  <c r="R58" i="45"/>
  <c r="L59" i="45"/>
  <c r="S57" i="45"/>
  <c r="V57" i="45" s="1"/>
  <c r="Z57" i="45" s="1"/>
  <c r="U57" i="45"/>
  <c r="Y57" i="45" s="1"/>
  <c r="Q57" i="45"/>
  <c r="T57" i="45" s="1"/>
  <c r="X57" i="45" s="1"/>
  <c r="B62" i="44"/>
  <c r="W61" i="44"/>
  <c r="L60" i="44"/>
  <c r="R59" i="44"/>
  <c r="S58" i="44"/>
  <c r="V58" i="44" s="1"/>
  <c r="Z58" i="44" s="1"/>
  <c r="U58" i="44"/>
  <c r="Y58" i="44" s="1"/>
  <c r="Q58" i="44"/>
  <c r="T58" i="44" s="1"/>
  <c r="X58" i="44" s="1"/>
  <c r="R58" i="43"/>
  <c r="L59" i="43"/>
  <c r="U57" i="43"/>
  <c r="Y57" i="43" s="1"/>
  <c r="Q57" i="43"/>
  <c r="T57" i="43" s="1"/>
  <c r="X57" i="43" s="1"/>
  <c r="S57" i="43"/>
  <c r="V57" i="43" s="1"/>
  <c r="Z57" i="43" s="1"/>
  <c r="R55" i="42"/>
  <c r="L56" i="42"/>
  <c r="S54" i="42"/>
  <c r="V54" i="42" s="1"/>
  <c r="Z54" i="42" s="1"/>
  <c r="U54" i="42"/>
  <c r="Y54" i="42" s="1"/>
  <c r="Q54" i="42"/>
  <c r="T54" i="42" s="1"/>
  <c r="X54" i="42" s="1"/>
  <c r="S53" i="41"/>
  <c r="V53" i="41" s="1"/>
  <c r="Z53" i="41" s="1"/>
  <c r="U53" i="41"/>
  <c r="Y53" i="41" s="1"/>
  <c r="Q53" i="41"/>
  <c r="T53" i="41" s="1"/>
  <c r="X53" i="41" s="1"/>
  <c r="B59" i="41"/>
  <c r="W58" i="41"/>
  <c r="R54" i="41"/>
  <c r="L55" i="41"/>
  <c r="J43" i="34"/>
  <c r="H43" i="34"/>
  <c r="K43" i="34" s="1"/>
  <c r="F43" i="34"/>
  <c r="I43" i="34" s="1"/>
  <c r="G45" i="26"/>
  <c r="Q33" i="37"/>
  <c r="S33" i="37"/>
  <c r="P35" i="37"/>
  <c r="R34" i="37"/>
  <c r="M40" i="37"/>
  <c r="L47" i="37"/>
  <c r="S33" i="33"/>
  <c r="V33" i="33" s="1"/>
  <c r="Z33" i="33" s="1"/>
  <c r="U33" i="33"/>
  <c r="Y33" i="33" s="1"/>
  <c r="Q33" i="33"/>
  <c r="T33" i="33" s="1"/>
  <c r="X33" i="33" s="1"/>
  <c r="P35" i="33"/>
  <c r="B45" i="34"/>
  <c r="W44" i="34"/>
  <c r="Q35" i="34"/>
  <c r="S35" i="34"/>
  <c r="R36" i="34"/>
  <c r="L39" i="34"/>
  <c r="B48" i="33"/>
  <c r="W47" i="33"/>
  <c r="L39" i="33"/>
  <c r="M37" i="33"/>
  <c r="S61" i="46" l="1"/>
  <c r="V61" i="46" s="1"/>
  <c r="Z61" i="46" s="1"/>
  <c r="Q61" i="46"/>
  <c r="T61" i="46" s="1"/>
  <c r="X61" i="46" s="1"/>
  <c r="U61" i="46"/>
  <c r="Y61" i="46" s="1"/>
  <c r="R62" i="46"/>
  <c r="L63" i="46"/>
  <c r="R59" i="45"/>
  <c r="L60" i="45"/>
  <c r="S58" i="45"/>
  <c r="V58" i="45" s="1"/>
  <c r="Z58" i="45" s="1"/>
  <c r="U58" i="45"/>
  <c r="Y58" i="45" s="1"/>
  <c r="Q58" i="45"/>
  <c r="T58" i="45" s="1"/>
  <c r="X58" i="45" s="1"/>
  <c r="B63" i="44"/>
  <c r="W62" i="44"/>
  <c r="U59" i="44"/>
  <c r="Y59" i="44" s="1"/>
  <c r="Q59" i="44"/>
  <c r="T59" i="44" s="1"/>
  <c r="X59" i="44" s="1"/>
  <c r="S59" i="44"/>
  <c r="V59" i="44" s="1"/>
  <c r="Z59" i="44" s="1"/>
  <c r="R60" i="44"/>
  <c r="L61" i="44"/>
  <c r="S58" i="43"/>
  <c r="V58" i="43" s="1"/>
  <c r="Z58" i="43" s="1"/>
  <c r="U58" i="43"/>
  <c r="Y58" i="43" s="1"/>
  <c r="Q58" i="43"/>
  <c r="T58" i="43" s="1"/>
  <c r="X58" i="43" s="1"/>
  <c r="R59" i="43"/>
  <c r="L60" i="43"/>
  <c r="R56" i="42"/>
  <c r="L57" i="42"/>
  <c r="S55" i="42"/>
  <c r="V55" i="42" s="1"/>
  <c r="Z55" i="42" s="1"/>
  <c r="Q55" i="42"/>
  <c r="T55" i="42" s="1"/>
  <c r="X55" i="42" s="1"/>
  <c r="U55" i="42"/>
  <c r="Y55" i="42" s="1"/>
  <c r="B60" i="41"/>
  <c r="W59" i="41"/>
  <c r="L56" i="41"/>
  <c r="R55" i="41"/>
  <c r="U54" i="41"/>
  <c r="Y54" i="41" s="1"/>
  <c r="Q54" i="41"/>
  <c r="T54" i="41" s="1"/>
  <c r="X54" i="41" s="1"/>
  <c r="S54" i="41"/>
  <c r="V54" i="41" s="1"/>
  <c r="Z54" i="41" s="1"/>
  <c r="S34" i="37"/>
  <c r="Q34" i="37"/>
  <c r="P36" i="37"/>
  <c r="R35" i="37"/>
  <c r="G46" i="26"/>
  <c r="M41" i="37"/>
  <c r="L48" i="37"/>
  <c r="Q34" i="33"/>
  <c r="T34" i="33" s="1"/>
  <c r="X34" i="33" s="1"/>
  <c r="U34" i="33"/>
  <c r="Y34" i="33" s="1"/>
  <c r="S34" i="33"/>
  <c r="V34" i="33" s="1"/>
  <c r="Z34" i="33" s="1"/>
  <c r="P36" i="33"/>
  <c r="R37" i="34"/>
  <c r="L40" i="34"/>
  <c r="B46" i="34"/>
  <c r="W45" i="34"/>
  <c r="S36" i="34"/>
  <c r="V36" i="34" s="1"/>
  <c r="Z36" i="34" s="1"/>
  <c r="Q36" i="34"/>
  <c r="T36" i="34" s="1"/>
  <c r="X36" i="34" s="1"/>
  <c r="U36" i="34"/>
  <c r="Y36" i="34" s="1"/>
  <c r="L40" i="33"/>
  <c r="M38" i="33"/>
  <c r="B49" i="33"/>
  <c r="W48" i="33"/>
  <c r="S62" i="46" l="1"/>
  <c r="V62" i="46" s="1"/>
  <c r="Z62" i="46" s="1"/>
  <c r="U62" i="46"/>
  <c r="Y62" i="46" s="1"/>
  <c r="Q62" i="46"/>
  <c r="T62" i="46" s="1"/>
  <c r="X62" i="46" s="1"/>
  <c r="R63" i="46"/>
  <c r="L64" i="46"/>
  <c r="R60" i="45"/>
  <c r="L61" i="45"/>
  <c r="U59" i="45"/>
  <c r="Y59" i="45" s="1"/>
  <c r="Q59" i="45"/>
  <c r="T59" i="45" s="1"/>
  <c r="X59" i="45" s="1"/>
  <c r="S59" i="45"/>
  <c r="V59" i="45" s="1"/>
  <c r="Z59" i="45" s="1"/>
  <c r="U60" i="44"/>
  <c r="Y60" i="44" s="1"/>
  <c r="Q60" i="44"/>
  <c r="T60" i="44" s="1"/>
  <c r="X60" i="44" s="1"/>
  <c r="S60" i="44"/>
  <c r="V60" i="44" s="1"/>
  <c r="Z60" i="44" s="1"/>
  <c r="B64" i="44"/>
  <c r="W63" i="44"/>
  <c r="L62" i="44"/>
  <c r="R61" i="44"/>
  <c r="R60" i="43"/>
  <c r="L61" i="43"/>
  <c r="S59" i="43"/>
  <c r="V59" i="43" s="1"/>
  <c r="Z59" i="43" s="1"/>
  <c r="U59" i="43"/>
  <c r="Y59" i="43" s="1"/>
  <c r="Q59" i="43"/>
  <c r="T59" i="43" s="1"/>
  <c r="X59" i="43" s="1"/>
  <c r="L58" i="42"/>
  <c r="R57" i="42"/>
  <c r="U56" i="42"/>
  <c r="Y56" i="42" s="1"/>
  <c r="Q56" i="42"/>
  <c r="T56" i="42" s="1"/>
  <c r="X56" i="42" s="1"/>
  <c r="S56" i="42"/>
  <c r="V56" i="42" s="1"/>
  <c r="Z56" i="42" s="1"/>
  <c r="U55" i="41"/>
  <c r="Y55" i="41" s="1"/>
  <c r="Q55" i="41"/>
  <c r="T55" i="41" s="1"/>
  <c r="X55" i="41" s="1"/>
  <c r="S55" i="41"/>
  <c r="V55" i="41" s="1"/>
  <c r="Z55" i="41" s="1"/>
  <c r="R56" i="41"/>
  <c r="L57" i="41"/>
  <c r="B61" i="41"/>
  <c r="W60" i="41"/>
  <c r="G47" i="26"/>
  <c r="Q35" i="37"/>
  <c r="S35" i="37"/>
  <c r="P37" i="37"/>
  <c r="R36" i="37"/>
  <c r="M42" i="37"/>
  <c r="L49" i="37"/>
  <c r="Q35" i="33"/>
  <c r="S35" i="33"/>
  <c r="P37" i="33"/>
  <c r="Q37" i="34"/>
  <c r="T37" i="34" s="1"/>
  <c r="X37" i="34" s="1"/>
  <c r="U37" i="34"/>
  <c r="Y37" i="34" s="1"/>
  <c r="S37" i="34"/>
  <c r="V37" i="34" s="1"/>
  <c r="Z37" i="34" s="1"/>
  <c r="R38" i="34"/>
  <c r="B47" i="34"/>
  <c r="W46" i="34"/>
  <c r="L41" i="34"/>
  <c r="B50" i="33"/>
  <c r="W49" i="33"/>
  <c r="M39" i="33"/>
  <c r="L41" i="33"/>
  <c r="U63" i="46" l="1"/>
  <c r="Y63" i="46" s="1"/>
  <c r="Q63" i="46"/>
  <c r="T63" i="46" s="1"/>
  <c r="X63" i="46" s="1"/>
  <c r="S63" i="46"/>
  <c r="V63" i="46" s="1"/>
  <c r="Z63" i="46" s="1"/>
  <c r="L65" i="46"/>
  <c r="R64" i="46"/>
  <c r="L62" i="45"/>
  <c r="R61" i="45"/>
  <c r="S60" i="45"/>
  <c r="V60" i="45" s="1"/>
  <c r="Z60" i="45" s="1"/>
  <c r="Q60" i="45"/>
  <c r="T60" i="45" s="1"/>
  <c r="X60" i="45" s="1"/>
  <c r="U60" i="45"/>
  <c r="Y60" i="45" s="1"/>
  <c r="R62" i="44"/>
  <c r="L63" i="44"/>
  <c r="B65" i="44"/>
  <c r="W64" i="44"/>
  <c r="U61" i="44"/>
  <c r="Y61" i="44" s="1"/>
  <c r="Q61" i="44"/>
  <c r="T61" i="44" s="1"/>
  <c r="X61" i="44" s="1"/>
  <c r="S61" i="44"/>
  <c r="V61" i="44" s="1"/>
  <c r="Z61" i="44" s="1"/>
  <c r="U60" i="43"/>
  <c r="Y60" i="43" s="1"/>
  <c r="S60" i="43"/>
  <c r="V60" i="43" s="1"/>
  <c r="Z60" i="43" s="1"/>
  <c r="Q60" i="43"/>
  <c r="T60" i="43" s="1"/>
  <c r="X60" i="43" s="1"/>
  <c r="L62" i="43"/>
  <c r="R61" i="43"/>
  <c r="U57" i="42"/>
  <c r="Y57" i="42" s="1"/>
  <c r="Q57" i="42"/>
  <c r="T57" i="42" s="1"/>
  <c r="X57" i="42" s="1"/>
  <c r="S57" i="42"/>
  <c r="V57" i="42" s="1"/>
  <c r="Z57" i="42" s="1"/>
  <c r="R58" i="42"/>
  <c r="L59" i="42"/>
  <c r="S56" i="41"/>
  <c r="V56" i="41" s="1"/>
  <c r="Z56" i="41" s="1"/>
  <c r="U56" i="41"/>
  <c r="Y56" i="41" s="1"/>
  <c r="Q56" i="41"/>
  <c r="T56" i="41" s="1"/>
  <c r="X56" i="41" s="1"/>
  <c r="B62" i="41"/>
  <c r="W61" i="41"/>
  <c r="R57" i="41"/>
  <c r="L58" i="41"/>
  <c r="S36" i="37"/>
  <c r="Q36" i="37"/>
  <c r="P38" i="37"/>
  <c r="R37" i="37"/>
  <c r="J46" i="34"/>
  <c r="H46" i="34"/>
  <c r="K46" i="34" s="1"/>
  <c r="F46" i="34"/>
  <c r="I46" i="34" s="1"/>
  <c r="G48" i="26"/>
  <c r="M43" i="37"/>
  <c r="L50" i="37"/>
  <c r="U36" i="33"/>
  <c r="Y36" i="33" s="1"/>
  <c r="Q36" i="33"/>
  <c r="T36" i="33" s="1"/>
  <c r="X36" i="33" s="1"/>
  <c r="S36" i="33"/>
  <c r="V36" i="33" s="1"/>
  <c r="Z36" i="33" s="1"/>
  <c r="P38" i="33"/>
  <c r="R39" i="34"/>
  <c r="L42" i="34"/>
  <c r="S38" i="34"/>
  <c r="V38" i="34" s="1"/>
  <c r="Z38" i="34" s="1"/>
  <c r="Q38" i="34"/>
  <c r="T38" i="34" s="1"/>
  <c r="X38" i="34" s="1"/>
  <c r="U38" i="34"/>
  <c r="Y38" i="34" s="1"/>
  <c r="B48" i="34"/>
  <c r="W47" i="34"/>
  <c r="B51" i="33"/>
  <c r="W50" i="33"/>
  <c r="L42" i="33"/>
  <c r="M40" i="33"/>
  <c r="R65" i="46" l="1"/>
  <c r="L66" i="46"/>
  <c r="U64" i="46"/>
  <c r="Y64" i="46" s="1"/>
  <c r="Q64" i="46"/>
  <c r="T64" i="46" s="1"/>
  <c r="X64" i="46" s="1"/>
  <c r="S64" i="46"/>
  <c r="V64" i="46" s="1"/>
  <c r="Z64" i="46" s="1"/>
  <c r="U61" i="45"/>
  <c r="Y61" i="45" s="1"/>
  <c r="Q61" i="45"/>
  <c r="T61" i="45" s="1"/>
  <c r="X61" i="45" s="1"/>
  <c r="S61" i="45"/>
  <c r="V61" i="45" s="1"/>
  <c r="Z61" i="45" s="1"/>
  <c r="L63" i="45"/>
  <c r="R62" i="45"/>
  <c r="S62" i="44"/>
  <c r="V62" i="44" s="1"/>
  <c r="Z62" i="44" s="1"/>
  <c r="U62" i="44"/>
  <c r="Y62" i="44" s="1"/>
  <c r="Q62" i="44"/>
  <c r="T62" i="44" s="1"/>
  <c r="X62" i="44" s="1"/>
  <c r="B66" i="44"/>
  <c r="W65" i="44"/>
  <c r="R63" i="44"/>
  <c r="L64" i="44"/>
  <c r="U61" i="43"/>
  <c r="Y61" i="43" s="1"/>
  <c r="Q61" i="43"/>
  <c r="T61" i="43" s="1"/>
  <c r="X61" i="43" s="1"/>
  <c r="S61" i="43"/>
  <c r="V61" i="43" s="1"/>
  <c r="Z61" i="43" s="1"/>
  <c r="L63" i="43"/>
  <c r="R62" i="43"/>
  <c r="S58" i="42"/>
  <c r="V58" i="42" s="1"/>
  <c r="Z58" i="42" s="1"/>
  <c r="Q58" i="42"/>
  <c r="T58" i="42" s="1"/>
  <c r="X58" i="42" s="1"/>
  <c r="U58" i="42"/>
  <c r="Y58" i="42" s="1"/>
  <c r="L60" i="42"/>
  <c r="R59" i="42"/>
  <c r="B63" i="41"/>
  <c r="W62" i="41"/>
  <c r="R58" i="41"/>
  <c r="L59" i="41"/>
  <c r="S57" i="41"/>
  <c r="V57" i="41" s="1"/>
  <c r="Z57" i="41" s="1"/>
  <c r="U57" i="41"/>
  <c r="Y57" i="41" s="1"/>
  <c r="Q57" i="41"/>
  <c r="T57" i="41" s="1"/>
  <c r="X57" i="41" s="1"/>
  <c r="J47" i="34"/>
  <c r="H47" i="34"/>
  <c r="K47" i="34" s="1"/>
  <c r="F47" i="34"/>
  <c r="I47" i="34" s="1"/>
  <c r="G49" i="26"/>
  <c r="Q37" i="37"/>
  <c r="S37" i="37"/>
  <c r="P39" i="37"/>
  <c r="R38" i="37"/>
  <c r="M44" i="37"/>
  <c r="L51" i="37"/>
  <c r="U37" i="33"/>
  <c r="Y37" i="33" s="1"/>
  <c r="Q37" i="33"/>
  <c r="T37" i="33" s="1"/>
  <c r="X37" i="33" s="1"/>
  <c r="S37" i="33"/>
  <c r="V37" i="33" s="1"/>
  <c r="Z37" i="33" s="1"/>
  <c r="P39" i="33"/>
  <c r="B49" i="34"/>
  <c r="W48" i="34"/>
  <c r="L43" i="34"/>
  <c r="S39" i="34"/>
  <c r="Q39" i="34"/>
  <c r="R40" i="34"/>
  <c r="M41" i="33"/>
  <c r="B52" i="33"/>
  <c r="W51" i="33"/>
  <c r="L43" i="33"/>
  <c r="R66" i="46" l="1"/>
  <c r="L67" i="46"/>
  <c r="S65" i="46"/>
  <c r="V65" i="46" s="1"/>
  <c r="Z65" i="46" s="1"/>
  <c r="U65" i="46"/>
  <c r="Y65" i="46" s="1"/>
  <c r="Q65" i="46"/>
  <c r="T65" i="46" s="1"/>
  <c r="X65" i="46" s="1"/>
  <c r="L64" i="45"/>
  <c r="R63" i="45"/>
  <c r="U62" i="45"/>
  <c r="Y62" i="45" s="1"/>
  <c r="S62" i="45"/>
  <c r="V62" i="45" s="1"/>
  <c r="Z62" i="45" s="1"/>
  <c r="Q62" i="45"/>
  <c r="T62" i="45" s="1"/>
  <c r="X62" i="45" s="1"/>
  <c r="S63" i="44"/>
  <c r="V63" i="44" s="1"/>
  <c r="Z63" i="44" s="1"/>
  <c r="U63" i="44"/>
  <c r="Y63" i="44" s="1"/>
  <c r="Q63" i="44"/>
  <c r="T63" i="44" s="1"/>
  <c r="X63" i="44" s="1"/>
  <c r="B67" i="44"/>
  <c r="W66" i="44"/>
  <c r="R64" i="44"/>
  <c r="L65" i="44"/>
  <c r="Q62" i="43"/>
  <c r="T62" i="43" s="1"/>
  <c r="X62" i="43" s="1"/>
  <c r="U62" i="43"/>
  <c r="Y62" i="43" s="1"/>
  <c r="S62" i="43"/>
  <c r="V62" i="43" s="1"/>
  <c r="Z62" i="43" s="1"/>
  <c r="R63" i="43"/>
  <c r="L64" i="43"/>
  <c r="S59" i="42"/>
  <c r="V59" i="42" s="1"/>
  <c r="Z59" i="42" s="1"/>
  <c r="U59" i="42"/>
  <c r="Y59" i="42" s="1"/>
  <c r="Q59" i="42"/>
  <c r="T59" i="42" s="1"/>
  <c r="X59" i="42" s="1"/>
  <c r="R60" i="42"/>
  <c r="L61" i="42"/>
  <c r="L60" i="41"/>
  <c r="R59" i="41"/>
  <c r="U58" i="41"/>
  <c r="Y58" i="41" s="1"/>
  <c r="Q58" i="41"/>
  <c r="T58" i="41" s="1"/>
  <c r="X58" i="41" s="1"/>
  <c r="S58" i="41"/>
  <c r="V58" i="41" s="1"/>
  <c r="Z58" i="41" s="1"/>
  <c r="B64" i="41"/>
  <c r="W63" i="41"/>
  <c r="S38" i="37"/>
  <c r="Q38" i="37"/>
  <c r="P40" i="37"/>
  <c r="R39" i="37"/>
  <c r="J48" i="34"/>
  <c r="H48" i="34"/>
  <c r="K48" i="34" s="1"/>
  <c r="F48" i="34"/>
  <c r="I48" i="34" s="1"/>
  <c r="G50" i="26"/>
  <c r="M45" i="37"/>
  <c r="L52" i="37"/>
  <c r="U38" i="33"/>
  <c r="Y38" i="33" s="1"/>
  <c r="Q38" i="33"/>
  <c r="T38" i="33" s="1"/>
  <c r="X38" i="33" s="1"/>
  <c r="S38" i="33"/>
  <c r="V38" i="33" s="1"/>
  <c r="Z38" i="33" s="1"/>
  <c r="P40" i="33"/>
  <c r="R41" i="34"/>
  <c r="Q40" i="34"/>
  <c r="S40" i="34"/>
  <c r="L44" i="34"/>
  <c r="B50" i="34"/>
  <c r="W49" i="34"/>
  <c r="B53" i="33"/>
  <c r="W52" i="33"/>
  <c r="L44" i="33"/>
  <c r="M42" i="33"/>
  <c r="R67" i="46" l="1"/>
  <c r="L68" i="46"/>
  <c r="S66" i="46"/>
  <c r="V66" i="46" s="1"/>
  <c r="Z66" i="46" s="1"/>
  <c r="U66" i="46"/>
  <c r="Y66" i="46" s="1"/>
  <c r="Q66" i="46"/>
  <c r="T66" i="46" s="1"/>
  <c r="X66" i="46" s="1"/>
  <c r="R64" i="45"/>
  <c r="L65" i="45"/>
  <c r="S63" i="45"/>
  <c r="V63" i="45" s="1"/>
  <c r="Z63" i="45" s="1"/>
  <c r="Q63" i="45"/>
  <c r="T63" i="45" s="1"/>
  <c r="X63" i="45" s="1"/>
  <c r="U63" i="45"/>
  <c r="Y63" i="45" s="1"/>
  <c r="U64" i="44"/>
  <c r="Y64" i="44" s="1"/>
  <c r="Q64" i="44"/>
  <c r="T64" i="44" s="1"/>
  <c r="X64" i="44" s="1"/>
  <c r="S64" i="44"/>
  <c r="V64" i="44" s="1"/>
  <c r="Z64" i="44" s="1"/>
  <c r="B68" i="44"/>
  <c r="W67" i="44"/>
  <c r="L66" i="44"/>
  <c r="R65" i="44"/>
  <c r="R64" i="43"/>
  <c r="L65" i="43"/>
  <c r="S63" i="43"/>
  <c r="V63" i="43" s="1"/>
  <c r="Z63" i="43" s="1"/>
  <c r="Q63" i="43"/>
  <c r="T63" i="43" s="1"/>
  <c r="X63" i="43" s="1"/>
  <c r="U63" i="43"/>
  <c r="Y63" i="43" s="1"/>
  <c r="U60" i="42"/>
  <c r="Y60" i="42" s="1"/>
  <c r="Q60" i="42"/>
  <c r="T60" i="42" s="1"/>
  <c r="X60" i="42" s="1"/>
  <c r="S60" i="42"/>
  <c r="V60" i="42" s="1"/>
  <c r="Z60" i="42" s="1"/>
  <c r="L62" i="42"/>
  <c r="R61" i="42"/>
  <c r="U59" i="41"/>
  <c r="Y59" i="41" s="1"/>
  <c r="Q59" i="41"/>
  <c r="T59" i="41" s="1"/>
  <c r="X59" i="41" s="1"/>
  <c r="S59" i="41"/>
  <c r="V59" i="41" s="1"/>
  <c r="Z59" i="41" s="1"/>
  <c r="B65" i="41"/>
  <c r="W64" i="41"/>
  <c r="R60" i="41"/>
  <c r="L61" i="41"/>
  <c r="J49" i="34"/>
  <c r="H49" i="34"/>
  <c r="K49" i="34" s="1"/>
  <c r="F49" i="34"/>
  <c r="I49" i="34" s="1"/>
  <c r="G51" i="26"/>
  <c r="Q39" i="37"/>
  <c r="S39" i="37"/>
  <c r="P41" i="37"/>
  <c r="R40" i="37"/>
  <c r="M46" i="37"/>
  <c r="L53" i="37"/>
  <c r="U39" i="33"/>
  <c r="Y39" i="33" s="1"/>
  <c r="Q39" i="33"/>
  <c r="T39" i="33" s="1"/>
  <c r="X39" i="33" s="1"/>
  <c r="S39" i="33"/>
  <c r="V39" i="33" s="1"/>
  <c r="Z39" i="33" s="1"/>
  <c r="P41" i="33"/>
  <c r="B51" i="34"/>
  <c r="W50" i="34"/>
  <c r="L45" i="34"/>
  <c r="U41" i="34"/>
  <c r="Y41" i="34" s="1"/>
  <c r="Q41" i="34"/>
  <c r="T41" i="34" s="1"/>
  <c r="X41" i="34" s="1"/>
  <c r="S41" i="34"/>
  <c r="V41" i="34" s="1"/>
  <c r="Z41" i="34" s="1"/>
  <c r="R42" i="34"/>
  <c r="B54" i="33"/>
  <c r="W53" i="33"/>
  <c r="M43" i="33"/>
  <c r="L45" i="33"/>
  <c r="L69" i="46" l="1"/>
  <c r="R68" i="46"/>
  <c r="U67" i="46"/>
  <c r="Y67" i="46" s="1"/>
  <c r="Q67" i="46"/>
  <c r="T67" i="46" s="1"/>
  <c r="X67" i="46" s="1"/>
  <c r="S67" i="46"/>
  <c r="V67" i="46" s="1"/>
  <c r="Z67" i="46" s="1"/>
  <c r="S64" i="45"/>
  <c r="V64" i="45" s="1"/>
  <c r="Z64" i="45" s="1"/>
  <c r="Q64" i="45"/>
  <c r="T64" i="45" s="1"/>
  <c r="X64" i="45" s="1"/>
  <c r="U64" i="45"/>
  <c r="Y64" i="45" s="1"/>
  <c r="L66" i="45"/>
  <c r="R65" i="45"/>
  <c r="R66" i="44"/>
  <c r="L67" i="44"/>
  <c r="B69" i="44"/>
  <c r="W68" i="44"/>
  <c r="U65" i="44"/>
  <c r="Y65" i="44" s="1"/>
  <c r="Q65" i="44"/>
  <c r="T65" i="44" s="1"/>
  <c r="X65" i="44" s="1"/>
  <c r="S65" i="44"/>
  <c r="V65" i="44" s="1"/>
  <c r="Z65" i="44" s="1"/>
  <c r="S64" i="43"/>
  <c r="V64" i="43" s="1"/>
  <c r="Z64" i="43" s="1"/>
  <c r="Q64" i="43"/>
  <c r="T64" i="43" s="1"/>
  <c r="X64" i="43" s="1"/>
  <c r="U64" i="43"/>
  <c r="Y64" i="43" s="1"/>
  <c r="L66" i="43"/>
  <c r="R65" i="43"/>
  <c r="L63" i="42"/>
  <c r="R62" i="42"/>
  <c r="U61" i="42"/>
  <c r="Y61" i="42" s="1"/>
  <c r="Q61" i="42"/>
  <c r="T61" i="42" s="1"/>
  <c r="X61" i="42" s="1"/>
  <c r="S61" i="42"/>
  <c r="V61" i="42" s="1"/>
  <c r="Z61" i="42" s="1"/>
  <c r="B66" i="41"/>
  <c r="W65" i="41"/>
  <c r="L62" i="41"/>
  <c r="R61" i="41"/>
  <c r="U60" i="41"/>
  <c r="Y60" i="41" s="1"/>
  <c r="Q60" i="41"/>
  <c r="T60" i="41" s="1"/>
  <c r="X60" i="41" s="1"/>
  <c r="S60" i="41"/>
  <c r="V60" i="41" s="1"/>
  <c r="Z60" i="41" s="1"/>
  <c r="S40" i="37"/>
  <c r="Q40" i="37"/>
  <c r="P42" i="37"/>
  <c r="R41" i="37"/>
  <c r="J50" i="34"/>
  <c r="H50" i="34"/>
  <c r="K50" i="34" s="1"/>
  <c r="F50" i="34"/>
  <c r="I50" i="34" s="1"/>
  <c r="G52" i="26"/>
  <c r="M47" i="37"/>
  <c r="L54" i="37"/>
  <c r="S40" i="33"/>
  <c r="Q40" i="33"/>
  <c r="P42" i="33"/>
  <c r="R43" i="34"/>
  <c r="U42" i="34"/>
  <c r="Y42" i="34" s="1"/>
  <c r="Q42" i="34"/>
  <c r="T42" i="34" s="1"/>
  <c r="X42" i="34" s="1"/>
  <c r="S42" i="34"/>
  <c r="V42" i="34" s="1"/>
  <c r="Z42" i="34" s="1"/>
  <c r="B52" i="34"/>
  <c r="W51" i="34"/>
  <c r="L46" i="34"/>
  <c r="M44" i="33"/>
  <c r="L46" i="33"/>
  <c r="B55" i="33"/>
  <c r="W54" i="33"/>
  <c r="U68" i="46" l="1"/>
  <c r="Y68" i="46" s="1"/>
  <c r="Q68" i="46"/>
  <c r="T68" i="46" s="1"/>
  <c r="X68" i="46" s="1"/>
  <c r="S68" i="46"/>
  <c r="V68" i="46" s="1"/>
  <c r="Z68" i="46" s="1"/>
  <c r="R69" i="46"/>
  <c r="L70" i="46"/>
  <c r="R66" i="45"/>
  <c r="L67" i="45"/>
  <c r="U65" i="45"/>
  <c r="Y65" i="45" s="1"/>
  <c r="Q65" i="45"/>
  <c r="T65" i="45" s="1"/>
  <c r="X65" i="45" s="1"/>
  <c r="S65" i="45"/>
  <c r="V65" i="45" s="1"/>
  <c r="Z65" i="45" s="1"/>
  <c r="S66" i="44"/>
  <c r="V66" i="44" s="1"/>
  <c r="Z66" i="44" s="1"/>
  <c r="U66" i="44"/>
  <c r="Y66" i="44" s="1"/>
  <c r="Q66" i="44"/>
  <c r="T66" i="44" s="1"/>
  <c r="X66" i="44" s="1"/>
  <c r="B70" i="44"/>
  <c r="W69" i="44"/>
  <c r="R67" i="44"/>
  <c r="L68" i="44"/>
  <c r="U65" i="43"/>
  <c r="Y65" i="43" s="1"/>
  <c r="Q65" i="43"/>
  <c r="T65" i="43" s="1"/>
  <c r="X65" i="43" s="1"/>
  <c r="S65" i="43"/>
  <c r="V65" i="43" s="1"/>
  <c r="Z65" i="43" s="1"/>
  <c r="L67" i="43"/>
  <c r="R66" i="43"/>
  <c r="S62" i="42"/>
  <c r="V62" i="42" s="1"/>
  <c r="Z62" i="42" s="1"/>
  <c r="U62" i="42"/>
  <c r="Y62" i="42" s="1"/>
  <c r="Q62" i="42"/>
  <c r="T62" i="42" s="1"/>
  <c r="X62" i="42" s="1"/>
  <c r="R63" i="42"/>
  <c r="L64" i="42"/>
  <c r="U61" i="41"/>
  <c r="Y61" i="41" s="1"/>
  <c r="Q61" i="41"/>
  <c r="T61" i="41" s="1"/>
  <c r="X61" i="41" s="1"/>
  <c r="S61" i="41"/>
  <c r="V61" i="41" s="1"/>
  <c r="Z61" i="41" s="1"/>
  <c r="R62" i="41"/>
  <c r="L63" i="41"/>
  <c r="B67" i="41"/>
  <c r="W66" i="41"/>
  <c r="J51" i="34"/>
  <c r="H51" i="34"/>
  <c r="K51" i="34" s="1"/>
  <c r="F51" i="34"/>
  <c r="I51" i="34" s="1"/>
  <c r="G53" i="26"/>
  <c r="Q41" i="37"/>
  <c r="S41" i="37"/>
  <c r="P43" i="37"/>
  <c r="R42" i="37"/>
  <c r="M48" i="37"/>
  <c r="L55" i="37"/>
  <c r="Q41" i="33"/>
  <c r="T41" i="33" s="1"/>
  <c r="X41" i="33" s="1"/>
  <c r="U41" i="33"/>
  <c r="Y41" i="33" s="1"/>
  <c r="S41" i="33"/>
  <c r="V41" i="33" s="1"/>
  <c r="Z41" i="33" s="1"/>
  <c r="P43" i="33"/>
  <c r="L47" i="34"/>
  <c r="B53" i="34"/>
  <c r="W52" i="34"/>
  <c r="U43" i="34"/>
  <c r="Y43" i="34" s="1"/>
  <c r="Q43" i="34"/>
  <c r="T43" i="34" s="1"/>
  <c r="X43" i="34" s="1"/>
  <c r="S43" i="34"/>
  <c r="V43" i="34" s="1"/>
  <c r="Z43" i="34" s="1"/>
  <c r="R44" i="34"/>
  <c r="M45" i="33"/>
  <c r="B56" i="33"/>
  <c r="W55" i="33"/>
  <c r="L47" i="33"/>
  <c r="S69" i="46" l="1"/>
  <c r="V69" i="46" s="1"/>
  <c r="Z69" i="46" s="1"/>
  <c r="U69" i="46"/>
  <c r="Y69" i="46" s="1"/>
  <c r="Q69" i="46"/>
  <c r="T69" i="46" s="1"/>
  <c r="X69" i="46" s="1"/>
  <c r="R70" i="46"/>
  <c r="L71" i="46"/>
  <c r="S66" i="45"/>
  <c r="V66" i="45" s="1"/>
  <c r="Z66" i="45" s="1"/>
  <c r="Q66" i="45"/>
  <c r="T66" i="45" s="1"/>
  <c r="X66" i="45" s="1"/>
  <c r="U66" i="45"/>
  <c r="Y66" i="45" s="1"/>
  <c r="L68" i="45"/>
  <c r="R67" i="45"/>
  <c r="B71" i="44"/>
  <c r="W70" i="44"/>
  <c r="R68" i="44"/>
  <c r="L69" i="44"/>
  <c r="S67" i="44"/>
  <c r="V67" i="44" s="1"/>
  <c r="Z67" i="44" s="1"/>
  <c r="U67" i="44"/>
  <c r="Y67" i="44" s="1"/>
  <c r="Q67" i="44"/>
  <c r="T67" i="44" s="1"/>
  <c r="X67" i="44" s="1"/>
  <c r="U66" i="43"/>
  <c r="Y66" i="43" s="1"/>
  <c r="S66" i="43"/>
  <c r="V66" i="43" s="1"/>
  <c r="Z66" i="43" s="1"/>
  <c r="Q66" i="43"/>
  <c r="T66" i="43" s="1"/>
  <c r="X66" i="43" s="1"/>
  <c r="L68" i="43"/>
  <c r="R67" i="43"/>
  <c r="S63" i="42"/>
  <c r="V63" i="42" s="1"/>
  <c r="Z63" i="42" s="1"/>
  <c r="Q63" i="42"/>
  <c r="T63" i="42" s="1"/>
  <c r="X63" i="42" s="1"/>
  <c r="U63" i="42"/>
  <c r="Y63" i="42" s="1"/>
  <c r="R64" i="42"/>
  <c r="L65" i="42"/>
  <c r="S62" i="41"/>
  <c r="V62" i="41" s="1"/>
  <c r="Z62" i="41" s="1"/>
  <c r="U62" i="41"/>
  <c r="Y62" i="41" s="1"/>
  <c r="Q62" i="41"/>
  <c r="T62" i="41" s="1"/>
  <c r="X62" i="41" s="1"/>
  <c r="B68" i="41"/>
  <c r="W67" i="41"/>
  <c r="R63" i="41"/>
  <c r="L64" i="41"/>
  <c r="S42" i="37"/>
  <c r="Q42" i="37"/>
  <c r="P44" i="37"/>
  <c r="R43" i="37"/>
  <c r="J52" i="34"/>
  <c r="H52" i="34"/>
  <c r="K52" i="34" s="1"/>
  <c r="F52" i="34"/>
  <c r="I52" i="34" s="1"/>
  <c r="G54" i="26"/>
  <c r="M49" i="37"/>
  <c r="L56" i="37"/>
  <c r="S42" i="33"/>
  <c r="V42" i="33" s="1"/>
  <c r="Z42" i="33" s="1"/>
  <c r="Q42" i="33"/>
  <c r="T42" i="33" s="1"/>
  <c r="X42" i="33" s="1"/>
  <c r="U42" i="33"/>
  <c r="Y42" i="33" s="1"/>
  <c r="P44" i="33"/>
  <c r="Q44" i="34"/>
  <c r="S44" i="34"/>
  <c r="R45" i="34"/>
  <c r="B54" i="34"/>
  <c r="W53" i="34"/>
  <c r="L48" i="34"/>
  <c r="B57" i="33"/>
  <c r="W56" i="33"/>
  <c r="L48" i="33"/>
  <c r="M46" i="33"/>
  <c r="S70" i="46" l="1"/>
  <c r="V70" i="46" s="1"/>
  <c r="Z70" i="46" s="1"/>
  <c r="U70" i="46"/>
  <c r="Y70" i="46" s="1"/>
  <c r="Q70" i="46"/>
  <c r="T70" i="46" s="1"/>
  <c r="X70" i="46" s="1"/>
  <c r="R71" i="46"/>
  <c r="L72" i="46"/>
  <c r="S67" i="45"/>
  <c r="V67" i="45" s="1"/>
  <c r="Z67" i="45" s="1"/>
  <c r="U67" i="45"/>
  <c r="Y67" i="45" s="1"/>
  <c r="Q67" i="45"/>
  <c r="T67" i="45" s="1"/>
  <c r="X67" i="45" s="1"/>
  <c r="R68" i="45"/>
  <c r="L69" i="45"/>
  <c r="B72" i="44"/>
  <c r="W71" i="44"/>
  <c r="L70" i="44"/>
  <c r="R69" i="44"/>
  <c r="U68" i="44"/>
  <c r="Y68" i="44" s="1"/>
  <c r="Q68" i="44"/>
  <c r="T68" i="44" s="1"/>
  <c r="X68" i="44" s="1"/>
  <c r="S68" i="44"/>
  <c r="V68" i="44" s="1"/>
  <c r="Z68" i="44" s="1"/>
  <c r="S67" i="43"/>
  <c r="V67" i="43" s="1"/>
  <c r="Z67" i="43" s="1"/>
  <c r="Q67" i="43"/>
  <c r="T67" i="43" s="1"/>
  <c r="X67" i="43" s="1"/>
  <c r="U67" i="43"/>
  <c r="Y67" i="43" s="1"/>
  <c r="R68" i="43"/>
  <c r="L69" i="43"/>
  <c r="L66" i="42"/>
  <c r="R65" i="42"/>
  <c r="U64" i="42"/>
  <c r="Y64" i="42" s="1"/>
  <c r="Q64" i="42"/>
  <c r="T64" i="42" s="1"/>
  <c r="X64" i="42" s="1"/>
  <c r="S64" i="42"/>
  <c r="V64" i="42" s="1"/>
  <c r="Z64" i="42" s="1"/>
  <c r="B69" i="41"/>
  <c r="W68" i="41"/>
  <c r="R64" i="41"/>
  <c r="L65" i="41"/>
  <c r="S63" i="41"/>
  <c r="V63" i="41" s="1"/>
  <c r="Z63" i="41" s="1"/>
  <c r="U63" i="41"/>
  <c r="Y63" i="41" s="1"/>
  <c r="Q63" i="41"/>
  <c r="T63" i="41" s="1"/>
  <c r="X63" i="41" s="1"/>
  <c r="J53" i="34"/>
  <c r="H53" i="34"/>
  <c r="K53" i="34" s="1"/>
  <c r="F53" i="34"/>
  <c r="I53" i="34" s="1"/>
  <c r="G55" i="26"/>
  <c r="Q43" i="37"/>
  <c r="S43" i="37"/>
  <c r="P45" i="37"/>
  <c r="R44" i="37"/>
  <c r="M50" i="37"/>
  <c r="L57" i="37"/>
  <c r="U43" i="33"/>
  <c r="Y43" i="33" s="1"/>
  <c r="S43" i="33"/>
  <c r="V43" i="33" s="1"/>
  <c r="Z43" i="33" s="1"/>
  <c r="Q43" i="33"/>
  <c r="T43" i="33" s="1"/>
  <c r="X43" i="33" s="1"/>
  <c r="P45" i="33"/>
  <c r="L49" i="34"/>
  <c r="R46" i="34"/>
  <c r="B55" i="34"/>
  <c r="W54" i="34"/>
  <c r="S45" i="34"/>
  <c r="Q45" i="34"/>
  <c r="L49" i="33"/>
  <c r="M47" i="33"/>
  <c r="B58" i="33"/>
  <c r="W57" i="33"/>
  <c r="U71" i="46" l="1"/>
  <c r="Y71" i="46" s="1"/>
  <c r="Q71" i="46"/>
  <c r="T71" i="46" s="1"/>
  <c r="X71" i="46" s="1"/>
  <c r="S71" i="46"/>
  <c r="V71" i="46" s="1"/>
  <c r="Z71" i="46" s="1"/>
  <c r="L73" i="46"/>
  <c r="R72" i="46"/>
  <c r="L70" i="45"/>
  <c r="R69" i="45"/>
  <c r="Q68" i="45"/>
  <c r="T68" i="45" s="1"/>
  <c r="X68" i="45" s="1"/>
  <c r="U68" i="45"/>
  <c r="Y68" i="45" s="1"/>
  <c r="S68" i="45"/>
  <c r="V68" i="45" s="1"/>
  <c r="Z68" i="45" s="1"/>
  <c r="U69" i="44"/>
  <c r="Y69" i="44" s="1"/>
  <c r="Q69" i="44"/>
  <c r="T69" i="44" s="1"/>
  <c r="X69" i="44" s="1"/>
  <c r="S69" i="44"/>
  <c r="V69" i="44" s="1"/>
  <c r="Z69" i="44" s="1"/>
  <c r="R70" i="44"/>
  <c r="L71" i="44"/>
  <c r="B73" i="44"/>
  <c r="W73" i="44" s="1"/>
  <c r="W72" i="44"/>
  <c r="L70" i="43"/>
  <c r="R69" i="43"/>
  <c r="U68" i="43"/>
  <c r="Y68" i="43" s="1"/>
  <c r="Q68" i="43"/>
  <c r="T68" i="43" s="1"/>
  <c r="X68" i="43" s="1"/>
  <c r="S68" i="43"/>
  <c r="V68" i="43" s="1"/>
  <c r="Z68" i="43" s="1"/>
  <c r="U65" i="42"/>
  <c r="Y65" i="42" s="1"/>
  <c r="Q65" i="42"/>
  <c r="T65" i="42" s="1"/>
  <c r="X65" i="42" s="1"/>
  <c r="S65" i="42"/>
  <c r="V65" i="42" s="1"/>
  <c r="Z65" i="42" s="1"/>
  <c r="R66" i="42"/>
  <c r="L67" i="42"/>
  <c r="L66" i="41"/>
  <c r="R65" i="41"/>
  <c r="B70" i="41"/>
  <c r="W69" i="41"/>
  <c r="U64" i="41"/>
  <c r="Y64" i="41" s="1"/>
  <c r="Q64" i="41"/>
  <c r="T64" i="41" s="1"/>
  <c r="X64" i="41" s="1"/>
  <c r="S64" i="41"/>
  <c r="V64" i="41" s="1"/>
  <c r="Z64" i="41" s="1"/>
  <c r="S44" i="37"/>
  <c r="Q44" i="37"/>
  <c r="P46" i="37"/>
  <c r="R45" i="37"/>
  <c r="G56" i="26"/>
  <c r="M51" i="37"/>
  <c r="L58" i="37"/>
  <c r="S44" i="33"/>
  <c r="V44" i="33" s="1"/>
  <c r="Z44" i="33" s="1"/>
  <c r="U44" i="33"/>
  <c r="Y44" i="33" s="1"/>
  <c r="Q44" i="33"/>
  <c r="T44" i="33" s="1"/>
  <c r="X44" i="33" s="1"/>
  <c r="P46" i="33"/>
  <c r="B56" i="34"/>
  <c r="W55" i="34"/>
  <c r="U46" i="34"/>
  <c r="Y46" i="34" s="1"/>
  <c r="S46" i="34"/>
  <c r="V46" i="34" s="1"/>
  <c r="Z46" i="34" s="1"/>
  <c r="Q46" i="34"/>
  <c r="T46" i="34" s="1"/>
  <c r="X46" i="34" s="1"/>
  <c r="R47" i="34"/>
  <c r="L50" i="34"/>
  <c r="M48" i="33"/>
  <c r="L50" i="33"/>
  <c r="B59" i="33"/>
  <c r="W58" i="33"/>
  <c r="R73" i="46" l="1"/>
  <c r="L74" i="46"/>
  <c r="U72" i="46"/>
  <c r="Y72" i="46" s="1"/>
  <c r="Q72" i="46"/>
  <c r="T72" i="46" s="1"/>
  <c r="X72" i="46" s="1"/>
  <c r="S72" i="46"/>
  <c r="V72" i="46" s="1"/>
  <c r="Z72" i="46" s="1"/>
  <c r="R70" i="45"/>
  <c r="L71" i="45"/>
  <c r="U69" i="45"/>
  <c r="Y69" i="45" s="1"/>
  <c r="Q69" i="45"/>
  <c r="T69" i="45" s="1"/>
  <c r="X69" i="45" s="1"/>
  <c r="S69" i="45"/>
  <c r="V69" i="45" s="1"/>
  <c r="Z69" i="45" s="1"/>
  <c r="S70" i="44"/>
  <c r="V70" i="44" s="1"/>
  <c r="Z70" i="44" s="1"/>
  <c r="U70" i="44"/>
  <c r="Y70" i="44" s="1"/>
  <c r="Q70" i="44"/>
  <c r="T70" i="44" s="1"/>
  <c r="X70" i="44" s="1"/>
  <c r="R71" i="44"/>
  <c r="L72" i="44"/>
  <c r="L71" i="43"/>
  <c r="R70" i="43"/>
  <c r="U69" i="43"/>
  <c r="Y69" i="43" s="1"/>
  <c r="Q69" i="43"/>
  <c r="T69" i="43" s="1"/>
  <c r="X69" i="43" s="1"/>
  <c r="S69" i="43"/>
  <c r="V69" i="43" s="1"/>
  <c r="Z69" i="43" s="1"/>
  <c r="S66" i="42"/>
  <c r="V66" i="42" s="1"/>
  <c r="Z66" i="42" s="1"/>
  <c r="U66" i="42"/>
  <c r="Y66" i="42" s="1"/>
  <c r="Q66" i="42"/>
  <c r="T66" i="42" s="1"/>
  <c r="X66" i="42" s="1"/>
  <c r="R67" i="42"/>
  <c r="L68" i="42"/>
  <c r="B71" i="41"/>
  <c r="W70" i="41"/>
  <c r="U65" i="41"/>
  <c r="Y65" i="41" s="1"/>
  <c r="Q65" i="41"/>
  <c r="T65" i="41" s="1"/>
  <c r="X65" i="41" s="1"/>
  <c r="S65" i="41"/>
  <c r="V65" i="41" s="1"/>
  <c r="Z65" i="41" s="1"/>
  <c r="R66" i="41"/>
  <c r="L67" i="41"/>
  <c r="G57" i="26"/>
  <c r="Q45" i="37"/>
  <c r="S45" i="37"/>
  <c r="P47" i="37"/>
  <c r="R46" i="37"/>
  <c r="M52" i="37"/>
  <c r="L59" i="37"/>
  <c r="Q45" i="33"/>
  <c r="S45" i="33"/>
  <c r="P47" i="33"/>
  <c r="L51" i="34"/>
  <c r="U47" i="34"/>
  <c r="Y47" i="34" s="1"/>
  <c r="S47" i="34"/>
  <c r="V47" i="34" s="1"/>
  <c r="Z47" i="34" s="1"/>
  <c r="Q47" i="34"/>
  <c r="T47" i="34" s="1"/>
  <c r="X47" i="34" s="1"/>
  <c r="R48" i="34"/>
  <c r="B57" i="34"/>
  <c r="W56" i="34"/>
  <c r="B60" i="33"/>
  <c r="W59" i="33"/>
  <c r="M49" i="33"/>
  <c r="L51" i="33"/>
  <c r="S73" i="46" l="1"/>
  <c r="U73" i="46"/>
  <c r="Q73" i="46"/>
  <c r="R74" i="46"/>
  <c r="M19" i="24" s="1"/>
  <c r="Q70" i="45"/>
  <c r="T70" i="45" s="1"/>
  <c r="X70" i="45" s="1"/>
  <c r="U70" i="45"/>
  <c r="Y70" i="45" s="1"/>
  <c r="S70" i="45"/>
  <c r="V70" i="45" s="1"/>
  <c r="Z70" i="45" s="1"/>
  <c r="R71" i="45"/>
  <c r="L72" i="45"/>
  <c r="R72" i="44"/>
  <c r="L73" i="44"/>
  <c r="S71" i="44"/>
  <c r="V71" i="44" s="1"/>
  <c r="Z71" i="44" s="1"/>
  <c r="U71" i="44"/>
  <c r="Y71" i="44" s="1"/>
  <c r="Q71" i="44"/>
  <c r="T71" i="44" s="1"/>
  <c r="X71" i="44" s="1"/>
  <c r="R71" i="43"/>
  <c r="L72" i="43"/>
  <c r="S70" i="43"/>
  <c r="V70" i="43" s="1"/>
  <c r="Z70" i="43" s="1"/>
  <c r="Q70" i="43"/>
  <c r="T70" i="43" s="1"/>
  <c r="X70" i="43" s="1"/>
  <c r="U70" i="43"/>
  <c r="Y70" i="43" s="1"/>
  <c r="R68" i="42"/>
  <c r="L69" i="42"/>
  <c r="S67" i="42"/>
  <c r="V67" i="42" s="1"/>
  <c r="Z67" i="42" s="1"/>
  <c r="U67" i="42"/>
  <c r="Y67" i="42" s="1"/>
  <c r="Q67" i="42"/>
  <c r="T67" i="42" s="1"/>
  <c r="X67" i="42" s="1"/>
  <c r="R67" i="41"/>
  <c r="L68" i="41"/>
  <c r="S66" i="41"/>
  <c r="V66" i="41" s="1"/>
  <c r="Z66" i="41" s="1"/>
  <c r="U66" i="41"/>
  <c r="Y66" i="41" s="1"/>
  <c r="Q66" i="41"/>
  <c r="T66" i="41" s="1"/>
  <c r="X66" i="41" s="1"/>
  <c r="B72" i="41"/>
  <c r="W71" i="41"/>
  <c r="S46" i="37"/>
  <c r="Q46" i="37"/>
  <c r="P48" i="37"/>
  <c r="R47" i="37"/>
  <c r="J56" i="34"/>
  <c r="H56" i="34"/>
  <c r="K56" i="34" s="1"/>
  <c r="F56" i="34"/>
  <c r="I56" i="34" s="1"/>
  <c r="G58" i="26"/>
  <c r="M53" i="37"/>
  <c r="L60" i="37"/>
  <c r="Q46" i="33"/>
  <c r="T46" i="33" s="1"/>
  <c r="X46" i="33" s="1"/>
  <c r="S46" i="33"/>
  <c r="V46" i="33" s="1"/>
  <c r="Z46" i="33" s="1"/>
  <c r="U46" i="33"/>
  <c r="Y46" i="33" s="1"/>
  <c r="P48" i="33"/>
  <c r="B58" i="34"/>
  <c r="W57" i="34"/>
  <c r="Q48" i="34"/>
  <c r="T48" i="34" s="1"/>
  <c r="X48" i="34" s="1"/>
  <c r="S48" i="34"/>
  <c r="V48" i="34" s="1"/>
  <c r="Z48" i="34" s="1"/>
  <c r="U48" i="34"/>
  <c r="Y48" i="34" s="1"/>
  <c r="R49" i="34"/>
  <c r="L52" i="34"/>
  <c r="M50" i="33"/>
  <c r="L52" i="33"/>
  <c r="B61" i="33"/>
  <c r="W60" i="33"/>
  <c r="T73" i="46" l="1"/>
  <c r="Q74" i="46"/>
  <c r="L19" i="24" s="1"/>
  <c r="Y73" i="46"/>
  <c r="Y74" i="46" s="1"/>
  <c r="E4" i="46" s="1"/>
  <c r="P19" i="24" s="1"/>
  <c r="U74" i="46"/>
  <c r="V73" i="46"/>
  <c r="S74" i="46"/>
  <c r="N19" i="24" s="1"/>
  <c r="R72" i="45"/>
  <c r="L73" i="45"/>
  <c r="S71" i="45"/>
  <c r="V71" i="45" s="1"/>
  <c r="Z71" i="45" s="1"/>
  <c r="Q71" i="45"/>
  <c r="T71" i="45" s="1"/>
  <c r="X71" i="45" s="1"/>
  <c r="U71" i="45"/>
  <c r="Y71" i="45" s="1"/>
  <c r="U72" i="44"/>
  <c r="Y72" i="44" s="1"/>
  <c r="Q72" i="44"/>
  <c r="T72" i="44" s="1"/>
  <c r="X72" i="44" s="1"/>
  <c r="S72" i="44"/>
  <c r="V72" i="44" s="1"/>
  <c r="Z72" i="44" s="1"/>
  <c r="R73" i="44"/>
  <c r="L74" i="44"/>
  <c r="S71" i="43"/>
  <c r="V71" i="43" s="1"/>
  <c r="Z71" i="43" s="1"/>
  <c r="U71" i="43"/>
  <c r="Y71" i="43" s="1"/>
  <c r="Q71" i="43"/>
  <c r="T71" i="43" s="1"/>
  <c r="X71" i="43" s="1"/>
  <c r="R72" i="43"/>
  <c r="L73" i="43"/>
  <c r="L70" i="42"/>
  <c r="R69" i="42"/>
  <c r="U68" i="42"/>
  <c r="Y68" i="42" s="1"/>
  <c r="Q68" i="42"/>
  <c r="T68" i="42" s="1"/>
  <c r="X68" i="42" s="1"/>
  <c r="S68" i="42"/>
  <c r="V68" i="42" s="1"/>
  <c r="Z68" i="42" s="1"/>
  <c r="R68" i="41"/>
  <c r="L69" i="41"/>
  <c r="B73" i="41"/>
  <c r="W73" i="41" s="1"/>
  <c r="W72" i="41"/>
  <c r="S67" i="41"/>
  <c r="V67" i="41" s="1"/>
  <c r="Z67" i="41" s="1"/>
  <c r="U67" i="41"/>
  <c r="Y67" i="41" s="1"/>
  <c r="Q67" i="41"/>
  <c r="T67" i="41" s="1"/>
  <c r="X67" i="41" s="1"/>
  <c r="J57" i="34"/>
  <c r="H57" i="34"/>
  <c r="K57" i="34" s="1"/>
  <c r="F57" i="34"/>
  <c r="I57" i="34" s="1"/>
  <c r="G59" i="26"/>
  <c r="Q47" i="37"/>
  <c r="S47" i="37"/>
  <c r="P49" i="37"/>
  <c r="R48" i="37"/>
  <c r="M54" i="37"/>
  <c r="L61" i="37"/>
  <c r="Q47" i="33"/>
  <c r="T47" i="33" s="1"/>
  <c r="X47" i="33" s="1"/>
  <c r="U47" i="33"/>
  <c r="Y47" i="33" s="1"/>
  <c r="S47" i="33"/>
  <c r="V47" i="33" s="1"/>
  <c r="Z47" i="33" s="1"/>
  <c r="P49" i="33"/>
  <c r="L53" i="34"/>
  <c r="B59" i="34"/>
  <c r="W58" i="34"/>
  <c r="U49" i="34"/>
  <c r="Y49" i="34" s="1"/>
  <c r="S49" i="34"/>
  <c r="V49" i="34" s="1"/>
  <c r="Z49" i="34" s="1"/>
  <c r="Q49" i="34"/>
  <c r="T49" i="34" s="1"/>
  <c r="X49" i="34" s="1"/>
  <c r="R50" i="34"/>
  <c r="M51" i="33"/>
  <c r="B62" i="33"/>
  <c r="W61" i="33"/>
  <c r="L53" i="33"/>
  <c r="Z73" i="46" l="1"/>
  <c r="Z74" i="46" s="1"/>
  <c r="F4" i="46" s="1"/>
  <c r="Q19" i="24" s="1"/>
  <c r="V74" i="46"/>
  <c r="X73" i="46"/>
  <c r="X74" i="46" s="1"/>
  <c r="D4" i="46" s="1"/>
  <c r="O19" i="24" s="1"/>
  <c r="T74" i="46"/>
  <c r="R73" i="45"/>
  <c r="L74" i="45"/>
  <c r="U72" i="45"/>
  <c r="Y72" i="45" s="1"/>
  <c r="S72" i="45"/>
  <c r="V72" i="45" s="1"/>
  <c r="Z72" i="45" s="1"/>
  <c r="Q72" i="45"/>
  <c r="T72" i="45" s="1"/>
  <c r="X72" i="45" s="1"/>
  <c r="U73" i="44"/>
  <c r="Q73" i="44"/>
  <c r="S73" i="44"/>
  <c r="R74" i="44"/>
  <c r="M17" i="24" s="1"/>
  <c r="R73" i="43"/>
  <c r="L74" i="43"/>
  <c r="U72" i="43"/>
  <c r="Y72" i="43" s="1"/>
  <c r="Q72" i="43"/>
  <c r="T72" i="43" s="1"/>
  <c r="X72" i="43" s="1"/>
  <c r="S72" i="43"/>
  <c r="V72" i="43" s="1"/>
  <c r="Z72" i="43" s="1"/>
  <c r="U69" i="42"/>
  <c r="Y69" i="42" s="1"/>
  <c r="Q69" i="42"/>
  <c r="T69" i="42" s="1"/>
  <c r="X69" i="42" s="1"/>
  <c r="S69" i="42"/>
  <c r="V69" i="42" s="1"/>
  <c r="Z69" i="42" s="1"/>
  <c r="R70" i="42"/>
  <c r="L71" i="42"/>
  <c r="U68" i="41"/>
  <c r="Y68" i="41" s="1"/>
  <c r="Q68" i="41"/>
  <c r="T68" i="41" s="1"/>
  <c r="X68" i="41" s="1"/>
  <c r="S68" i="41"/>
  <c r="V68" i="41" s="1"/>
  <c r="Z68" i="41" s="1"/>
  <c r="L70" i="41"/>
  <c r="R69" i="41"/>
  <c r="S48" i="37"/>
  <c r="Q48" i="37"/>
  <c r="P50" i="37"/>
  <c r="R49" i="37"/>
  <c r="J58" i="34"/>
  <c r="H58" i="34"/>
  <c r="K58" i="34" s="1"/>
  <c r="F58" i="34"/>
  <c r="I58" i="34" s="1"/>
  <c r="G60" i="26"/>
  <c r="M55" i="37"/>
  <c r="L62" i="37"/>
  <c r="Q48" i="33"/>
  <c r="T48" i="33" s="1"/>
  <c r="X48" i="33" s="1"/>
  <c r="S48" i="33"/>
  <c r="V48" i="33" s="1"/>
  <c r="Z48" i="33" s="1"/>
  <c r="U48" i="33"/>
  <c r="Y48" i="33" s="1"/>
  <c r="P50" i="33"/>
  <c r="R51" i="34"/>
  <c r="B60" i="34"/>
  <c r="W59" i="34"/>
  <c r="S50" i="34"/>
  <c r="V50" i="34" s="1"/>
  <c r="Z50" i="34" s="1"/>
  <c r="Q50" i="34"/>
  <c r="T50" i="34" s="1"/>
  <c r="X50" i="34" s="1"/>
  <c r="U50" i="34"/>
  <c r="Y50" i="34" s="1"/>
  <c r="L54" i="34"/>
  <c r="B63" i="33"/>
  <c r="W62" i="33"/>
  <c r="M52" i="33"/>
  <c r="L54" i="33"/>
  <c r="R19" i="24" l="1"/>
  <c r="U73" i="45"/>
  <c r="Q73" i="45"/>
  <c r="S73" i="45"/>
  <c r="R74" i="45"/>
  <c r="M18" i="24" s="1"/>
  <c r="U74" i="44"/>
  <c r="Y73" i="44"/>
  <c r="Y74" i="44" s="1"/>
  <c r="E4" i="44" s="1"/>
  <c r="P17" i="24" s="1"/>
  <c r="V73" i="44"/>
  <c r="S74" i="44"/>
  <c r="N17" i="24" s="1"/>
  <c r="T73" i="44"/>
  <c r="Q74" i="44"/>
  <c r="L17" i="24" s="1"/>
  <c r="U73" i="43"/>
  <c r="Q73" i="43"/>
  <c r="S73" i="43"/>
  <c r="R74" i="43"/>
  <c r="M15" i="24" s="1"/>
  <c r="S70" i="42"/>
  <c r="V70" i="42" s="1"/>
  <c r="Z70" i="42" s="1"/>
  <c r="U70" i="42"/>
  <c r="Y70" i="42" s="1"/>
  <c r="Q70" i="42"/>
  <c r="T70" i="42" s="1"/>
  <c r="X70" i="42" s="1"/>
  <c r="R71" i="42"/>
  <c r="L72" i="42"/>
  <c r="U69" i="41"/>
  <c r="Y69" i="41" s="1"/>
  <c r="Q69" i="41"/>
  <c r="T69" i="41" s="1"/>
  <c r="X69" i="41" s="1"/>
  <c r="S69" i="41"/>
  <c r="V69" i="41" s="1"/>
  <c r="Z69" i="41" s="1"/>
  <c r="R70" i="41"/>
  <c r="L71" i="41"/>
  <c r="J59" i="34"/>
  <c r="H59" i="34"/>
  <c r="K59" i="34" s="1"/>
  <c r="F59" i="34"/>
  <c r="I59" i="34" s="1"/>
  <c r="G61" i="26"/>
  <c r="Q49" i="37"/>
  <c r="S49" i="37"/>
  <c r="P51" i="37"/>
  <c r="R50" i="37"/>
  <c r="M56" i="37"/>
  <c r="L63" i="37"/>
  <c r="Q49" i="33"/>
  <c r="T49" i="33" s="1"/>
  <c r="X49" i="33" s="1"/>
  <c r="U49" i="33"/>
  <c r="Y49" i="33" s="1"/>
  <c r="S49" i="33"/>
  <c r="V49" i="33" s="1"/>
  <c r="Z49" i="33" s="1"/>
  <c r="P51" i="33"/>
  <c r="L55" i="34"/>
  <c r="B61" i="34"/>
  <c r="W60" i="34"/>
  <c r="U51" i="34"/>
  <c r="Y51" i="34" s="1"/>
  <c r="S51" i="34"/>
  <c r="V51" i="34" s="1"/>
  <c r="Z51" i="34" s="1"/>
  <c r="Q51" i="34"/>
  <c r="T51" i="34" s="1"/>
  <c r="X51" i="34" s="1"/>
  <c r="R52" i="34"/>
  <c r="M53" i="33"/>
  <c r="B64" i="33"/>
  <c r="W63" i="33"/>
  <c r="L55" i="33"/>
  <c r="V73" i="45" l="1"/>
  <c r="S74" i="45"/>
  <c r="N18" i="24" s="1"/>
  <c r="T73" i="45"/>
  <c r="Q74" i="45"/>
  <c r="L18" i="24" s="1"/>
  <c r="U74" i="45"/>
  <c r="Y73" i="45"/>
  <c r="Y74" i="45" s="1"/>
  <c r="E4" i="45" s="1"/>
  <c r="P18" i="24" s="1"/>
  <c r="V74" i="44"/>
  <c r="Z73" i="44"/>
  <c r="Z74" i="44" s="1"/>
  <c r="F4" i="44" s="1"/>
  <c r="Q17" i="24" s="1"/>
  <c r="X73" i="44"/>
  <c r="Y73" i="43"/>
  <c r="Y74" i="43" s="1"/>
  <c r="E4" i="43" s="1"/>
  <c r="P15" i="24" s="1"/>
  <c r="U74" i="43"/>
  <c r="V73" i="43"/>
  <c r="S74" i="43"/>
  <c r="N15" i="24" s="1"/>
  <c r="T73" i="43"/>
  <c r="Q74" i="43"/>
  <c r="L15" i="24" s="1"/>
  <c r="S71" i="42"/>
  <c r="V71" i="42" s="1"/>
  <c r="Z71" i="42" s="1"/>
  <c r="U71" i="42"/>
  <c r="Y71" i="42" s="1"/>
  <c r="Q71" i="42"/>
  <c r="T71" i="42" s="1"/>
  <c r="X71" i="42" s="1"/>
  <c r="R72" i="42"/>
  <c r="L73" i="42"/>
  <c r="S70" i="41"/>
  <c r="V70" i="41" s="1"/>
  <c r="Z70" i="41" s="1"/>
  <c r="Q70" i="41"/>
  <c r="T70" i="41" s="1"/>
  <c r="X70" i="41" s="1"/>
  <c r="U70" i="41"/>
  <c r="Y70" i="41" s="1"/>
  <c r="R71" i="41"/>
  <c r="L72" i="41"/>
  <c r="S50" i="37"/>
  <c r="Q50" i="37"/>
  <c r="P52" i="37"/>
  <c r="R51" i="37"/>
  <c r="J60" i="34"/>
  <c r="H60" i="34"/>
  <c r="K60" i="34" s="1"/>
  <c r="F60" i="34"/>
  <c r="I60" i="34" s="1"/>
  <c r="G62" i="26"/>
  <c r="M57" i="37"/>
  <c r="L64" i="37"/>
  <c r="Q50" i="33"/>
  <c r="T50" i="33" s="1"/>
  <c r="X50" i="33" s="1"/>
  <c r="S50" i="33"/>
  <c r="V50" i="33" s="1"/>
  <c r="Z50" i="33" s="1"/>
  <c r="U50" i="33"/>
  <c r="Y50" i="33" s="1"/>
  <c r="P52" i="33"/>
  <c r="R53" i="34"/>
  <c r="Q52" i="34"/>
  <c r="T52" i="34" s="1"/>
  <c r="X52" i="34" s="1"/>
  <c r="S52" i="34"/>
  <c r="V52" i="34" s="1"/>
  <c r="Z52" i="34" s="1"/>
  <c r="U52" i="34"/>
  <c r="Y52" i="34" s="1"/>
  <c r="B62" i="34"/>
  <c r="W61" i="34"/>
  <c r="L56" i="34"/>
  <c r="B65" i="33"/>
  <c r="W64" i="33"/>
  <c r="L56" i="33"/>
  <c r="M54" i="33"/>
  <c r="T74" i="45" l="1"/>
  <c r="X73" i="45"/>
  <c r="X74" i="45" s="1"/>
  <c r="D4" i="45" s="1"/>
  <c r="O18" i="24" s="1"/>
  <c r="V74" i="45"/>
  <c r="Z73" i="45"/>
  <c r="Z74" i="45" s="1"/>
  <c r="F4" i="45" s="1"/>
  <c r="Q18" i="24" s="1"/>
  <c r="X73" i="43"/>
  <c r="X74" i="43" s="1"/>
  <c r="D4" i="43" s="1"/>
  <c r="O15" i="24" s="1"/>
  <c r="T74" i="43"/>
  <c r="Z73" i="43"/>
  <c r="Z74" i="43" s="1"/>
  <c r="F4" i="43" s="1"/>
  <c r="Q15" i="24" s="1"/>
  <c r="V74" i="43"/>
  <c r="R73" i="42"/>
  <c r="L74" i="42"/>
  <c r="U72" i="42"/>
  <c r="Y72" i="42" s="1"/>
  <c r="Q72" i="42"/>
  <c r="T72" i="42" s="1"/>
  <c r="X72" i="42" s="1"/>
  <c r="S72" i="42"/>
  <c r="V72" i="42" s="1"/>
  <c r="Z72" i="42" s="1"/>
  <c r="S71" i="41"/>
  <c r="V71" i="41" s="1"/>
  <c r="Z71" i="41" s="1"/>
  <c r="U71" i="41"/>
  <c r="Y71" i="41" s="1"/>
  <c r="Q71" i="41"/>
  <c r="T71" i="41" s="1"/>
  <c r="X71" i="41" s="1"/>
  <c r="R72" i="41"/>
  <c r="L73" i="41"/>
  <c r="J61" i="34"/>
  <c r="H61" i="34"/>
  <c r="K61" i="34" s="1"/>
  <c r="F61" i="34"/>
  <c r="I61" i="34" s="1"/>
  <c r="G63" i="26"/>
  <c r="Q51" i="37"/>
  <c r="S51" i="37"/>
  <c r="P53" i="37"/>
  <c r="R52" i="37"/>
  <c r="M58" i="37"/>
  <c r="L65" i="37"/>
  <c r="Q51" i="33"/>
  <c r="T51" i="33" s="1"/>
  <c r="X51" i="33" s="1"/>
  <c r="U51" i="33"/>
  <c r="Y51" i="33" s="1"/>
  <c r="S51" i="33"/>
  <c r="V51" i="33" s="1"/>
  <c r="Z51" i="33" s="1"/>
  <c r="P53" i="33"/>
  <c r="L57" i="34"/>
  <c r="U53" i="34"/>
  <c r="Y53" i="34" s="1"/>
  <c r="S53" i="34"/>
  <c r="V53" i="34" s="1"/>
  <c r="Z53" i="34" s="1"/>
  <c r="Q53" i="34"/>
  <c r="T53" i="34" s="1"/>
  <c r="X53" i="34" s="1"/>
  <c r="B63" i="34"/>
  <c r="W62" i="34"/>
  <c r="R54" i="34"/>
  <c r="L57" i="33"/>
  <c r="M55" i="33"/>
  <c r="B66" i="33"/>
  <c r="W65" i="33"/>
  <c r="R15" i="24" l="1"/>
  <c r="U73" i="42"/>
  <c r="Q73" i="42"/>
  <c r="S73" i="42"/>
  <c r="R74" i="42"/>
  <c r="U72" i="41"/>
  <c r="Y72" i="41" s="1"/>
  <c r="Q72" i="41"/>
  <c r="T72" i="41" s="1"/>
  <c r="X72" i="41" s="1"/>
  <c r="S72" i="41"/>
  <c r="V72" i="41" s="1"/>
  <c r="Z72" i="41" s="1"/>
  <c r="R73" i="41"/>
  <c r="L74" i="41"/>
  <c r="S52" i="37"/>
  <c r="Q52" i="37"/>
  <c r="P54" i="37"/>
  <c r="R53" i="37"/>
  <c r="J62" i="34"/>
  <c r="H62" i="34"/>
  <c r="K62" i="34" s="1"/>
  <c r="F62" i="34"/>
  <c r="I62" i="34" s="1"/>
  <c r="G64" i="26"/>
  <c r="M59" i="37"/>
  <c r="L66" i="37"/>
  <c r="Q52" i="33"/>
  <c r="T52" i="33" s="1"/>
  <c r="X52" i="33" s="1"/>
  <c r="S52" i="33"/>
  <c r="V52" i="33" s="1"/>
  <c r="Z52" i="33" s="1"/>
  <c r="U52" i="33"/>
  <c r="Y52" i="33" s="1"/>
  <c r="P54" i="33"/>
  <c r="Q54" i="34"/>
  <c r="S54" i="34"/>
  <c r="R55" i="34"/>
  <c r="B64" i="34"/>
  <c r="W63" i="34"/>
  <c r="L58" i="34"/>
  <c r="M56" i="33"/>
  <c r="L58" i="33"/>
  <c r="B67" i="33"/>
  <c r="W66" i="33"/>
  <c r="V73" i="42" l="1"/>
  <c r="S74" i="42"/>
  <c r="T73" i="42"/>
  <c r="Q74" i="42"/>
  <c r="Y73" i="42"/>
  <c r="Y74" i="42" s="1"/>
  <c r="E4" i="42" s="1"/>
  <c r="U74" i="42"/>
  <c r="U73" i="41"/>
  <c r="Q73" i="41"/>
  <c r="S73" i="41"/>
  <c r="R74" i="41"/>
  <c r="J63" i="34"/>
  <c r="H63" i="34"/>
  <c r="K63" i="34" s="1"/>
  <c r="F63" i="34"/>
  <c r="I63" i="34" s="1"/>
  <c r="G65" i="26"/>
  <c r="Q53" i="37"/>
  <c r="S53" i="37"/>
  <c r="P55" i="37"/>
  <c r="R54" i="37"/>
  <c r="M60" i="37"/>
  <c r="L67" i="37"/>
  <c r="Q53" i="33"/>
  <c r="T53" i="33" s="1"/>
  <c r="X53" i="33" s="1"/>
  <c r="U53" i="33"/>
  <c r="Y53" i="33" s="1"/>
  <c r="S53" i="33"/>
  <c r="V53" i="33" s="1"/>
  <c r="Z53" i="33" s="1"/>
  <c r="P55" i="33"/>
  <c r="R56" i="34"/>
  <c r="L59" i="34"/>
  <c r="B65" i="34"/>
  <c r="W64" i="34"/>
  <c r="Q55" i="34"/>
  <c r="S55" i="34"/>
  <c r="M57" i="33"/>
  <c r="B68" i="33"/>
  <c r="W67" i="33"/>
  <c r="L59" i="33"/>
  <c r="P13" i="24" l="1"/>
  <c r="X73" i="42"/>
  <c r="X74" i="42" s="1"/>
  <c r="D4" i="42" s="1"/>
  <c r="T74" i="42"/>
  <c r="Z73" i="42"/>
  <c r="Z74" i="42" s="1"/>
  <c r="F4" i="42" s="1"/>
  <c r="V74" i="42"/>
  <c r="V73" i="41"/>
  <c r="S74" i="41"/>
  <c r="T73" i="41"/>
  <c r="Q74" i="41"/>
  <c r="U74" i="41"/>
  <c r="Y73" i="41"/>
  <c r="Y74" i="41" s="1"/>
  <c r="E4" i="41" s="1"/>
  <c r="S54" i="37"/>
  <c r="Q54" i="37"/>
  <c r="P56" i="37"/>
  <c r="R55" i="37"/>
  <c r="G66" i="26"/>
  <c r="M61" i="37"/>
  <c r="L68" i="37"/>
  <c r="Q54" i="33"/>
  <c r="T54" i="33" s="1"/>
  <c r="X54" i="33" s="1"/>
  <c r="U54" i="33"/>
  <c r="Y54" i="33" s="1"/>
  <c r="S54" i="33"/>
  <c r="V54" i="33" s="1"/>
  <c r="Z54" i="33" s="1"/>
  <c r="P56" i="33"/>
  <c r="B66" i="34"/>
  <c r="W65" i="34"/>
  <c r="L60" i="34"/>
  <c r="U56" i="34"/>
  <c r="Y56" i="34" s="1"/>
  <c r="Q56" i="34"/>
  <c r="T56" i="34" s="1"/>
  <c r="X56" i="34" s="1"/>
  <c r="S56" i="34"/>
  <c r="V56" i="34" s="1"/>
  <c r="Z56" i="34" s="1"/>
  <c r="R57" i="34"/>
  <c r="B69" i="33"/>
  <c r="W68" i="33"/>
  <c r="L60" i="33"/>
  <c r="M58" i="33"/>
  <c r="O13" i="24" l="1"/>
  <c r="P12" i="24"/>
  <c r="Q13" i="24"/>
  <c r="T74" i="41"/>
  <c r="X73" i="41"/>
  <c r="X74" i="41" s="1"/>
  <c r="D4" i="41" s="1"/>
  <c r="V74" i="41"/>
  <c r="Z73" i="41"/>
  <c r="Z74" i="41" s="1"/>
  <c r="F4" i="41" s="1"/>
  <c r="G67" i="26"/>
  <c r="Q55" i="37"/>
  <c r="S55" i="37"/>
  <c r="P57" i="37"/>
  <c r="R56" i="37"/>
  <c r="M62" i="37"/>
  <c r="L69" i="37"/>
  <c r="S55" i="33"/>
  <c r="Q55" i="33"/>
  <c r="P57" i="33"/>
  <c r="R58" i="34"/>
  <c r="U57" i="34"/>
  <c r="Y57" i="34" s="1"/>
  <c r="Q57" i="34"/>
  <c r="T57" i="34" s="1"/>
  <c r="X57" i="34" s="1"/>
  <c r="S57" i="34"/>
  <c r="V57" i="34" s="1"/>
  <c r="Z57" i="34" s="1"/>
  <c r="L61" i="34"/>
  <c r="B67" i="34"/>
  <c r="W66" i="34"/>
  <c r="B70" i="33"/>
  <c r="W69" i="33"/>
  <c r="M59" i="33"/>
  <c r="L61" i="33"/>
  <c r="O12" i="24" l="1"/>
  <c r="Q12" i="24"/>
  <c r="R13" i="24"/>
  <c r="S56" i="37"/>
  <c r="Q56" i="37"/>
  <c r="P58" i="37"/>
  <c r="R57" i="37"/>
  <c r="J66" i="34"/>
  <c r="H66" i="34"/>
  <c r="K66" i="34" s="1"/>
  <c r="F66" i="34"/>
  <c r="I66" i="34" s="1"/>
  <c r="G68" i="26"/>
  <c r="M63" i="37"/>
  <c r="L70" i="37"/>
  <c r="U56" i="33"/>
  <c r="Y56" i="33" s="1"/>
  <c r="S56" i="33"/>
  <c r="V56" i="33" s="1"/>
  <c r="Z56" i="33" s="1"/>
  <c r="Q56" i="33"/>
  <c r="T56" i="33" s="1"/>
  <c r="X56" i="33" s="1"/>
  <c r="P58" i="33"/>
  <c r="B68" i="34"/>
  <c r="W67" i="34"/>
  <c r="L62" i="34"/>
  <c r="S58" i="34"/>
  <c r="V58" i="34" s="1"/>
  <c r="Z58" i="34" s="1"/>
  <c r="Q58" i="34"/>
  <c r="T58" i="34" s="1"/>
  <c r="X58" i="34" s="1"/>
  <c r="U58" i="34"/>
  <c r="Y58" i="34" s="1"/>
  <c r="R59" i="34"/>
  <c r="L62" i="33"/>
  <c r="B71" i="33"/>
  <c r="W70" i="33"/>
  <c r="M60" i="33"/>
  <c r="G69" i="26" l="1"/>
  <c r="Q57" i="37"/>
  <c r="S57" i="37"/>
  <c r="P59" i="37"/>
  <c r="R58" i="37"/>
  <c r="M64" i="37"/>
  <c r="L71" i="37"/>
  <c r="U57" i="33"/>
  <c r="Y57" i="33" s="1"/>
  <c r="S57" i="33"/>
  <c r="V57" i="33" s="1"/>
  <c r="Z57" i="33" s="1"/>
  <c r="Q57" i="33"/>
  <c r="T57" i="33" s="1"/>
  <c r="X57" i="33" s="1"/>
  <c r="P59" i="33"/>
  <c r="S59" i="34"/>
  <c r="V59" i="34" s="1"/>
  <c r="Z59" i="34" s="1"/>
  <c r="U59" i="34"/>
  <c r="Y59" i="34" s="1"/>
  <c r="Q59" i="34"/>
  <c r="T59" i="34" s="1"/>
  <c r="X59" i="34" s="1"/>
  <c r="B69" i="34"/>
  <c r="W68" i="34"/>
  <c r="R60" i="34"/>
  <c r="L63" i="34"/>
  <c r="M61" i="33"/>
  <c r="B72" i="33"/>
  <c r="W71" i="33"/>
  <c r="L63" i="33"/>
  <c r="S58" i="37" l="1"/>
  <c r="Q58" i="37"/>
  <c r="P60" i="37"/>
  <c r="R59" i="37"/>
  <c r="J68" i="34"/>
  <c r="H68" i="34"/>
  <c r="K68" i="34" s="1"/>
  <c r="F68" i="34"/>
  <c r="I68" i="34" s="1"/>
  <c r="G70" i="26"/>
  <c r="M65" i="37"/>
  <c r="L72" i="37"/>
  <c r="U58" i="33"/>
  <c r="Y58" i="33" s="1"/>
  <c r="S58" i="33"/>
  <c r="V58" i="33" s="1"/>
  <c r="Z58" i="33" s="1"/>
  <c r="Q58" i="33"/>
  <c r="T58" i="33" s="1"/>
  <c r="X58" i="33" s="1"/>
  <c r="P60" i="33"/>
  <c r="L64" i="34"/>
  <c r="B70" i="34"/>
  <c r="W69" i="34"/>
  <c r="U60" i="34"/>
  <c r="Y60" i="34" s="1"/>
  <c r="Q60" i="34"/>
  <c r="T60" i="34" s="1"/>
  <c r="X60" i="34" s="1"/>
  <c r="S60" i="34"/>
  <c r="V60" i="34" s="1"/>
  <c r="Z60" i="34" s="1"/>
  <c r="R61" i="34"/>
  <c r="B73" i="33"/>
  <c r="W73" i="33" s="1"/>
  <c r="W72" i="33"/>
  <c r="L64" i="33"/>
  <c r="M62" i="33"/>
  <c r="J69" i="34" l="1"/>
  <c r="H69" i="34"/>
  <c r="K69" i="34" s="1"/>
  <c r="F69" i="34"/>
  <c r="I69" i="34" s="1"/>
  <c r="G71" i="26"/>
  <c r="Q59" i="37"/>
  <c r="S59" i="37"/>
  <c r="P61" i="37"/>
  <c r="R60" i="37"/>
  <c r="M66" i="37"/>
  <c r="L73" i="37"/>
  <c r="U59" i="33"/>
  <c r="Y59" i="33" s="1"/>
  <c r="S59" i="33"/>
  <c r="V59" i="33" s="1"/>
  <c r="Z59" i="33" s="1"/>
  <c r="Q59" i="33"/>
  <c r="T59" i="33" s="1"/>
  <c r="X59" i="33" s="1"/>
  <c r="P61" i="33"/>
  <c r="R62" i="34"/>
  <c r="B71" i="34"/>
  <c r="W70" i="34"/>
  <c r="L65" i="34"/>
  <c r="S61" i="34"/>
  <c r="V61" i="34" s="1"/>
  <c r="Z61" i="34" s="1"/>
  <c r="U61" i="34"/>
  <c r="Y61" i="34" s="1"/>
  <c r="Q61" i="34"/>
  <c r="T61" i="34" s="1"/>
  <c r="X61" i="34" s="1"/>
  <c r="M63" i="33"/>
  <c r="L65" i="33"/>
  <c r="S60" i="37" l="1"/>
  <c r="Q60" i="37"/>
  <c r="P62" i="37"/>
  <c r="R61" i="37"/>
  <c r="J70" i="34"/>
  <c r="H70" i="34"/>
  <c r="K70" i="34" s="1"/>
  <c r="F70" i="34"/>
  <c r="I70" i="34" s="1"/>
  <c r="G72" i="26"/>
  <c r="M67" i="37"/>
  <c r="L74" i="37"/>
  <c r="U60" i="33"/>
  <c r="Y60" i="33" s="1"/>
  <c r="S60" i="33"/>
  <c r="V60" i="33" s="1"/>
  <c r="Z60" i="33" s="1"/>
  <c r="Q60" i="33"/>
  <c r="T60" i="33" s="1"/>
  <c r="X60" i="33" s="1"/>
  <c r="P62" i="33"/>
  <c r="L66" i="34"/>
  <c r="B72" i="34"/>
  <c r="W71" i="34"/>
  <c r="Q62" i="34"/>
  <c r="T62" i="34" s="1"/>
  <c r="X62" i="34" s="1"/>
  <c r="U62" i="34"/>
  <c r="Y62" i="34" s="1"/>
  <c r="S62" i="34"/>
  <c r="V62" i="34" s="1"/>
  <c r="Z62" i="34" s="1"/>
  <c r="R63" i="34"/>
  <c r="L66" i="33"/>
  <c r="M64" i="33"/>
  <c r="J71" i="34" l="1"/>
  <c r="H71" i="34"/>
  <c r="K71" i="34" s="1"/>
  <c r="F71" i="34"/>
  <c r="I71" i="34" s="1"/>
  <c r="G73" i="26"/>
  <c r="G8" i="26" s="1"/>
  <c r="J10" i="24" s="1"/>
  <c r="Q61" i="37"/>
  <c r="S61" i="37"/>
  <c r="P63" i="37"/>
  <c r="R62" i="37"/>
  <c r="M68" i="37"/>
  <c r="U61" i="33"/>
  <c r="Y61" i="33" s="1"/>
  <c r="S61" i="33"/>
  <c r="V61" i="33" s="1"/>
  <c r="Z61" i="33" s="1"/>
  <c r="Q61" i="33"/>
  <c r="T61" i="33" s="1"/>
  <c r="X61" i="33" s="1"/>
  <c r="P63" i="33"/>
  <c r="S63" i="34"/>
  <c r="V63" i="34" s="1"/>
  <c r="Z63" i="34" s="1"/>
  <c r="U63" i="34"/>
  <c r="Y63" i="34" s="1"/>
  <c r="Q63" i="34"/>
  <c r="T63" i="34" s="1"/>
  <c r="X63" i="34" s="1"/>
  <c r="R64" i="34"/>
  <c r="B73" i="34"/>
  <c r="W73" i="34" s="1"/>
  <c r="W72" i="34"/>
  <c r="L67" i="34"/>
  <c r="M65" i="33"/>
  <c r="L67" i="33"/>
  <c r="S62" i="37" l="1"/>
  <c r="Q62" i="37"/>
  <c r="P64" i="37"/>
  <c r="R63" i="37"/>
  <c r="J72" i="34"/>
  <c r="H72" i="34"/>
  <c r="K72" i="34" s="1"/>
  <c r="F72" i="34"/>
  <c r="I72" i="34" s="1"/>
  <c r="J73" i="34"/>
  <c r="H73" i="34"/>
  <c r="K73" i="34" s="1"/>
  <c r="F73" i="34"/>
  <c r="I73" i="34" s="1"/>
  <c r="M69" i="37"/>
  <c r="U62" i="33"/>
  <c r="Y62" i="33" s="1"/>
  <c r="S62" i="33"/>
  <c r="V62" i="33" s="1"/>
  <c r="Z62" i="33" s="1"/>
  <c r="Q62" i="33"/>
  <c r="T62" i="33" s="1"/>
  <c r="X62" i="33" s="1"/>
  <c r="P64" i="33"/>
  <c r="L68" i="34"/>
  <c r="R65" i="34"/>
  <c r="S64" i="34"/>
  <c r="Q64" i="34"/>
  <c r="L68" i="33"/>
  <c r="M66" i="33"/>
  <c r="Q63" i="37" l="1"/>
  <c r="S63" i="37"/>
  <c r="P65" i="37"/>
  <c r="R64" i="37"/>
  <c r="M70" i="37"/>
  <c r="U63" i="33"/>
  <c r="Y63" i="33" s="1"/>
  <c r="S63" i="33"/>
  <c r="V63" i="33" s="1"/>
  <c r="Z63" i="33" s="1"/>
  <c r="Q63" i="33"/>
  <c r="T63" i="33" s="1"/>
  <c r="X63" i="33" s="1"/>
  <c r="P65" i="33"/>
  <c r="Q65" i="34"/>
  <c r="S65" i="34"/>
  <c r="R66" i="34"/>
  <c r="L69" i="34"/>
  <c r="M67" i="33"/>
  <c r="L69" i="33"/>
  <c r="S64" i="37" l="1"/>
  <c r="Q64" i="37"/>
  <c r="P66" i="37"/>
  <c r="R65" i="37"/>
  <c r="M71" i="37"/>
  <c r="U64" i="33"/>
  <c r="Y64" i="33" s="1"/>
  <c r="Q64" i="33"/>
  <c r="T64" i="33" s="1"/>
  <c r="X64" i="33" s="1"/>
  <c r="S64" i="33"/>
  <c r="V64" i="33" s="1"/>
  <c r="Z64" i="33" s="1"/>
  <c r="P66" i="33"/>
  <c r="L70" i="34"/>
  <c r="R67" i="34"/>
  <c r="S66" i="34"/>
  <c r="V66" i="34" s="1"/>
  <c r="Z66" i="34" s="1"/>
  <c r="U66" i="34"/>
  <c r="Y66" i="34" s="1"/>
  <c r="Q66" i="34"/>
  <c r="T66" i="34" s="1"/>
  <c r="X66" i="34" s="1"/>
  <c r="L70" i="33"/>
  <c r="M68" i="33"/>
  <c r="Q65" i="37" l="1"/>
  <c r="S65" i="37"/>
  <c r="P67" i="37"/>
  <c r="R66" i="37"/>
  <c r="M72" i="37"/>
  <c r="Q65" i="33"/>
  <c r="S65" i="33"/>
  <c r="P67" i="33"/>
  <c r="Q67" i="34"/>
  <c r="S67" i="34"/>
  <c r="R68" i="34"/>
  <c r="L71" i="34"/>
  <c r="M69" i="33"/>
  <c r="L71" i="33"/>
  <c r="S66" i="37" l="1"/>
  <c r="Q66" i="37"/>
  <c r="P68" i="37"/>
  <c r="R67" i="37"/>
  <c r="M73" i="37"/>
  <c r="M74" i="37" s="1"/>
  <c r="U66" i="33"/>
  <c r="Y66" i="33" s="1"/>
  <c r="S66" i="33"/>
  <c r="V66" i="33" s="1"/>
  <c r="Z66" i="33" s="1"/>
  <c r="Q66" i="33"/>
  <c r="T66" i="33" s="1"/>
  <c r="X66" i="33" s="1"/>
  <c r="P68" i="33"/>
  <c r="L72" i="34"/>
  <c r="R69" i="34"/>
  <c r="U68" i="34"/>
  <c r="Y68" i="34" s="1"/>
  <c r="Q68" i="34"/>
  <c r="T68" i="34" s="1"/>
  <c r="X68" i="34" s="1"/>
  <c r="S68" i="34"/>
  <c r="V68" i="34" s="1"/>
  <c r="Z68" i="34" s="1"/>
  <c r="L72" i="33"/>
  <c r="M70" i="33"/>
  <c r="Q67" i="37" l="1"/>
  <c r="S67" i="37"/>
  <c r="P69" i="37"/>
  <c r="R68" i="37"/>
  <c r="S67" i="33"/>
  <c r="Q67" i="33"/>
  <c r="P69" i="33"/>
  <c r="U69" i="34"/>
  <c r="Y69" i="34" s="1"/>
  <c r="Q69" i="34"/>
  <c r="T69" i="34" s="1"/>
  <c r="X69" i="34" s="1"/>
  <c r="S69" i="34"/>
  <c r="V69" i="34" s="1"/>
  <c r="Z69" i="34" s="1"/>
  <c r="R70" i="34"/>
  <c r="L73" i="34"/>
  <c r="M71" i="33"/>
  <c r="L73" i="33"/>
  <c r="S68" i="37" l="1"/>
  <c r="Q68" i="37"/>
  <c r="P70" i="37"/>
  <c r="R69" i="37"/>
  <c r="S68" i="33"/>
  <c r="V68" i="33" s="1"/>
  <c r="Z68" i="33" s="1"/>
  <c r="Q68" i="33"/>
  <c r="T68" i="33" s="1"/>
  <c r="X68" i="33" s="1"/>
  <c r="U68" i="33"/>
  <c r="Y68" i="33" s="1"/>
  <c r="P70" i="33"/>
  <c r="L74" i="34"/>
  <c r="R71" i="34"/>
  <c r="U70" i="34"/>
  <c r="Y70" i="34" s="1"/>
  <c r="Q70" i="34"/>
  <c r="T70" i="34" s="1"/>
  <c r="X70" i="34" s="1"/>
  <c r="S70" i="34"/>
  <c r="V70" i="34" s="1"/>
  <c r="Z70" i="34" s="1"/>
  <c r="L74" i="33"/>
  <c r="M72" i="33"/>
  <c r="Q69" i="37" l="1"/>
  <c r="S69" i="37"/>
  <c r="P71" i="37"/>
  <c r="R70" i="37"/>
  <c r="S69" i="33"/>
  <c r="V69" i="33" s="1"/>
  <c r="Z69" i="33" s="1"/>
  <c r="Q69" i="33"/>
  <c r="T69" i="33" s="1"/>
  <c r="X69" i="33" s="1"/>
  <c r="U69" i="33"/>
  <c r="Y69" i="33" s="1"/>
  <c r="P71" i="33"/>
  <c r="U71" i="34"/>
  <c r="Y71" i="34" s="1"/>
  <c r="Q71" i="34"/>
  <c r="T71" i="34" s="1"/>
  <c r="X71" i="34" s="1"/>
  <c r="S71" i="34"/>
  <c r="V71" i="34" s="1"/>
  <c r="Z71" i="34" s="1"/>
  <c r="R72" i="34"/>
  <c r="M73" i="33"/>
  <c r="S70" i="37" l="1"/>
  <c r="Q70" i="37"/>
  <c r="P72" i="37"/>
  <c r="R71" i="37"/>
  <c r="S70" i="33"/>
  <c r="V70" i="33" s="1"/>
  <c r="Z70" i="33" s="1"/>
  <c r="Q70" i="33"/>
  <c r="T70" i="33" s="1"/>
  <c r="X70" i="33" s="1"/>
  <c r="U70" i="33"/>
  <c r="Y70" i="33" s="1"/>
  <c r="P72" i="33"/>
  <c r="M74" i="34"/>
  <c r="R73" i="34"/>
  <c r="U72" i="34"/>
  <c r="Y72" i="34" s="1"/>
  <c r="Q72" i="34"/>
  <c r="T72" i="34" s="1"/>
  <c r="X72" i="34" s="1"/>
  <c r="S72" i="34"/>
  <c r="V72" i="34" s="1"/>
  <c r="Z72" i="34" s="1"/>
  <c r="M74" i="33"/>
  <c r="Q71" i="37" l="1"/>
  <c r="S71" i="37"/>
  <c r="P73" i="37"/>
  <c r="R73" i="37" s="1"/>
  <c r="R72" i="37"/>
  <c r="S71" i="33"/>
  <c r="V71" i="33" s="1"/>
  <c r="Z71" i="33" s="1"/>
  <c r="Q71" i="33"/>
  <c r="T71" i="33" s="1"/>
  <c r="X71" i="33" s="1"/>
  <c r="U71" i="33"/>
  <c r="Y71" i="33" s="1"/>
  <c r="P73" i="33"/>
  <c r="U73" i="34"/>
  <c r="Q73" i="34"/>
  <c r="S73" i="34"/>
  <c r="R74" i="34"/>
  <c r="M16" i="24" s="1"/>
  <c r="P74" i="37" l="1"/>
  <c r="S72" i="37"/>
  <c r="Q72" i="37"/>
  <c r="R74" i="37"/>
  <c r="S73" i="37"/>
  <c r="Q73" i="37"/>
  <c r="Q74" i="37" s="1"/>
  <c r="S72" i="33"/>
  <c r="V72" i="33" s="1"/>
  <c r="Z72" i="33" s="1"/>
  <c r="Q72" i="33"/>
  <c r="T72" i="33" s="1"/>
  <c r="X72" i="33" s="1"/>
  <c r="U72" i="33"/>
  <c r="Y72" i="33" s="1"/>
  <c r="P74" i="33"/>
  <c r="V73" i="34"/>
  <c r="S74" i="34"/>
  <c r="N16" i="24" s="1"/>
  <c r="T73" i="34"/>
  <c r="Q74" i="34"/>
  <c r="L16" i="24" s="1"/>
  <c r="Y73" i="34"/>
  <c r="S74" i="37" l="1"/>
  <c r="U12" i="24"/>
  <c r="S73" i="33"/>
  <c r="Q73" i="33"/>
  <c r="U73" i="33"/>
  <c r="R74" i="33"/>
  <c r="M22" i="24" s="1"/>
  <c r="X73" i="34"/>
  <c r="Z73" i="34"/>
  <c r="R12" i="24" l="1"/>
  <c r="Y73" i="33"/>
  <c r="T73" i="33"/>
  <c r="Q74" i="33"/>
  <c r="L22" i="24" s="1"/>
  <c r="V73" i="33"/>
  <c r="S74" i="33"/>
  <c r="N22" i="24" s="1"/>
  <c r="Z73" i="33" l="1"/>
  <c r="X73" i="33"/>
  <c r="R18" i="24"/>
  <c r="E73" i="26" l="1"/>
  <c r="C73" i="26"/>
  <c r="E72" i="26"/>
  <c r="C72" i="26"/>
  <c r="E71" i="26"/>
  <c r="C71" i="26"/>
  <c r="E70" i="26"/>
  <c r="C70" i="26"/>
  <c r="E69" i="26"/>
  <c r="C69" i="26"/>
  <c r="E68" i="26"/>
  <c r="C68" i="26"/>
  <c r="E67" i="26"/>
  <c r="C67" i="26"/>
  <c r="E66" i="26"/>
  <c r="C66" i="26"/>
  <c r="E65" i="26"/>
  <c r="C65" i="26"/>
  <c r="E64" i="26"/>
  <c r="C64" i="26"/>
  <c r="E63" i="26"/>
  <c r="C63" i="26"/>
  <c r="E62" i="26"/>
  <c r="C62" i="26"/>
  <c r="E61" i="26"/>
  <c r="C61" i="26"/>
  <c r="E60" i="26"/>
  <c r="C60" i="26"/>
  <c r="E59" i="26"/>
  <c r="C59" i="26"/>
  <c r="E58" i="26"/>
  <c r="C58" i="26"/>
  <c r="E57" i="26"/>
  <c r="C57" i="26"/>
  <c r="E56" i="26"/>
  <c r="C56" i="26"/>
  <c r="E55" i="26"/>
  <c r="C55" i="26"/>
  <c r="E54" i="26"/>
  <c r="C54" i="26"/>
  <c r="E53" i="26"/>
  <c r="C53" i="26"/>
  <c r="E52" i="26"/>
  <c r="C52" i="26"/>
  <c r="E51" i="26"/>
  <c r="C51" i="26"/>
  <c r="E50" i="26"/>
  <c r="C50" i="26"/>
  <c r="E49" i="26"/>
  <c r="C49" i="26"/>
  <c r="E48" i="26"/>
  <c r="C48" i="26"/>
  <c r="E47" i="26"/>
  <c r="C47" i="26"/>
  <c r="E46" i="26"/>
  <c r="C46" i="26"/>
  <c r="E45" i="26"/>
  <c r="C45" i="26"/>
  <c r="E44" i="26"/>
  <c r="C44" i="26"/>
  <c r="E43" i="26"/>
  <c r="C43" i="26"/>
  <c r="E42" i="26"/>
  <c r="C42" i="26"/>
  <c r="E41" i="26"/>
  <c r="C41" i="26"/>
  <c r="E40" i="26"/>
  <c r="C40" i="26"/>
  <c r="E39" i="26"/>
  <c r="C39" i="26"/>
  <c r="E38" i="26"/>
  <c r="C38" i="26"/>
  <c r="E37" i="26"/>
  <c r="C37" i="26"/>
  <c r="E36" i="26"/>
  <c r="C36" i="26"/>
  <c r="E35" i="26"/>
  <c r="C35" i="26"/>
  <c r="E34" i="26"/>
  <c r="C34" i="26"/>
  <c r="E33" i="26"/>
  <c r="C33" i="26"/>
  <c r="E32" i="26"/>
  <c r="C32" i="26"/>
  <c r="E31" i="26"/>
  <c r="C31" i="26"/>
  <c r="E30" i="26"/>
  <c r="C30" i="26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B14" i="26"/>
  <c r="B15" i="26" s="1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O74" i="26"/>
  <c r="D74" i="26"/>
  <c r="C13" i="26"/>
  <c r="C7" i="26" l="1"/>
  <c r="C74" i="26"/>
  <c r="B16" i="26"/>
  <c r="W15" i="26"/>
  <c r="P74" i="26"/>
  <c r="E13" i="26"/>
  <c r="E7" i="26" s="1"/>
  <c r="M74" i="26"/>
  <c r="W14" i="26"/>
  <c r="N74" i="26" l="1"/>
  <c r="R14" i="26"/>
  <c r="E74" i="26"/>
  <c r="Q13" i="26"/>
  <c r="S13" i="26"/>
  <c r="B17" i="26"/>
  <c r="W16" i="26"/>
  <c r="W17" i="26" l="1"/>
  <c r="B18" i="26"/>
  <c r="R15" i="26"/>
  <c r="Q14" i="26"/>
  <c r="S14" i="26"/>
  <c r="B19" i="26" l="1"/>
  <c r="W18" i="26"/>
  <c r="R16" i="26"/>
  <c r="Q15" i="26"/>
  <c r="S15" i="26"/>
  <c r="Q16" i="26" l="1"/>
  <c r="S16" i="26"/>
  <c r="R17" i="26"/>
  <c r="B20" i="26"/>
  <c r="W19" i="26"/>
  <c r="B21" i="26" l="1"/>
  <c r="W20" i="26"/>
  <c r="S17" i="26"/>
  <c r="Q17" i="26"/>
  <c r="R18" i="26"/>
  <c r="R19" i="26" l="1"/>
  <c r="W21" i="26"/>
  <c r="B22" i="26"/>
  <c r="Q18" i="26"/>
  <c r="S18" i="26"/>
  <c r="R20" i="26" l="1"/>
  <c r="B23" i="26"/>
  <c r="W22" i="26"/>
  <c r="Q19" i="26"/>
  <c r="S19" i="26"/>
  <c r="Q20" i="26" l="1"/>
  <c r="S20" i="26"/>
  <c r="B24" i="26"/>
  <c r="W23" i="26"/>
  <c r="R21" i="26"/>
  <c r="B25" i="26" l="1"/>
  <c r="W24" i="26"/>
  <c r="S21" i="26"/>
  <c r="Q21" i="26"/>
  <c r="R22" i="26"/>
  <c r="Q22" i="26" l="1"/>
  <c r="S22" i="26"/>
  <c r="R23" i="26"/>
  <c r="W25" i="26"/>
  <c r="B26" i="26"/>
  <c r="Q23" i="26" l="1"/>
  <c r="S23" i="26"/>
  <c r="R24" i="26"/>
  <c r="B27" i="26"/>
  <c r="W26" i="26"/>
  <c r="B28" i="26" l="1"/>
  <c r="W27" i="26"/>
  <c r="R25" i="26"/>
  <c r="Q24" i="26"/>
  <c r="S24" i="26"/>
  <c r="B29" i="26" l="1"/>
  <c r="W28" i="26"/>
  <c r="S25" i="26"/>
  <c r="Q25" i="26"/>
  <c r="R26" i="26"/>
  <c r="R27" i="26" l="1"/>
  <c r="Q26" i="26"/>
  <c r="S26" i="26"/>
  <c r="W29" i="26"/>
  <c r="B30" i="26"/>
  <c r="B31" i="26" l="1"/>
  <c r="W30" i="26"/>
  <c r="Q27" i="26"/>
  <c r="S27" i="26"/>
  <c r="R28" i="26"/>
  <c r="Q28" i="26" l="1"/>
  <c r="S28" i="26"/>
  <c r="R29" i="26"/>
  <c r="W31" i="26"/>
  <c r="B32" i="26"/>
  <c r="B33" i="26" l="1"/>
  <c r="W32" i="26"/>
  <c r="S29" i="26"/>
  <c r="Q29" i="26"/>
  <c r="R30" i="26"/>
  <c r="R31" i="26" l="1"/>
  <c r="Q30" i="26"/>
  <c r="S30" i="26"/>
  <c r="B34" i="26"/>
  <c r="W33" i="26"/>
  <c r="R32" i="26" l="1"/>
  <c r="W34" i="26"/>
  <c r="B35" i="26"/>
  <c r="Q31" i="26"/>
  <c r="S31" i="26"/>
  <c r="R33" i="26" l="1"/>
  <c r="W35" i="26"/>
  <c r="B36" i="26"/>
  <c r="Q32" i="26"/>
  <c r="S32" i="26"/>
  <c r="S33" i="26" l="1"/>
  <c r="Q33" i="26"/>
  <c r="R34" i="26"/>
  <c r="B37" i="26"/>
  <c r="W36" i="26"/>
  <c r="B38" i="26" l="1"/>
  <c r="W37" i="26"/>
  <c r="S34" i="26"/>
  <c r="Q34" i="26"/>
  <c r="R35" i="26"/>
  <c r="R36" i="26" l="1"/>
  <c r="W38" i="26"/>
  <c r="B39" i="26"/>
  <c r="Q35" i="26"/>
  <c r="S35" i="26"/>
  <c r="B40" i="26" l="1"/>
  <c r="W39" i="26"/>
  <c r="Q36" i="26"/>
  <c r="S36" i="26"/>
  <c r="R37" i="26"/>
  <c r="B41" i="26" l="1"/>
  <c r="W40" i="26"/>
  <c r="S37" i="26"/>
  <c r="Q37" i="26"/>
  <c r="R38" i="26"/>
  <c r="S38" i="26" l="1"/>
  <c r="Q38" i="26"/>
  <c r="R39" i="26"/>
  <c r="W41" i="26"/>
  <c r="B42" i="26"/>
  <c r="Q39" i="26" l="1"/>
  <c r="S39" i="26"/>
  <c r="R40" i="26"/>
  <c r="B43" i="26"/>
  <c r="W42" i="26"/>
  <c r="R41" i="26" l="1"/>
  <c r="W43" i="26"/>
  <c r="B44" i="26"/>
  <c r="Q40" i="26"/>
  <c r="S40" i="26"/>
  <c r="B45" i="26" l="1"/>
  <c r="W44" i="26"/>
  <c r="R42" i="26"/>
  <c r="S41" i="26"/>
  <c r="Q41" i="26"/>
  <c r="R43" i="26" l="1"/>
  <c r="Q42" i="26"/>
  <c r="S42" i="26"/>
  <c r="W45" i="26"/>
  <c r="B46" i="26"/>
  <c r="W46" i="26" l="1"/>
  <c r="B47" i="26"/>
  <c r="Q43" i="26"/>
  <c r="S43" i="26"/>
  <c r="R44" i="26"/>
  <c r="S44" i="26" l="1"/>
  <c r="Q44" i="26"/>
  <c r="B48" i="26"/>
  <c r="W47" i="26"/>
  <c r="R45" i="26"/>
  <c r="B49" i="26" l="1"/>
  <c r="W48" i="26"/>
  <c r="S45" i="26"/>
  <c r="Q45" i="26"/>
  <c r="R46" i="26"/>
  <c r="R47" i="26" l="1"/>
  <c r="S46" i="26"/>
  <c r="Q46" i="26"/>
  <c r="B50" i="26"/>
  <c r="W49" i="26"/>
  <c r="Q47" i="26" l="1"/>
  <c r="S47" i="26"/>
  <c r="W50" i="26"/>
  <c r="B51" i="26"/>
  <c r="R48" i="26"/>
  <c r="B52" i="26" l="1"/>
  <c r="W51" i="26"/>
  <c r="Q48" i="26"/>
  <c r="S48" i="26"/>
  <c r="R49" i="26"/>
  <c r="R50" i="26" l="1"/>
  <c r="B53" i="26"/>
  <c r="W52" i="26"/>
  <c r="S49" i="26"/>
  <c r="Q49" i="26"/>
  <c r="B54" i="26" l="1"/>
  <c r="W53" i="26"/>
  <c r="R51" i="26"/>
  <c r="S50" i="26"/>
  <c r="Q50" i="26"/>
  <c r="R52" i="26" l="1"/>
  <c r="Q51" i="26"/>
  <c r="S51" i="26"/>
  <c r="W54" i="26"/>
  <c r="B55" i="26"/>
  <c r="Q52" i="26" l="1"/>
  <c r="S52" i="26"/>
  <c r="B56" i="26"/>
  <c r="W55" i="26"/>
  <c r="R53" i="26"/>
  <c r="B57" i="26" l="1"/>
  <c r="W56" i="26"/>
  <c r="R54" i="26"/>
  <c r="S53" i="26"/>
  <c r="Q53" i="26"/>
  <c r="S54" i="26" l="1"/>
  <c r="Q54" i="26"/>
  <c r="R55" i="26"/>
  <c r="B58" i="26"/>
  <c r="W57" i="26"/>
  <c r="Q55" i="26" l="1"/>
  <c r="S55" i="26"/>
  <c r="W58" i="26"/>
  <c r="B59" i="26"/>
  <c r="R56" i="26"/>
  <c r="B60" i="26" l="1"/>
  <c r="W59" i="26"/>
  <c r="Q56" i="26"/>
  <c r="S56" i="26"/>
  <c r="R57" i="26"/>
  <c r="S57" i="26" l="1"/>
  <c r="Q57" i="26"/>
  <c r="R58" i="26"/>
  <c r="B61" i="26"/>
  <c r="W60" i="26"/>
  <c r="S58" i="26" l="1"/>
  <c r="Q58" i="26"/>
  <c r="R59" i="26"/>
  <c r="B62" i="26"/>
  <c r="W61" i="26"/>
  <c r="Q59" i="26" l="1"/>
  <c r="S59" i="26"/>
  <c r="B63" i="26"/>
  <c r="W62" i="26"/>
  <c r="R60" i="26"/>
  <c r="R61" i="26" l="1"/>
  <c r="W63" i="26"/>
  <c r="B64" i="26"/>
  <c r="Q60" i="26"/>
  <c r="S60" i="26"/>
  <c r="B65" i="26" l="1"/>
  <c r="W64" i="26"/>
  <c r="R62" i="26"/>
  <c r="Q61" i="26"/>
  <c r="S61" i="26"/>
  <c r="R63" i="26" l="1"/>
  <c r="S62" i="26"/>
  <c r="Q62" i="26"/>
  <c r="B66" i="26"/>
  <c r="W65" i="26"/>
  <c r="R64" i="26" l="1"/>
  <c r="B67" i="26"/>
  <c r="W66" i="26"/>
  <c r="S63" i="26"/>
  <c r="Q63" i="26"/>
  <c r="W67" i="26" l="1"/>
  <c r="B68" i="26"/>
  <c r="Q64" i="26"/>
  <c r="S64" i="26"/>
  <c r="R65" i="26"/>
  <c r="Q65" i="26" l="1"/>
  <c r="S65" i="26"/>
  <c r="R66" i="26"/>
  <c r="B69" i="26"/>
  <c r="W68" i="26"/>
  <c r="R67" i="26" l="1"/>
  <c r="S66" i="26"/>
  <c r="Q66" i="26"/>
  <c r="B70" i="26"/>
  <c r="W69" i="26"/>
  <c r="R68" i="26" l="1"/>
  <c r="B71" i="26"/>
  <c r="W70" i="26"/>
  <c r="S67" i="26"/>
  <c r="Q67" i="26"/>
  <c r="Q68" i="26" l="1"/>
  <c r="S68" i="26"/>
  <c r="W71" i="26"/>
  <c r="B72" i="26"/>
  <c r="R69" i="26"/>
  <c r="Q69" i="26" l="1"/>
  <c r="S69" i="26"/>
  <c r="R70" i="26"/>
  <c r="B73" i="26"/>
  <c r="W73" i="26" s="1"/>
  <c r="W72" i="26"/>
  <c r="S70" i="26" l="1"/>
  <c r="Q70" i="26"/>
  <c r="R71" i="26"/>
  <c r="S71" i="26" l="1"/>
  <c r="Q71" i="26"/>
  <c r="R72" i="26"/>
  <c r="Q72" i="26" l="1"/>
  <c r="S72" i="26"/>
  <c r="R73" i="26"/>
  <c r="L74" i="26"/>
  <c r="Q73" i="26" l="1"/>
  <c r="S73" i="26"/>
  <c r="R74" i="26"/>
  <c r="S74" i="26" l="1"/>
  <c r="Q74" i="26"/>
  <c r="J13" i="26" l="1"/>
  <c r="H13" i="26"/>
  <c r="F13" i="26"/>
  <c r="I13" i="26" l="1"/>
  <c r="K13" i="26"/>
  <c r="T13" i="26"/>
  <c r="J14" i="26"/>
  <c r="U14" i="26" s="1"/>
  <c r="Y14" i="26" s="1"/>
  <c r="F14" i="26"/>
  <c r="H14" i="26"/>
  <c r="V13" i="26"/>
  <c r="U13" i="26"/>
  <c r="Y13" i="26" l="1"/>
  <c r="J15" i="26"/>
  <c r="F15" i="26"/>
  <c r="I15" i="26" s="1"/>
  <c r="T15" i="26" s="1"/>
  <c r="X15" i="26" s="1"/>
  <c r="H15" i="26"/>
  <c r="K15" i="26" s="1"/>
  <c r="V15" i="26" s="1"/>
  <c r="Z15" i="26" s="1"/>
  <c r="Z13" i="26"/>
  <c r="K14" i="26"/>
  <c r="X13" i="26"/>
  <c r="I14" i="26"/>
  <c r="U15" i="26" l="1"/>
  <c r="Y15" i="26" s="1"/>
  <c r="T14" i="26"/>
  <c r="V14" i="26"/>
  <c r="F16" i="26"/>
  <c r="I16" i="26" s="1"/>
  <c r="T16" i="26" s="1"/>
  <c r="X16" i="26" s="1"/>
  <c r="J16" i="26"/>
  <c r="H16" i="26"/>
  <c r="K16" i="26" l="1"/>
  <c r="U16" i="26"/>
  <c r="H17" i="26"/>
  <c r="K17" i="26" s="1"/>
  <c r="V17" i="26" s="1"/>
  <c r="Z17" i="26" s="1"/>
  <c r="F17" i="26"/>
  <c r="I17" i="26" s="1"/>
  <c r="J17" i="26"/>
  <c r="Z14" i="26"/>
  <c r="X14" i="26"/>
  <c r="K6" i="26" l="1"/>
  <c r="E10" i="24" s="1"/>
  <c r="U17" i="26"/>
  <c r="Y17" i="26" s="1"/>
  <c r="J6" i="26"/>
  <c r="D10" i="24" s="1"/>
  <c r="T17" i="26"/>
  <c r="X17" i="26" s="1"/>
  <c r="I6" i="26"/>
  <c r="C10" i="24" s="1"/>
  <c r="J18" i="26"/>
  <c r="U18" i="26" s="1"/>
  <c r="Y18" i="26" s="1"/>
  <c r="H18" i="26"/>
  <c r="K18" i="26" s="1"/>
  <c r="V18" i="26" s="1"/>
  <c r="Z18" i="26" s="1"/>
  <c r="F18" i="26"/>
  <c r="V16" i="26"/>
  <c r="Y16" i="26"/>
  <c r="W6" i="41" l="1"/>
  <c r="W6" i="37"/>
  <c r="AA6" i="33"/>
  <c r="AA6" i="34"/>
  <c r="Z16" i="26"/>
  <c r="J19" i="26"/>
  <c r="U19" i="26" s="1"/>
  <c r="Y19" i="26" s="1"/>
  <c r="H19" i="26"/>
  <c r="F19" i="26"/>
  <c r="I19" i="26" s="1"/>
  <c r="T19" i="26" s="1"/>
  <c r="X19" i="26" s="1"/>
  <c r="I18" i="26"/>
  <c r="T18" i="26" l="1"/>
  <c r="F20" i="26"/>
  <c r="I20" i="26" s="1"/>
  <c r="T20" i="26" s="1"/>
  <c r="X20" i="26" s="1"/>
  <c r="J20" i="26"/>
  <c r="U20" i="26" s="1"/>
  <c r="H20" i="26"/>
  <c r="K20" i="26" s="1"/>
  <c r="V20" i="26" s="1"/>
  <c r="Z20" i="26" s="1"/>
  <c r="K19" i="26"/>
  <c r="F21" i="26" l="1"/>
  <c r="I21" i="26" s="1"/>
  <c r="J21" i="26"/>
  <c r="U21" i="26" s="1"/>
  <c r="Y21" i="26" s="1"/>
  <c r="H21" i="26"/>
  <c r="K21" i="26" s="1"/>
  <c r="V21" i="26" s="1"/>
  <c r="Z21" i="26" s="1"/>
  <c r="X18" i="26"/>
  <c r="V19" i="26"/>
  <c r="Y20" i="26"/>
  <c r="Z19" i="26" l="1"/>
  <c r="T21" i="26"/>
  <c r="J22" i="26"/>
  <c r="U22" i="26" s="1"/>
  <c r="H22" i="26"/>
  <c r="K22" i="26" s="1"/>
  <c r="V22" i="26" s="1"/>
  <c r="Z22" i="26" s="1"/>
  <c r="F22" i="26"/>
  <c r="I22" i="26" s="1"/>
  <c r="T22" i="26" s="1"/>
  <c r="X22" i="26" s="1"/>
  <c r="Y22" i="26" l="1"/>
  <c r="H23" i="26"/>
  <c r="K23" i="26" s="1"/>
  <c r="V23" i="26" s="1"/>
  <c r="Z23" i="26" s="1"/>
  <c r="J23" i="26"/>
  <c r="U23" i="26" s="1"/>
  <c r="Y23" i="26" s="1"/>
  <c r="F23" i="26"/>
  <c r="I23" i="26" s="1"/>
  <c r="T23" i="26" s="1"/>
  <c r="X23" i="26" s="1"/>
  <c r="X21" i="26"/>
  <c r="H25" i="26" l="1"/>
  <c r="K25" i="26" s="1"/>
  <c r="V25" i="26" s="1"/>
  <c r="Z25" i="26" s="1"/>
  <c r="J25" i="26"/>
  <c r="U25" i="26" s="1"/>
  <c r="Y25" i="26" s="1"/>
  <c r="F25" i="26"/>
  <c r="I25" i="26" s="1"/>
  <c r="T25" i="26" s="1"/>
  <c r="X25" i="26" s="1"/>
  <c r="J24" i="26"/>
  <c r="U24" i="26" s="1"/>
  <c r="Y24" i="26" s="1"/>
  <c r="H24" i="26"/>
  <c r="K24" i="26" s="1"/>
  <c r="V24" i="26" s="1"/>
  <c r="Z24" i="26" s="1"/>
  <c r="F24" i="26"/>
  <c r="I24" i="26" s="1"/>
  <c r="T24" i="26" s="1"/>
  <c r="X24" i="26" s="1"/>
  <c r="H26" i="26" l="1"/>
  <c r="K26" i="26" s="1"/>
  <c r="V26" i="26" s="1"/>
  <c r="Z26" i="26" s="1"/>
  <c r="F26" i="26"/>
  <c r="I26" i="26" s="1"/>
  <c r="T26" i="26" s="1"/>
  <c r="X26" i="26" s="1"/>
  <c r="J26" i="26"/>
  <c r="U26" i="26" s="1"/>
  <c r="Y26" i="26" s="1"/>
  <c r="J27" i="37" l="1"/>
  <c r="F27" i="37"/>
  <c r="H27" i="37"/>
  <c r="J27" i="26"/>
  <c r="U27" i="26" s="1"/>
  <c r="Y27" i="26" s="1"/>
  <c r="H27" i="26"/>
  <c r="K27" i="26" s="1"/>
  <c r="V27" i="26" s="1"/>
  <c r="Z27" i="26" s="1"/>
  <c r="F27" i="26"/>
  <c r="I27" i="26" s="1"/>
  <c r="T27" i="26" s="1"/>
  <c r="X27" i="26" s="1"/>
  <c r="K27" i="37" l="1"/>
  <c r="U27" i="37"/>
  <c r="H28" i="37"/>
  <c r="K28" i="37" s="1"/>
  <c r="V28" i="37" s="1"/>
  <c r="Z28" i="37" s="1"/>
  <c r="F28" i="37"/>
  <c r="I28" i="37" s="1"/>
  <c r="T28" i="37" s="1"/>
  <c r="X28" i="37" s="1"/>
  <c r="J28" i="37"/>
  <c r="U28" i="37" s="1"/>
  <c r="Y28" i="37" s="1"/>
  <c r="I27" i="37"/>
  <c r="H28" i="26"/>
  <c r="K28" i="26" s="1"/>
  <c r="V28" i="26" s="1"/>
  <c r="Z28" i="26" s="1"/>
  <c r="F28" i="26"/>
  <c r="I28" i="26" s="1"/>
  <c r="T28" i="26" s="1"/>
  <c r="X28" i="26" s="1"/>
  <c r="J28" i="26"/>
  <c r="U28" i="26" s="1"/>
  <c r="Y28" i="26" s="1"/>
  <c r="Y27" i="37" l="1"/>
  <c r="F29" i="37"/>
  <c r="H29" i="37"/>
  <c r="K29" i="37" s="1"/>
  <c r="V29" i="37" s="1"/>
  <c r="Z29" i="37" s="1"/>
  <c r="J29" i="37"/>
  <c r="U29" i="37" s="1"/>
  <c r="Y29" i="37" s="1"/>
  <c r="T27" i="37"/>
  <c r="V27" i="37"/>
  <c r="F29" i="26"/>
  <c r="I29" i="26" s="1"/>
  <c r="T29" i="26" s="1"/>
  <c r="X29" i="26" s="1"/>
  <c r="H29" i="26"/>
  <c r="K29" i="26" s="1"/>
  <c r="V29" i="26" s="1"/>
  <c r="Z29" i="26" s="1"/>
  <c r="J29" i="26"/>
  <c r="U29" i="26" s="1"/>
  <c r="Y29" i="26" s="1"/>
  <c r="X27" i="37" l="1"/>
  <c r="I29" i="37"/>
  <c r="Z27" i="37"/>
  <c r="H30" i="37"/>
  <c r="K30" i="37" s="1"/>
  <c r="V30" i="37" s="1"/>
  <c r="Z30" i="37" s="1"/>
  <c r="J30" i="37"/>
  <c r="F30" i="37"/>
  <c r="I30" i="37" s="1"/>
  <c r="T30" i="37" s="1"/>
  <c r="X30" i="37" s="1"/>
  <c r="F30" i="26"/>
  <c r="I30" i="26" s="1"/>
  <c r="T30" i="26" s="1"/>
  <c r="X30" i="26" s="1"/>
  <c r="H30" i="26"/>
  <c r="K30" i="26" s="1"/>
  <c r="V30" i="26" s="1"/>
  <c r="Z30" i="26" s="1"/>
  <c r="J30" i="26"/>
  <c r="U30" i="26" s="1"/>
  <c r="Y30" i="26" s="1"/>
  <c r="T29" i="37" l="1"/>
  <c r="J31" i="37"/>
  <c r="U31" i="37" s="1"/>
  <c r="Y31" i="37" s="1"/>
  <c r="H31" i="37"/>
  <c r="K31" i="37" s="1"/>
  <c r="F31" i="37"/>
  <c r="U30" i="37"/>
  <c r="J31" i="26"/>
  <c r="U31" i="26" s="1"/>
  <c r="Y31" i="26" s="1"/>
  <c r="F31" i="26"/>
  <c r="I31" i="26" s="1"/>
  <c r="T31" i="26" s="1"/>
  <c r="X31" i="26" s="1"/>
  <c r="H31" i="26"/>
  <c r="K31" i="26" s="1"/>
  <c r="V31" i="26" s="1"/>
  <c r="Z31" i="26" s="1"/>
  <c r="H32" i="37" l="1"/>
  <c r="K32" i="37" s="1"/>
  <c r="V32" i="37" s="1"/>
  <c r="Z32" i="37" s="1"/>
  <c r="J32" i="37"/>
  <c r="F32" i="37"/>
  <c r="I32" i="37" s="1"/>
  <c r="T32" i="37" s="1"/>
  <c r="X32" i="37" s="1"/>
  <c r="Y30" i="37"/>
  <c r="I31" i="37"/>
  <c r="X29" i="37"/>
  <c r="V31" i="37"/>
  <c r="J32" i="26"/>
  <c r="U32" i="26" s="1"/>
  <c r="Y32" i="26" s="1"/>
  <c r="H32" i="26"/>
  <c r="K32" i="26" s="1"/>
  <c r="V32" i="26" s="1"/>
  <c r="Z32" i="26" s="1"/>
  <c r="F32" i="26"/>
  <c r="I32" i="26" s="1"/>
  <c r="T32" i="26" s="1"/>
  <c r="X32" i="26" s="1"/>
  <c r="F33" i="37" l="1"/>
  <c r="J33" i="37"/>
  <c r="U33" i="37" s="1"/>
  <c r="Y33" i="37" s="1"/>
  <c r="H33" i="37"/>
  <c r="K33" i="37" s="1"/>
  <c r="Z31" i="37"/>
  <c r="T31" i="37"/>
  <c r="U32" i="37"/>
  <c r="F33" i="26"/>
  <c r="I33" i="26" s="1"/>
  <c r="T33" i="26" s="1"/>
  <c r="X33" i="26" s="1"/>
  <c r="J33" i="26"/>
  <c r="U33" i="26" s="1"/>
  <c r="Y33" i="26" s="1"/>
  <c r="H33" i="26"/>
  <c r="K33" i="26" s="1"/>
  <c r="V33" i="26" s="1"/>
  <c r="Z33" i="26" s="1"/>
  <c r="V33" i="37" l="1"/>
  <c r="X31" i="37"/>
  <c r="F34" i="37"/>
  <c r="J34" i="37"/>
  <c r="H34" i="37"/>
  <c r="Y32" i="37"/>
  <c r="I33" i="37"/>
  <c r="J34" i="26"/>
  <c r="U34" i="26" s="1"/>
  <c r="Y34" i="26" s="1"/>
  <c r="F34" i="26"/>
  <c r="I34" i="26" s="1"/>
  <c r="T34" i="26" s="1"/>
  <c r="X34" i="26" s="1"/>
  <c r="H34" i="26"/>
  <c r="K34" i="26" s="1"/>
  <c r="V34" i="26" s="1"/>
  <c r="Z34" i="26" s="1"/>
  <c r="I34" i="37" l="1"/>
  <c r="T34" i="37" s="1"/>
  <c r="X34" i="37" s="1"/>
  <c r="K34" i="37"/>
  <c r="V34" i="37" s="1"/>
  <c r="Z34" i="37" s="1"/>
  <c r="T33" i="37"/>
  <c r="U34" i="37"/>
  <c r="J35" i="37"/>
  <c r="U35" i="37" s="1"/>
  <c r="Y35" i="37" s="1"/>
  <c r="F35" i="37"/>
  <c r="I35" i="37" s="1"/>
  <c r="T35" i="37" s="1"/>
  <c r="X35" i="37" s="1"/>
  <c r="H35" i="37"/>
  <c r="K35" i="37" s="1"/>
  <c r="V35" i="37" s="1"/>
  <c r="Z35" i="37" s="1"/>
  <c r="Z33" i="37"/>
  <c r="H35" i="26"/>
  <c r="K35" i="26" s="1"/>
  <c r="V35" i="26" s="1"/>
  <c r="Z35" i="26" s="1"/>
  <c r="F35" i="26"/>
  <c r="I35" i="26" s="1"/>
  <c r="T35" i="26" s="1"/>
  <c r="X35" i="26" s="1"/>
  <c r="J35" i="26"/>
  <c r="U35" i="26" s="1"/>
  <c r="Y35" i="26" s="1"/>
  <c r="H36" i="37" l="1"/>
  <c r="K36" i="37" s="1"/>
  <c r="V36" i="37" s="1"/>
  <c r="F36" i="37"/>
  <c r="I36" i="37" s="1"/>
  <c r="J36" i="37"/>
  <c r="U36" i="37" s="1"/>
  <c r="Y36" i="37" s="1"/>
  <c r="Y34" i="37"/>
  <c r="X33" i="37"/>
  <c r="F36" i="26"/>
  <c r="I36" i="26" s="1"/>
  <c r="T36" i="26" s="1"/>
  <c r="X36" i="26" s="1"/>
  <c r="J36" i="26"/>
  <c r="U36" i="26" s="1"/>
  <c r="Y36" i="26" s="1"/>
  <c r="H36" i="26"/>
  <c r="K36" i="26" s="1"/>
  <c r="V36" i="26" s="1"/>
  <c r="Z36" i="26" s="1"/>
  <c r="F37" i="37" l="1"/>
  <c r="I37" i="37" s="1"/>
  <c r="T37" i="37" s="1"/>
  <c r="X37" i="37" s="1"/>
  <c r="J37" i="37"/>
  <c r="U37" i="37" s="1"/>
  <c r="Y37" i="37" s="1"/>
  <c r="H37" i="37"/>
  <c r="K37" i="37" s="1"/>
  <c r="V37" i="37" s="1"/>
  <c r="Z37" i="37" s="1"/>
  <c r="T36" i="37"/>
  <c r="Z36" i="37"/>
  <c r="F37" i="26"/>
  <c r="I37" i="26" s="1"/>
  <c r="T37" i="26" s="1"/>
  <c r="X37" i="26" s="1"/>
  <c r="H37" i="26"/>
  <c r="K37" i="26" s="1"/>
  <c r="V37" i="26" s="1"/>
  <c r="Z37" i="26" s="1"/>
  <c r="J37" i="26"/>
  <c r="U37" i="26" s="1"/>
  <c r="Y37" i="26" s="1"/>
  <c r="J38" i="37" l="1"/>
  <c r="U38" i="37" s="1"/>
  <c r="Y38" i="37" s="1"/>
  <c r="H38" i="37"/>
  <c r="K38" i="37" s="1"/>
  <c r="V38" i="37" s="1"/>
  <c r="Z38" i="37" s="1"/>
  <c r="F38" i="37"/>
  <c r="I38" i="37" s="1"/>
  <c r="T38" i="37" s="1"/>
  <c r="X38" i="37" s="1"/>
  <c r="X36" i="37"/>
  <c r="H38" i="26"/>
  <c r="K38" i="26" s="1"/>
  <c r="V38" i="26" s="1"/>
  <c r="Z38" i="26" s="1"/>
  <c r="J38" i="26"/>
  <c r="U38" i="26" s="1"/>
  <c r="Y38" i="26" s="1"/>
  <c r="F38" i="26"/>
  <c r="I38" i="26" s="1"/>
  <c r="T38" i="26" s="1"/>
  <c r="X38" i="26" s="1"/>
  <c r="J39" i="37" l="1"/>
  <c r="U39" i="37" s="1"/>
  <c r="Y39" i="37" s="1"/>
  <c r="F39" i="37"/>
  <c r="H39" i="37"/>
  <c r="H39" i="26"/>
  <c r="K39" i="26" s="1"/>
  <c r="V39" i="26" s="1"/>
  <c r="Z39" i="26" s="1"/>
  <c r="J39" i="26"/>
  <c r="U39" i="26" s="1"/>
  <c r="Y39" i="26" s="1"/>
  <c r="F39" i="26"/>
  <c r="I39" i="26" s="1"/>
  <c r="T39" i="26" s="1"/>
  <c r="X39" i="26" s="1"/>
  <c r="K39" i="37" l="1"/>
  <c r="V39" i="37" s="1"/>
  <c r="Z39" i="37" s="1"/>
  <c r="I39" i="37"/>
  <c r="T39" i="37" s="1"/>
  <c r="X39" i="37" s="1"/>
  <c r="F40" i="37"/>
  <c r="I40" i="37" s="1"/>
  <c r="T40" i="37" s="1"/>
  <c r="X40" i="37" s="1"/>
  <c r="J40" i="37"/>
  <c r="U40" i="37" s="1"/>
  <c r="Y40" i="37" s="1"/>
  <c r="H40" i="37"/>
  <c r="K40" i="37" s="1"/>
  <c r="V40" i="37" s="1"/>
  <c r="Z40" i="37" s="1"/>
  <c r="J40" i="26"/>
  <c r="U40" i="26" s="1"/>
  <c r="Y40" i="26" s="1"/>
  <c r="F40" i="26"/>
  <c r="I40" i="26" s="1"/>
  <c r="T40" i="26" s="1"/>
  <c r="X40" i="26" s="1"/>
  <c r="H40" i="26"/>
  <c r="K40" i="26" s="1"/>
  <c r="V40" i="26" s="1"/>
  <c r="Z40" i="26" s="1"/>
  <c r="I41" i="37" l="1"/>
  <c r="T41" i="37" s="1"/>
  <c r="X41" i="37" s="1"/>
  <c r="J41" i="37"/>
  <c r="U41" i="37" s="1"/>
  <c r="Y41" i="37" s="1"/>
  <c r="H41" i="37"/>
  <c r="K41" i="37" s="1"/>
  <c r="V41" i="37" s="1"/>
  <c r="Z41" i="37" s="1"/>
  <c r="J41" i="26"/>
  <c r="U41" i="26" s="1"/>
  <c r="Y41" i="26" s="1"/>
  <c r="H41" i="26"/>
  <c r="K41" i="26" s="1"/>
  <c r="V41" i="26" s="1"/>
  <c r="Z41" i="26" s="1"/>
  <c r="F41" i="26"/>
  <c r="I41" i="26" s="1"/>
  <c r="T41" i="26" s="1"/>
  <c r="X41" i="26" s="1"/>
  <c r="J42" i="37" l="1"/>
  <c r="U42" i="37" s="1"/>
  <c r="Y42" i="37" s="1"/>
  <c r="F42" i="37"/>
  <c r="I42" i="37" s="1"/>
  <c r="T42" i="37" s="1"/>
  <c r="X42" i="37" s="1"/>
  <c r="H42" i="37"/>
  <c r="K42" i="37" s="1"/>
  <c r="V42" i="37" s="1"/>
  <c r="Z42" i="37" s="1"/>
  <c r="F42" i="26"/>
  <c r="I42" i="26" s="1"/>
  <c r="T42" i="26" s="1"/>
  <c r="X42" i="26" s="1"/>
  <c r="H42" i="26"/>
  <c r="K42" i="26" s="1"/>
  <c r="V42" i="26" s="1"/>
  <c r="Z42" i="26" s="1"/>
  <c r="J42" i="26"/>
  <c r="U42" i="26" s="1"/>
  <c r="Y42" i="26" s="1"/>
  <c r="H43" i="37" l="1"/>
  <c r="K43" i="37" s="1"/>
  <c r="V43" i="37" s="1"/>
  <c r="Z43" i="37" s="1"/>
  <c r="F43" i="37"/>
  <c r="I43" i="37" s="1"/>
  <c r="T43" i="37" s="1"/>
  <c r="X43" i="37" s="1"/>
  <c r="J43" i="37"/>
  <c r="U43" i="37" s="1"/>
  <c r="Y43" i="37" s="1"/>
  <c r="J43" i="26"/>
  <c r="U43" i="26" s="1"/>
  <c r="Y43" i="26" s="1"/>
  <c r="H43" i="26"/>
  <c r="K43" i="26" s="1"/>
  <c r="V43" i="26" s="1"/>
  <c r="Z43" i="26" s="1"/>
  <c r="F43" i="26"/>
  <c r="I43" i="26" s="1"/>
  <c r="T43" i="26" s="1"/>
  <c r="X43" i="26" s="1"/>
  <c r="F44" i="37" l="1"/>
  <c r="J44" i="37"/>
  <c r="U44" i="37" s="1"/>
  <c r="Y44" i="37" s="1"/>
  <c r="H44" i="37"/>
  <c r="F45" i="37"/>
  <c r="I45" i="37" s="1"/>
  <c r="T45" i="37" s="1"/>
  <c r="X45" i="37" s="1"/>
  <c r="J45" i="37"/>
  <c r="U45" i="37" s="1"/>
  <c r="Y45" i="37" s="1"/>
  <c r="H45" i="37"/>
  <c r="K45" i="37" s="1"/>
  <c r="V45" i="37" s="1"/>
  <c r="Z45" i="37" s="1"/>
  <c r="H44" i="26"/>
  <c r="K44" i="26" s="1"/>
  <c r="V44" i="26" s="1"/>
  <c r="Z44" i="26" s="1"/>
  <c r="J44" i="26"/>
  <c r="U44" i="26" s="1"/>
  <c r="Y44" i="26" s="1"/>
  <c r="F44" i="26"/>
  <c r="I44" i="26" s="1"/>
  <c r="T44" i="26" s="1"/>
  <c r="X44" i="26" s="1"/>
  <c r="F45" i="26"/>
  <c r="I45" i="26" s="1"/>
  <c r="T45" i="26" s="1"/>
  <c r="X45" i="26" s="1"/>
  <c r="J45" i="26"/>
  <c r="U45" i="26" s="1"/>
  <c r="Y45" i="26" s="1"/>
  <c r="H45" i="26"/>
  <c r="K45" i="26" s="1"/>
  <c r="V45" i="26" s="1"/>
  <c r="Z45" i="26" s="1"/>
  <c r="K44" i="37" l="1"/>
  <c r="V44" i="37" s="1"/>
  <c r="Z44" i="37" s="1"/>
  <c r="I44" i="37"/>
  <c r="T44" i="37" s="1"/>
  <c r="X44" i="37" s="1"/>
  <c r="J46" i="37"/>
  <c r="U46" i="37" s="1"/>
  <c r="Y46" i="37" s="1"/>
  <c r="F46" i="37"/>
  <c r="I46" i="37" s="1"/>
  <c r="T46" i="37" s="1"/>
  <c r="X46" i="37" s="1"/>
  <c r="H46" i="37"/>
  <c r="K46" i="37" s="1"/>
  <c r="V46" i="37" s="1"/>
  <c r="Z46" i="37" s="1"/>
  <c r="H47" i="37"/>
  <c r="K47" i="37" s="1"/>
  <c r="V47" i="37" s="1"/>
  <c r="Z47" i="37" s="1"/>
  <c r="F47" i="37"/>
  <c r="I47" i="37" s="1"/>
  <c r="T47" i="37" s="1"/>
  <c r="X47" i="37" s="1"/>
  <c r="J47" i="37"/>
  <c r="U47" i="37" s="1"/>
  <c r="Y47" i="37" s="1"/>
  <c r="F46" i="26"/>
  <c r="I46" i="26" s="1"/>
  <c r="T46" i="26" s="1"/>
  <c r="X46" i="26" s="1"/>
  <c r="J46" i="26"/>
  <c r="U46" i="26" s="1"/>
  <c r="Y46" i="26" s="1"/>
  <c r="H46" i="26"/>
  <c r="K46" i="26" s="1"/>
  <c r="V46" i="26" s="1"/>
  <c r="Z46" i="26" s="1"/>
  <c r="H47" i="26"/>
  <c r="K47" i="26" s="1"/>
  <c r="V47" i="26" s="1"/>
  <c r="Z47" i="26" s="1"/>
  <c r="J47" i="26"/>
  <c r="U47" i="26" s="1"/>
  <c r="Y47" i="26" s="1"/>
  <c r="F47" i="26"/>
  <c r="I47" i="26" s="1"/>
  <c r="T47" i="26" s="1"/>
  <c r="X47" i="26" s="1"/>
  <c r="F48" i="37" l="1"/>
  <c r="I48" i="37" s="1"/>
  <c r="T48" i="37" s="1"/>
  <c r="X48" i="37" s="1"/>
  <c r="H48" i="37"/>
  <c r="K48" i="37" s="1"/>
  <c r="V48" i="37" s="1"/>
  <c r="Z48" i="37" s="1"/>
  <c r="J48" i="37"/>
  <c r="U48" i="37" s="1"/>
  <c r="Y48" i="37" s="1"/>
  <c r="H49" i="37"/>
  <c r="K49" i="37" s="1"/>
  <c r="V49" i="37" s="1"/>
  <c r="Z49" i="37" s="1"/>
  <c r="J49" i="37"/>
  <c r="U49" i="37" s="1"/>
  <c r="Y49" i="37" s="1"/>
  <c r="F49" i="37"/>
  <c r="I49" i="37" s="1"/>
  <c r="T49" i="37" s="1"/>
  <c r="X49" i="37" s="1"/>
  <c r="H48" i="26"/>
  <c r="K48" i="26" s="1"/>
  <c r="V48" i="26" s="1"/>
  <c r="Z48" i="26" s="1"/>
  <c r="J48" i="26"/>
  <c r="U48" i="26" s="1"/>
  <c r="Y48" i="26" s="1"/>
  <c r="F48" i="26"/>
  <c r="I48" i="26" s="1"/>
  <c r="T48" i="26" s="1"/>
  <c r="X48" i="26" s="1"/>
  <c r="H49" i="26"/>
  <c r="K49" i="26" s="1"/>
  <c r="V49" i="26" s="1"/>
  <c r="Z49" i="26" s="1"/>
  <c r="J49" i="26"/>
  <c r="U49" i="26" s="1"/>
  <c r="Y49" i="26" s="1"/>
  <c r="F49" i="26"/>
  <c r="I49" i="26" s="1"/>
  <c r="T49" i="26" s="1"/>
  <c r="X49" i="26" s="1"/>
  <c r="F51" i="37" l="1"/>
  <c r="I51" i="37" s="1"/>
  <c r="T51" i="37" s="1"/>
  <c r="X51" i="37" s="1"/>
  <c r="H51" i="37"/>
  <c r="K51" i="37" s="1"/>
  <c r="V51" i="37" s="1"/>
  <c r="Z51" i="37" s="1"/>
  <c r="J51" i="37"/>
  <c r="U51" i="37" s="1"/>
  <c r="Y51" i="37" s="1"/>
  <c r="F50" i="37"/>
  <c r="I50" i="37" s="1"/>
  <c r="T50" i="37" s="1"/>
  <c r="X50" i="37" s="1"/>
  <c r="J50" i="37"/>
  <c r="U50" i="37" s="1"/>
  <c r="Y50" i="37" s="1"/>
  <c r="H50" i="37"/>
  <c r="K50" i="37" s="1"/>
  <c r="V50" i="37" s="1"/>
  <c r="Z50" i="37" s="1"/>
  <c r="H51" i="26"/>
  <c r="K51" i="26" s="1"/>
  <c r="V51" i="26" s="1"/>
  <c r="Z51" i="26" s="1"/>
  <c r="J51" i="26"/>
  <c r="U51" i="26" s="1"/>
  <c r="Y51" i="26" s="1"/>
  <c r="F51" i="26"/>
  <c r="I51" i="26" s="1"/>
  <c r="T51" i="26" s="1"/>
  <c r="X51" i="26" s="1"/>
  <c r="F50" i="26"/>
  <c r="I50" i="26" s="1"/>
  <c r="T50" i="26" s="1"/>
  <c r="X50" i="26" s="1"/>
  <c r="J50" i="26"/>
  <c r="U50" i="26" s="1"/>
  <c r="Y50" i="26" s="1"/>
  <c r="H50" i="26"/>
  <c r="K50" i="26" s="1"/>
  <c r="V50" i="26" s="1"/>
  <c r="Z50" i="26" s="1"/>
  <c r="H52" i="37" l="1"/>
  <c r="K52" i="37" s="1"/>
  <c r="V52" i="37" s="1"/>
  <c r="Z52" i="37" s="1"/>
  <c r="J52" i="37"/>
  <c r="U52" i="37" s="1"/>
  <c r="Y52" i="37" s="1"/>
  <c r="F52" i="37"/>
  <c r="I52" i="37" s="1"/>
  <c r="T52" i="37" s="1"/>
  <c r="X52" i="37" s="1"/>
  <c r="H53" i="37"/>
  <c r="K53" i="37" s="1"/>
  <c r="V53" i="37" s="1"/>
  <c r="Z53" i="37" s="1"/>
  <c r="F53" i="37"/>
  <c r="I53" i="37" s="1"/>
  <c r="T53" i="37" s="1"/>
  <c r="X53" i="37" s="1"/>
  <c r="J53" i="37"/>
  <c r="U53" i="37" s="1"/>
  <c r="Y53" i="37" s="1"/>
  <c r="H52" i="26"/>
  <c r="K52" i="26" s="1"/>
  <c r="V52" i="26" s="1"/>
  <c r="Z52" i="26" s="1"/>
  <c r="F52" i="26"/>
  <c r="I52" i="26" s="1"/>
  <c r="T52" i="26" s="1"/>
  <c r="X52" i="26" s="1"/>
  <c r="J52" i="26"/>
  <c r="U52" i="26" s="1"/>
  <c r="Y52" i="26" s="1"/>
  <c r="J53" i="26"/>
  <c r="U53" i="26" s="1"/>
  <c r="Y53" i="26" s="1"/>
  <c r="H53" i="26"/>
  <c r="K53" i="26" s="1"/>
  <c r="V53" i="26" s="1"/>
  <c r="Z53" i="26" s="1"/>
  <c r="F53" i="26"/>
  <c r="I53" i="26" s="1"/>
  <c r="T53" i="26" s="1"/>
  <c r="X53" i="26" s="1"/>
  <c r="H55" i="37" l="1"/>
  <c r="K55" i="37" s="1"/>
  <c r="V55" i="37" s="1"/>
  <c r="Z55" i="37" s="1"/>
  <c r="F55" i="37"/>
  <c r="I55" i="37" s="1"/>
  <c r="T55" i="37" s="1"/>
  <c r="X55" i="37" s="1"/>
  <c r="J55" i="37"/>
  <c r="U55" i="37" s="1"/>
  <c r="Y55" i="37" s="1"/>
  <c r="J56" i="26"/>
  <c r="U56" i="26" s="1"/>
  <c r="Y56" i="26" s="1"/>
  <c r="J54" i="26"/>
  <c r="U54" i="26" s="1"/>
  <c r="Y54" i="26" s="1"/>
  <c r="H54" i="26"/>
  <c r="K54" i="26" s="1"/>
  <c r="V54" i="26" s="1"/>
  <c r="Z54" i="26" s="1"/>
  <c r="F54" i="26"/>
  <c r="I54" i="26" s="1"/>
  <c r="T54" i="26" s="1"/>
  <c r="X54" i="26" s="1"/>
  <c r="H55" i="26"/>
  <c r="K55" i="26" s="1"/>
  <c r="V55" i="26" s="1"/>
  <c r="Z55" i="26" s="1"/>
  <c r="F55" i="26"/>
  <c r="I55" i="26" s="1"/>
  <c r="T55" i="26" s="1"/>
  <c r="X55" i="26" s="1"/>
  <c r="J55" i="26"/>
  <c r="U55" i="26" s="1"/>
  <c r="Y55" i="26" s="1"/>
  <c r="F54" i="37" l="1"/>
  <c r="I54" i="37" s="1"/>
  <c r="T54" i="37" s="1"/>
  <c r="X54" i="37" s="1"/>
  <c r="J54" i="37"/>
  <c r="U54" i="37" s="1"/>
  <c r="Y54" i="37" s="1"/>
  <c r="H54" i="37"/>
  <c r="K54" i="37" s="1"/>
  <c r="V54" i="37" s="1"/>
  <c r="Z54" i="37" s="1"/>
  <c r="J56" i="37"/>
  <c r="U56" i="37" s="1"/>
  <c r="Y56" i="37" s="1"/>
  <c r="H56" i="37"/>
  <c r="K56" i="37" s="1"/>
  <c r="V56" i="37" s="1"/>
  <c r="Z56" i="37" s="1"/>
  <c r="F56" i="37"/>
  <c r="I56" i="37" s="1"/>
  <c r="T56" i="37" s="1"/>
  <c r="X56" i="37" s="1"/>
  <c r="F56" i="26"/>
  <c r="I56" i="26" s="1"/>
  <c r="T56" i="26" s="1"/>
  <c r="X56" i="26" s="1"/>
  <c r="H57" i="37"/>
  <c r="K57" i="37" s="1"/>
  <c r="V57" i="37" s="1"/>
  <c r="Z57" i="37" s="1"/>
  <c r="J57" i="37"/>
  <c r="U57" i="37" s="1"/>
  <c r="Y57" i="37" s="1"/>
  <c r="F57" i="37"/>
  <c r="I57" i="37" s="1"/>
  <c r="T57" i="37" s="1"/>
  <c r="X57" i="37" s="1"/>
  <c r="H56" i="26"/>
  <c r="K56" i="26" s="1"/>
  <c r="V56" i="26" s="1"/>
  <c r="Z56" i="26" s="1"/>
  <c r="J57" i="26"/>
  <c r="U57" i="26" s="1"/>
  <c r="Y57" i="26" s="1"/>
  <c r="F57" i="26"/>
  <c r="I57" i="26" s="1"/>
  <c r="T57" i="26" s="1"/>
  <c r="X57" i="26" s="1"/>
  <c r="H57" i="26"/>
  <c r="K57" i="26" s="1"/>
  <c r="V57" i="26" s="1"/>
  <c r="Z57" i="26" s="1"/>
  <c r="F58" i="37" l="1"/>
  <c r="I58" i="37" s="1"/>
  <c r="T58" i="37" s="1"/>
  <c r="X58" i="37" s="1"/>
  <c r="J58" i="37"/>
  <c r="U58" i="37" s="1"/>
  <c r="Y58" i="37" s="1"/>
  <c r="H58" i="37"/>
  <c r="K58" i="37" s="1"/>
  <c r="V58" i="37" s="1"/>
  <c r="Z58" i="37" s="1"/>
  <c r="H59" i="37"/>
  <c r="K59" i="37" s="1"/>
  <c r="V59" i="37" s="1"/>
  <c r="Z59" i="37" s="1"/>
  <c r="F59" i="37"/>
  <c r="I59" i="37" s="1"/>
  <c r="T59" i="37" s="1"/>
  <c r="X59" i="37" s="1"/>
  <c r="J59" i="37"/>
  <c r="U59" i="37" s="1"/>
  <c r="Y59" i="37" s="1"/>
  <c r="J59" i="26"/>
  <c r="U59" i="26" s="1"/>
  <c r="Y59" i="26" s="1"/>
  <c r="F59" i="26"/>
  <c r="I59" i="26" s="1"/>
  <c r="T59" i="26" s="1"/>
  <c r="X59" i="26" s="1"/>
  <c r="H59" i="26"/>
  <c r="K59" i="26" s="1"/>
  <c r="V59" i="26" s="1"/>
  <c r="Z59" i="26" s="1"/>
  <c r="F58" i="26"/>
  <c r="I58" i="26" s="1"/>
  <c r="T58" i="26" s="1"/>
  <c r="X58" i="26" s="1"/>
  <c r="H58" i="26"/>
  <c r="K58" i="26" s="1"/>
  <c r="V58" i="26" s="1"/>
  <c r="Z58" i="26" s="1"/>
  <c r="J58" i="26"/>
  <c r="U58" i="26" s="1"/>
  <c r="Y58" i="26" s="1"/>
  <c r="J60" i="37" l="1"/>
  <c r="U60" i="37" s="1"/>
  <c r="Y60" i="37" s="1"/>
  <c r="F60" i="37"/>
  <c r="I60" i="37" s="1"/>
  <c r="T60" i="37" s="1"/>
  <c r="X60" i="37" s="1"/>
  <c r="H60" i="37"/>
  <c r="K60" i="37" s="1"/>
  <c r="V60" i="37" s="1"/>
  <c r="Z60" i="37" s="1"/>
  <c r="F61" i="37"/>
  <c r="I61" i="37" s="1"/>
  <c r="T61" i="37" s="1"/>
  <c r="X61" i="37" s="1"/>
  <c r="J61" i="37"/>
  <c r="U61" i="37" s="1"/>
  <c r="Y61" i="37" s="1"/>
  <c r="H61" i="37"/>
  <c r="K61" i="37" s="1"/>
  <c r="V61" i="37" s="1"/>
  <c r="Z61" i="37" s="1"/>
  <c r="F60" i="26"/>
  <c r="I60" i="26" s="1"/>
  <c r="T60" i="26" s="1"/>
  <c r="X60" i="26" s="1"/>
  <c r="J60" i="26"/>
  <c r="U60" i="26" s="1"/>
  <c r="Y60" i="26" s="1"/>
  <c r="H60" i="26"/>
  <c r="K60" i="26" s="1"/>
  <c r="V60" i="26" s="1"/>
  <c r="Z60" i="26" s="1"/>
  <c r="H61" i="26"/>
  <c r="K61" i="26" s="1"/>
  <c r="V61" i="26" s="1"/>
  <c r="Z61" i="26" s="1"/>
  <c r="F61" i="26"/>
  <c r="I61" i="26" s="1"/>
  <c r="T61" i="26" s="1"/>
  <c r="X61" i="26" s="1"/>
  <c r="J61" i="26"/>
  <c r="U61" i="26" s="1"/>
  <c r="Y61" i="26" s="1"/>
  <c r="J63" i="37" l="1"/>
  <c r="U63" i="37" s="1"/>
  <c r="Y63" i="37" s="1"/>
  <c r="F63" i="37"/>
  <c r="I63" i="37" s="1"/>
  <c r="T63" i="37" s="1"/>
  <c r="X63" i="37" s="1"/>
  <c r="H63" i="37"/>
  <c r="K63" i="37" s="1"/>
  <c r="V63" i="37" s="1"/>
  <c r="Z63" i="37" s="1"/>
  <c r="F62" i="37"/>
  <c r="I62" i="37" s="1"/>
  <c r="T62" i="37" s="1"/>
  <c r="X62" i="37" s="1"/>
  <c r="J62" i="37"/>
  <c r="U62" i="37" s="1"/>
  <c r="Y62" i="37" s="1"/>
  <c r="H62" i="37"/>
  <c r="K62" i="37" s="1"/>
  <c r="V62" i="37" s="1"/>
  <c r="Z62" i="37" s="1"/>
  <c r="J63" i="26"/>
  <c r="U63" i="26" s="1"/>
  <c r="Y63" i="26" s="1"/>
  <c r="H63" i="26"/>
  <c r="K63" i="26" s="1"/>
  <c r="V63" i="26" s="1"/>
  <c r="Z63" i="26" s="1"/>
  <c r="F63" i="26"/>
  <c r="I63" i="26" s="1"/>
  <c r="T63" i="26" s="1"/>
  <c r="X63" i="26" s="1"/>
  <c r="H62" i="26"/>
  <c r="K62" i="26" s="1"/>
  <c r="V62" i="26" s="1"/>
  <c r="Z62" i="26" s="1"/>
  <c r="J62" i="26"/>
  <c r="U62" i="26" s="1"/>
  <c r="Y62" i="26" s="1"/>
  <c r="F62" i="26"/>
  <c r="I62" i="26" s="1"/>
  <c r="T62" i="26" s="1"/>
  <c r="X62" i="26" s="1"/>
  <c r="F65" i="37" l="1"/>
  <c r="I65" i="37" s="1"/>
  <c r="T65" i="37" s="1"/>
  <c r="X65" i="37" s="1"/>
  <c r="H65" i="37"/>
  <c r="K65" i="37" s="1"/>
  <c r="V65" i="37" s="1"/>
  <c r="Z65" i="37" s="1"/>
  <c r="J65" i="37"/>
  <c r="U65" i="37" s="1"/>
  <c r="Y65" i="37" s="1"/>
  <c r="H64" i="37"/>
  <c r="F64" i="37"/>
  <c r="J64" i="37"/>
  <c r="U64" i="37" s="1"/>
  <c r="Y64" i="37" s="1"/>
  <c r="F64" i="26"/>
  <c r="I64" i="26" s="1"/>
  <c r="T64" i="26" s="1"/>
  <c r="X64" i="26" s="1"/>
  <c r="J64" i="26"/>
  <c r="U64" i="26" s="1"/>
  <c r="Y64" i="26" s="1"/>
  <c r="H64" i="26"/>
  <c r="K64" i="26" s="1"/>
  <c r="V64" i="26" s="1"/>
  <c r="Z64" i="26" s="1"/>
  <c r="H65" i="26"/>
  <c r="K65" i="26" s="1"/>
  <c r="V65" i="26" s="1"/>
  <c r="Z65" i="26" s="1"/>
  <c r="J65" i="26"/>
  <c r="U65" i="26" s="1"/>
  <c r="Y65" i="26" s="1"/>
  <c r="F65" i="26"/>
  <c r="I65" i="26" s="1"/>
  <c r="T65" i="26" s="1"/>
  <c r="X65" i="26" s="1"/>
  <c r="K64" i="37" l="1"/>
  <c r="V64" i="37" s="1"/>
  <c r="Z64" i="37" s="1"/>
  <c r="I64" i="37"/>
  <c r="T64" i="37" s="1"/>
  <c r="X64" i="37" s="1"/>
  <c r="H66" i="37"/>
  <c r="K66" i="37" s="1"/>
  <c r="V66" i="37" s="1"/>
  <c r="Z66" i="37" s="1"/>
  <c r="J66" i="37"/>
  <c r="U66" i="37" s="1"/>
  <c r="Y66" i="37" s="1"/>
  <c r="F66" i="37"/>
  <c r="I66" i="37" s="1"/>
  <c r="T66" i="37" s="1"/>
  <c r="X66" i="37" s="1"/>
  <c r="F66" i="26"/>
  <c r="I66" i="26" s="1"/>
  <c r="T66" i="26" s="1"/>
  <c r="X66" i="26" s="1"/>
  <c r="H66" i="26"/>
  <c r="K66" i="26" s="1"/>
  <c r="V66" i="26" s="1"/>
  <c r="Z66" i="26" s="1"/>
  <c r="J66" i="26"/>
  <c r="U66" i="26" s="1"/>
  <c r="Y66" i="26" s="1"/>
  <c r="J67" i="37" l="1"/>
  <c r="U67" i="37" s="1"/>
  <c r="Y67" i="37" s="1"/>
  <c r="H67" i="37"/>
  <c r="F67" i="37"/>
  <c r="J67" i="26"/>
  <c r="U67" i="26" s="1"/>
  <c r="Y67" i="26" s="1"/>
  <c r="H67" i="26"/>
  <c r="K67" i="26" s="1"/>
  <c r="V67" i="26" s="1"/>
  <c r="Z67" i="26" s="1"/>
  <c r="F67" i="26"/>
  <c r="I67" i="26" s="1"/>
  <c r="T67" i="26" s="1"/>
  <c r="X67" i="26" s="1"/>
  <c r="K67" i="37" l="1"/>
  <c r="V67" i="37" s="1"/>
  <c r="Z67" i="37" s="1"/>
  <c r="I67" i="37"/>
  <c r="T67" i="37" s="1"/>
  <c r="X67" i="37" s="1"/>
  <c r="H68" i="37"/>
  <c r="K68" i="37" s="1"/>
  <c r="V68" i="37" s="1"/>
  <c r="Z68" i="37" s="1"/>
  <c r="F68" i="37"/>
  <c r="I68" i="37" s="1"/>
  <c r="T68" i="37" s="1"/>
  <c r="X68" i="37" s="1"/>
  <c r="J68" i="37"/>
  <c r="U68" i="37" s="1"/>
  <c r="Y68" i="37" s="1"/>
  <c r="J68" i="26"/>
  <c r="U68" i="26" s="1"/>
  <c r="Y68" i="26" s="1"/>
  <c r="H68" i="26"/>
  <c r="K68" i="26" s="1"/>
  <c r="V68" i="26" s="1"/>
  <c r="Z68" i="26" s="1"/>
  <c r="F68" i="26"/>
  <c r="I68" i="26" s="1"/>
  <c r="T68" i="26" s="1"/>
  <c r="X68" i="26" s="1"/>
  <c r="F69" i="37" l="1"/>
  <c r="H69" i="37"/>
  <c r="J69" i="37"/>
  <c r="U69" i="37" s="1"/>
  <c r="Y69" i="37" s="1"/>
  <c r="H69" i="26"/>
  <c r="K69" i="26" s="1"/>
  <c r="V69" i="26" s="1"/>
  <c r="Z69" i="26" s="1"/>
  <c r="J69" i="26"/>
  <c r="U69" i="26" s="1"/>
  <c r="Y69" i="26" s="1"/>
  <c r="F69" i="26"/>
  <c r="I69" i="26" s="1"/>
  <c r="T69" i="26" s="1"/>
  <c r="X69" i="26" s="1"/>
  <c r="K69" i="37" l="1"/>
  <c r="V69" i="37" s="1"/>
  <c r="Z69" i="37" s="1"/>
  <c r="I69" i="37"/>
  <c r="T69" i="37" s="1"/>
  <c r="X69" i="37" s="1"/>
  <c r="H70" i="37"/>
  <c r="K70" i="37" s="1"/>
  <c r="V70" i="37" s="1"/>
  <c r="Z70" i="37" s="1"/>
  <c r="J70" i="37"/>
  <c r="U70" i="37" s="1"/>
  <c r="Y70" i="37" s="1"/>
  <c r="F70" i="37"/>
  <c r="I70" i="37" s="1"/>
  <c r="T70" i="37" s="1"/>
  <c r="X70" i="37" s="1"/>
  <c r="H70" i="26"/>
  <c r="K70" i="26" s="1"/>
  <c r="V70" i="26" s="1"/>
  <c r="Z70" i="26" s="1"/>
  <c r="J70" i="26"/>
  <c r="U70" i="26" s="1"/>
  <c r="Y70" i="26" s="1"/>
  <c r="F70" i="26"/>
  <c r="I70" i="26" s="1"/>
  <c r="T70" i="26" s="1"/>
  <c r="X70" i="26" s="1"/>
  <c r="H71" i="37" l="1"/>
  <c r="F71" i="37"/>
  <c r="J71" i="37"/>
  <c r="U71" i="37" s="1"/>
  <c r="Y71" i="37" s="1"/>
  <c r="J71" i="26"/>
  <c r="U71" i="26" s="1"/>
  <c r="Y71" i="26" s="1"/>
  <c r="F71" i="26"/>
  <c r="I71" i="26" s="1"/>
  <c r="T71" i="26" s="1"/>
  <c r="X71" i="26" s="1"/>
  <c r="H71" i="26"/>
  <c r="K71" i="26" s="1"/>
  <c r="V71" i="26" s="1"/>
  <c r="Z71" i="26" s="1"/>
  <c r="I71" i="37" l="1"/>
  <c r="T71" i="37" s="1"/>
  <c r="X71" i="37" s="1"/>
  <c r="K71" i="37"/>
  <c r="V71" i="37" s="1"/>
  <c r="Z71" i="37" s="1"/>
  <c r="F72" i="37"/>
  <c r="I72" i="37" s="1"/>
  <c r="T72" i="37" s="1"/>
  <c r="X72" i="37" s="1"/>
  <c r="J72" i="37"/>
  <c r="U72" i="37" s="1"/>
  <c r="Y72" i="37" s="1"/>
  <c r="H72" i="37"/>
  <c r="K72" i="37" s="1"/>
  <c r="V72" i="37" s="1"/>
  <c r="Z72" i="37" s="1"/>
  <c r="H72" i="26"/>
  <c r="K72" i="26" s="1"/>
  <c r="V72" i="26" s="1"/>
  <c r="Z72" i="26" s="1"/>
  <c r="F72" i="26"/>
  <c r="I72" i="26" s="1"/>
  <c r="T72" i="26" s="1"/>
  <c r="X72" i="26" s="1"/>
  <c r="J72" i="26"/>
  <c r="U72" i="26" s="1"/>
  <c r="Y72" i="26" s="1"/>
  <c r="J73" i="37" l="1"/>
  <c r="H73" i="37"/>
  <c r="H8" i="37" s="1"/>
  <c r="F73" i="37"/>
  <c r="F8" i="37" s="1"/>
  <c r="G74" i="37"/>
  <c r="J73" i="26"/>
  <c r="H73" i="26"/>
  <c r="H8" i="26" s="1"/>
  <c r="K10" i="24" s="1"/>
  <c r="F73" i="26"/>
  <c r="F8" i="26" s="1"/>
  <c r="I10" i="24" s="1"/>
  <c r="G74" i="26"/>
  <c r="G9" i="26" s="1"/>
  <c r="I73" i="37" l="1"/>
  <c r="F74" i="37"/>
  <c r="K73" i="37"/>
  <c r="H74" i="37"/>
  <c r="U73" i="37"/>
  <c r="J74" i="37"/>
  <c r="I73" i="26"/>
  <c r="F74" i="26"/>
  <c r="F9" i="26" s="1"/>
  <c r="K73" i="26"/>
  <c r="H74" i="26"/>
  <c r="H9" i="26" s="1"/>
  <c r="U73" i="26"/>
  <c r="J74" i="26"/>
  <c r="V73" i="37" l="1"/>
  <c r="K74" i="37"/>
  <c r="Y73" i="37"/>
  <c r="Y74" i="37" s="1"/>
  <c r="E4" i="37" s="1"/>
  <c r="U74" i="37"/>
  <c r="T73" i="37"/>
  <c r="I74" i="37"/>
  <c r="Y73" i="26"/>
  <c r="Y74" i="26" s="1"/>
  <c r="E4" i="26" s="1"/>
  <c r="U74" i="26"/>
  <c r="T73" i="26"/>
  <c r="I74" i="26"/>
  <c r="V73" i="26"/>
  <c r="K74" i="26"/>
  <c r="P10" i="24" l="1"/>
  <c r="E5" i="42"/>
  <c r="E5" i="41"/>
  <c r="P11" i="24"/>
  <c r="S11" i="24" s="1"/>
  <c r="U11" i="24" s="1"/>
  <c r="E5" i="37"/>
  <c r="X73" i="37"/>
  <c r="X74" i="37" s="1"/>
  <c r="D4" i="37" s="1"/>
  <c r="T74" i="37"/>
  <c r="Z73" i="37"/>
  <c r="Z74" i="37" s="1"/>
  <c r="F4" i="37" s="1"/>
  <c r="V74" i="37"/>
  <c r="Z73" i="26"/>
  <c r="Z74" i="26" s="1"/>
  <c r="F4" i="26" s="1"/>
  <c r="V74" i="26"/>
  <c r="X73" i="26"/>
  <c r="X74" i="26" s="1"/>
  <c r="D4" i="26" s="1"/>
  <c r="T74" i="26"/>
  <c r="J67" i="34"/>
  <c r="U67" i="34" s="1"/>
  <c r="Y67" i="34" s="1"/>
  <c r="H40" i="34"/>
  <c r="K40" i="34" s="1"/>
  <c r="V40" i="34" s="1"/>
  <c r="Z40" i="34" s="1"/>
  <c r="H67" i="34"/>
  <c r="K67" i="34" s="1"/>
  <c r="V67" i="34" s="1"/>
  <c r="Z67" i="34" s="1"/>
  <c r="F67" i="34"/>
  <c r="I67" i="34" s="1"/>
  <c r="T67" i="34" s="1"/>
  <c r="X67" i="34" s="1"/>
  <c r="H45" i="34"/>
  <c r="K45" i="34" s="1"/>
  <c r="V45" i="34" s="1"/>
  <c r="Z45" i="34" s="1"/>
  <c r="J25" i="34"/>
  <c r="H25" i="34"/>
  <c r="F55" i="34"/>
  <c r="I55" i="34" s="1"/>
  <c r="T55" i="34" s="1"/>
  <c r="X55" i="34" s="1"/>
  <c r="H65" i="34"/>
  <c r="K65" i="34" s="1"/>
  <c r="V65" i="34" s="1"/>
  <c r="Z65" i="34" s="1"/>
  <c r="J35" i="34"/>
  <c r="U35" i="34" s="1"/>
  <c r="Y35" i="34" s="1"/>
  <c r="Q10" i="24" l="1"/>
  <c r="F5" i="42"/>
  <c r="F5" i="41"/>
  <c r="O10" i="24"/>
  <c r="R10" i="24" s="1"/>
  <c r="D5" i="42"/>
  <c r="D5" i="41"/>
  <c r="S20" i="24"/>
  <c r="U20" i="24" s="1"/>
  <c r="S19" i="24"/>
  <c r="U19" i="24" s="1"/>
  <c r="S17" i="24"/>
  <c r="U17" i="24" s="1"/>
  <c r="S15" i="24"/>
  <c r="U15" i="24" s="1"/>
  <c r="S13" i="24"/>
  <c r="U13" i="24" s="1"/>
  <c r="S18" i="24"/>
  <c r="U18" i="24" s="1"/>
  <c r="O11" i="24"/>
  <c r="D5" i="37"/>
  <c r="Q11" i="24"/>
  <c r="F5" i="37"/>
  <c r="J55" i="34"/>
  <c r="U55" i="34" s="1"/>
  <c r="Y55" i="34" s="1"/>
  <c r="H55" i="34"/>
  <c r="K55" i="34" s="1"/>
  <c r="V55" i="34" s="1"/>
  <c r="Z55" i="34" s="1"/>
  <c r="F40" i="34"/>
  <c r="I40" i="34" s="1"/>
  <c r="T40" i="34" s="1"/>
  <c r="X40" i="34" s="1"/>
  <c r="J40" i="34"/>
  <c r="U40" i="34" s="1"/>
  <c r="Y40" i="34" s="1"/>
  <c r="U25" i="34"/>
  <c r="F45" i="34"/>
  <c r="I45" i="34" s="1"/>
  <c r="T45" i="34" s="1"/>
  <c r="X45" i="34" s="1"/>
  <c r="F35" i="34"/>
  <c r="I35" i="34" s="1"/>
  <c r="T35" i="34" s="1"/>
  <c r="X35" i="34" s="1"/>
  <c r="J65" i="34"/>
  <c r="U65" i="34" s="1"/>
  <c r="Y65" i="34" s="1"/>
  <c r="K25" i="34"/>
  <c r="J45" i="34"/>
  <c r="U45" i="34" s="1"/>
  <c r="Y45" i="34" s="1"/>
  <c r="F65" i="34"/>
  <c r="I65" i="34" s="1"/>
  <c r="T65" i="34" s="1"/>
  <c r="X65" i="34" s="1"/>
  <c r="H35" i="34"/>
  <c r="K35" i="34" s="1"/>
  <c r="V35" i="34" s="1"/>
  <c r="Z35" i="34" s="1"/>
  <c r="F25" i="34"/>
  <c r="R11" i="24" l="1"/>
  <c r="I25" i="34"/>
  <c r="V25" i="34"/>
  <c r="Y25" i="34"/>
  <c r="Z25" i="34" l="1"/>
  <c r="T25" i="34"/>
  <c r="X25" i="34" l="1"/>
  <c r="J40" i="33"/>
  <c r="U40" i="33" s="1"/>
  <c r="Y40" i="33" s="1"/>
  <c r="F67" i="33"/>
  <c r="I67" i="33" s="1"/>
  <c r="T67" i="33" s="1"/>
  <c r="X67" i="33" s="1"/>
  <c r="H67" i="33"/>
  <c r="K67" i="33" s="1"/>
  <c r="V67" i="33" s="1"/>
  <c r="Z67" i="33" s="1"/>
  <c r="F40" i="33" l="1"/>
  <c r="I40" i="33" s="1"/>
  <c r="T40" i="33" s="1"/>
  <c r="X40" i="33" s="1"/>
  <c r="J67" i="33"/>
  <c r="U67" i="33" s="1"/>
  <c r="Y67" i="33" s="1"/>
  <c r="H40" i="33"/>
  <c r="K40" i="33" s="1"/>
  <c r="V40" i="33" s="1"/>
  <c r="Z40" i="33" s="1"/>
  <c r="J55" i="33"/>
  <c r="U55" i="33" s="1"/>
  <c r="Y55" i="33" s="1"/>
  <c r="F65" i="33"/>
  <c r="I65" i="33" s="1"/>
  <c r="T65" i="33" s="1"/>
  <c r="X65" i="33" s="1"/>
  <c r="H45" i="33"/>
  <c r="K45" i="33" s="1"/>
  <c r="V45" i="33" s="1"/>
  <c r="Z45" i="33" s="1"/>
  <c r="H25" i="33"/>
  <c r="H35" i="33" l="1"/>
  <c r="K35" i="33" s="1"/>
  <c r="V35" i="33" s="1"/>
  <c r="Z35" i="33" s="1"/>
  <c r="G8" i="33"/>
  <c r="J22" i="24" s="1"/>
  <c r="H65" i="33"/>
  <c r="K65" i="33" s="1"/>
  <c r="V65" i="33" s="1"/>
  <c r="Z65" i="33" s="1"/>
  <c r="J65" i="33"/>
  <c r="U65" i="33" s="1"/>
  <c r="Y65" i="33" s="1"/>
  <c r="F55" i="33"/>
  <c r="I55" i="33" s="1"/>
  <c r="T55" i="33" s="1"/>
  <c r="X55" i="33" s="1"/>
  <c r="H55" i="33"/>
  <c r="K55" i="33" s="1"/>
  <c r="V55" i="33" s="1"/>
  <c r="Z55" i="33" s="1"/>
  <c r="F25" i="33"/>
  <c r="J35" i="33"/>
  <c r="U35" i="33" s="1"/>
  <c r="Y35" i="33" s="1"/>
  <c r="G74" i="33"/>
  <c r="J25" i="33"/>
  <c r="F45" i="33"/>
  <c r="I45" i="33" s="1"/>
  <c r="T45" i="33" s="1"/>
  <c r="X45" i="33" s="1"/>
  <c r="F35" i="33"/>
  <c r="I35" i="33" s="1"/>
  <c r="T35" i="33" s="1"/>
  <c r="X35" i="33" s="1"/>
  <c r="K25" i="33"/>
  <c r="J45" i="33"/>
  <c r="U45" i="33" s="1"/>
  <c r="Y45" i="33" s="1"/>
  <c r="F8" i="33" l="1"/>
  <c r="I22" i="24" s="1"/>
  <c r="H8" i="33"/>
  <c r="K22" i="24" s="1"/>
  <c r="H74" i="33"/>
  <c r="F74" i="33"/>
  <c r="I25" i="33"/>
  <c r="T25" i="33" s="1"/>
  <c r="J74" i="33"/>
  <c r="U25" i="33"/>
  <c r="V25" i="33"/>
  <c r="K74" i="33"/>
  <c r="I74" i="33" l="1"/>
  <c r="U74" i="33"/>
  <c r="Y25" i="33"/>
  <c r="Y74" i="33" s="1"/>
  <c r="T74" i="33"/>
  <c r="X25" i="33"/>
  <c r="X74" i="33" s="1"/>
  <c r="V74" i="33"/>
  <c r="Z25" i="33"/>
  <c r="Z74" i="33" s="1"/>
  <c r="E4" i="33" l="1"/>
  <c r="P22" i="24" s="1"/>
  <c r="S22" i="24" s="1"/>
  <c r="U22" i="24" s="1"/>
  <c r="D4" i="33"/>
  <c r="O22" i="24" s="1"/>
  <c r="F4" i="33"/>
  <c r="Q22" i="24" s="1"/>
  <c r="R22" i="24" l="1"/>
  <c r="T5" i="34"/>
  <c r="U5" i="34" s="1"/>
  <c r="T6" i="34"/>
  <c r="T8" i="34"/>
  <c r="U8" i="34" s="1"/>
  <c r="T7" i="34"/>
  <c r="U7" i="34" s="1"/>
  <c r="T4" i="34"/>
  <c r="U4" i="34" s="1"/>
  <c r="U6" i="34" l="1"/>
  <c r="G44" i="34"/>
  <c r="G54" i="34"/>
  <c r="G34" i="34"/>
  <c r="G64" i="34"/>
  <c r="G24" i="34"/>
  <c r="G39" i="34"/>
  <c r="U9" i="34"/>
  <c r="AK22" i="34"/>
  <c r="H34" i="34" l="1"/>
  <c r="K34" i="34" s="1"/>
  <c r="V34" i="34" s="1"/>
  <c r="Z34" i="34" s="1"/>
  <c r="F34" i="34"/>
  <c r="I34" i="34" s="1"/>
  <c r="T34" i="34" s="1"/>
  <c r="X34" i="34" s="1"/>
  <c r="J34" i="34"/>
  <c r="U34" i="34" s="1"/>
  <c r="Y34" i="34" s="1"/>
  <c r="J39" i="34"/>
  <c r="U39" i="34" s="1"/>
  <c r="Y39" i="34" s="1"/>
  <c r="H39" i="34"/>
  <c r="K39" i="34" s="1"/>
  <c r="V39" i="34" s="1"/>
  <c r="Z39" i="34" s="1"/>
  <c r="F39" i="34"/>
  <c r="I39" i="34" s="1"/>
  <c r="T39" i="34" s="1"/>
  <c r="X39" i="34" s="1"/>
  <c r="F54" i="34"/>
  <c r="I54" i="34" s="1"/>
  <c r="T54" i="34" s="1"/>
  <c r="X54" i="34" s="1"/>
  <c r="H54" i="34"/>
  <c r="K54" i="34" s="1"/>
  <c r="V54" i="34" s="1"/>
  <c r="Z54" i="34" s="1"/>
  <c r="J54" i="34"/>
  <c r="U54" i="34" s="1"/>
  <c r="Y54" i="34" s="1"/>
  <c r="G8" i="34"/>
  <c r="J16" i="24" s="1"/>
  <c r="H24" i="34"/>
  <c r="J24" i="34"/>
  <c r="F24" i="34"/>
  <c r="G74" i="34"/>
  <c r="F44" i="34"/>
  <c r="I44" i="34" s="1"/>
  <c r="T44" i="34" s="1"/>
  <c r="X44" i="34" s="1"/>
  <c r="J44" i="34"/>
  <c r="U44" i="34" s="1"/>
  <c r="Y44" i="34" s="1"/>
  <c r="H44" i="34"/>
  <c r="K44" i="34" s="1"/>
  <c r="V44" i="34" s="1"/>
  <c r="Z44" i="34" s="1"/>
  <c r="H64" i="34"/>
  <c r="K64" i="34" s="1"/>
  <c r="V64" i="34" s="1"/>
  <c r="Z64" i="34" s="1"/>
  <c r="J64" i="34"/>
  <c r="U64" i="34" s="1"/>
  <c r="Y64" i="34" s="1"/>
  <c r="F64" i="34"/>
  <c r="I64" i="34" s="1"/>
  <c r="T64" i="34" s="1"/>
  <c r="X64" i="34" s="1"/>
  <c r="U24" i="34" l="1"/>
  <c r="J74" i="34"/>
  <c r="K24" i="34"/>
  <c r="H8" i="34"/>
  <c r="K16" i="24" s="1"/>
  <c r="H74" i="34"/>
  <c r="I24" i="34"/>
  <c r="F8" i="34"/>
  <c r="I16" i="24" s="1"/>
  <c r="F74" i="34"/>
  <c r="V24" i="34" l="1"/>
  <c r="K74" i="34"/>
  <c r="T24" i="34"/>
  <c r="I74" i="34"/>
  <c r="Y24" i="34"/>
  <c r="Y74" i="34" s="1"/>
  <c r="E4" i="34" s="1"/>
  <c r="P16" i="24" s="1"/>
  <c r="S16" i="24" s="1"/>
  <c r="U16" i="24" s="1"/>
  <c r="U74" i="34"/>
  <c r="X24" i="34" l="1"/>
  <c r="X74" i="34" s="1"/>
  <c r="D4" i="34" s="1"/>
  <c r="O16" i="24" s="1"/>
  <c r="T74" i="34"/>
  <c r="Z24" i="34"/>
  <c r="Z74" i="34" s="1"/>
  <c r="F4" i="34" s="1"/>
  <c r="Q16" i="24" s="1"/>
  <c r="V74" i="34"/>
  <c r="R16" i="24" l="1"/>
  <c r="C74" i="44"/>
  <c r="I43" i="44"/>
  <c r="T43" i="44" s="1"/>
  <c r="T74" i="44" s="1"/>
  <c r="C7" i="44"/>
  <c r="F17" i="24" s="1"/>
  <c r="I74" i="44" l="1"/>
  <c r="X43" i="44"/>
  <c r="X74" i="44" s="1"/>
  <c r="D4" i="44" s="1"/>
  <c r="O17" i="24" s="1"/>
  <c r="R17" i="24" s="1"/>
  <c r="P9" i="51"/>
  <c r="O3" i="51" s="1"/>
  <c r="O9" i="51"/>
  <c r="T7" i="51"/>
  <c r="P7" i="51" s="1"/>
  <c r="O7" i="51" s="1"/>
  <c r="U7" i="51"/>
  <c r="Q7" i="51" s="1"/>
  <c r="T5" i="51"/>
  <c r="T8" i="51"/>
  <c r="T6" i="51"/>
  <c r="P6" i="51" s="1"/>
  <c r="O6" i="51" s="1"/>
  <c r="T4" i="51"/>
  <c r="P4" i="51" s="1"/>
  <c r="O4" i="51" s="1"/>
  <c r="U6" i="51" l="1"/>
  <c r="Q6" i="51" s="1"/>
  <c r="P5" i="51"/>
  <c r="O5" i="51" s="1"/>
  <c r="U5" i="51"/>
  <c r="Q5" i="51" s="1"/>
  <c r="U4" i="51"/>
  <c r="P8" i="51"/>
  <c r="O8" i="51" s="1"/>
  <c r="U8" i="51"/>
  <c r="Q8" i="51" s="1"/>
  <c r="U9" i="51" l="1"/>
  <c r="Q4" i="51"/>
  <c r="Q9" i="51" s="1"/>
  <c r="G46" i="51" l="1"/>
  <c r="G59" i="51"/>
  <c r="G53" i="51"/>
  <c r="G48" i="51"/>
  <c r="G61" i="51"/>
  <c r="G37" i="51"/>
  <c r="G56" i="51"/>
  <c r="G44" i="51"/>
  <c r="G39" i="51"/>
  <c r="G17" i="51"/>
  <c r="G64" i="51"/>
  <c r="G22" i="51"/>
  <c r="G58" i="51"/>
  <c r="G52" i="51"/>
  <c r="G51" i="51"/>
  <c r="G27" i="51"/>
  <c r="G66" i="51"/>
  <c r="G29" i="51"/>
  <c r="G38" i="51"/>
  <c r="G19" i="51"/>
  <c r="G68" i="51"/>
  <c r="G70" i="51"/>
  <c r="G54" i="51"/>
  <c r="G28" i="51"/>
  <c r="G55" i="51"/>
  <c r="G45" i="51"/>
  <c r="G24" i="51"/>
  <c r="G32" i="51"/>
  <c r="G69" i="51"/>
  <c r="G73" i="51"/>
  <c r="G62" i="51"/>
  <c r="G20" i="51"/>
  <c r="G71" i="51"/>
  <c r="G23" i="51"/>
  <c r="G57" i="51"/>
  <c r="G49" i="51"/>
  <c r="G47" i="51"/>
  <c r="G50" i="51"/>
  <c r="G26" i="51"/>
  <c r="G35" i="51"/>
  <c r="G25" i="51"/>
  <c r="G60" i="51"/>
  <c r="G31" i="51"/>
  <c r="G65" i="51"/>
  <c r="G21" i="51"/>
  <c r="G30" i="51"/>
  <c r="G63" i="51"/>
  <c r="G16" i="51"/>
  <c r="G67" i="51"/>
  <c r="G36" i="51"/>
  <c r="G43" i="51"/>
  <c r="G72" i="51"/>
  <c r="G18" i="51"/>
  <c r="G15" i="51"/>
  <c r="G33" i="51"/>
  <c r="G42" i="51"/>
  <c r="G41" i="51"/>
  <c r="G40" i="51"/>
  <c r="G34" i="51"/>
  <c r="F42" i="51" l="1"/>
  <c r="I42" i="51" s="1"/>
  <c r="T42" i="51" s="1"/>
  <c r="X42" i="51" s="1"/>
  <c r="J42" i="51"/>
  <c r="U42" i="51" s="1"/>
  <c r="Y42" i="51" s="1"/>
  <c r="H42" i="51"/>
  <c r="K42" i="51" s="1"/>
  <c r="V42" i="51" s="1"/>
  <c r="Z42" i="51" s="1"/>
  <c r="J16" i="51"/>
  <c r="U16" i="51" s="1"/>
  <c r="Y16" i="51" s="1"/>
  <c r="F16" i="51"/>
  <c r="I16" i="51" s="1"/>
  <c r="T16" i="51" s="1"/>
  <c r="X16" i="51" s="1"/>
  <c r="H16" i="51"/>
  <c r="K16" i="51" s="1"/>
  <c r="V16" i="51" s="1"/>
  <c r="Z16" i="51" s="1"/>
  <c r="F35" i="51"/>
  <c r="I35" i="51" s="1"/>
  <c r="T35" i="51" s="1"/>
  <c r="X35" i="51" s="1"/>
  <c r="H35" i="51"/>
  <c r="K35" i="51" s="1"/>
  <c r="V35" i="51" s="1"/>
  <c r="Z35" i="51" s="1"/>
  <c r="J35" i="51"/>
  <c r="U35" i="51" s="1"/>
  <c r="Y35" i="51" s="1"/>
  <c r="J49" i="51"/>
  <c r="U49" i="51" s="1"/>
  <c r="Y49" i="51" s="1"/>
  <c r="F49" i="51"/>
  <c r="I49" i="51" s="1"/>
  <c r="T49" i="51" s="1"/>
  <c r="X49" i="51" s="1"/>
  <c r="H49" i="51"/>
  <c r="K49" i="51" s="1"/>
  <c r="V49" i="51" s="1"/>
  <c r="Z49" i="51" s="1"/>
  <c r="J20" i="51"/>
  <c r="U20" i="51" s="1"/>
  <c r="Y20" i="51" s="1"/>
  <c r="F20" i="51"/>
  <c r="I20" i="51" s="1"/>
  <c r="T20" i="51" s="1"/>
  <c r="X20" i="51" s="1"/>
  <c r="H20" i="51"/>
  <c r="K20" i="51" s="1"/>
  <c r="V20" i="51" s="1"/>
  <c r="Z20" i="51" s="1"/>
  <c r="J32" i="51"/>
  <c r="U32" i="51" s="1"/>
  <c r="Y32" i="51" s="1"/>
  <c r="H32" i="51"/>
  <c r="K32" i="51" s="1"/>
  <c r="V32" i="51" s="1"/>
  <c r="Z32" i="51" s="1"/>
  <c r="F32" i="51"/>
  <c r="I32" i="51" s="1"/>
  <c r="T32" i="51" s="1"/>
  <c r="X32" i="51" s="1"/>
  <c r="H28" i="51"/>
  <c r="K28" i="51" s="1"/>
  <c r="V28" i="51" s="1"/>
  <c r="Z28" i="51" s="1"/>
  <c r="F28" i="51"/>
  <c r="I28" i="51" s="1"/>
  <c r="T28" i="51" s="1"/>
  <c r="X28" i="51" s="1"/>
  <c r="J28" i="51"/>
  <c r="U28" i="51" s="1"/>
  <c r="Y28" i="51" s="1"/>
  <c r="H19" i="51"/>
  <c r="K19" i="51" s="1"/>
  <c r="V19" i="51" s="1"/>
  <c r="Z19" i="51" s="1"/>
  <c r="J19" i="51"/>
  <c r="U19" i="51" s="1"/>
  <c r="Y19" i="51" s="1"/>
  <c r="F19" i="51"/>
  <c r="I19" i="51" s="1"/>
  <c r="T19" i="51" s="1"/>
  <c r="X19" i="51" s="1"/>
  <c r="J27" i="51"/>
  <c r="U27" i="51" s="1"/>
  <c r="Y27" i="51" s="1"/>
  <c r="F27" i="51"/>
  <c r="I27" i="51" s="1"/>
  <c r="T27" i="51" s="1"/>
  <c r="X27" i="51" s="1"/>
  <c r="H27" i="51"/>
  <c r="K27" i="51" s="1"/>
  <c r="V27" i="51" s="1"/>
  <c r="Z27" i="51" s="1"/>
  <c r="F22" i="51"/>
  <c r="I22" i="51" s="1"/>
  <c r="T22" i="51" s="1"/>
  <c r="X22" i="51" s="1"/>
  <c r="H22" i="51"/>
  <c r="K22" i="51" s="1"/>
  <c r="V22" i="51" s="1"/>
  <c r="Z22" i="51" s="1"/>
  <c r="J22" i="51"/>
  <c r="U22" i="51" s="1"/>
  <c r="Y22" i="51" s="1"/>
  <c r="J44" i="51"/>
  <c r="U44" i="51" s="1"/>
  <c r="Y44" i="51" s="1"/>
  <c r="F44" i="51"/>
  <c r="I44" i="51" s="1"/>
  <c r="T44" i="51" s="1"/>
  <c r="X44" i="51" s="1"/>
  <c r="H44" i="51"/>
  <c r="K44" i="51" s="1"/>
  <c r="V44" i="51" s="1"/>
  <c r="Z44" i="51" s="1"/>
  <c r="J48" i="51"/>
  <c r="U48" i="51" s="1"/>
  <c r="Y48" i="51" s="1"/>
  <c r="F48" i="51"/>
  <c r="I48" i="51" s="1"/>
  <c r="T48" i="51" s="1"/>
  <c r="X48" i="51" s="1"/>
  <c r="H48" i="51"/>
  <c r="K48" i="51" s="1"/>
  <c r="V48" i="51" s="1"/>
  <c r="Z48" i="51" s="1"/>
  <c r="F34" i="51"/>
  <c r="I34" i="51" s="1"/>
  <c r="T34" i="51" s="1"/>
  <c r="X34" i="51" s="1"/>
  <c r="J34" i="51"/>
  <c r="U34" i="51" s="1"/>
  <c r="Y34" i="51" s="1"/>
  <c r="H34" i="51"/>
  <c r="K34" i="51" s="1"/>
  <c r="V34" i="51" s="1"/>
  <c r="Z34" i="51" s="1"/>
  <c r="F33" i="51"/>
  <c r="I33" i="51" s="1"/>
  <c r="T33" i="51" s="1"/>
  <c r="X33" i="51" s="1"/>
  <c r="J33" i="51"/>
  <c r="U33" i="51" s="1"/>
  <c r="Y33" i="51" s="1"/>
  <c r="H33" i="51"/>
  <c r="K33" i="51" s="1"/>
  <c r="V33" i="51" s="1"/>
  <c r="Z33" i="51" s="1"/>
  <c r="J43" i="51"/>
  <c r="U43" i="51" s="1"/>
  <c r="Y43" i="51" s="1"/>
  <c r="H43" i="51"/>
  <c r="K43" i="51" s="1"/>
  <c r="V43" i="51" s="1"/>
  <c r="Z43" i="51" s="1"/>
  <c r="F43" i="51"/>
  <c r="I43" i="51" s="1"/>
  <c r="T43" i="51" s="1"/>
  <c r="X43" i="51" s="1"/>
  <c r="H63" i="51"/>
  <c r="K63" i="51" s="1"/>
  <c r="V63" i="51" s="1"/>
  <c r="Z63" i="51" s="1"/>
  <c r="J63" i="51"/>
  <c r="U63" i="51" s="1"/>
  <c r="Y63" i="51" s="1"/>
  <c r="F63" i="51"/>
  <c r="I63" i="51" s="1"/>
  <c r="T63" i="51" s="1"/>
  <c r="X63" i="51" s="1"/>
  <c r="H31" i="51"/>
  <c r="K31" i="51" s="1"/>
  <c r="V31" i="51" s="1"/>
  <c r="Z31" i="51" s="1"/>
  <c r="F31" i="51"/>
  <c r="I31" i="51" s="1"/>
  <c r="T31" i="51" s="1"/>
  <c r="X31" i="51" s="1"/>
  <c r="J31" i="51"/>
  <c r="U31" i="51" s="1"/>
  <c r="Y31" i="51" s="1"/>
  <c r="J26" i="51"/>
  <c r="U26" i="51" s="1"/>
  <c r="Y26" i="51" s="1"/>
  <c r="F26" i="51"/>
  <c r="I26" i="51" s="1"/>
  <c r="T26" i="51" s="1"/>
  <c r="X26" i="51" s="1"/>
  <c r="H26" i="51"/>
  <c r="K26" i="51" s="1"/>
  <c r="V26" i="51" s="1"/>
  <c r="Z26" i="51" s="1"/>
  <c r="J57" i="51"/>
  <c r="U57" i="51" s="1"/>
  <c r="Y57" i="51" s="1"/>
  <c r="F57" i="51"/>
  <c r="I57" i="51" s="1"/>
  <c r="T57" i="51" s="1"/>
  <c r="X57" i="51" s="1"/>
  <c r="H57" i="51"/>
  <c r="K57" i="51" s="1"/>
  <c r="V57" i="51" s="1"/>
  <c r="Z57" i="51" s="1"/>
  <c r="F62" i="51"/>
  <c r="I62" i="51" s="1"/>
  <c r="T62" i="51" s="1"/>
  <c r="X62" i="51" s="1"/>
  <c r="J62" i="51"/>
  <c r="U62" i="51" s="1"/>
  <c r="Y62" i="51" s="1"/>
  <c r="H62" i="51"/>
  <c r="K62" i="51" s="1"/>
  <c r="V62" i="51" s="1"/>
  <c r="Z62" i="51" s="1"/>
  <c r="F24" i="51"/>
  <c r="I24" i="51" s="1"/>
  <c r="T24" i="51" s="1"/>
  <c r="X24" i="51" s="1"/>
  <c r="H24" i="51"/>
  <c r="K24" i="51" s="1"/>
  <c r="V24" i="51" s="1"/>
  <c r="Z24" i="51" s="1"/>
  <c r="J24" i="51"/>
  <c r="U24" i="51" s="1"/>
  <c r="Y24" i="51" s="1"/>
  <c r="J54" i="51"/>
  <c r="U54" i="51" s="1"/>
  <c r="Y54" i="51" s="1"/>
  <c r="H54" i="51"/>
  <c r="K54" i="51" s="1"/>
  <c r="V54" i="51" s="1"/>
  <c r="Z54" i="51" s="1"/>
  <c r="F54" i="51"/>
  <c r="I54" i="51" s="1"/>
  <c r="T54" i="51" s="1"/>
  <c r="X54" i="51" s="1"/>
  <c r="J38" i="51"/>
  <c r="U38" i="51" s="1"/>
  <c r="Y38" i="51" s="1"/>
  <c r="H38" i="51"/>
  <c r="K38" i="51" s="1"/>
  <c r="V38" i="51" s="1"/>
  <c r="Z38" i="51" s="1"/>
  <c r="F38" i="51"/>
  <c r="I38" i="51" s="1"/>
  <c r="T38" i="51" s="1"/>
  <c r="X38" i="51" s="1"/>
  <c r="J51" i="51"/>
  <c r="U51" i="51" s="1"/>
  <c r="Y51" i="51" s="1"/>
  <c r="H51" i="51"/>
  <c r="K51" i="51" s="1"/>
  <c r="V51" i="51" s="1"/>
  <c r="Z51" i="51" s="1"/>
  <c r="F51" i="51"/>
  <c r="I51" i="51" s="1"/>
  <c r="T51" i="51" s="1"/>
  <c r="X51" i="51" s="1"/>
  <c r="F64" i="51"/>
  <c r="I64" i="51" s="1"/>
  <c r="T64" i="51" s="1"/>
  <c r="X64" i="51" s="1"/>
  <c r="J64" i="51"/>
  <c r="U64" i="51" s="1"/>
  <c r="Y64" i="51" s="1"/>
  <c r="H64" i="51"/>
  <c r="K64" i="51" s="1"/>
  <c r="V64" i="51" s="1"/>
  <c r="Z64" i="51" s="1"/>
  <c r="J56" i="51"/>
  <c r="U56" i="51" s="1"/>
  <c r="Y56" i="51" s="1"/>
  <c r="H56" i="51"/>
  <c r="K56" i="51" s="1"/>
  <c r="V56" i="51" s="1"/>
  <c r="Z56" i="51" s="1"/>
  <c r="F56" i="51"/>
  <c r="I56" i="51" s="1"/>
  <c r="T56" i="51" s="1"/>
  <c r="X56" i="51" s="1"/>
  <c r="F53" i="51"/>
  <c r="I53" i="51" s="1"/>
  <c r="T53" i="51" s="1"/>
  <c r="X53" i="51" s="1"/>
  <c r="H53" i="51"/>
  <c r="K53" i="51" s="1"/>
  <c r="V53" i="51" s="1"/>
  <c r="Z53" i="51" s="1"/>
  <c r="J53" i="51"/>
  <c r="U53" i="51" s="1"/>
  <c r="Y53" i="51" s="1"/>
  <c r="F60" i="51"/>
  <c r="I60" i="51" s="1"/>
  <c r="T60" i="51" s="1"/>
  <c r="X60" i="51" s="1"/>
  <c r="J60" i="51"/>
  <c r="U60" i="51" s="1"/>
  <c r="Y60" i="51" s="1"/>
  <c r="H60" i="51"/>
  <c r="K60" i="51" s="1"/>
  <c r="V60" i="51" s="1"/>
  <c r="Z60" i="51" s="1"/>
  <c r="J70" i="51"/>
  <c r="U70" i="51" s="1"/>
  <c r="Y70" i="51" s="1"/>
  <c r="H70" i="51"/>
  <c r="K70" i="51" s="1"/>
  <c r="V70" i="51" s="1"/>
  <c r="Z70" i="51" s="1"/>
  <c r="F70" i="51"/>
  <c r="I70" i="51" s="1"/>
  <c r="T70" i="51" s="1"/>
  <c r="X70" i="51" s="1"/>
  <c r="J52" i="51"/>
  <c r="U52" i="51" s="1"/>
  <c r="Y52" i="51" s="1"/>
  <c r="F52" i="51"/>
  <c r="I52" i="51" s="1"/>
  <c r="T52" i="51" s="1"/>
  <c r="X52" i="51" s="1"/>
  <c r="H52" i="51"/>
  <c r="K52" i="51" s="1"/>
  <c r="V52" i="51" s="1"/>
  <c r="Z52" i="51" s="1"/>
  <c r="H17" i="51"/>
  <c r="K17" i="51" s="1"/>
  <c r="V17" i="51" s="1"/>
  <c r="Z17" i="51" s="1"/>
  <c r="F17" i="51"/>
  <c r="I17" i="51" s="1"/>
  <c r="T17" i="51" s="1"/>
  <c r="X17" i="51" s="1"/>
  <c r="J17" i="51"/>
  <c r="U17" i="51" s="1"/>
  <c r="Y17" i="51" s="1"/>
  <c r="J37" i="51"/>
  <c r="U37" i="51" s="1"/>
  <c r="Y37" i="51" s="1"/>
  <c r="F37" i="51"/>
  <c r="I37" i="51" s="1"/>
  <c r="T37" i="51" s="1"/>
  <c r="X37" i="51" s="1"/>
  <c r="H37" i="51"/>
  <c r="K37" i="51" s="1"/>
  <c r="V37" i="51" s="1"/>
  <c r="Z37" i="51" s="1"/>
  <c r="H59" i="51"/>
  <c r="K59" i="51" s="1"/>
  <c r="V59" i="51" s="1"/>
  <c r="Z59" i="51" s="1"/>
  <c r="J59" i="51"/>
  <c r="U59" i="51" s="1"/>
  <c r="Y59" i="51" s="1"/>
  <c r="F59" i="51"/>
  <c r="I59" i="51" s="1"/>
  <c r="T59" i="51" s="1"/>
  <c r="X59" i="51" s="1"/>
  <c r="F72" i="51"/>
  <c r="I72" i="51" s="1"/>
  <c r="T72" i="51" s="1"/>
  <c r="X72" i="51" s="1"/>
  <c r="J72" i="51"/>
  <c r="U72" i="51" s="1"/>
  <c r="Y72" i="51" s="1"/>
  <c r="H72" i="51"/>
  <c r="K72" i="51" s="1"/>
  <c r="V72" i="51" s="1"/>
  <c r="Z72" i="51" s="1"/>
  <c r="F65" i="51"/>
  <c r="I65" i="51" s="1"/>
  <c r="T65" i="51" s="1"/>
  <c r="X65" i="51" s="1"/>
  <c r="J65" i="51"/>
  <c r="U65" i="51" s="1"/>
  <c r="Y65" i="51" s="1"/>
  <c r="H65" i="51"/>
  <c r="K65" i="51" s="1"/>
  <c r="V65" i="51" s="1"/>
  <c r="Z65" i="51" s="1"/>
  <c r="F40" i="51"/>
  <c r="I40" i="51" s="1"/>
  <c r="T40" i="51" s="1"/>
  <c r="X40" i="51" s="1"/>
  <c r="J40" i="51"/>
  <c r="U40" i="51" s="1"/>
  <c r="Y40" i="51" s="1"/>
  <c r="H40" i="51"/>
  <c r="K40" i="51" s="1"/>
  <c r="V40" i="51" s="1"/>
  <c r="Z40" i="51" s="1"/>
  <c r="G74" i="51"/>
  <c r="H15" i="51"/>
  <c r="G8" i="51"/>
  <c r="F15" i="51"/>
  <c r="J15" i="51"/>
  <c r="J36" i="51"/>
  <c r="U36" i="51" s="1"/>
  <c r="Y36" i="51" s="1"/>
  <c r="H36" i="51"/>
  <c r="K36" i="51" s="1"/>
  <c r="V36" i="51" s="1"/>
  <c r="Z36" i="51" s="1"/>
  <c r="F36" i="51"/>
  <c r="I36" i="51" s="1"/>
  <c r="T36" i="51" s="1"/>
  <c r="X36" i="51" s="1"/>
  <c r="H30" i="51"/>
  <c r="K30" i="51" s="1"/>
  <c r="V30" i="51" s="1"/>
  <c r="Z30" i="51" s="1"/>
  <c r="F30" i="51"/>
  <c r="I30" i="51" s="1"/>
  <c r="T30" i="51" s="1"/>
  <c r="X30" i="51" s="1"/>
  <c r="J30" i="51"/>
  <c r="U30" i="51" s="1"/>
  <c r="Y30" i="51" s="1"/>
  <c r="J50" i="51"/>
  <c r="U50" i="51" s="1"/>
  <c r="Y50" i="51" s="1"/>
  <c r="H50" i="51"/>
  <c r="K50" i="51" s="1"/>
  <c r="V50" i="51" s="1"/>
  <c r="Z50" i="51" s="1"/>
  <c r="F50" i="51"/>
  <c r="I50" i="51" s="1"/>
  <c r="T50" i="51" s="1"/>
  <c r="X50" i="51" s="1"/>
  <c r="H23" i="51"/>
  <c r="K23" i="51" s="1"/>
  <c r="V23" i="51" s="1"/>
  <c r="Z23" i="51" s="1"/>
  <c r="F23" i="51"/>
  <c r="I23" i="51" s="1"/>
  <c r="T23" i="51" s="1"/>
  <c r="X23" i="51" s="1"/>
  <c r="J23" i="51"/>
  <c r="U23" i="51" s="1"/>
  <c r="Y23" i="51" s="1"/>
  <c r="H73" i="51"/>
  <c r="K73" i="51" s="1"/>
  <c r="V73" i="51" s="1"/>
  <c r="Z73" i="51" s="1"/>
  <c r="J73" i="51"/>
  <c r="U73" i="51" s="1"/>
  <c r="Y73" i="51" s="1"/>
  <c r="F73" i="51"/>
  <c r="I73" i="51" s="1"/>
  <c r="T73" i="51" s="1"/>
  <c r="X73" i="51" s="1"/>
  <c r="F45" i="51"/>
  <c r="I45" i="51" s="1"/>
  <c r="T45" i="51" s="1"/>
  <c r="X45" i="51" s="1"/>
  <c r="H45" i="51"/>
  <c r="K45" i="51" s="1"/>
  <c r="V45" i="51" s="1"/>
  <c r="Z45" i="51" s="1"/>
  <c r="J45" i="51"/>
  <c r="U45" i="51" s="1"/>
  <c r="Y45" i="51" s="1"/>
  <c r="F29" i="51"/>
  <c r="I29" i="51" s="1"/>
  <c r="T29" i="51" s="1"/>
  <c r="X29" i="51" s="1"/>
  <c r="H29" i="51"/>
  <c r="K29" i="51" s="1"/>
  <c r="V29" i="51" s="1"/>
  <c r="Z29" i="51" s="1"/>
  <c r="J29" i="51"/>
  <c r="U29" i="51" s="1"/>
  <c r="Y29" i="51" s="1"/>
  <c r="F41" i="51"/>
  <c r="I41" i="51" s="1"/>
  <c r="T41" i="51" s="1"/>
  <c r="X41" i="51" s="1"/>
  <c r="H41" i="51"/>
  <c r="K41" i="51" s="1"/>
  <c r="V41" i="51" s="1"/>
  <c r="Z41" i="51" s="1"/>
  <c r="J41" i="51"/>
  <c r="U41" i="51" s="1"/>
  <c r="Y41" i="51" s="1"/>
  <c r="H18" i="51"/>
  <c r="K18" i="51" s="1"/>
  <c r="V18" i="51" s="1"/>
  <c r="Z18" i="51" s="1"/>
  <c r="J18" i="51"/>
  <c r="U18" i="51" s="1"/>
  <c r="Y18" i="51" s="1"/>
  <c r="F18" i="51"/>
  <c r="I18" i="51" s="1"/>
  <c r="T18" i="51" s="1"/>
  <c r="X18" i="51" s="1"/>
  <c r="J67" i="51"/>
  <c r="U67" i="51" s="1"/>
  <c r="Y67" i="51" s="1"/>
  <c r="H67" i="51"/>
  <c r="K67" i="51" s="1"/>
  <c r="V67" i="51" s="1"/>
  <c r="Z67" i="51" s="1"/>
  <c r="F67" i="51"/>
  <c r="I67" i="51" s="1"/>
  <c r="T67" i="51" s="1"/>
  <c r="X67" i="51" s="1"/>
  <c r="J21" i="51"/>
  <c r="U21" i="51" s="1"/>
  <c r="Y21" i="51" s="1"/>
  <c r="F21" i="51"/>
  <c r="I21" i="51" s="1"/>
  <c r="T21" i="51" s="1"/>
  <c r="X21" i="51" s="1"/>
  <c r="H21" i="51"/>
  <c r="K21" i="51" s="1"/>
  <c r="V21" i="51" s="1"/>
  <c r="Z21" i="51" s="1"/>
  <c r="H25" i="51"/>
  <c r="K25" i="51" s="1"/>
  <c r="V25" i="51" s="1"/>
  <c r="Z25" i="51" s="1"/>
  <c r="J25" i="51"/>
  <c r="U25" i="51" s="1"/>
  <c r="Y25" i="51" s="1"/>
  <c r="F25" i="51"/>
  <c r="I25" i="51" s="1"/>
  <c r="T25" i="51" s="1"/>
  <c r="X25" i="51" s="1"/>
  <c r="J47" i="51"/>
  <c r="U47" i="51" s="1"/>
  <c r="Y47" i="51" s="1"/>
  <c r="H47" i="51"/>
  <c r="K47" i="51" s="1"/>
  <c r="V47" i="51" s="1"/>
  <c r="Z47" i="51" s="1"/>
  <c r="F47" i="51"/>
  <c r="I47" i="51" s="1"/>
  <c r="T47" i="51" s="1"/>
  <c r="X47" i="51" s="1"/>
  <c r="H71" i="51"/>
  <c r="K71" i="51" s="1"/>
  <c r="V71" i="51" s="1"/>
  <c r="Z71" i="51" s="1"/>
  <c r="J71" i="51"/>
  <c r="U71" i="51" s="1"/>
  <c r="Y71" i="51" s="1"/>
  <c r="F71" i="51"/>
  <c r="I71" i="51" s="1"/>
  <c r="T71" i="51" s="1"/>
  <c r="X71" i="51" s="1"/>
  <c r="J69" i="51"/>
  <c r="U69" i="51" s="1"/>
  <c r="Y69" i="51" s="1"/>
  <c r="F69" i="51"/>
  <c r="I69" i="51" s="1"/>
  <c r="T69" i="51" s="1"/>
  <c r="X69" i="51" s="1"/>
  <c r="H69" i="51"/>
  <c r="K69" i="51" s="1"/>
  <c r="V69" i="51" s="1"/>
  <c r="Z69" i="51" s="1"/>
  <c r="H55" i="51"/>
  <c r="K55" i="51" s="1"/>
  <c r="V55" i="51" s="1"/>
  <c r="Z55" i="51" s="1"/>
  <c r="F55" i="51"/>
  <c r="I55" i="51" s="1"/>
  <c r="T55" i="51" s="1"/>
  <c r="X55" i="51" s="1"/>
  <c r="J55" i="51"/>
  <c r="U55" i="51" s="1"/>
  <c r="Y55" i="51" s="1"/>
  <c r="J68" i="51"/>
  <c r="U68" i="51" s="1"/>
  <c r="Y68" i="51" s="1"/>
  <c r="H68" i="51"/>
  <c r="K68" i="51" s="1"/>
  <c r="V68" i="51" s="1"/>
  <c r="Z68" i="51" s="1"/>
  <c r="F68" i="51"/>
  <c r="I68" i="51" s="1"/>
  <c r="T68" i="51" s="1"/>
  <c r="X68" i="51" s="1"/>
  <c r="J66" i="51"/>
  <c r="U66" i="51" s="1"/>
  <c r="Y66" i="51" s="1"/>
  <c r="F66" i="51"/>
  <c r="I66" i="51" s="1"/>
  <c r="T66" i="51" s="1"/>
  <c r="X66" i="51" s="1"/>
  <c r="H66" i="51"/>
  <c r="K66" i="51" s="1"/>
  <c r="V66" i="51" s="1"/>
  <c r="Z66" i="51" s="1"/>
  <c r="J58" i="51"/>
  <c r="U58" i="51" s="1"/>
  <c r="Y58" i="51" s="1"/>
  <c r="H58" i="51"/>
  <c r="K58" i="51" s="1"/>
  <c r="V58" i="51" s="1"/>
  <c r="Z58" i="51" s="1"/>
  <c r="F58" i="51"/>
  <c r="I58" i="51" s="1"/>
  <c r="T58" i="51" s="1"/>
  <c r="X58" i="51" s="1"/>
  <c r="J39" i="51"/>
  <c r="U39" i="51" s="1"/>
  <c r="Y39" i="51" s="1"/>
  <c r="F39" i="51"/>
  <c r="I39" i="51" s="1"/>
  <c r="T39" i="51" s="1"/>
  <c r="X39" i="51" s="1"/>
  <c r="H39" i="51"/>
  <c r="K39" i="51" s="1"/>
  <c r="V39" i="51" s="1"/>
  <c r="Z39" i="51" s="1"/>
  <c r="J61" i="51"/>
  <c r="U61" i="51" s="1"/>
  <c r="Y61" i="51" s="1"/>
  <c r="H61" i="51"/>
  <c r="K61" i="51" s="1"/>
  <c r="V61" i="51" s="1"/>
  <c r="Z61" i="51" s="1"/>
  <c r="F61" i="51"/>
  <c r="I61" i="51" s="1"/>
  <c r="T61" i="51" s="1"/>
  <c r="X61" i="51" s="1"/>
  <c r="F46" i="51"/>
  <c r="I46" i="51" s="1"/>
  <c r="T46" i="51" s="1"/>
  <c r="X46" i="51" s="1"/>
  <c r="H46" i="51"/>
  <c r="K46" i="51" s="1"/>
  <c r="V46" i="51" s="1"/>
  <c r="Z46" i="51" s="1"/>
  <c r="J46" i="51"/>
  <c r="U46" i="51" s="1"/>
  <c r="Y46" i="51" s="1"/>
  <c r="F8" i="51" l="1"/>
  <c r="F74" i="51"/>
  <c r="I15" i="51"/>
  <c r="H74" i="51"/>
  <c r="H8" i="51"/>
  <c r="K15" i="51"/>
  <c r="J74" i="51"/>
  <c r="J6" i="51"/>
  <c r="U15" i="51"/>
  <c r="I74" i="51" l="1"/>
  <c r="I6" i="51"/>
  <c r="T15" i="51"/>
  <c r="K74" i="51"/>
  <c r="K6" i="51"/>
  <c r="V15" i="51"/>
  <c r="U74" i="51"/>
  <c r="Y15" i="51"/>
  <c r="Y74" i="51" s="1"/>
  <c r="E4" i="51" s="1"/>
  <c r="E5" i="51" l="1"/>
  <c r="P14" i="24"/>
  <c r="S14" i="24" s="1"/>
  <c r="U14" i="24" s="1"/>
  <c r="T74" i="51"/>
  <c r="X15" i="51"/>
  <c r="X74" i="51" s="1"/>
  <c r="D4" i="51" s="1"/>
  <c r="V74" i="51"/>
  <c r="Z15" i="51"/>
  <c r="Z74" i="51" s="1"/>
  <c r="F4" i="51" s="1"/>
  <c r="D5" i="51" l="1"/>
  <c r="O14" i="24"/>
  <c r="F5" i="51"/>
  <c r="Q14" i="24"/>
  <c r="R14" i="24" s="1"/>
</calcChain>
</file>

<file path=xl/comments1.xml><?xml version="1.0" encoding="utf-8"?>
<comments xmlns="http://schemas.openxmlformats.org/spreadsheetml/2006/main">
  <authors>
    <author>Christine Murray</author>
  </authors>
  <commentList>
    <comment ref="O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to be updated - manually adjusted to reflect current OPEX of £150k</t>
        </r>
      </text>
    </comment>
  </commentList>
</comments>
</file>

<file path=xl/comments10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11.xml><?xml version="1.0" encoding="utf-8"?>
<comments xmlns="http://schemas.openxmlformats.org/spreadsheetml/2006/main">
  <authors>
    <author>Christine Murray</author>
    <author>Andrew Dunbar</author>
    <author>Alan Scott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  <comment ref="D17" authorId="2" shapeId="0">
      <text>
        <r>
          <rPr>
            <b/>
            <sz val="9"/>
            <color indexed="81"/>
            <rFont val="Tahoma"/>
            <charset val="1"/>
          </rPr>
          <t>Alan Scott:</t>
        </r>
        <r>
          <rPr>
            <sz val="9"/>
            <color indexed="81"/>
            <rFont val="Tahoma"/>
            <charset val="1"/>
          </rPr>
          <t xml:space="preserve">
install a siphon 5% chance
</t>
        </r>
      </text>
    </comment>
    <comment ref="D20" authorId="2" shapeId="0">
      <text>
        <r>
          <rPr>
            <b/>
            <sz val="9"/>
            <color indexed="81"/>
            <rFont val="Tahoma"/>
            <charset val="1"/>
          </rPr>
          <t>Alan Scott:</t>
        </r>
        <r>
          <rPr>
            <sz val="9"/>
            <color indexed="81"/>
            <rFont val="Tahoma"/>
            <charset val="1"/>
          </rPr>
          <t xml:space="preserve">
5% chance of temp under pumping
</t>
        </r>
      </text>
    </comment>
  </commentList>
</comments>
</file>

<file path=xl/comments12.xml><?xml version="1.0" encoding="utf-8"?>
<comments xmlns="http://schemas.openxmlformats.org/spreadsheetml/2006/main">
  <authors>
    <author>Christine Murray</author>
    <author>Andrew Dunbar</author>
    <author>Alan Scott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  <comment ref="D17" authorId="2" shapeId="0">
      <text>
        <r>
          <rPr>
            <b/>
            <sz val="9"/>
            <color indexed="81"/>
            <rFont val="Tahoma"/>
            <charset val="1"/>
          </rPr>
          <t>Alan Scott:</t>
        </r>
        <r>
          <rPr>
            <sz val="9"/>
            <color indexed="81"/>
            <rFont val="Tahoma"/>
            <charset val="1"/>
          </rPr>
          <t xml:space="preserve">
install a siphon 5% chance
</t>
        </r>
      </text>
    </comment>
    <comment ref="D20" authorId="2" shapeId="0">
      <text>
        <r>
          <rPr>
            <b/>
            <sz val="9"/>
            <color indexed="81"/>
            <rFont val="Tahoma"/>
            <charset val="1"/>
          </rPr>
          <t>Alan Scott:</t>
        </r>
        <r>
          <rPr>
            <sz val="9"/>
            <color indexed="81"/>
            <rFont val="Tahoma"/>
            <charset val="1"/>
          </rPr>
          <t xml:space="preserve">
5% chance of temp under pumping
</t>
        </r>
      </text>
    </comment>
  </commentList>
</comments>
</file>

<file path=xl/comments13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14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15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16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</commentList>
</comments>
</file>

<file path=xl/comments2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9" authorId="1" shapeId="0">
      <text>
        <r>
          <rPr>
            <b/>
            <sz val="9"/>
            <color indexed="81"/>
            <rFont val="Tahoma"/>
            <charset val="1"/>
          </rPr>
          <t>Andrew Dunbar:
Intake, pupms, pipes and raw watk (£8.8m) + £600k for 600 m3 CWT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3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9" authorId="1" shapeId="0">
      <text>
        <r>
          <rPr>
            <b/>
            <sz val="9"/>
            <color indexed="81"/>
            <rFont val="Tahoma"/>
            <charset val="1"/>
          </rPr>
          <t>Andrew Dunbar:
Intake, pupms, pipes and raw watk (£8.8m) + £600k for 600 m3 CWT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4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9" authorId="1" shapeId="0">
      <text>
        <r>
          <rPr>
            <b/>
            <sz val="9"/>
            <color indexed="81"/>
            <rFont val="Tahoma"/>
            <charset val="1"/>
          </rPr>
          <t>Andrew Dunbar:
Intake, pupms, pipes and raw watk (£8.8m) + £600k for 600 m3 CWT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5.xml><?xml version="1.0" encoding="utf-8"?>
<comments xmlns="http://schemas.openxmlformats.org/spreadsheetml/2006/main">
  <authors>
    <author>Christine Murray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6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7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8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comments9.xml><?xml version="1.0" encoding="utf-8"?>
<comments xmlns="http://schemas.openxmlformats.org/spreadsheetml/2006/main">
  <authors>
    <author>Christine Murray</author>
    <author>Andrew Dunbar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assumed new WTW in 15 years will cost circa £10m (split based on current)</t>
        </r>
      </text>
    </comment>
    <comment ref="T3" authorId="1" shapeId="0">
      <text>
        <r>
          <rPr>
            <b/>
            <sz val="9"/>
            <color indexed="81"/>
            <rFont val="Tahoma"/>
            <charset val="1"/>
          </rPr>
          <t>Andrew Dunbar:</t>
        </r>
        <r>
          <rPr>
            <sz val="9"/>
            <color indexed="81"/>
            <rFont val="Tahoma"/>
            <charset val="1"/>
          </rPr>
          <t xml:space="preserve">
Value reduced by £1,900k as main is 50% shorter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Christine Murray:</t>
        </r>
        <r>
          <rPr>
            <sz val="9"/>
            <color indexed="81"/>
            <rFont val="Tahoma"/>
            <charset val="1"/>
          </rPr>
          <t xml:space="preserve">
need to add in allowance for annual base maintenance on existing plant until year 15</t>
        </r>
      </text>
    </comment>
  </commentList>
</comments>
</file>

<file path=xl/sharedStrings.xml><?xml version="1.0" encoding="utf-8"?>
<sst xmlns="http://schemas.openxmlformats.org/spreadsheetml/2006/main" count="1637" uniqueCount="216">
  <si>
    <t>Discount rate</t>
  </si>
  <si>
    <t>Time Period</t>
  </si>
  <si>
    <t>Years</t>
  </si>
  <si>
    <t>Project Name</t>
  </si>
  <si>
    <t>Capital Costs £m</t>
  </si>
  <si>
    <t>Option Description</t>
  </si>
  <si>
    <t>Low</t>
  </si>
  <si>
    <t xml:space="preserve">Central </t>
  </si>
  <si>
    <t>High</t>
  </si>
  <si>
    <t>High - Low</t>
  </si>
  <si>
    <t>CAPEX new WTW</t>
  </si>
  <si>
    <t>% Civils/MEICA Split</t>
  </si>
  <si>
    <t>Capex £m</t>
  </si>
  <si>
    <t>Life</t>
  </si>
  <si>
    <t>Annual</t>
  </si>
  <si>
    <t>Option</t>
  </si>
  <si>
    <t>Civils</t>
  </si>
  <si>
    <t>Discount Rate</t>
  </si>
  <si>
    <t>Low £k</t>
  </si>
  <si>
    <t>Central £k</t>
  </si>
  <si>
    <t>High £k</t>
  </si>
  <si>
    <t>Mechanical</t>
  </si>
  <si>
    <t>Scheme NPV £k</t>
  </si>
  <si>
    <t>Electrical</t>
  </si>
  <si>
    <t>ICA</t>
  </si>
  <si>
    <t>Land</t>
  </si>
  <si>
    <t>Membranes</t>
  </si>
  <si>
    <t>Total CAPEX</t>
  </si>
  <si>
    <t>Cost model ranges</t>
  </si>
  <si>
    <t>Default Variance</t>
  </si>
  <si>
    <t>Year</t>
  </si>
  <si>
    <t>Enhancement Cost Low £k</t>
  </si>
  <si>
    <t>Enhancement Cost Central £k</t>
  </si>
  <si>
    <t>Enhancement Cost High £k</t>
  </si>
  <si>
    <t>Asset Replacment Low £k</t>
  </si>
  <si>
    <t>Asset Replacement Central £k</t>
  </si>
  <si>
    <t>Asset Replacement High £k</t>
  </si>
  <si>
    <t>Capital Costs Low £k</t>
  </si>
  <si>
    <t>Capital Costs Central £k</t>
  </si>
  <si>
    <t>Capital Costs High  £k</t>
  </si>
  <si>
    <t>Manpower Cost £k</t>
  </si>
  <si>
    <t>Energy Costs £k</t>
  </si>
  <si>
    <t>Chemicals Cost £k</t>
  </si>
  <si>
    <t>Sludge Costs £k</t>
  </si>
  <si>
    <t>Operational Maintenance Costs £k</t>
  </si>
  <si>
    <t>Opex Costs Low £k</t>
  </si>
  <si>
    <t>Opex Costs Central £k</t>
  </si>
  <si>
    <t>Opex Costs High £k</t>
  </si>
  <si>
    <t>Total Costs Low £k</t>
  </si>
  <si>
    <t>Total Costs Central £k</t>
  </si>
  <si>
    <t>Total Costs High £k</t>
  </si>
  <si>
    <t>Discounted Costs Low £k</t>
  </si>
  <si>
    <t>Discounted Costs Central £k</t>
  </si>
  <si>
    <t>Discounted Costs High £k</t>
  </si>
  <si>
    <t>Comments &amp; Assumptions</t>
  </si>
  <si>
    <t>Assumed based on annual OPEX of £150k</t>
  </si>
  <si>
    <t>additional £16.49k per annum power costs</t>
  </si>
  <si>
    <t>assume 20% less sludge due to cleaner source</t>
  </si>
  <si>
    <t>Totals</t>
  </si>
  <si>
    <t>Energy Opex - based on Ceramic values from EES - assumes head broken and pumped through pressure filter</t>
  </si>
  <si>
    <t>Chemicals - assumes small increase in pH/coagulation doses to meet optimum level with DAF</t>
  </si>
  <si>
    <t>£90k/a for NF plant, £12.10k/a for power, reduced sludge</t>
  </si>
  <si>
    <t>25 year MEICA replacement</t>
  </si>
  <si>
    <t>30 year building maintenance</t>
  </si>
  <si>
    <t>MEICA Replacement &amp; Building&amp; Civils repairs</t>
  </si>
  <si>
    <t>50 year MEICA replacement &amp; buuilding maintenance</t>
  </si>
  <si>
    <t>Asse lifes adjusted - EES assums above ground assets are MEICA - plant costs are mainly for stainless steel and cermamic materials with forecast 60 year + lives MEICA asjusted to slightly above DAF split.</t>
  </si>
  <si>
    <t>50 year MEICA replacement</t>
  </si>
  <si>
    <t>Equivalent number of total asset replacements over 60 years</t>
  </si>
  <si>
    <t>Backlog mainenance</t>
  </si>
  <si>
    <t>60 Year building &amp; civil maintenance</t>
  </si>
  <si>
    <t>80 Year building &amp; civil maintenance</t>
  </si>
  <si>
    <t>Complete WTW Replacement</t>
  </si>
  <si>
    <t>Combined</t>
  </si>
  <si>
    <t>Annual Charge</t>
  </si>
  <si>
    <t>Split</t>
  </si>
  <si>
    <t>WTW civil annual charge assumes 25% of build cost over period to extend life</t>
  </si>
  <si>
    <t xml:space="preserve">Annual intake and pipeline civis assumed =0 </t>
  </si>
  <si>
    <t>Based on annual OPEX of £150k + backlog maintenance</t>
  </si>
  <si>
    <t>Existing WTW civil annual charge assumes 25% of build cost over period to extend life</t>
  </si>
  <si>
    <t>N/A</t>
  </si>
  <si>
    <t>1.3 Ml/d NF Membrane WTW</t>
  </si>
  <si>
    <t>0.7 Ml/d NF Membrane WTW</t>
  </si>
  <si>
    <t>New 0.7 Ml clear water tank</t>
  </si>
  <si>
    <t>Access road to clear water tanks</t>
  </si>
  <si>
    <t>pipes to and from clear water tank</t>
  </si>
  <si>
    <t>Additional costs</t>
  </si>
  <si>
    <t>Pro-rated WTW costs</t>
  </si>
  <si>
    <t>With additional items</t>
  </si>
  <si>
    <t>New 1.3 Ml clear water tank</t>
  </si>
  <si>
    <t>60 Year Operating Expenditure £m</t>
  </si>
  <si>
    <t>60 Year Asset Replacment £m</t>
  </si>
  <si>
    <t>Initial 5 year investment</t>
  </si>
  <si>
    <t>60 Year asset enhancement</t>
  </si>
  <si>
    <t>60 year asset replacement</t>
  </si>
  <si>
    <t>60 Year asset enhancement £m</t>
  </si>
  <si>
    <t>Initial 5 years</t>
  </si>
  <si>
    <t>Inverness Nairn supply resilience</t>
  </si>
  <si>
    <t>Existing Coag UF</t>
  </si>
  <si>
    <t>t</t>
  </si>
  <si>
    <t>assumed cost of new 40Mld plant  WTW based on £30m for 10Mld Tullich, £50m for CWT and DAF at existing Invercannie 50MLd plant</t>
  </si>
  <si>
    <t>Option 1a - Leakage reduction</t>
  </si>
  <si>
    <t>leakage</t>
  </si>
  <si>
    <t>Option 1b - Leakage &amp; PCC management</t>
  </si>
  <si>
    <t>Option 1c - Leakage &amp; PCC management with customer metering</t>
  </si>
  <si>
    <t>leakage &amp; meters</t>
  </si>
  <si>
    <t>Capex £k</t>
  </si>
  <si>
    <t>New PS</t>
  </si>
  <si>
    <t>Intake &amp; pipeline &amp; other structures</t>
  </si>
  <si>
    <t>Option 2a - new 20Ml/d raw water source from Inverness</t>
  </si>
  <si>
    <t>Base option - Maintain &amp; operate current plant, no improvement to resilience</t>
  </si>
  <si>
    <t>Benefit ML/d</t>
  </si>
  <si>
    <t>n/a</t>
  </si>
  <si>
    <t>Cost/Ml/d</t>
  </si>
  <si>
    <t>assume refresher campaign every 10 years</t>
  </si>
  <si>
    <t>assume annual average cost of meter repacement ongoing based around 10 year life average</t>
  </si>
  <si>
    <t>No opex for meter reading included</t>
  </si>
  <si>
    <t>Note - all OpEX cosst to be updated</t>
  </si>
  <si>
    <t>20 ML Coag UF WTW</t>
  </si>
  <si>
    <t>extension to WTW to support growth/resilience</t>
  </si>
  <si>
    <t>Option 3 - New source &amp; new WTW at new location, 20Mld raw in 45 years</t>
  </si>
  <si>
    <t>Option 2d - new 20Ml/d raw water source augmented in 50 years from Inverness and WTW capacity increased 2065</t>
  </si>
  <si>
    <t>Option 2c - new 20Ml/d raw water source augmented in 30 years from Inverness and WTW capacity increased 2065</t>
  </si>
  <si>
    <t>Option 2b - new 40Ml/d raw water source from Inverness and WTW capacity increased 2065</t>
  </si>
  <si>
    <t>40ML/d option</t>
  </si>
  <si>
    <t>provided by iain Rice July 2020</t>
  </si>
  <si>
    <t>Pipelines</t>
  </si>
  <si>
    <t>Standard Work</t>
  </si>
  <si>
    <t>Site Specifics</t>
  </si>
  <si>
    <t>Total</t>
  </si>
  <si>
    <t>Intake</t>
  </si>
  <si>
    <t>Civil</t>
  </si>
  <si>
    <t>Dores RWP</t>
  </si>
  <si>
    <t>MEICA</t>
  </si>
  <si>
    <t>Net Construction</t>
  </si>
  <si>
    <t>Indirect Costs (Oncost &amp; Fee)</t>
  </si>
  <si>
    <t>Risk</t>
  </si>
  <si>
    <t>Project Total</t>
  </si>
  <si>
    <t>Sunk Costs</t>
  </si>
  <si>
    <t>SW CostsCost to Go</t>
  </si>
  <si>
    <t>Project Value</t>
  </si>
  <si>
    <t>Current Scope - 40MLD</t>
  </si>
  <si>
    <t>20MLD scope</t>
  </si>
  <si>
    <t>Current Cost</t>
  </si>
  <si>
    <t>Potential Saving</t>
  </si>
  <si>
    <t>Column1</t>
  </si>
  <si>
    <t>Sized for 40MLD</t>
  </si>
  <si>
    <t>Sized for 20MLD</t>
  </si>
  <si>
    <t>intake?</t>
  </si>
  <si>
    <t>700 HPPE</t>
  </si>
  <si>
    <t>630 HPPE / reduced holding down requirements</t>
  </si>
  <si>
    <t>pipe</t>
  </si>
  <si>
    <t>3 pumps (duty / assist / standby)</t>
  </si>
  <si>
    <t xml:space="preserve">2 pumps (duty / standby) / chamber diameter </t>
  </si>
  <si>
    <t>pump</t>
  </si>
  <si>
    <t>6m diameter pump chamber</t>
  </si>
  <si>
    <t>Potentially 5m diameter pump chamber</t>
  </si>
  <si>
    <t>3 x 450 DI (3 x 36m)</t>
  </si>
  <si>
    <t>2 x 375 DI (3 x 36m)</t>
  </si>
  <si>
    <t>50m @ 600DI</t>
  </si>
  <si>
    <t>50m @ 500DI</t>
  </si>
  <si>
    <r>
      <rPr>
        <b/>
        <sz val="11"/>
        <color rgb="FFFF0000"/>
        <rFont val="Calibri"/>
        <family val="2"/>
        <scheme val="minor"/>
      </rPr>
      <t>3</t>
    </r>
    <r>
      <rPr>
        <sz val="10"/>
        <rFont val="Arial"/>
      </rPr>
      <t xml:space="preserve"> drum filters sized for 40MLD</t>
    </r>
  </si>
  <si>
    <r>
      <rPr>
        <b/>
        <sz val="11"/>
        <color rgb="FFFF0000"/>
        <rFont val="Calibri"/>
        <family val="2"/>
        <scheme val="minor"/>
      </rPr>
      <t>3</t>
    </r>
    <r>
      <rPr>
        <sz val="10"/>
        <rFont val="Arial"/>
      </rPr>
      <t xml:space="preserve"> drum filters sized for 20MLD</t>
    </r>
  </si>
  <si>
    <t>Building Footprint = 22.6m x 6</t>
  </si>
  <si>
    <t>Reduced building size as the drum filters will be smaller - circa 20%</t>
  </si>
  <si>
    <t>40m @ 700DI</t>
  </si>
  <si>
    <t>40m @ 500DI</t>
  </si>
  <si>
    <t>5 pumps</t>
  </si>
  <si>
    <t>3 pumps</t>
  </si>
  <si>
    <t>Electrical panel</t>
  </si>
  <si>
    <t>25% reduction in panel length due to less pump drives</t>
  </si>
  <si>
    <t>Building Footprint = 25m x 17.5m</t>
  </si>
  <si>
    <t>20% reduction in bulilding footprint</t>
  </si>
  <si>
    <t>HV supply</t>
  </si>
  <si>
    <t xml:space="preserve">LV supply so HV not be required </t>
  </si>
  <si>
    <t>5km @ 700DI</t>
  </si>
  <si>
    <t>1km@500DI and 4km@560PE SDR17</t>
  </si>
  <si>
    <t>200m3 tank</t>
  </si>
  <si>
    <t>It's quite a small tank anyway so suggest that it should remain the same</t>
  </si>
  <si>
    <t>1.25km @ 560HPPE</t>
  </si>
  <si>
    <t>1.25km @ 400HPPE</t>
  </si>
  <si>
    <t>0.535km @710HPPE</t>
  </si>
  <si>
    <t>0.535km @560HPPE</t>
  </si>
  <si>
    <t>3 x 300 diameter flow control valves / pipework / flowmeters</t>
  </si>
  <si>
    <t>2 x 300 diameter flow control valves / pipework / flowmeters</t>
  </si>
  <si>
    <t>Reinforced Concrete Chamber - Footprint = 7.6m x 4.1m</t>
  </si>
  <si>
    <t>30% reduction in chamber footprint / one less access cover</t>
  </si>
  <si>
    <t>Potential that the power supply doesn’t need to be supplied from Inverness</t>
  </si>
  <si>
    <t>Caustic Dosing</t>
  </si>
  <si>
    <t>Smaller unit for 20MLD (or defer caustic dosing)</t>
  </si>
  <si>
    <t>Additional Cx 1-2 costs + Re-design costs</t>
  </si>
  <si>
    <t>£75k per month for 4 months</t>
  </si>
  <si>
    <t>Alliance Partner Overhead (email IH 18-06-2020)</t>
  </si>
  <si>
    <t>SW Unallocated Overhead</t>
  </si>
  <si>
    <t>Potential LBE saving on reducing from 40MLD to 20MLD</t>
  </si>
  <si>
    <t>potential saving 40Mld, with 20Ml initial capacity</t>
  </si>
  <si>
    <t>new 20Mld pumps, opex costs excluded</t>
  </si>
  <si>
    <t>Central variance to base</t>
  </si>
  <si>
    <t>Discounted Net Present Cost £m</t>
  </si>
  <si>
    <t>Row Labels</t>
  </si>
  <si>
    <t>Sum of Potential Saving</t>
  </si>
  <si>
    <t>(blank)</t>
  </si>
  <si>
    <t>Grand Total</t>
  </si>
  <si>
    <t>cost of PCC is £8m/Mld</t>
  </si>
  <si>
    <t>new 5Ml/d WTW on Ness</t>
  </si>
  <si>
    <t>Oncosts &amp; risk</t>
  </si>
  <si>
    <t>40Mld raw</t>
  </si>
  <si>
    <t>20Mld raw</t>
  </si>
  <si>
    <t>40Mld fitted at 20Mld</t>
  </si>
  <si>
    <t>Option 2e -  40Ml/d raw water source initial 20Ml/d PS capacity, WTW and PS capacity increased 2065</t>
  </si>
  <si>
    <t>Option 1d - Leakage reduction &amp; Assynt  link</t>
  </si>
  <si>
    <t>assumes no pumping in Assynt</t>
  </si>
  <si>
    <t xml:space="preserve">no allowance included for increased op cost of water demand from assynt </t>
  </si>
  <si>
    <t>Intake pumps &amp; pipeline</t>
  </si>
  <si>
    <t>Option 2f -  defer by 10 years 40Ml/d raw water source initial 20Ml/d PS capacity, WTW and PS capacity increased 2065</t>
  </si>
  <si>
    <t>Option 2g -  defer by 15 years 40Ml/d raw water source initial 20Ml/d PS capacity, WTW and PS capacity increased 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</si>
</sst>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&quot;£&quot;* #,##0_-;\-&quot;£&quot;* #,##0_-;_-&quot;£&quot;* &quot;-&quot;??_-;_-@_-"/>
    <numFmt numFmtId="167" formatCode="#,##0_ ;\-#,##0\ "/>
    <numFmt numFmtId="168" formatCode="&quot;$&quot;#,##0.00"/>
    <numFmt numFmtId="169" formatCode="&quot;£&quot;#,##0.00"/>
    <numFmt numFmtId="170" formatCode="#,##0_);[Red]\(#,##0\)"/>
    <numFmt numFmtId="171" formatCode=";[Red]&quot;Error&quot;;[Green]&quot;OK&quot;;"/>
    <numFmt numFmtId="172" formatCode="[Green]&quot;ON&quot;;;[Red]&quot;OFF&quot;;"/>
    <numFmt numFmtId="173" formatCode="#,##0.0,,\ ;\(#,##0.0,,\)"/>
    <numFmt numFmtId="174" formatCode="0%;[Red]\-0%"/>
    <numFmt numFmtId="175" formatCode="#,##0.0_ ;\-#,##0.0\ "/>
    <numFmt numFmtId="176" formatCode="0.0%"/>
    <numFmt numFmtId="177" formatCode="0.0"/>
    <numFmt numFmtId="178" formatCode="&quot;£&quot;#,##0"/>
    <numFmt numFmtId="179" formatCode="&quot;£&quot;#,##0.0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Arial"/>
      <family val="2"/>
    </font>
    <font>
      <b/>
      <i/>
      <sz val="14"/>
      <name val="Arial"/>
      <family val="2"/>
    </font>
    <font>
      <b/>
      <sz val="10"/>
      <color indexed="1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b/>
      <sz val="24"/>
      <name val="Arial Narrow"/>
      <family val="2"/>
    </font>
    <font>
      <i/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 Unicode MS"/>
      <family val="2"/>
    </font>
    <font>
      <sz val="10"/>
      <name val="Arial 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b/>
      <sz val="12"/>
      <color indexed="10"/>
      <name val="Times New Roman"/>
      <family val="1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1"/>
      <name val="Arial"/>
      <family val="2"/>
    </font>
    <font>
      <b/>
      <sz val="12"/>
      <color indexed="8"/>
      <name val="Arial"/>
      <family val="2"/>
    </font>
    <font>
      <sz val="8"/>
      <name val="Trebuchet MS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41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1"/>
        <bgColor indexed="26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2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6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6" fillId="2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6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6" fillId="2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" fillId="31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8" borderId="0" applyNumberFormat="0" applyBorder="0" applyAlignment="0" applyProtection="0"/>
    <xf numFmtId="0" fontId="8" fillId="22" borderId="0" applyNumberFormat="0" applyBorder="0" applyAlignment="0" applyProtection="0"/>
    <xf numFmtId="168" fontId="9" fillId="0" borderId="0" applyNumberFormat="0" applyFont="0" applyFill="0" applyBorder="0" applyAlignment="0"/>
    <xf numFmtId="168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9" fillId="0" borderId="0" applyNumberFormat="0" applyFont="0" applyFill="0" applyBorder="0" applyAlignment="0">
      <alignment horizontal="center"/>
    </xf>
    <xf numFmtId="169" fontId="9" fillId="0" borderId="0" applyNumberFormat="0" applyFont="0" applyFill="0" applyBorder="0" applyAlignment="0">
      <alignment horizontal="center"/>
    </xf>
    <xf numFmtId="168" fontId="9" fillId="0" borderId="0" applyNumberFormat="0" applyFont="0" applyFill="0" applyBorder="0" applyAlignment="0">
      <alignment horizontal="center"/>
    </xf>
    <xf numFmtId="170" fontId="9" fillId="0" borderId="0" applyNumberFormat="0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8" fontId="4" fillId="39" borderId="0" applyNumberFormat="0" applyFont="0" applyFill="0" applyBorder="0" applyAlignment="0">
      <alignment horizontal="right"/>
    </xf>
    <xf numFmtId="38" fontId="4" fillId="39" borderId="0" applyNumberFormat="0" applyFont="0" applyFill="0" applyBorder="0" applyAlignment="0">
      <alignment horizontal="right"/>
    </xf>
    <xf numFmtId="38" fontId="4" fillId="39" borderId="0" applyNumberFormat="0" applyFont="0" applyFill="0" applyBorder="0" applyAlignment="0">
      <alignment horizontal="right"/>
    </xf>
    <xf numFmtId="38" fontId="4" fillId="39" borderId="0" applyNumberFormat="0" applyFont="0" applyFill="0" applyBorder="0" applyAlignment="0">
      <alignment horizontal="right"/>
    </xf>
    <xf numFmtId="0" fontId="4" fillId="0" borderId="0"/>
    <xf numFmtId="0" fontId="4" fillId="0" borderId="0"/>
    <xf numFmtId="0" fontId="4" fillId="0" borderId="0"/>
    <xf numFmtId="0" fontId="10" fillId="0" borderId="0" applyNumberFormat="0" applyFont="0" applyFill="0" applyBorder="0" applyAlignment="0">
      <alignment vertical="top"/>
    </xf>
    <xf numFmtId="0" fontId="11" fillId="40" borderId="0" applyNumberFormat="0" applyFont="0" applyFill="0" applyBorder="0" applyAlignment="0">
      <alignment horizontal="center" vertical="top"/>
    </xf>
    <xf numFmtId="168" fontId="12" fillId="0" borderId="15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10" fillId="0" borderId="0" applyNumberFormat="0" applyFont="0" applyFill="0" applyBorder="0" applyAlignment="0">
      <alignment wrapText="1"/>
    </xf>
    <xf numFmtId="0" fontId="13" fillId="0" borderId="0" applyNumberFormat="0" applyFont="0" applyFill="0" applyBorder="0" applyAlignment="0">
      <alignment horizontal="left" vertical="top" wrapText="1"/>
    </xf>
    <xf numFmtId="168" fontId="14" fillId="0" borderId="0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15" fillId="0" borderId="0" applyNumberFormat="0" applyFont="0" applyFill="0" applyBorder="0" applyAlignment="0">
      <alignment vertical="top" wrapText="1"/>
    </xf>
    <xf numFmtId="0" fontId="12" fillId="0" borderId="0" applyNumberFormat="0" applyFont="0" applyFill="0" applyBorder="0" applyAlignment="0">
      <alignment horizontal="left" vertical="top" wrapText="1"/>
    </xf>
    <xf numFmtId="168" fontId="4" fillId="0" borderId="0" applyNumberFormat="0" applyFont="0" applyFill="0" applyBorder="0" applyAlignment="0"/>
    <xf numFmtId="168" fontId="4" fillId="0" borderId="0" applyNumberFormat="0" applyFont="0" applyFill="0" applyBorder="0" applyAlignment="0"/>
    <xf numFmtId="168" fontId="4" fillId="0" borderId="0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16" fillId="0" borderId="0" applyNumberFormat="0" applyFont="0" applyFill="0" applyBorder="0" applyAlignment="0">
      <alignment vertical="center" wrapText="1"/>
    </xf>
    <xf numFmtId="0" fontId="17" fillId="0" borderId="0" applyNumberFormat="0" applyFont="0" applyFill="0" applyBorder="0" applyAlignment="0">
      <alignment horizontal="left" vertical="center" wrapText="1"/>
    </xf>
    <xf numFmtId="168" fontId="18" fillId="0" borderId="0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19" fillId="0" borderId="0" applyNumberFormat="0" applyFont="0" applyFill="0" applyBorder="0" applyAlignment="0">
      <alignment horizontal="center" vertical="center" wrapText="1"/>
    </xf>
    <xf numFmtId="0" fontId="4" fillId="0" borderId="0" applyNumberFormat="0" applyFont="0" applyFill="0" applyBorder="0" applyAlignment="0">
      <alignment horizontal="center" vertical="center" wrapText="1"/>
    </xf>
    <xf numFmtId="0" fontId="4" fillId="0" borderId="0" applyNumberFormat="0" applyFont="0" applyFill="0" applyBorder="0" applyAlignment="0">
      <alignment horizontal="center" vertical="center" wrapText="1"/>
    </xf>
    <xf numFmtId="0" fontId="4" fillId="0" borderId="0" applyNumberFormat="0" applyFont="0" applyFill="0" applyBorder="0" applyAlignment="0">
      <alignment horizontal="center" vertical="center" wrapText="1"/>
    </xf>
    <xf numFmtId="0" fontId="4" fillId="0" borderId="0" applyNumberFormat="0" applyFont="0" applyFill="0" applyBorder="0" applyAlignment="0">
      <alignment horizontal="center" vertical="center" wrapText="1"/>
    </xf>
    <xf numFmtId="168" fontId="20" fillId="0" borderId="0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21" fillId="0" borderId="0" applyNumberFormat="0" applyFont="0" applyFill="0" applyBorder="0" applyAlignment="0">
      <alignment horizontal="center" vertical="center" wrapText="1"/>
    </xf>
    <xf numFmtId="0" fontId="22" fillId="0" borderId="0" applyNumberFormat="0" applyFont="0" applyFill="0" applyBorder="0" applyAlignment="0">
      <alignment horizontal="center" vertical="center" wrapText="1"/>
    </xf>
    <xf numFmtId="168" fontId="23" fillId="0" borderId="0" applyNumberFormat="0" applyFont="0" applyFill="0" applyBorder="0" applyAlignment="0"/>
    <xf numFmtId="0" fontId="24" fillId="0" borderId="0" applyNumberFormat="0" applyFont="0" applyFill="0" applyBorder="0" applyAlignment="0">
      <alignment horizontal="center"/>
    </xf>
    <xf numFmtId="0" fontId="25" fillId="0" borderId="0" applyNumberFormat="0" applyFont="0" applyFill="0" applyBorder="0" applyAlignment="0">
      <alignment horizontal="center" wrapText="1"/>
    </xf>
    <xf numFmtId="0" fontId="20" fillId="0" borderId="0" applyNumberFormat="0" applyFont="0" applyFill="0" applyBorder="0" applyAlignment="0">
      <alignment horizontal="center" wrapText="1"/>
    </xf>
    <xf numFmtId="0" fontId="26" fillId="41" borderId="16" applyNumberFormat="0" applyAlignment="0" applyProtection="0"/>
    <xf numFmtId="0" fontId="27" fillId="42" borderId="17" applyNumberFormat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29" fillId="43" borderId="18">
      <alignment horizontal="center"/>
    </xf>
    <xf numFmtId="0" fontId="30" fillId="0" borderId="0" applyNumberFormat="0" applyFill="0" applyBorder="0" applyAlignment="0" applyProtection="0"/>
    <xf numFmtId="0" fontId="31" fillId="23" borderId="0" applyNumberFormat="0" applyBorder="0" applyAlignment="0" applyProtection="0"/>
    <xf numFmtId="0" fontId="32" fillId="0" borderId="19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5" fillId="26" borderId="16" applyNumberFormat="0" applyAlignment="0" applyProtection="0"/>
    <xf numFmtId="0" fontId="36" fillId="0" borderId="22" applyNumberFormat="0" applyFill="0" applyAlignment="0" applyProtection="0"/>
    <xf numFmtId="0" fontId="37" fillId="44" borderId="0" applyNumberFormat="0" applyBorder="0" applyAlignment="0" applyProtection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38" fillId="0" borderId="0" applyNumberFormat="0"/>
    <xf numFmtId="0" fontId="1" fillId="0" borderId="0"/>
    <xf numFmtId="0" fontId="4" fillId="0" borderId="0"/>
    <xf numFmtId="0" fontId="38" fillId="0" borderId="0" applyNumberFormat="0"/>
    <xf numFmtId="0" fontId="6" fillId="0" borderId="0"/>
    <xf numFmtId="0" fontId="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39" fillId="0" borderId="0"/>
    <xf numFmtId="0" fontId="40" fillId="0" borderId="0"/>
    <xf numFmtId="0" fontId="1" fillId="0" borderId="0"/>
    <xf numFmtId="0" fontId="6" fillId="0" borderId="0"/>
    <xf numFmtId="0" fontId="6" fillId="0" borderId="0"/>
    <xf numFmtId="0" fontId="41" fillId="0" borderId="0"/>
    <xf numFmtId="0" fontId="4" fillId="0" borderId="0"/>
    <xf numFmtId="0" fontId="28" fillId="0" borderId="0"/>
    <xf numFmtId="0" fontId="42" fillId="0" borderId="0"/>
    <xf numFmtId="0" fontId="3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2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5" fillId="45" borderId="23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0" fontId="1" fillId="7" borderId="14" applyNumberFormat="0" applyFont="0" applyAlignment="0" applyProtection="0"/>
    <xf numFmtId="172" fontId="3" fillId="0" borderId="0">
      <alignment horizontal="center"/>
    </xf>
    <xf numFmtId="0" fontId="43" fillId="41" borderId="24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>
      <alignment horizontal="left"/>
    </xf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45" fillId="0" borderId="25">
      <alignment horizontal="center"/>
    </xf>
    <xf numFmtId="3" fontId="41" fillId="0" borderId="0" applyFont="0" applyFill="0" applyBorder="0" applyAlignment="0" applyProtection="0"/>
    <xf numFmtId="0" fontId="41" fillId="46" borderId="0" applyNumberFormat="0" applyFont="0" applyBorder="0" applyAlignment="0" applyProtection="0"/>
    <xf numFmtId="170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0" fontId="22" fillId="0" borderId="0" applyNumberFormat="0">
      <alignment horizontal="right"/>
    </xf>
    <xf numFmtId="174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38" fontId="22" fillId="0" borderId="0" applyNumberFormat="0">
      <alignment horizontal="right"/>
    </xf>
    <xf numFmtId="173" fontId="22" fillId="0" borderId="0" applyNumberFormat="0">
      <alignment horizontal="right"/>
    </xf>
    <xf numFmtId="38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0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0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4" fontId="22" fillId="0" borderId="0" applyNumberFormat="0">
      <alignment horizontal="right"/>
    </xf>
    <xf numFmtId="38" fontId="22" fillId="0" borderId="0" applyNumberFormat="0">
      <alignment horizontal="right"/>
    </xf>
    <xf numFmtId="173" fontId="22" fillId="0" borderId="0" applyNumberFormat="0">
      <alignment horizontal="right"/>
    </xf>
    <xf numFmtId="38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173" fontId="22" fillId="0" borderId="0" applyNumberFormat="0">
      <alignment horizontal="right"/>
    </xf>
    <xf numFmtId="0" fontId="11" fillId="0" borderId="0">
      <alignment horizontal="left" indent="1"/>
    </xf>
    <xf numFmtId="170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38" fontId="46" fillId="0" borderId="0" applyNumberFormat="0">
      <alignment horizontal="right"/>
    </xf>
    <xf numFmtId="170" fontId="46" fillId="0" borderId="0" applyNumberFormat="0">
      <alignment horizontal="right"/>
    </xf>
    <xf numFmtId="173" fontId="46" fillId="0" borderId="0" applyNumberFormat="0">
      <alignment horizontal="right"/>
    </xf>
    <xf numFmtId="174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0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3" fontId="46" fillId="0" borderId="0" applyNumberFormat="0">
      <alignment horizontal="right"/>
    </xf>
    <xf numFmtId="170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0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4" fontId="14" fillId="0" borderId="0" applyNumberFormat="0" applyAlignment="0">
      <alignment horizontal="left"/>
    </xf>
    <xf numFmtId="38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38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173" fontId="14" fillId="0" borderId="0" applyNumberFormat="0" applyAlignment="0">
      <alignment horizontal="left"/>
    </xf>
    <xf numFmtId="0" fontId="47" fillId="0" borderId="0"/>
    <xf numFmtId="0" fontId="46" fillId="0" borderId="0">
      <alignment horizontal="left"/>
    </xf>
    <xf numFmtId="170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0" fontId="11" fillId="4" borderId="0" applyNumberFormat="0">
      <alignment horizontal="right"/>
    </xf>
    <xf numFmtId="174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38" fontId="11" fillId="4" borderId="0" applyNumberFormat="0">
      <alignment horizontal="right"/>
    </xf>
    <xf numFmtId="173" fontId="11" fillId="4" borderId="0" applyNumberFormat="0">
      <alignment horizontal="right"/>
    </xf>
    <xf numFmtId="38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3" fontId="11" fillId="4" borderId="0" applyNumberFormat="0">
      <alignment horizontal="right"/>
    </xf>
    <xf numFmtId="170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0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4" fontId="11" fillId="47" borderId="0" applyNumberFormat="0" applyBorder="0" applyAlignment="0"/>
    <xf numFmtId="38" fontId="11" fillId="47" borderId="0" applyNumberFormat="0" applyBorder="0" applyAlignment="0"/>
    <xf numFmtId="173" fontId="11" fillId="47" borderId="0" applyNumberFormat="0" applyBorder="0" applyAlignment="0"/>
    <xf numFmtId="38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173" fontId="11" fillId="47" borderId="0" applyNumberFormat="0" applyBorder="0" applyAlignment="0"/>
    <xf numFmtId="0" fontId="47" fillId="0" borderId="0">
      <alignment horizontal="left"/>
    </xf>
    <xf numFmtId="0" fontId="48" fillId="4" borderId="0">
      <alignment horizontal="left" indent="1"/>
    </xf>
    <xf numFmtId="38" fontId="4" fillId="0" borderId="0" applyNumberFormat="0" applyFont="0" applyFill="0" applyBorder="0" applyAlignment="0">
      <alignment horizontal="right"/>
    </xf>
    <xf numFmtId="38" fontId="4" fillId="0" borderId="0" applyNumberFormat="0" applyFont="0" applyFill="0" applyBorder="0" applyAlignment="0">
      <alignment horizontal="right"/>
    </xf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15" fillId="0" borderId="0" applyNumberFormat="0" applyFont="0" applyFill="0" applyBorder="0" applyAlignment="0">
      <alignment horizontal="left" indent="2"/>
    </xf>
    <xf numFmtId="0" fontId="48" fillId="0" borderId="0" applyNumberFormat="0" applyFont="0" applyFill="0" applyBorder="0" applyAlignment="0">
      <alignment horizontal="left" indent="2"/>
    </xf>
    <xf numFmtId="38" fontId="4" fillId="0" borderId="0" applyNumberFormat="0" applyFont="0" applyFill="0" applyBorder="0" applyAlignment="0"/>
    <xf numFmtId="38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9" fillId="0" borderId="0" applyNumberFormat="0" applyFont="0" applyFill="0" applyBorder="0" applyAlignment="0">
      <alignment horizontal="left" indent="3"/>
    </xf>
    <xf numFmtId="0" fontId="11" fillId="0" borderId="0" applyNumberFormat="0" applyFont="0" applyFill="0" applyBorder="0" applyAlignment="0">
      <alignment horizontal="left" indent="3"/>
    </xf>
    <xf numFmtId="173" fontId="18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19" fillId="0" borderId="0" applyNumberFormat="0" applyFont="0" applyFill="0" applyBorder="0" applyAlignment="0">
      <alignment horizontal="left" indent="4"/>
    </xf>
    <xf numFmtId="0" fontId="4" fillId="0" borderId="0" applyNumberFormat="0" applyFont="0" applyFill="0" applyBorder="0" applyAlignment="0">
      <alignment horizontal="left" indent="4"/>
    </xf>
    <xf numFmtId="0" fontId="4" fillId="0" borderId="0" applyNumberFormat="0" applyFont="0" applyFill="0" applyBorder="0" applyAlignment="0">
      <alignment horizontal="left" indent="4"/>
    </xf>
    <xf numFmtId="0" fontId="4" fillId="0" borderId="0" applyNumberFormat="0" applyFont="0" applyFill="0" applyBorder="0" applyAlignment="0">
      <alignment horizontal="left" indent="4"/>
    </xf>
    <xf numFmtId="0" fontId="4" fillId="0" borderId="0" applyNumberFormat="0" applyFont="0" applyFill="0" applyBorder="0" applyAlignment="0">
      <alignment horizontal="left" indent="4"/>
    </xf>
    <xf numFmtId="173" fontId="20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21" fillId="0" borderId="0" applyNumberFormat="0" applyFont="0" applyFill="0" applyBorder="0" applyAlignment="0">
      <alignment horizontal="left" indent="5"/>
    </xf>
    <xf numFmtId="0" fontId="22" fillId="0" borderId="0" applyNumberFormat="0" applyFont="0" applyFill="0" applyBorder="0" applyAlignment="0">
      <alignment horizontal="left" indent="5"/>
    </xf>
    <xf numFmtId="173" fontId="23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 applyNumberFormat="0" applyFont="0" applyFill="0" applyBorder="0" applyAlignment="0"/>
    <xf numFmtId="0" fontId="4" fillId="0" borderId="0"/>
    <xf numFmtId="0" fontId="4" fillId="0" borderId="0"/>
    <xf numFmtId="0" fontId="4" fillId="0" borderId="0"/>
    <xf numFmtId="0" fontId="20" fillId="0" borderId="0" applyNumberFormat="0" applyFont="0" applyFill="0" applyBorder="0" applyAlignment="0">
      <alignment horizontal="left" indent="6"/>
    </xf>
    <xf numFmtId="4" fontId="50" fillId="39" borderId="26" applyNumberFormat="0" applyProtection="0">
      <alignment horizontal="left" vertical="center" indent="1"/>
    </xf>
    <xf numFmtId="0" fontId="51" fillId="48" borderId="27" applyNumberFormat="0" applyAlignment="0"/>
    <xf numFmtId="0" fontId="4" fillId="0" borderId="0"/>
    <xf numFmtId="0" fontId="52" fillId="0" borderId="0" applyNumberFormat="0" applyFill="0" applyBorder="0" applyAlignment="0" applyProtection="0"/>
    <xf numFmtId="0" fontId="53" fillId="0" borderId="28" applyNumberFormat="0" applyFill="0" applyAlignment="0" applyProtection="0"/>
    <xf numFmtId="0" fontId="54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 wrapText="1"/>
    </xf>
    <xf numFmtId="43" fontId="0" fillId="0" borderId="0" xfId="1" applyFont="1"/>
    <xf numFmtId="165" fontId="0" fillId="2" borderId="2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3" fillId="3" borderId="5" xfId="0" applyFont="1" applyFill="1" applyBorder="1" applyAlignment="1">
      <alignment horizontal="left" vertical="top" wrapText="1"/>
    </xf>
    <xf numFmtId="10" fontId="0" fillId="2" borderId="12" xfId="3" applyNumberFormat="1" applyFont="1" applyFill="1" applyBorder="1" applyAlignment="1">
      <alignment horizontal="center"/>
    </xf>
    <xf numFmtId="10" fontId="3" fillId="5" borderId="5" xfId="3" applyNumberFormat="1" applyFont="1" applyFill="1" applyBorder="1" applyAlignment="1">
      <alignment horizontal="center" vertical="top" wrapText="1"/>
    </xf>
    <xf numFmtId="167" fontId="3" fillId="5" borderId="5" xfId="2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5" borderId="11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165" fontId="3" fillId="50" borderId="13" xfId="1" applyNumberFormat="1" applyFont="1" applyFill="1" applyBorder="1"/>
    <xf numFmtId="0" fontId="3" fillId="6" borderId="12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5" fontId="0" fillId="51" borderId="2" xfId="1" applyNumberFormat="1" applyFont="1" applyFill="1" applyBorder="1" applyAlignment="1">
      <alignment horizontal="center"/>
    </xf>
    <xf numFmtId="165" fontId="0" fillId="6" borderId="2" xfId="1" applyNumberFormat="1" applyFont="1" applyFill="1" applyBorder="1" applyAlignment="1">
      <alignment horizontal="center"/>
    </xf>
    <xf numFmtId="165" fontId="0" fillId="20" borderId="2" xfId="1" applyNumberFormat="1" applyFont="1" applyFill="1" applyBorder="1" applyAlignment="1">
      <alignment horizontal="center"/>
    </xf>
    <xf numFmtId="165" fontId="0" fillId="53" borderId="7" xfId="1" applyNumberFormat="1" applyFont="1" applyFill="1" applyBorder="1" applyAlignment="1">
      <alignment horizontal="center"/>
    </xf>
    <xf numFmtId="165" fontId="0" fillId="55" borderId="7" xfId="1" applyNumberFormat="1" applyFont="1" applyFill="1" applyBorder="1" applyAlignment="1">
      <alignment horizontal="center"/>
    </xf>
    <xf numFmtId="165" fontId="0" fillId="51" borderId="4" xfId="1" applyNumberFormat="1" applyFont="1" applyFill="1" applyBorder="1" applyAlignment="1">
      <alignment horizontal="center"/>
    </xf>
    <xf numFmtId="165" fontId="0" fillId="20" borderId="3" xfId="1" applyNumberFormat="1" applyFont="1" applyFill="1" applyBorder="1" applyAlignment="1">
      <alignment horizontal="center"/>
    </xf>
    <xf numFmtId="165" fontId="3" fillId="51" borderId="3" xfId="1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53" borderId="31" xfId="1" applyNumberFormat="1" applyFont="1" applyFill="1" applyBorder="1" applyAlignment="1">
      <alignment horizontal="center"/>
    </xf>
    <xf numFmtId="165" fontId="0" fillId="53" borderId="3" xfId="1" applyNumberFormat="1" applyFont="1" applyFill="1" applyBorder="1" applyAlignment="1">
      <alignment horizontal="center"/>
    </xf>
    <xf numFmtId="165" fontId="0" fillId="55" borderId="31" xfId="1" applyNumberFormat="1" applyFont="1" applyFill="1" applyBorder="1" applyAlignment="1">
      <alignment horizontal="center"/>
    </xf>
    <xf numFmtId="165" fontId="0" fillId="55" borderId="3" xfId="1" applyNumberFormat="1" applyFont="1" applyFill="1" applyBorder="1" applyAlignment="1">
      <alignment horizontal="center"/>
    </xf>
    <xf numFmtId="165" fontId="3" fillId="54" borderId="3" xfId="1" applyNumberFormat="1" applyFont="1" applyFill="1" applyBorder="1" applyAlignment="1">
      <alignment horizontal="center"/>
    </xf>
    <xf numFmtId="165" fontId="0" fillId="0" borderId="3" xfId="1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53" borderId="7" xfId="1" applyNumberFormat="1" applyFont="1" applyFill="1" applyBorder="1" applyAlignment="1">
      <alignment horizontal="center"/>
    </xf>
    <xf numFmtId="165" fontId="3" fillId="52" borderId="13" xfId="1" applyNumberFormat="1" applyFont="1" applyFill="1" applyBorder="1"/>
    <xf numFmtId="165" fontId="3" fillId="56" borderId="13" xfId="1" applyNumberFormat="1" applyFont="1" applyFill="1" applyBorder="1"/>
    <xf numFmtId="165" fontId="0" fillId="57" borderId="6" xfId="1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vertical="top"/>
    </xf>
    <xf numFmtId="0" fontId="3" fillId="6" borderId="11" xfId="0" applyFont="1" applyFill="1" applyBorder="1" applyAlignment="1">
      <alignment vertical="top"/>
    </xf>
    <xf numFmtId="0" fontId="3" fillId="6" borderId="34" xfId="0" applyFont="1" applyFill="1" applyBorder="1" applyAlignment="1"/>
    <xf numFmtId="0" fontId="3" fillId="6" borderId="31" xfId="0" applyFont="1" applyFill="1" applyBorder="1" applyAlignment="1">
      <alignment horizontal="center" vertical="top" wrapText="1"/>
    </xf>
    <xf numFmtId="175" fontId="0" fillId="49" borderId="5" xfId="0" applyNumberFormat="1" applyFill="1" applyBorder="1" applyAlignment="1">
      <alignment horizontal="center"/>
    </xf>
    <xf numFmtId="175" fontId="0" fillId="0" borderId="0" xfId="0" applyNumberFormat="1"/>
    <xf numFmtId="167" fontId="0" fillId="53" borderId="5" xfId="1" applyNumberFormat="1" applyFont="1" applyFill="1" applyBorder="1" applyAlignment="1">
      <alignment horizontal="center" vertical="center"/>
    </xf>
    <xf numFmtId="167" fontId="0" fillId="55" borderId="5" xfId="1" applyNumberFormat="1" applyFont="1" applyFill="1" applyBorder="1" applyAlignment="1">
      <alignment horizontal="center" vertical="center"/>
    </xf>
    <xf numFmtId="10" fontId="0" fillId="2" borderId="12" xfId="347" applyNumberFormat="1" applyFont="1" applyFill="1" applyBorder="1" applyAlignment="1">
      <alignment horizontal="center"/>
    </xf>
    <xf numFmtId="165" fontId="3" fillId="50" borderId="13" xfId="260" applyNumberFormat="1" applyFont="1" applyFill="1" applyBorder="1"/>
    <xf numFmtId="165" fontId="3" fillId="52" borderId="13" xfId="260" applyNumberFormat="1" applyFont="1" applyFill="1" applyBorder="1"/>
    <xf numFmtId="165" fontId="3" fillId="56" borderId="13" xfId="260" applyNumberFormat="1" applyFont="1" applyFill="1" applyBorder="1"/>
    <xf numFmtId="165" fontId="0" fillId="6" borderId="5" xfId="260" applyNumberFormat="1" applyFont="1" applyFill="1" applyBorder="1" applyAlignment="1">
      <alignment horizontal="center" vertical="center"/>
    </xf>
    <xf numFmtId="165" fontId="0" fillId="51" borderId="5" xfId="260" applyNumberFormat="1" applyFont="1" applyFill="1" applyBorder="1" applyAlignment="1">
      <alignment horizontal="center" vertical="center"/>
    </xf>
    <xf numFmtId="165" fontId="0" fillId="20" borderId="5" xfId="260" applyNumberFormat="1" applyFont="1" applyFill="1" applyBorder="1" applyAlignment="1">
      <alignment horizontal="center" vertical="center"/>
    </xf>
    <xf numFmtId="43" fontId="0" fillId="0" borderId="0" xfId="260" applyFont="1"/>
    <xf numFmtId="165" fontId="0" fillId="6" borderId="2" xfId="260" applyNumberFormat="1" applyFont="1" applyFill="1" applyBorder="1" applyAlignment="1">
      <alignment horizontal="center"/>
    </xf>
    <xf numFmtId="165" fontId="0" fillId="51" borderId="2" xfId="260" applyNumberFormat="1" applyFont="1" applyFill="1" applyBorder="1" applyAlignment="1">
      <alignment horizontal="center"/>
    </xf>
    <xf numFmtId="165" fontId="0" fillId="20" borderId="2" xfId="260" applyNumberFormat="1" applyFont="1" applyFill="1" applyBorder="1" applyAlignment="1">
      <alignment horizontal="center"/>
    </xf>
    <xf numFmtId="165" fontId="0" fillId="53" borderId="7" xfId="260" applyNumberFormat="1" applyFont="1" applyFill="1" applyBorder="1" applyAlignment="1">
      <alignment horizontal="center"/>
    </xf>
    <xf numFmtId="165" fontId="0" fillId="55" borderId="7" xfId="260" applyNumberFormat="1" applyFont="1" applyFill="1" applyBorder="1" applyAlignment="1">
      <alignment horizontal="center"/>
    </xf>
    <xf numFmtId="165" fontId="0" fillId="0" borderId="2" xfId="260" applyNumberFormat="1" applyFont="1" applyBorder="1" applyAlignment="1">
      <alignment horizontal="center"/>
    </xf>
    <xf numFmtId="43" fontId="0" fillId="53" borderId="7" xfId="260" applyNumberFormat="1" applyFont="1" applyFill="1" applyBorder="1" applyAlignment="1">
      <alignment horizontal="center"/>
    </xf>
    <xf numFmtId="165" fontId="0" fillId="2" borderId="2" xfId="260" applyNumberFormat="1" applyFont="1" applyFill="1" applyBorder="1" applyAlignment="1">
      <alignment horizontal="center"/>
    </xf>
    <xf numFmtId="166" fontId="0" fillId="0" borderId="0" xfId="526" applyNumberFormat="1" applyFont="1"/>
    <xf numFmtId="165" fontId="0" fillId="51" borderId="4" xfId="260" applyNumberFormat="1" applyFont="1" applyFill="1" applyBorder="1" applyAlignment="1">
      <alignment horizontal="center"/>
    </xf>
    <xf numFmtId="165" fontId="0" fillId="53" borderId="31" xfId="260" applyNumberFormat="1" applyFont="1" applyFill="1" applyBorder="1" applyAlignment="1">
      <alignment horizontal="center"/>
    </xf>
    <xf numFmtId="165" fontId="0" fillId="55" borderId="31" xfId="260" applyNumberFormat="1" applyFont="1" applyFill="1" applyBorder="1" applyAlignment="1">
      <alignment horizontal="center"/>
    </xf>
    <xf numFmtId="165" fontId="3" fillId="51" borderId="3" xfId="260" applyNumberFormat="1" applyFont="1" applyFill="1" applyBorder="1" applyAlignment="1">
      <alignment horizontal="center"/>
    </xf>
    <xf numFmtId="165" fontId="0" fillId="20" borderId="3" xfId="260" applyNumberFormat="1" applyFont="1" applyFill="1" applyBorder="1" applyAlignment="1">
      <alignment horizontal="center"/>
    </xf>
    <xf numFmtId="165" fontId="0" fillId="53" borderId="3" xfId="260" applyNumberFormat="1" applyFont="1" applyFill="1" applyBorder="1" applyAlignment="1">
      <alignment horizontal="center"/>
    </xf>
    <xf numFmtId="165" fontId="3" fillId="54" borderId="3" xfId="260" applyNumberFormat="1" applyFont="1" applyFill="1" applyBorder="1" applyAlignment="1">
      <alignment horizontal="center"/>
    </xf>
    <xf numFmtId="165" fontId="0" fillId="55" borderId="3" xfId="260" applyNumberFormat="1" applyFont="1" applyFill="1" applyBorder="1" applyAlignment="1">
      <alignment horizontal="center"/>
    </xf>
    <xf numFmtId="165" fontId="0" fillId="0" borderId="3" xfId="260" applyNumberFormat="1" applyFont="1" applyFill="1" applyBorder="1" applyAlignment="1">
      <alignment horizontal="center"/>
    </xf>
    <xf numFmtId="165" fontId="0" fillId="57" borderId="6" xfId="260" applyNumberFormat="1" applyFont="1" applyFill="1" applyBorder="1" applyAlignment="1">
      <alignment horizontal="center"/>
    </xf>
    <xf numFmtId="167" fontId="2" fillId="54" borderId="5" xfId="1" applyNumberFormat="1" applyFont="1" applyFill="1" applyBorder="1" applyAlignment="1">
      <alignment horizontal="center" vertical="center"/>
    </xf>
    <xf numFmtId="0" fontId="2" fillId="0" borderId="0" xfId="0" applyFont="1"/>
    <xf numFmtId="165" fontId="2" fillId="54" borderId="2" xfId="1" applyNumberFormat="1" applyFont="1" applyFill="1" applyBorder="1" applyAlignment="1">
      <alignment horizontal="center"/>
    </xf>
    <xf numFmtId="165" fontId="2" fillId="54" borderId="4" xfId="1" applyNumberFormat="1" applyFont="1" applyFill="1" applyBorder="1" applyAlignment="1">
      <alignment horizontal="center"/>
    </xf>
    <xf numFmtId="165" fontId="2" fillId="6" borderId="3" xfId="1" applyNumberFormat="1" applyFont="1" applyFill="1" applyBorder="1" applyAlignment="1">
      <alignment horizontal="center"/>
    </xf>
    <xf numFmtId="165" fontId="2" fillId="20" borderId="3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2" fillId="54" borderId="2" xfId="260" applyNumberFormat="1" applyFont="1" applyFill="1" applyBorder="1" applyAlignment="1">
      <alignment horizontal="center"/>
    </xf>
    <xf numFmtId="0" fontId="2" fillId="0" borderId="2" xfId="0" applyFont="1" applyBorder="1"/>
    <xf numFmtId="165" fontId="2" fillId="54" borderId="4" xfId="260" applyNumberFormat="1" applyFont="1" applyFill="1" applyBorder="1" applyAlignment="1">
      <alignment horizontal="center"/>
    </xf>
    <xf numFmtId="165" fontId="2" fillId="6" borderId="3" xfId="260" applyNumberFormat="1" applyFont="1" applyFill="1" applyBorder="1" applyAlignment="1">
      <alignment horizontal="center"/>
    </xf>
    <xf numFmtId="165" fontId="2" fillId="20" borderId="3" xfId="260" applyNumberFormat="1" applyFont="1" applyFill="1" applyBorder="1" applyAlignment="1">
      <alignment horizontal="center"/>
    </xf>
    <xf numFmtId="43" fontId="0" fillId="6" borderId="2" xfId="260" applyNumberFormat="1" applyFont="1" applyFill="1" applyBorder="1" applyAlignment="1">
      <alignment horizontal="center"/>
    </xf>
    <xf numFmtId="43" fontId="0" fillId="20" borderId="2" xfId="260" applyNumberFormat="1" applyFont="1" applyFill="1" applyBorder="1" applyAlignment="1">
      <alignment horizontal="center"/>
    </xf>
    <xf numFmtId="9" fontId="0" fillId="5" borderId="5" xfId="347" applyFont="1" applyFill="1" applyBorder="1"/>
    <xf numFmtId="165" fontId="0" fillId="5" borderId="5" xfId="0" applyNumberFormat="1" applyFill="1" applyBorder="1"/>
    <xf numFmtId="165" fontId="3" fillId="5" borderId="5" xfId="0" applyNumberFormat="1" applyFont="1" applyFill="1" applyBorder="1"/>
    <xf numFmtId="0" fontId="3" fillId="6" borderId="5" xfId="0" applyFont="1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57" borderId="5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9" fontId="0" fillId="5" borderId="5" xfId="347" applyFont="1" applyFill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9" fontId="3" fillId="5" borderId="5" xfId="347" applyFont="1" applyFill="1" applyBorder="1" applyAlignment="1">
      <alignment horizontal="center"/>
    </xf>
    <xf numFmtId="9" fontId="3" fillId="5" borderId="5" xfId="347" applyFont="1" applyFill="1" applyBorder="1"/>
    <xf numFmtId="0" fontId="3" fillId="6" borderId="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37" xfId="0" applyBorder="1" applyAlignment="1">
      <alignment vertical="top"/>
    </xf>
    <xf numFmtId="9" fontId="0" fillId="57" borderId="5" xfId="347" applyFont="1" applyFill="1" applyBorder="1" applyAlignment="1">
      <alignment horizontal="center"/>
    </xf>
    <xf numFmtId="9" fontId="0" fillId="0" borderId="0" xfId="3" applyFont="1"/>
    <xf numFmtId="176" fontId="3" fillId="5" borderId="5" xfId="0" applyNumberFormat="1" applyFont="1" applyFill="1" applyBorder="1" applyAlignment="1">
      <alignment horizontal="center"/>
    </xf>
    <xf numFmtId="10" fontId="0" fillId="5" borderId="5" xfId="347" applyNumberFormat="1" applyFont="1" applyFill="1" applyBorder="1" applyAlignment="1">
      <alignment horizontal="center"/>
    </xf>
    <xf numFmtId="0" fontId="3" fillId="0" borderId="5" xfId="0" applyFont="1" applyBorder="1" applyAlignment="1">
      <alignment vertical="center" wrapText="1"/>
    </xf>
    <xf numFmtId="43" fontId="0" fillId="51" borderId="2" xfId="1" applyNumberFormat="1" applyFont="1" applyFill="1" applyBorder="1" applyAlignment="1">
      <alignment horizontal="center"/>
    </xf>
    <xf numFmtId="43" fontId="0" fillId="51" borderId="2" xfId="260" applyNumberFormat="1" applyFont="1" applyFill="1" applyBorder="1" applyAlignment="1">
      <alignment horizontal="center"/>
    </xf>
    <xf numFmtId="10" fontId="3" fillId="5" borderId="0" xfId="3" applyNumberFormat="1" applyFont="1" applyFill="1" applyBorder="1" applyAlignment="1">
      <alignment horizontal="left" vertical="top" wrapText="1"/>
    </xf>
    <xf numFmtId="0" fontId="0" fillId="58" borderId="0" xfId="0" applyFill="1"/>
    <xf numFmtId="0" fontId="57" fillId="0" borderId="0" xfId="0" applyFont="1"/>
    <xf numFmtId="169" fontId="0" fillId="0" borderId="0" xfId="0" applyNumberFormat="1"/>
    <xf numFmtId="0" fontId="57" fillId="0" borderId="39" xfId="0" applyFont="1" applyBorder="1"/>
    <xf numFmtId="169" fontId="57" fillId="0" borderId="39" xfId="0" applyNumberFormat="1" applyFont="1" applyBorder="1"/>
    <xf numFmtId="169" fontId="57" fillId="0" borderId="0" xfId="0" applyNumberFormat="1" applyFont="1"/>
    <xf numFmtId="0" fontId="57" fillId="0" borderId="25" xfId="0" applyFont="1" applyBorder="1"/>
    <xf numFmtId="169" fontId="57" fillId="0" borderId="25" xfId="0" applyNumberFormat="1" applyFont="1" applyBorder="1"/>
    <xf numFmtId="0" fontId="57" fillId="0" borderId="40" xfId="0" applyFont="1" applyBorder="1"/>
    <xf numFmtId="0" fontId="0" fillId="0" borderId="40" xfId="0" applyBorder="1"/>
    <xf numFmtId="169" fontId="57" fillId="0" borderId="40" xfId="0" applyNumberFormat="1" applyFont="1" applyBorder="1"/>
    <xf numFmtId="0" fontId="57" fillId="0" borderId="12" xfId="0" applyFont="1" applyBorder="1" applyAlignment="1">
      <alignment horizontal="center"/>
    </xf>
    <xf numFmtId="0" fontId="0" fillId="0" borderId="41" xfId="0" applyBorder="1"/>
    <xf numFmtId="0" fontId="0" fillId="0" borderId="15" xfId="0" applyBorder="1"/>
    <xf numFmtId="169" fontId="0" fillId="0" borderId="42" xfId="0" applyNumberFormat="1" applyBorder="1" applyAlignment="1">
      <alignment horizontal="center"/>
    </xf>
    <xf numFmtId="169" fontId="0" fillId="0" borderId="43" xfId="0" applyNumberFormat="1" applyBorder="1" applyAlignment="1">
      <alignment horizontal="center"/>
    </xf>
    <xf numFmtId="0" fontId="0" fillId="0" borderId="31" xfId="0" applyBorder="1"/>
    <xf numFmtId="0" fontId="0" fillId="0" borderId="0" xfId="0" applyBorder="1"/>
    <xf numFmtId="169" fontId="0" fillId="0" borderId="44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9" fontId="59" fillId="0" borderId="42" xfId="0" applyNumberFormat="1" applyFont="1" applyBorder="1" applyAlignment="1">
      <alignment horizontal="center"/>
    </xf>
    <xf numFmtId="169" fontId="59" fillId="0" borderId="44" xfId="0" applyNumberFormat="1" applyFont="1" applyBorder="1" applyAlignment="1">
      <alignment horizontal="center"/>
    </xf>
    <xf numFmtId="0" fontId="0" fillId="0" borderId="31" xfId="0" applyFill="1" applyBorder="1"/>
    <xf numFmtId="169" fontId="0" fillId="0" borderId="37" xfId="0" applyNumberFormat="1" applyBorder="1" applyAlignment="1">
      <alignment horizontal="center"/>
    </xf>
    <xf numFmtId="169" fontId="59" fillId="0" borderId="31" xfId="0" applyNumberFormat="1" applyFont="1" applyBorder="1" applyAlignment="1">
      <alignment horizontal="center"/>
    </xf>
    <xf numFmtId="0" fontId="0" fillId="0" borderId="38" xfId="0" applyBorder="1"/>
    <xf numFmtId="169" fontId="0" fillId="0" borderId="31" xfId="0" applyNumberFormat="1" applyBorder="1" applyAlignment="1">
      <alignment horizontal="center"/>
    </xf>
    <xf numFmtId="0" fontId="0" fillId="0" borderId="12" xfId="0" applyBorder="1"/>
    <xf numFmtId="0" fontId="0" fillId="0" borderId="33" xfId="0" applyBorder="1"/>
    <xf numFmtId="0" fontId="0" fillId="0" borderId="30" xfId="0" applyBorder="1"/>
    <xf numFmtId="0" fontId="0" fillId="0" borderId="11" xfId="0" applyBorder="1"/>
    <xf numFmtId="178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57" fillId="0" borderId="45" xfId="0" applyNumberFormat="1" applyFont="1" applyBorder="1" applyAlignment="1">
      <alignment horizontal="center"/>
    </xf>
    <xf numFmtId="0" fontId="0" fillId="58" borderId="2" xfId="0" applyFill="1" applyBorder="1"/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67" fontId="0" fillId="0" borderId="5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0" borderId="0" xfId="0" pivotButton="1" applyNumberFormat="1"/>
    <xf numFmtId="0" fontId="2" fillId="0" borderId="0" xfId="0" applyFont="1" applyAlignment="1">
      <alignment horizontal="center" vertical="center"/>
    </xf>
    <xf numFmtId="166" fontId="0" fillId="57" borderId="5" xfId="2" applyNumberFormat="1" applyFont="1" applyFill="1" applyBorder="1" applyAlignment="1">
      <alignment horizontal="center"/>
    </xf>
    <xf numFmtId="179" fontId="0" fillId="0" borderId="0" xfId="0" applyNumberFormat="1"/>
    <xf numFmtId="175" fontId="0" fillId="0" borderId="5" xfId="1" applyNumberFormat="1" applyFont="1" applyFill="1" applyBorder="1" applyAlignment="1">
      <alignment horizontal="center" vertical="center"/>
    </xf>
    <xf numFmtId="165" fontId="0" fillId="58" borderId="2" xfId="26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top" wrapText="1"/>
    </xf>
    <xf numFmtId="10" fontId="3" fillId="5" borderId="5" xfId="3" applyNumberFormat="1" applyFont="1" applyFill="1" applyBorder="1" applyAlignment="1">
      <alignment horizontal="left" vertical="top" wrapText="1"/>
    </xf>
    <xf numFmtId="0" fontId="3" fillId="6" borderId="9" xfId="0" applyFont="1" applyFill="1" applyBorder="1" applyAlignment="1">
      <alignment horizontal="center" vertical="top" wrapText="1"/>
    </xf>
    <xf numFmtId="0" fontId="3" fillId="6" borderId="11" xfId="0" applyFont="1" applyFill="1" applyBorder="1" applyAlignment="1">
      <alignment horizontal="center" vertical="top" wrapText="1"/>
    </xf>
    <xf numFmtId="0" fontId="3" fillId="6" borderId="10" xfId="0" applyFont="1" applyFill="1" applyBorder="1" applyAlignment="1">
      <alignment horizontal="center" vertical="top" wrapText="1"/>
    </xf>
    <xf numFmtId="0" fontId="3" fillId="6" borderId="35" xfId="0" applyFont="1" applyFill="1" applyBorder="1" applyAlignment="1">
      <alignment horizontal="center" vertical="top" wrapText="1"/>
    </xf>
    <xf numFmtId="0" fontId="3" fillId="6" borderId="15" xfId="0" applyFont="1" applyFill="1" applyBorder="1" applyAlignment="1">
      <alignment horizontal="center" vertical="top" wrapText="1"/>
    </xf>
    <xf numFmtId="0" fontId="3" fillId="6" borderId="29" xfId="0" applyFont="1" applyFill="1" applyBorder="1" applyAlignment="1">
      <alignment horizontal="center" vertical="top" wrapText="1"/>
    </xf>
    <xf numFmtId="0" fontId="3" fillId="6" borderId="30" xfId="0" applyFont="1" applyFill="1" applyBorder="1" applyAlignment="1">
      <alignment horizontal="center" vertical="top" wrapText="1"/>
    </xf>
    <xf numFmtId="0" fontId="3" fillId="6" borderId="33" xfId="0" applyFont="1" applyFill="1" applyBorder="1" applyAlignment="1">
      <alignment horizontal="center" vertical="top" wrapText="1"/>
    </xf>
    <xf numFmtId="0" fontId="3" fillId="6" borderId="34" xfId="0" applyFont="1" applyFill="1" applyBorder="1" applyAlignment="1">
      <alignment horizontal="center" vertical="top" wrapText="1"/>
    </xf>
    <xf numFmtId="0" fontId="3" fillId="57" borderId="30" xfId="0" applyFont="1" applyFill="1" applyBorder="1" applyAlignment="1">
      <alignment horizontal="center"/>
    </xf>
    <xf numFmtId="0" fontId="3" fillId="57" borderId="3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10" fontId="3" fillId="5" borderId="9" xfId="0" applyNumberFormat="1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 vertical="top"/>
    </xf>
    <xf numFmtId="0" fontId="3" fillId="6" borderId="10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57" borderId="5" xfId="0" applyFont="1" applyFill="1" applyBorder="1" applyAlignment="1">
      <alignment horizontal="center"/>
    </xf>
    <xf numFmtId="0" fontId="3" fillId="57" borderId="9" xfId="0" applyFont="1" applyFill="1" applyBorder="1" applyAlignment="1">
      <alignment horizontal="center"/>
    </xf>
    <xf numFmtId="0" fontId="3" fillId="57" borderId="11" xfId="0" applyFont="1" applyFill="1" applyBorder="1" applyAlignment="1">
      <alignment horizontal="center"/>
    </xf>
    <xf numFmtId="0" fontId="3" fillId="57" borderId="10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0" fillId="0" borderId="0" xfId="0" applyAlignment="1">
      <alignment horizontal="left" wrapText="1"/>
    </xf>
  </cellXfs>
  <cellStyles count="528">
    <cellStyle name="%" xfId="5"/>
    <cellStyle name="% 2" xfId="6"/>
    <cellStyle name="% 2 2 2" xfId="7"/>
    <cellStyle name="% 2 5" xfId="8"/>
    <cellStyle name="% 3 2" xfId="9"/>
    <cellStyle name="%_12-13 Budget" xfId="10"/>
    <cellStyle name="%_A3 Sheet 1" xfId="11"/>
    <cellStyle name="%_FTE's" xfId="12"/>
    <cellStyle name="%_P1 Recharge" xfId="13"/>
    <cellStyle name="%_P8 Hire Recharges" xfId="14"/>
    <cellStyle name="%_Summary" xfId="15"/>
    <cellStyle name="%_Summary_1" xfId="16"/>
    <cellStyle name="20% - Accent1 10" xfId="17"/>
    <cellStyle name="20% - Accent1 11" xfId="18"/>
    <cellStyle name="20% - Accent1 12" xfId="19"/>
    <cellStyle name="20% - Accent1 2" xfId="20"/>
    <cellStyle name="20% - Accent1 3" xfId="21"/>
    <cellStyle name="20% - Accent1 4" xfId="22"/>
    <cellStyle name="20% - Accent1 5" xfId="23"/>
    <cellStyle name="20% - Accent1 6" xfId="24"/>
    <cellStyle name="20% - Accent1 7" xfId="25"/>
    <cellStyle name="20% - Accent1 8" xfId="26"/>
    <cellStyle name="20% - Accent1 9" xfId="27"/>
    <cellStyle name="20% - Accent2 10" xfId="28"/>
    <cellStyle name="20% - Accent2 11" xfId="29"/>
    <cellStyle name="20% - Accent2 12" xfId="30"/>
    <cellStyle name="20% - Accent2 2" xfId="31"/>
    <cellStyle name="20% - Accent2 3" xfId="32"/>
    <cellStyle name="20% - Accent2 4" xfId="33"/>
    <cellStyle name="20% - Accent2 5" xfId="34"/>
    <cellStyle name="20% - Accent2 6" xfId="35"/>
    <cellStyle name="20% - Accent2 7" xfId="36"/>
    <cellStyle name="20% - Accent2 8" xfId="37"/>
    <cellStyle name="20% - Accent2 9" xfId="38"/>
    <cellStyle name="20% - Accent3 10" xfId="39"/>
    <cellStyle name="20% - Accent3 11" xfId="40"/>
    <cellStyle name="20% - Accent3 12" xfId="41"/>
    <cellStyle name="20% - Accent3 2" xfId="42"/>
    <cellStyle name="20% - Accent3 3" xfId="43"/>
    <cellStyle name="20% - Accent3 4" xfId="44"/>
    <cellStyle name="20% - Accent3 5" xfId="45"/>
    <cellStyle name="20% - Accent3 6" xfId="46"/>
    <cellStyle name="20% - Accent3 7" xfId="47"/>
    <cellStyle name="20% - Accent3 8" xfId="48"/>
    <cellStyle name="20% - Accent3 9" xfId="49"/>
    <cellStyle name="20% - Accent4 10" xfId="50"/>
    <cellStyle name="20% - Accent4 11" xfId="51"/>
    <cellStyle name="20% - Accent4 12" xfId="52"/>
    <cellStyle name="20% - Accent4 2" xfId="53"/>
    <cellStyle name="20% - Accent4 3" xfId="54"/>
    <cellStyle name="20% - Accent4 4" xfId="55"/>
    <cellStyle name="20% - Accent4 5" xfId="56"/>
    <cellStyle name="20% - Accent4 6" xfId="57"/>
    <cellStyle name="20% - Accent4 7" xfId="58"/>
    <cellStyle name="20% - Accent4 8" xfId="59"/>
    <cellStyle name="20% - Accent4 9" xfId="60"/>
    <cellStyle name="20% - Accent5 10" xfId="61"/>
    <cellStyle name="20% - Accent5 11" xfId="62"/>
    <cellStyle name="20% - Accent5 12" xfId="63"/>
    <cellStyle name="20% - Accent5 2" xfId="64"/>
    <cellStyle name="20% - Accent5 3" xfId="65"/>
    <cellStyle name="20% - Accent5 4" xfId="66"/>
    <cellStyle name="20% - Accent5 5" xfId="67"/>
    <cellStyle name="20% - Accent5 6" xfId="68"/>
    <cellStyle name="20% - Accent5 7" xfId="69"/>
    <cellStyle name="20% - Accent5 8" xfId="70"/>
    <cellStyle name="20% - Accent5 9" xfId="71"/>
    <cellStyle name="20% - Accent6 10" xfId="72"/>
    <cellStyle name="20% - Accent6 11" xfId="73"/>
    <cellStyle name="20% - Accent6 12" xfId="74"/>
    <cellStyle name="20% - Accent6 2" xfId="75"/>
    <cellStyle name="20% - Accent6 3" xfId="76"/>
    <cellStyle name="20% - Accent6 4" xfId="77"/>
    <cellStyle name="20% - Accent6 5" xfId="78"/>
    <cellStyle name="20% - Accent6 6" xfId="79"/>
    <cellStyle name="20% - Accent6 7" xfId="80"/>
    <cellStyle name="20% - Accent6 8" xfId="81"/>
    <cellStyle name="20% - Accent6 9" xfId="82"/>
    <cellStyle name="40% - Accent1 10" xfId="83"/>
    <cellStyle name="40% - Accent1 11" xfId="84"/>
    <cellStyle name="40% - Accent1 12" xfId="85"/>
    <cellStyle name="40% - Accent1 2" xfId="86"/>
    <cellStyle name="40% - Accent1 3" xfId="87"/>
    <cellStyle name="40% - Accent1 4" xfId="88"/>
    <cellStyle name="40% - Accent1 5" xfId="89"/>
    <cellStyle name="40% - Accent1 6" xfId="90"/>
    <cellStyle name="40% - Accent1 7" xfId="91"/>
    <cellStyle name="40% - Accent1 8" xfId="92"/>
    <cellStyle name="40% - Accent1 9" xfId="93"/>
    <cellStyle name="40% - Accent2 10" xfId="94"/>
    <cellStyle name="40% - Accent2 11" xfId="95"/>
    <cellStyle name="40% - Accent2 12" xfId="96"/>
    <cellStyle name="40% - Accent2 2" xfId="97"/>
    <cellStyle name="40% - Accent2 3" xfId="98"/>
    <cellStyle name="40% - Accent2 4" xfId="99"/>
    <cellStyle name="40% - Accent2 5" xfId="100"/>
    <cellStyle name="40% - Accent2 6" xfId="101"/>
    <cellStyle name="40% - Accent2 7" xfId="102"/>
    <cellStyle name="40% - Accent2 8" xfId="103"/>
    <cellStyle name="40% - Accent2 9" xfId="104"/>
    <cellStyle name="40% - Accent3 10" xfId="105"/>
    <cellStyle name="40% - Accent3 11" xfId="106"/>
    <cellStyle name="40% - Accent3 12" xfId="107"/>
    <cellStyle name="40% - Accent3 2" xfId="108"/>
    <cellStyle name="40% - Accent3 3" xfId="109"/>
    <cellStyle name="40% - Accent3 4" xfId="110"/>
    <cellStyle name="40% - Accent3 5" xfId="111"/>
    <cellStyle name="40% - Accent3 6" xfId="112"/>
    <cellStyle name="40% - Accent3 7" xfId="113"/>
    <cellStyle name="40% - Accent3 8" xfId="114"/>
    <cellStyle name="40% - Accent3 9" xfId="115"/>
    <cellStyle name="40% - Accent4 10" xfId="116"/>
    <cellStyle name="40% - Accent4 11" xfId="117"/>
    <cellStyle name="40% - Accent4 12" xfId="118"/>
    <cellStyle name="40% - Accent4 2" xfId="119"/>
    <cellStyle name="40% - Accent4 3" xfId="120"/>
    <cellStyle name="40% - Accent4 4" xfId="121"/>
    <cellStyle name="40% - Accent4 5" xfId="122"/>
    <cellStyle name="40% - Accent4 6" xfId="123"/>
    <cellStyle name="40% - Accent4 7" xfId="124"/>
    <cellStyle name="40% - Accent4 8" xfId="125"/>
    <cellStyle name="40% - Accent4 9" xfId="126"/>
    <cellStyle name="40% - Accent5 10" xfId="127"/>
    <cellStyle name="40% - Accent5 11" xfId="128"/>
    <cellStyle name="40% - Accent5 12" xfId="129"/>
    <cellStyle name="40% - Accent5 2" xfId="130"/>
    <cellStyle name="40% - Accent5 3" xfId="131"/>
    <cellStyle name="40% - Accent5 4" xfId="132"/>
    <cellStyle name="40% - Accent5 5" xfId="133"/>
    <cellStyle name="40% - Accent5 6" xfId="134"/>
    <cellStyle name="40% - Accent5 7" xfId="135"/>
    <cellStyle name="40% - Accent5 8" xfId="136"/>
    <cellStyle name="40% - Accent5 9" xfId="137"/>
    <cellStyle name="40% - Accent6 10" xfId="138"/>
    <cellStyle name="40% - Accent6 11" xfId="139"/>
    <cellStyle name="40% - Accent6 12" xfId="140"/>
    <cellStyle name="40% - Accent6 2" xfId="141"/>
    <cellStyle name="40% - Accent6 3" xfId="142"/>
    <cellStyle name="40% - Accent6 4" xfId="143"/>
    <cellStyle name="40% - Accent6 5" xfId="144"/>
    <cellStyle name="40% - Accent6 6" xfId="145"/>
    <cellStyle name="40% - Accent6 7" xfId="146"/>
    <cellStyle name="40% - Accent6 8" xfId="147"/>
    <cellStyle name="40% - Accent6 9" xfId="148"/>
    <cellStyle name="60% - Accent1 2" xfId="149"/>
    <cellStyle name="60% - Accent2 2" xfId="150"/>
    <cellStyle name="60% - Accent3 2" xfId="151"/>
    <cellStyle name="60% - Accent4 2" xfId="152"/>
    <cellStyle name="60% - Accent5 2" xfId="153"/>
    <cellStyle name="60% - Accent6 2" xfId="154"/>
    <cellStyle name="Accent1 2" xfId="155"/>
    <cellStyle name="Accent2 2" xfId="156"/>
    <cellStyle name="Accent3 2" xfId="157"/>
    <cellStyle name="Accent4 2" xfId="158"/>
    <cellStyle name="Accent5 2" xfId="159"/>
    <cellStyle name="Accent6 2" xfId="160"/>
    <cellStyle name="Bad 2" xfId="161"/>
    <cellStyle name="C00A" xfId="162"/>
    <cellStyle name="C00B" xfId="163"/>
    <cellStyle name="C00B 10" xfId="164"/>
    <cellStyle name="C00B 10 2" xfId="165"/>
    <cellStyle name="C00B 11" xfId="166"/>
    <cellStyle name="C00B 11 2" xfId="167"/>
    <cellStyle name="C00B 12" xfId="168"/>
    <cellStyle name="C00B 12 2" xfId="169"/>
    <cellStyle name="C00B 13" xfId="170"/>
    <cellStyle name="C00B 13 2" xfId="171"/>
    <cellStyle name="C00B 14" xfId="172"/>
    <cellStyle name="C00B 2" xfId="173"/>
    <cellStyle name="C00B 2 2" xfId="174"/>
    <cellStyle name="C00B 2 3" xfId="175"/>
    <cellStyle name="C00B 2 4" xfId="176"/>
    <cellStyle name="C00B 3" xfId="177"/>
    <cellStyle name="C00B 3 2" xfId="178"/>
    <cellStyle name="C00B 3 3" xfId="179"/>
    <cellStyle name="C00B 3 4" xfId="180"/>
    <cellStyle name="C00B 4" xfId="181"/>
    <cellStyle name="C00B 4 2" xfId="182"/>
    <cellStyle name="C00B 4 3" xfId="183"/>
    <cellStyle name="C00B 4 4" xfId="184"/>
    <cellStyle name="C00B 5" xfId="185"/>
    <cellStyle name="C00B 5 2" xfId="186"/>
    <cellStyle name="C00B 5 3" xfId="187"/>
    <cellStyle name="C00B 5 4" xfId="188"/>
    <cellStyle name="C00B 6" xfId="189"/>
    <cellStyle name="C00B 6 2" xfId="190"/>
    <cellStyle name="C00B 6 3" xfId="191"/>
    <cellStyle name="C00B 6 4" xfId="192"/>
    <cellStyle name="C00B 7" xfId="193"/>
    <cellStyle name="C00B 7 2" xfId="194"/>
    <cellStyle name="C00B 7 3" xfId="195"/>
    <cellStyle name="C00B 7 4" xfId="196"/>
    <cellStyle name="C00B 8" xfId="197"/>
    <cellStyle name="C00B 8 2" xfId="198"/>
    <cellStyle name="C00B 8 3" xfId="199"/>
    <cellStyle name="C00B 8 4" xfId="200"/>
    <cellStyle name="C00B 9" xfId="201"/>
    <cellStyle name="C00B 9 2" xfId="202"/>
    <cellStyle name="C00B 9 3" xfId="203"/>
    <cellStyle name="C00L" xfId="204"/>
    <cellStyle name="C00L 2" xfId="205"/>
    <cellStyle name="C00L 2 2" xfId="206"/>
    <cellStyle name="C00L 2 3" xfId="207"/>
    <cellStyle name="C00L 2 4" xfId="208"/>
    <cellStyle name="C00L 3" xfId="209"/>
    <cellStyle name="C01A" xfId="210"/>
    <cellStyle name="C01A 2" xfId="211"/>
    <cellStyle name="C01A 3" xfId="212"/>
    <cellStyle name="C01A 4" xfId="213"/>
    <cellStyle name="C01B" xfId="214"/>
    <cellStyle name="C01B 2" xfId="215"/>
    <cellStyle name="C01B 3" xfId="216"/>
    <cellStyle name="C01H" xfId="217"/>
    <cellStyle name="C01L" xfId="218"/>
    <cellStyle name="C02A" xfId="219"/>
    <cellStyle name="C02B" xfId="220"/>
    <cellStyle name="C02B 2" xfId="221"/>
    <cellStyle name="C02B 3" xfId="222"/>
    <cellStyle name="C02H" xfId="223"/>
    <cellStyle name="C02L" xfId="224"/>
    <cellStyle name="C03A" xfId="225"/>
    <cellStyle name="C03B" xfId="226"/>
    <cellStyle name="C03B 2" xfId="227"/>
    <cellStyle name="C03B 3" xfId="228"/>
    <cellStyle name="C03H" xfId="229"/>
    <cellStyle name="C03L" xfId="230"/>
    <cellStyle name="C04A" xfId="231"/>
    <cellStyle name="C04A 2" xfId="232"/>
    <cellStyle name="C04A 3" xfId="233"/>
    <cellStyle name="C04B" xfId="234"/>
    <cellStyle name="C04B 2" xfId="235"/>
    <cellStyle name="C04B 3" xfId="236"/>
    <cellStyle name="C04H" xfId="237"/>
    <cellStyle name="C04L" xfId="238"/>
    <cellStyle name="C05A" xfId="239"/>
    <cellStyle name="C05B" xfId="240"/>
    <cellStyle name="C05B 2" xfId="241"/>
    <cellStyle name="C05B 3" xfId="242"/>
    <cellStyle name="C05H" xfId="243"/>
    <cellStyle name="C05L" xfId="244"/>
    <cellStyle name="C05L 2" xfId="245"/>
    <cellStyle name="C05L 3" xfId="246"/>
    <cellStyle name="C05L 4" xfId="247"/>
    <cellStyle name="C06A" xfId="248"/>
    <cellStyle name="C06B" xfId="249"/>
    <cellStyle name="C06B 2" xfId="250"/>
    <cellStyle name="C06B 3" xfId="251"/>
    <cellStyle name="C06H" xfId="252"/>
    <cellStyle name="C06L" xfId="253"/>
    <cellStyle name="C07A" xfId="254"/>
    <cellStyle name="C07B" xfId="255"/>
    <cellStyle name="C07H" xfId="256"/>
    <cellStyle name="C07L" xfId="257"/>
    <cellStyle name="Calculation 2" xfId="258"/>
    <cellStyle name="Check Cell 2" xfId="259"/>
    <cellStyle name="Comma" xfId="1" builtinId="3"/>
    <cellStyle name="Comma 11" xfId="527"/>
    <cellStyle name="Comma 2" xfId="260"/>
    <cellStyle name="Comma 2 2" xfId="261"/>
    <cellStyle name="Comma 3" xfId="262"/>
    <cellStyle name="Comma 3 2" xfId="263"/>
    <cellStyle name="Comma 4" xfId="264"/>
    <cellStyle name="Comma 5" xfId="265"/>
    <cellStyle name="Comma 6" xfId="266"/>
    <cellStyle name="Comma 7" xfId="267"/>
    <cellStyle name="Currency" xfId="2" builtinId="4"/>
    <cellStyle name="Currency 2" xfId="268"/>
    <cellStyle name="Currency 3" xfId="526"/>
    <cellStyle name="Error" xfId="269"/>
    <cellStyle name="Explanatory Text 2" xfId="270"/>
    <cellStyle name="Good 2" xfId="271"/>
    <cellStyle name="Heading 1 2" xfId="272"/>
    <cellStyle name="Heading 2 2" xfId="273"/>
    <cellStyle name="Heading 3 2" xfId="274"/>
    <cellStyle name="Heading 4 2" xfId="275"/>
    <cellStyle name="Input 2" xfId="276"/>
    <cellStyle name="Linked Cell 2" xfId="277"/>
    <cellStyle name="Neutral 2" xfId="278"/>
    <cellStyle name="Normal" xfId="0" builtinId="0"/>
    <cellStyle name="Normal 10" xfId="279"/>
    <cellStyle name="Normal 10 2" xfId="280"/>
    <cellStyle name="Normal 11" xfId="281"/>
    <cellStyle name="Normal 12" xfId="282"/>
    <cellStyle name="Normal 13" xfId="283"/>
    <cellStyle name="Normal 14" xfId="284"/>
    <cellStyle name="Normal 15" xfId="285"/>
    <cellStyle name="Normal 16" xfId="286"/>
    <cellStyle name="Normal 17" xfId="287"/>
    <cellStyle name="Normal 18" xfId="288"/>
    <cellStyle name="Normal 19" xfId="289"/>
    <cellStyle name="Normal 2" xfId="4"/>
    <cellStyle name="Normal 2 10" xfId="290"/>
    <cellStyle name="Normal 2 2" xfId="291"/>
    <cellStyle name="Normal 2 2 2" xfId="292"/>
    <cellStyle name="Normal 2 2 3" xfId="293"/>
    <cellStyle name="Normal 2 2 6" xfId="294"/>
    <cellStyle name="Normal 2 2_P1 Fleet Hire Recharge" xfId="295"/>
    <cellStyle name="Normal 2 3" xfId="296"/>
    <cellStyle name="Normal 2 3 2" xfId="297"/>
    <cellStyle name="Normal 2 3 3" xfId="298"/>
    <cellStyle name="Normal 2 3 4" xfId="299"/>
    <cellStyle name="Normal 2 3 5" xfId="300"/>
    <cellStyle name="Normal 2 4" xfId="301"/>
    <cellStyle name="Normal 2 4 2" xfId="302"/>
    <cellStyle name="Normal 2 4 3" xfId="303"/>
    <cellStyle name="Normal 2 5" xfId="304"/>
    <cellStyle name="Normal 2_A3 Sheet 1" xfId="305"/>
    <cellStyle name="Normal 20" xfId="306"/>
    <cellStyle name="Normal 21" xfId="307"/>
    <cellStyle name="Normal 22" xfId="308"/>
    <cellStyle name="Normal 3" xfId="309"/>
    <cellStyle name="Normal 3 2" xfId="310"/>
    <cellStyle name="Normal 3 2 2" xfId="311"/>
    <cellStyle name="Normal 3 2 3" xfId="312"/>
    <cellStyle name="Normal 3 3" xfId="313"/>
    <cellStyle name="Normal 3 4" xfId="314"/>
    <cellStyle name="Normal 3 5" xfId="315"/>
    <cellStyle name="Normal 3_Book21" xfId="316"/>
    <cellStyle name="Normal 4" xfId="317"/>
    <cellStyle name="Normal 4 2" xfId="318"/>
    <cellStyle name="Normal 4 2 2" xfId="319"/>
    <cellStyle name="Normal 4 2 3" xfId="320"/>
    <cellStyle name="Normal 4 3" xfId="321"/>
    <cellStyle name="Normal 5" xfId="322"/>
    <cellStyle name="Normal 5 2" xfId="323"/>
    <cellStyle name="Normal 5 3" xfId="324"/>
    <cellStyle name="Normal 6" xfId="325"/>
    <cellStyle name="Normal 6 2" xfId="326"/>
    <cellStyle name="Normal 7" xfId="327"/>
    <cellStyle name="Normal 7 2" xfId="328"/>
    <cellStyle name="Normal 8" xfId="329"/>
    <cellStyle name="Normal 8 2" xfId="330"/>
    <cellStyle name="Normal 9" xfId="331"/>
    <cellStyle name="Normal 9 2" xfId="332"/>
    <cellStyle name="Note 10" xfId="333"/>
    <cellStyle name="Note 11" xfId="334"/>
    <cellStyle name="Note 12" xfId="335"/>
    <cellStyle name="Note 13" xfId="336"/>
    <cellStyle name="Note 2" xfId="337"/>
    <cellStyle name="Note 3" xfId="338"/>
    <cellStyle name="Note 4" xfId="339"/>
    <cellStyle name="Note 5" xfId="340"/>
    <cellStyle name="Note 6" xfId="341"/>
    <cellStyle name="Note 7" xfId="342"/>
    <cellStyle name="Note 8" xfId="343"/>
    <cellStyle name="Note 9" xfId="344"/>
    <cellStyle name="OnOff" xfId="345"/>
    <cellStyle name="Output 2" xfId="346"/>
    <cellStyle name="Percent" xfId="3" builtinId="5"/>
    <cellStyle name="Percent 2" xfId="347"/>
    <cellStyle name="Percent 2 2" xfId="348"/>
    <cellStyle name="Percent 2 2 2" xfId="349"/>
    <cellStyle name="Percent 2 2 3" xfId="350"/>
    <cellStyle name="Percent 2 2 4" xfId="351"/>
    <cellStyle name="Percent 2 3" xfId="352"/>
    <cellStyle name="Percent 2 4" xfId="353"/>
    <cellStyle name="Percent 3" xfId="354"/>
    <cellStyle name="Percent 3 2" xfId="355"/>
    <cellStyle name="Percent 3 3" xfId="356"/>
    <cellStyle name="Percent 4" xfId="357"/>
    <cellStyle name="Percent 5" xfId="358"/>
    <cellStyle name="Percent 6" xfId="359"/>
    <cellStyle name="Posted" xfId="360"/>
    <cellStyle name="PSChar" xfId="361"/>
    <cellStyle name="PSDate" xfId="362"/>
    <cellStyle name="PSDec" xfId="363"/>
    <cellStyle name="PSHeading" xfId="364"/>
    <cellStyle name="PSInt" xfId="365"/>
    <cellStyle name="PSSpacer" xfId="366"/>
    <cellStyle name="R00A" xfId="367"/>
    <cellStyle name="R00A 10" xfId="368"/>
    <cellStyle name="R00A 11" xfId="369"/>
    <cellStyle name="R00A 12" xfId="370"/>
    <cellStyle name="R00A 2" xfId="371"/>
    <cellStyle name="R00A 2 2" xfId="372"/>
    <cellStyle name="R00A 2 2 2" xfId="373"/>
    <cellStyle name="R00A 2 3" xfId="374"/>
    <cellStyle name="R00A 2 4" xfId="375"/>
    <cellStyle name="R00A 3" xfId="376"/>
    <cellStyle name="R00A 3 2" xfId="377"/>
    <cellStyle name="R00A 4" xfId="378"/>
    <cellStyle name="R00A 4 2" xfId="379"/>
    <cellStyle name="R00A 5" xfId="380"/>
    <cellStyle name="R00A 6" xfId="381"/>
    <cellStyle name="R00A 7" xfId="382"/>
    <cellStyle name="R00A 8" xfId="383"/>
    <cellStyle name="R00A 9" xfId="384"/>
    <cellStyle name="R00B" xfId="385"/>
    <cellStyle name="R00B 10" xfId="386"/>
    <cellStyle name="R00B 11" xfId="387"/>
    <cellStyle name="R00B 12" xfId="388"/>
    <cellStyle name="R00B 13" xfId="389"/>
    <cellStyle name="R00B 2" xfId="390"/>
    <cellStyle name="R00B 2 2" xfId="391"/>
    <cellStyle name="R00B 2 3" xfId="392"/>
    <cellStyle name="R00B 2 4" xfId="393"/>
    <cellStyle name="R00B 3" xfId="394"/>
    <cellStyle name="R00B 3 2" xfId="395"/>
    <cellStyle name="R00B 4" xfId="396"/>
    <cellStyle name="R00B 4 2" xfId="397"/>
    <cellStyle name="R00B 5" xfId="398"/>
    <cellStyle name="R00B 6" xfId="399"/>
    <cellStyle name="R00B 7" xfId="400"/>
    <cellStyle name="R00B 8" xfId="401"/>
    <cellStyle name="R00B 9" xfId="402"/>
    <cellStyle name="R00L" xfId="403"/>
    <cellStyle name="R01A" xfId="404"/>
    <cellStyle name="R01A 10" xfId="405"/>
    <cellStyle name="R01A 11" xfId="406"/>
    <cellStyle name="R01A 12" xfId="407"/>
    <cellStyle name="R01A 2" xfId="408"/>
    <cellStyle name="R01A 2 2" xfId="409"/>
    <cellStyle name="R01A 2 2 2" xfId="410"/>
    <cellStyle name="R01A 2 2 3" xfId="411"/>
    <cellStyle name="R01A 2 3" xfId="412"/>
    <cellStyle name="R01A 2 4" xfId="413"/>
    <cellStyle name="R01A 3" xfId="414"/>
    <cellStyle name="R01A 3 2" xfId="415"/>
    <cellStyle name="R01A 4" xfId="416"/>
    <cellStyle name="R01A 5" xfId="417"/>
    <cellStyle name="R01A 6" xfId="418"/>
    <cellStyle name="R01A 7" xfId="419"/>
    <cellStyle name="R01A 8" xfId="420"/>
    <cellStyle name="R01A 9" xfId="421"/>
    <cellStyle name="R01B" xfId="422"/>
    <cellStyle name="R01B 10" xfId="423"/>
    <cellStyle name="R01B 11" xfId="424"/>
    <cellStyle name="R01B 12" xfId="425"/>
    <cellStyle name="R01B 13" xfId="426"/>
    <cellStyle name="R01B 2" xfId="427"/>
    <cellStyle name="R01B 2 2" xfId="428"/>
    <cellStyle name="R01B 2 3" xfId="429"/>
    <cellStyle name="R01B 2 4" xfId="430"/>
    <cellStyle name="R01B 3" xfId="431"/>
    <cellStyle name="R01B 3 2" xfId="432"/>
    <cellStyle name="R01B 4" xfId="433"/>
    <cellStyle name="R01B 4 2" xfId="434"/>
    <cellStyle name="R01B 5" xfId="435"/>
    <cellStyle name="R01B 6" xfId="436"/>
    <cellStyle name="R01B 7" xfId="437"/>
    <cellStyle name="R01B 8" xfId="438"/>
    <cellStyle name="R01B 9" xfId="439"/>
    <cellStyle name="R01H" xfId="440"/>
    <cellStyle name="R01L" xfId="441"/>
    <cellStyle name="R02A" xfId="442"/>
    <cellStyle name="R02A 10" xfId="443"/>
    <cellStyle name="R02A 11" xfId="444"/>
    <cellStyle name="R02A 12" xfId="445"/>
    <cellStyle name="R02A 2" xfId="446"/>
    <cellStyle name="R02A 2 2" xfId="447"/>
    <cellStyle name="R02A 2 2 2" xfId="448"/>
    <cellStyle name="R02A 2 3" xfId="449"/>
    <cellStyle name="R02A 2 4" xfId="450"/>
    <cellStyle name="R02A 3" xfId="451"/>
    <cellStyle name="R02A 3 2" xfId="452"/>
    <cellStyle name="R02A 4" xfId="453"/>
    <cellStyle name="R02A 4 2" xfId="454"/>
    <cellStyle name="R02A 5" xfId="455"/>
    <cellStyle name="R02A 6" xfId="456"/>
    <cellStyle name="R02A 7" xfId="457"/>
    <cellStyle name="R02A 8" xfId="458"/>
    <cellStyle name="R02A 9" xfId="459"/>
    <cellStyle name="R02B" xfId="460"/>
    <cellStyle name="R02B 10" xfId="461"/>
    <cellStyle name="R02B 11" xfId="462"/>
    <cellStyle name="R02B 12" xfId="463"/>
    <cellStyle name="R02B 13" xfId="464"/>
    <cellStyle name="R02B 2" xfId="465"/>
    <cellStyle name="R02B 2 2" xfId="466"/>
    <cellStyle name="R02B 2 3" xfId="467"/>
    <cellStyle name="R02B 2 4" xfId="468"/>
    <cellStyle name="R02B 3" xfId="469"/>
    <cellStyle name="R02B 3 2" xfId="470"/>
    <cellStyle name="R02B 4" xfId="471"/>
    <cellStyle name="R02B 4 2" xfId="472"/>
    <cellStyle name="R02B 5" xfId="473"/>
    <cellStyle name="R02B 6" xfId="474"/>
    <cellStyle name="R02B 7" xfId="475"/>
    <cellStyle name="R02B 8" xfId="476"/>
    <cellStyle name="R02B 9" xfId="477"/>
    <cellStyle name="R02H" xfId="478"/>
    <cellStyle name="R02L" xfId="479"/>
    <cellStyle name="R03A" xfId="480"/>
    <cellStyle name="R03A 2" xfId="481"/>
    <cellStyle name="R03B" xfId="482"/>
    <cellStyle name="R03B 2" xfId="483"/>
    <cellStyle name="R03B 2 2" xfId="484"/>
    <cellStyle name="R03B 2 3" xfId="485"/>
    <cellStyle name="R03B 2 4" xfId="486"/>
    <cellStyle name="R03B 3" xfId="487"/>
    <cellStyle name="R03H" xfId="488"/>
    <cellStyle name="R03L" xfId="489"/>
    <cellStyle name="R04A" xfId="490"/>
    <cellStyle name="R04A 2" xfId="491"/>
    <cellStyle name="R04B" xfId="492"/>
    <cellStyle name="R04B 2" xfId="493"/>
    <cellStyle name="R04B 3" xfId="494"/>
    <cellStyle name="R04H" xfId="495"/>
    <cellStyle name="R04L" xfId="496"/>
    <cellStyle name="R05A" xfId="497"/>
    <cellStyle name="R05B" xfId="498"/>
    <cellStyle name="R05B 2" xfId="499"/>
    <cellStyle name="R05B 3" xfId="500"/>
    <cellStyle name="R05H" xfId="501"/>
    <cellStyle name="R05L" xfId="502"/>
    <cellStyle name="R05L 2" xfId="503"/>
    <cellStyle name="R05L 3" xfId="504"/>
    <cellStyle name="R05L 4" xfId="505"/>
    <cellStyle name="R06A" xfId="506"/>
    <cellStyle name="R06B" xfId="507"/>
    <cellStyle name="R06B 2" xfId="508"/>
    <cellStyle name="R06B 3" xfId="509"/>
    <cellStyle name="R06H" xfId="510"/>
    <cellStyle name="R06L" xfId="511"/>
    <cellStyle name="R07A" xfId="512"/>
    <cellStyle name="R07B" xfId="513"/>
    <cellStyle name="R07B 2" xfId="514"/>
    <cellStyle name="R07B 3" xfId="515"/>
    <cellStyle name="R07H" xfId="516"/>
    <cellStyle name="R07H 2" xfId="517"/>
    <cellStyle name="R07H 3" xfId="518"/>
    <cellStyle name="R07L" xfId="519"/>
    <cellStyle name="SAPBEXstdItem" xfId="520"/>
    <cellStyle name="stlData" xfId="521"/>
    <cellStyle name="Style 1" xfId="522"/>
    <cellStyle name="Title 2" xfId="523"/>
    <cellStyle name="Total 2" xfId="524"/>
    <cellStyle name="Warning Text 2" xfId="525"/>
  </cellStyles>
  <dxfs count="27"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180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FFFF66"/>
      <color rgb="FFFF66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Option comparison</a:t>
            </a:r>
            <a:r>
              <a:rPr lang="en-US" baseline="0"/>
              <a:t> NPC</a:t>
            </a:r>
            <a:r>
              <a:rPr lang="en-US"/>
              <a:t> Ranges</a:t>
            </a:r>
          </a:p>
        </c:rich>
      </c:tx>
      <c:layout>
        <c:manualLayout>
          <c:xMode val="edge"/>
          <c:yMode val="edge"/>
          <c:x val="1.7129482537198371E-2"/>
          <c:y val="3.679852805887764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41180503601565549"/>
          <c:y val="0.22079116835326587"/>
          <c:w val="0.55904689198232227"/>
          <c:h val="0.73410600583850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'Summary New'!$O$9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'Summary New'!$B$10:$B$22</c:f>
              <c:strCache>
                <c:ptCount val="13"/>
                <c:pt idx="0">
                  <c:v>Base option - Maintain &amp; operate current plant, no improvement to resilience</c:v>
                </c:pt>
                <c:pt idx="1">
                  <c:v>Option 1a - Leakage reduction</c:v>
                </c:pt>
                <c:pt idx="2">
                  <c:v>Option 1b - Leakage &amp; PCC management</c:v>
                </c:pt>
                <c:pt idx="3">
                  <c:v>Option 1c - Leakage &amp; PCC management with customer metering</c:v>
                </c:pt>
                <c:pt idx="4">
                  <c:v>Option 1d - Leakage reduction &amp; Assynt  link</c:v>
                </c:pt>
                <c:pt idx="5">
                  <c:v>Option 2a - new 20Ml/d raw water source from Inverness</c:v>
                </c:pt>
                <c:pt idx="6">
                  <c:v>Option 2b - new 40Ml/d raw water source from Inverness and WTW capacity increased 2065</c:v>
                </c:pt>
                <c:pt idx="7">
                  <c:v>Option 2c - new 20Ml/d raw water source augmented in 30 years from Inverness and WTW capacity increased 2065</c:v>
                </c:pt>
                <c:pt idx="8">
                  <c:v>Option 2d - new 20Ml/d raw water source augmented in 50 years from Inverness and WTW capacity increased 2065</c:v>
                </c:pt>
                <c:pt idx="9">
                  <c:v>Option 2e -  40Ml/d raw water source initial 20Ml/d PS capacity, WTW and PS capacity increased 2065</c:v>
                </c:pt>
                <c:pt idx="10">
                  <c:v>Option 2f -  defer by 10 years 40Ml/d raw water source initial 20Ml/d PS capacity, WTW and PS capacity increased 2065</c:v>
                </c:pt>
                <c:pt idx="11">
                  <c:v>Option 2g -  defer by 15 years 40Ml/d raw water source initial 20Ml/d PS capacity, WTW and PS capacity increased 2065</c:v>
                </c:pt>
                <c:pt idx="12">
                  <c:v>Option 3 - New source &amp; new WTW at new location, 20Mld raw in 45 years</c:v>
                </c:pt>
              </c:strCache>
            </c:strRef>
          </c:cat>
          <c:val>
            <c:numRef>
              <c:f>'Summary New'!$O$10:$O$22</c:f>
              <c:numCache>
                <c:formatCode>#,##0_ ;\-#,##0\ </c:formatCode>
                <c:ptCount val="13"/>
                <c:pt idx="0">
                  <c:v>32.628101426236384</c:v>
                </c:pt>
                <c:pt idx="1">
                  <c:v>33.975911453077892</c:v>
                </c:pt>
                <c:pt idx="2">
                  <c:v>34.835206688804945</c:v>
                </c:pt>
                <c:pt idx="3">
                  <c:v>54.192619931738676</c:v>
                </c:pt>
                <c:pt idx="4">
                  <c:v>59.229907207884303</c:v>
                </c:pt>
                <c:pt idx="5">
                  <c:v>79.922530361667384</c:v>
                </c:pt>
                <c:pt idx="6">
                  <c:v>86.948050329412268</c:v>
                </c:pt>
                <c:pt idx="7">
                  <c:v>94.94018765863936</c:v>
                </c:pt>
                <c:pt idx="8">
                  <c:v>87.854815363487262</c:v>
                </c:pt>
                <c:pt idx="9">
                  <c:v>84.223197504666672</c:v>
                </c:pt>
                <c:pt idx="10">
                  <c:v>70.364062633738783</c:v>
                </c:pt>
                <c:pt idx="11">
                  <c:v>65.613562086471262</c:v>
                </c:pt>
                <c:pt idx="12">
                  <c:v>104.29163507158401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17B-BF38-5C97ED762056}"/>
            </c:ext>
          </c:extLst>
        </c:ser>
        <c:ser>
          <c:idx val="1"/>
          <c:order val="1"/>
          <c:tx>
            <c:strRef>
              <c:f>'Summary New'!$R$9</c:f>
              <c:strCache>
                <c:ptCount val="1"/>
                <c:pt idx="0">
                  <c:v>High - Low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8571-417B-BF38-5C97ED76205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8571-417B-BF38-5C97ED76205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682A-43C4-A18B-B683A45F00B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8571-417B-BF38-5C97ED7620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682A-43C4-A18B-B683A45F00BC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B-FF46-40DD-B0A1-66228C9BD968}"/>
              </c:ext>
            </c:extLst>
          </c:dPt>
          <c:cat>
            <c:strRef>
              <c:f>'Summary New'!$B$10:$B$22</c:f>
              <c:strCache>
                <c:ptCount val="13"/>
                <c:pt idx="0">
                  <c:v>Base option - Maintain &amp; operate current plant, no improvement to resilience</c:v>
                </c:pt>
                <c:pt idx="1">
                  <c:v>Option 1a - Leakage reduction</c:v>
                </c:pt>
                <c:pt idx="2">
                  <c:v>Option 1b - Leakage &amp; PCC management</c:v>
                </c:pt>
                <c:pt idx="3">
                  <c:v>Option 1c - Leakage &amp; PCC management with customer metering</c:v>
                </c:pt>
                <c:pt idx="4">
                  <c:v>Option 1d - Leakage reduction &amp; Assynt  link</c:v>
                </c:pt>
                <c:pt idx="5">
                  <c:v>Option 2a - new 20Ml/d raw water source from Inverness</c:v>
                </c:pt>
                <c:pt idx="6">
                  <c:v>Option 2b - new 40Ml/d raw water source from Inverness and WTW capacity increased 2065</c:v>
                </c:pt>
                <c:pt idx="7">
                  <c:v>Option 2c - new 20Ml/d raw water source augmented in 30 years from Inverness and WTW capacity increased 2065</c:v>
                </c:pt>
                <c:pt idx="8">
                  <c:v>Option 2d - new 20Ml/d raw water source augmented in 50 years from Inverness and WTW capacity increased 2065</c:v>
                </c:pt>
                <c:pt idx="9">
                  <c:v>Option 2e -  40Ml/d raw water source initial 20Ml/d PS capacity, WTW and PS capacity increased 2065</c:v>
                </c:pt>
                <c:pt idx="10">
                  <c:v>Option 2f -  defer by 10 years 40Ml/d raw water source initial 20Ml/d PS capacity, WTW and PS capacity increased 2065</c:v>
                </c:pt>
                <c:pt idx="11">
                  <c:v>Option 2g -  defer by 15 years 40Ml/d raw water source initial 20Ml/d PS capacity, WTW and PS capacity increased 2065</c:v>
                </c:pt>
                <c:pt idx="12">
                  <c:v>Option 3 - New source &amp; new WTW at new location, 20Mld raw in 45 years</c:v>
                </c:pt>
              </c:strCache>
            </c:strRef>
          </c:cat>
          <c:val>
            <c:numRef>
              <c:f>'Summary New'!$R$10:$R$22</c:f>
              <c:numCache>
                <c:formatCode>#,##0_ ;\-#,##0\ </c:formatCode>
                <c:ptCount val="13"/>
                <c:pt idx="0">
                  <c:v>14.914163759806911</c:v>
                </c:pt>
                <c:pt idx="1">
                  <c:v>15.521138625176796</c:v>
                </c:pt>
                <c:pt idx="2">
                  <c:v>16.094002115661489</c:v>
                </c:pt>
                <c:pt idx="3">
                  <c:v>24.20394430252729</c:v>
                </c:pt>
                <c:pt idx="4">
                  <c:v>32.135196248759037</c:v>
                </c:pt>
                <c:pt idx="5">
                  <c:v>26.336518254054809</c:v>
                </c:pt>
                <c:pt idx="6">
                  <c:v>29.246055912126621</c:v>
                </c:pt>
                <c:pt idx="7">
                  <c:v>31.260807365024547</c:v>
                </c:pt>
                <c:pt idx="8">
                  <c:v>29.201440417359507</c:v>
                </c:pt>
                <c:pt idx="9">
                  <c:v>28.325936820596041</c:v>
                </c:pt>
                <c:pt idx="10">
                  <c:v>24.860823735737569</c:v>
                </c:pt>
                <c:pt idx="11">
                  <c:v>23.49482458046667</c:v>
                </c:pt>
                <c:pt idx="12">
                  <c:v>48.814162669177108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71-417B-BF38-5C97ED76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81792"/>
        <c:axId val="225683328"/>
      </c:barChart>
      <c:catAx>
        <c:axId val="2256817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0"/>
            </a:pPr>
            <a:endParaRPr lang="en-US"/>
          </a:p>
        </c:txPr>
        <c:crossAx val="225683328"/>
        <c:crosses val="autoZero"/>
        <c:auto val="1"/>
        <c:lblAlgn val="ctr"/>
        <c:lblOffset val="100"/>
        <c:noMultiLvlLbl val="0"/>
      </c:catAx>
      <c:valAx>
        <c:axId val="225683328"/>
        <c:scaling>
          <c:orientation val="minMax"/>
          <c:max val="150"/>
          <c:min val="3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NPC £m</a:t>
                </a:r>
              </a:p>
            </c:rich>
          </c:tx>
          <c:layout/>
          <c:overlay val="0"/>
        </c:title>
        <c:numFmt formatCode="#,##0_ ;\-#,##0\ " sourceLinked="0"/>
        <c:majorTickMark val="out"/>
        <c:minorTickMark val="none"/>
        <c:tickLblPos val="nextTo"/>
        <c:crossAx val="225681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264581</xdr:colOff>
      <xdr:row>24</xdr:row>
      <xdr:rowOff>51858</xdr:rowOff>
    </xdr:from>
    <xdr:to>
      <xdr:col>11</xdr:col>
      <xdr:colOff>476249</xdr:colOff>
      <xdr:row>61</xdr:row>
      <xdr:rowOff>80433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Inverness%20%20Nairn%20Carbon%20OPEX%20EI%20initial%20review%204020%2025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Inverness%20%20Nairn%20Summary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40MLD"/>
      <sheetName val="Summary 20MLD"/>
      <sheetName val="Pumping Senarios"/>
      <sheetName val="Power "/>
      <sheetName val="Chems"/>
      <sheetName val="Chems calc"/>
      <sheetName val="Sheet2"/>
    </sheetNames>
    <sheetDataSet>
      <sheetData sheetId="0">
        <row r="5">
          <cell r="R5">
            <v>235434.86597893969</v>
          </cell>
        </row>
        <row r="6">
          <cell r="R6">
            <v>251515.5607658478</v>
          </cell>
        </row>
        <row r="7">
          <cell r="R7">
            <v>262308.25444493053</v>
          </cell>
        </row>
        <row r="8">
          <cell r="R8">
            <v>276074.7916778588</v>
          </cell>
        </row>
        <row r="9">
          <cell r="R9">
            <v>286232.58389956912</v>
          </cell>
        </row>
        <row r="10">
          <cell r="R10">
            <v>290973.72987921658</v>
          </cell>
        </row>
        <row r="11">
          <cell r="R11">
            <v>296426.71869662864</v>
          </cell>
        </row>
        <row r="12">
          <cell r="R12">
            <v>304078.09776603413</v>
          </cell>
        </row>
        <row r="13">
          <cell r="R13">
            <v>318310.74175170978</v>
          </cell>
        </row>
        <row r="14">
          <cell r="R14">
            <v>328403.88078689895</v>
          </cell>
        </row>
        <row r="15">
          <cell r="R15">
            <v>338920.06329236162</v>
          </cell>
        </row>
        <row r="16">
          <cell r="R16">
            <v>346065.2670979941</v>
          </cell>
        </row>
        <row r="17">
          <cell r="R17">
            <v>355181.88690263976</v>
          </cell>
        </row>
        <row r="18">
          <cell r="R18">
            <v>363015.37403156149</v>
          </cell>
        </row>
        <row r="19">
          <cell r="R19">
            <v>370786.6920916969</v>
          </cell>
        </row>
        <row r="20">
          <cell r="R20">
            <v>386794.45308876026</v>
          </cell>
        </row>
        <row r="21">
          <cell r="R21">
            <v>402284.56849312823</v>
          </cell>
        </row>
        <row r="22">
          <cell r="R22">
            <v>414495.30981036182</v>
          </cell>
        </row>
        <row r="23">
          <cell r="R23">
            <v>428910.11753151566</v>
          </cell>
        </row>
        <row r="24">
          <cell r="R24">
            <v>443564.25355965924</v>
          </cell>
        </row>
        <row r="25">
          <cell r="R25">
            <v>458414.48773437878</v>
          </cell>
        </row>
        <row r="26">
          <cell r="R26">
            <v>467118.10941023007</v>
          </cell>
        </row>
        <row r="27">
          <cell r="R27">
            <v>475821.73108608136</v>
          </cell>
        </row>
        <row r="28">
          <cell r="R28">
            <v>484525.35276193265</v>
          </cell>
        </row>
        <row r="29">
          <cell r="R29">
            <v>493228.97443778394</v>
          </cell>
        </row>
        <row r="30">
          <cell r="R30">
            <v>501932.59611363523</v>
          </cell>
        </row>
        <row r="31">
          <cell r="R31">
            <v>510636.21778948652</v>
          </cell>
        </row>
        <row r="32">
          <cell r="R32">
            <v>519339.83946533781</v>
          </cell>
        </row>
        <row r="33">
          <cell r="R33">
            <v>528043.46114118909</v>
          </cell>
        </row>
        <row r="34">
          <cell r="R34">
            <v>536747.08281704038</v>
          </cell>
        </row>
        <row r="35">
          <cell r="R35">
            <v>545450.70449289167</v>
          </cell>
        </row>
        <row r="36">
          <cell r="R36">
            <v>554154.32616874296</v>
          </cell>
        </row>
        <row r="37">
          <cell r="R37">
            <v>562857.94784459425</v>
          </cell>
        </row>
        <row r="38">
          <cell r="R38">
            <v>571561.56952044554</v>
          </cell>
        </row>
        <row r="39">
          <cell r="R39">
            <v>580265.19119629683</v>
          </cell>
        </row>
        <row r="40">
          <cell r="R40">
            <v>588968.81287214812</v>
          </cell>
        </row>
        <row r="41">
          <cell r="R41">
            <v>597672.43454799941</v>
          </cell>
        </row>
        <row r="42">
          <cell r="R42">
            <v>606376.0562238507</v>
          </cell>
        </row>
        <row r="43">
          <cell r="R43">
            <v>615079.67789970199</v>
          </cell>
        </row>
        <row r="44">
          <cell r="R44">
            <v>623783.29957555328</v>
          </cell>
        </row>
        <row r="45">
          <cell r="R45">
            <v>632486.92125140456</v>
          </cell>
        </row>
        <row r="46">
          <cell r="R46">
            <v>641190.54292725585</v>
          </cell>
        </row>
        <row r="47">
          <cell r="R47">
            <v>649894.16460310714</v>
          </cell>
        </row>
        <row r="48">
          <cell r="R48">
            <v>658597.78627895843</v>
          </cell>
        </row>
        <row r="49">
          <cell r="R49">
            <v>667301.40795480972</v>
          </cell>
        </row>
        <row r="50">
          <cell r="R50">
            <v>676005.02963066101</v>
          </cell>
        </row>
        <row r="51">
          <cell r="R51">
            <v>684708.6513065123</v>
          </cell>
        </row>
        <row r="52">
          <cell r="R52">
            <v>693412.27298236359</v>
          </cell>
        </row>
        <row r="53">
          <cell r="R53">
            <v>702115.89465821488</v>
          </cell>
        </row>
        <row r="54">
          <cell r="R54">
            <v>710819.51633406617</v>
          </cell>
        </row>
        <row r="55">
          <cell r="R55">
            <v>719523.13800991746</v>
          </cell>
        </row>
        <row r="56">
          <cell r="R56">
            <v>728226.75968576875</v>
          </cell>
        </row>
        <row r="57">
          <cell r="R57">
            <v>736930.38136162004</v>
          </cell>
        </row>
        <row r="58">
          <cell r="R58">
            <v>745634.00303747132</v>
          </cell>
        </row>
        <row r="59">
          <cell r="R59">
            <v>754337.62471332261</v>
          </cell>
        </row>
        <row r="60">
          <cell r="R60">
            <v>763041.2463891739</v>
          </cell>
        </row>
        <row r="61">
          <cell r="R61">
            <v>771744.86806502519</v>
          </cell>
        </row>
        <row r="62">
          <cell r="R62">
            <v>780448.48974087648</v>
          </cell>
        </row>
        <row r="63">
          <cell r="R63">
            <v>789152.11141672777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st Breakdown"/>
      <sheetName val="Sheet3"/>
    </sheetNames>
    <sheetDataSet>
      <sheetData sheetId="0">
        <row r="6">
          <cell r="G6">
            <v>13636703.24299402</v>
          </cell>
        </row>
        <row r="8">
          <cell r="G8">
            <v>1857946.5688533192</v>
          </cell>
        </row>
      </sheetData>
      <sheetData sheetId="1">
        <row r="36">
          <cell r="AB36">
            <v>4249817.93</v>
          </cell>
        </row>
        <row r="83">
          <cell r="AB83">
            <v>2921339.1152499998</v>
          </cell>
        </row>
        <row r="87">
          <cell r="AB87">
            <v>178500</v>
          </cell>
        </row>
        <row r="88">
          <cell r="AB88"/>
        </row>
        <row r="89">
          <cell r="AB89">
            <v>173000</v>
          </cell>
        </row>
        <row r="90">
          <cell r="AB90"/>
        </row>
        <row r="91">
          <cell r="AB91">
            <v>787036.95</v>
          </cell>
        </row>
        <row r="92">
          <cell r="AB92"/>
        </row>
        <row r="93">
          <cell r="AB93"/>
        </row>
        <row r="94">
          <cell r="AB94">
            <v>35000</v>
          </cell>
        </row>
        <row r="95">
          <cell r="AB95"/>
        </row>
        <row r="96">
          <cell r="AB96"/>
        </row>
        <row r="97">
          <cell r="AB97"/>
        </row>
        <row r="98">
          <cell r="AB98"/>
        </row>
        <row r="99">
          <cell r="AB99"/>
        </row>
        <row r="100">
          <cell r="AB100">
            <v>5537260.0499999998</v>
          </cell>
        </row>
        <row r="101">
          <cell r="AB101"/>
        </row>
        <row r="102">
          <cell r="AB102"/>
        </row>
        <row r="103">
          <cell r="AB103"/>
        </row>
        <row r="104">
          <cell r="AB104"/>
        </row>
        <row r="105">
          <cell r="AB105"/>
        </row>
        <row r="106">
          <cell r="AB106">
            <v>30000</v>
          </cell>
        </row>
        <row r="107">
          <cell r="AB107"/>
        </row>
        <row r="108">
          <cell r="AB108"/>
        </row>
        <row r="109">
          <cell r="AB109">
            <v>625303.35</v>
          </cell>
        </row>
        <row r="110">
          <cell r="AB110">
            <v>60000</v>
          </cell>
        </row>
        <row r="111">
          <cell r="AB111"/>
        </row>
        <row r="112">
          <cell r="AB112"/>
        </row>
        <row r="113">
          <cell r="AB113"/>
        </row>
        <row r="114">
          <cell r="AB114"/>
        </row>
        <row r="115">
          <cell r="AB115"/>
        </row>
        <row r="116">
          <cell r="AB116">
            <v>48213.67</v>
          </cell>
        </row>
        <row r="117">
          <cell r="AB117"/>
        </row>
        <row r="118">
          <cell r="AB118">
            <v>1547.85</v>
          </cell>
        </row>
        <row r="119">
          <cell r="AB119"/>
        </row>
        <row r="120">
          <cell r="AB120">
            <v>3661.93</v>
          </cell>
        </row>
        <row r="121">
          <cell r="AB121"/>
        </row>
        <row r="122">
          <cell r="AB122">
            <v>150000</v>
          </cell>
        </row>
        <row r="123">
          <cell r="AB123"/>
        </row>
        <row r="124">
          <cell r="AB124"/>
        </row>
        <row r="125">
          <cell r="AB125"/>
        </row>
        <row r="126">
          <cell r="AB126">
            <v>6174793</v>
          </cell>
        </row>
        <row r="127">
          <cell r="AB127"/>
        </row>
        <row r="128">
          <cell r="AB128">
            <v>503347.81651875033</v>
          </cell>
        </row>
        <row r="129">
          <cell r="AB129"/>
        </row>
        <row r="130">
          <cell r="AB130">
            <v>350928</v>
          </cell>
        </row>
        <row r="131">
          <cell r="AB131"/>
        </row>
        <row r="132">
          <cell r="AB132"/>
        </row>
        <row r="133">
          <cell r="AB133"/>
        </row>
        <row r="134">
          <cell r="AB134"/>
        </row>
        <row r="135">
          <cell r="AB135">
            <v>75000</v>
          </cell>
        </row>
        <row r="136">
          <cell r="AB136"/>
        </row>
        <row r="137">
          <cell r="AB137">
            <v>270603</v>
          </cell>
        </row>
        <row r="138">
          <cell r="AB138"/>
        </row>
        <row r="139">
          <cell r="AB139"/>
        </row>
        <row r="140">
          <cell r="AB140"/>
        </row>
        <row r="141">
          <cell r="AB141">
            <v>0</v>
          </cell>
        </row>
        <row r="142">
          <cell r="AB142"/>
        </row>
        <row r="143">
          <cell r="AB143"/>
        </row>
        <row r="144">
          <cell r="AB144">
            <v>529488.42499556241</v>
          </cell>
        </row>
        <row r="145">
          <cell r="AB145"/>
        </row>
        <row r="149">
          <cell r="AB149"/>
        </row>
        <row r="150">
          <cell r="AB150"/>
        </row>
        <row r="151">
          <cell r="AB151">
            <v>628924.09810337133</v>
          </cell>
        </row>
        <row r="152">
          <cell r="AB152">
            <v>522211.3449955791</v>
          </cell>
        </row>
        <row r="153">
          <cell r="AB153">
            <v>2497532.5195440738</v>
          </cell>
        </row>
        <row r="154">
          <cell r="AB154"/>
        </row>
        <row r="155">
          <cell r="AB155">
            <v>687826.58618953149</v>
          </cell>
        </row>
        <row r="156">
          <cell r="AB156"/>
        </row>
        <row r="157">
          <cell r="AB157">
            <v>4336494.5488325562</v>
          </cell>
        </row>
        <row r="158">
          <cell r="AB158"/>
        </row>
        <row r="159">
          <cell r="AB159">
            <v>313679.49337292358</v>
          </cell>
        </row>
        <row r="160">
          <cell r="AB160">
            <v>475927.50718650484</v>
          </cell>
        </row>
        <row r="161">
          <cell r="AB161"/>
        </row>
        <row r="162">
          <cell r="AB162">
            <v>1433293.545762049</v>
          </cell>
        </row>
        <row r="166">
          <cell r="AB166">
            <v>702341.66836604034</v>
          </cell>
        </row>
        <row r="167">
          <cell r="AB167"/>
        </row>
        <row r="168">
          <cell r="AB168">
            <v>739868</v>
          </cell>
        </row>
        <row r="169">
          <cell r="AB169"/>
        </row>
        <row r="170">
          <cell r="AB170" t="str">
            <v>TBC</v>
          </cell>
        </row>
        <row r="171">
          <cell r="AB171"/>
        </row>
        <row r="172">
          <cell r="AB172" t="str">
            <v>TBC</v>
          </cell>
        </row>
        <row r="173">
          <cell r="AB173"/>
        </row>
        <row r="174">
          <cell r="AB174" t="str">
            <v>TBC</v>
          </cell>
        </row>
        <row r="175">
          <cell r="AB175"/>
        </row>
        <row r="187">
          <cell r="AB187">
            <v>1277000</v>
          </cell>
        </row>
        <row r="188">
          <cell r="AB188">
            <v>75000</v>
          </cell>
        </row>
        <row r="189">
          <cell r="AB189"/>
        </row>
        <row r="190">
          <cell r="AB190">
            <v>302950</v>
          </cell>
        </row>
        <row r="191">
          <cell r="AB191"/>
        </row>
        <row r="192">
          <cell r="AB192">
            <v>622472.00224017608</v>
          </cell>
        </row>
        <row r="193">
          <cell r="AB193"/>
        </row>
        <row r="194">
          <cell r="AB194">
            <v>2508656.0090282471</v>
          </cell>
        </row>
        <row r="195">
          <cell r="AB195">
            <v>121866</v>
          </cell>
        </row>
        <row r="196">
          <cell r="AB196"/>
        </row>
        <row r="197">
          <cell r="AB197">
            <v>2300000</v>
          </cell>
        </row>
        <row r="198">
          <cell r="AB198">
            <v>287500</v>
          </cell>
        </row>
        <row r="199">
          <cell r="AB199">
            <v>0</v>
          </cell>
        </row>
        <row r="200">
          <cell r="AB200">
            <v>27779.94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w Dunbar (Water Srvs Strgy)" id="{FECEAE00-A4F9-4017-BFD1-B7772181666A}" userId="S::andrew.dunbar@scottishwater.co.uk::5e5d6b27-c960-4af7-904d-320bc45fd98c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py%20of%20503103%20IR18%20Inverness%20and%20Nairn%20-%2020%20MLD%20Option%20(2)%20(0000000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n Scott" refreshedDate="44022.647657060188" createdVersion="6" refreshedVersion="6" minRefreshableVersion="3" recordCount="23">
  <cacheSource type="worksheet">
    <worksheetSource name="Table1" r:id="rId2"/>
  </cacheSource>
  <cacheFields count="5">
    <cacheField name="Current Scope - 40MLD" numFmtId="0">
      <sharedItems containsBlank="1"/>
    </cacheField>
    <cacheField name="20MLD scope" numFmtId="0">
      <sharedItems containsBlank="1"/>
    </cacheField>
    <cacheField name="Current Cost" numFmtId="0">
      <sharedItems containsString="0" containsBlank="1" containsNumber="1" containsInteger="1" minValue="27400" maxValue="2289950"/>
    </cacheField>
    <cacheField name="Potential Saving" numFmtId="0">
      <sharedItems containsString="0" containsBlank="1" containsNumber="1" containsInteger="1" minValue="-300000" maxValue="1500000"/>
    </cacheField>
    <cacheField name="Column1" numFmtId="0">
      <sharedItems containsBlank="1" count="4">
        <s v="intake?"/>
        <s v="pipe"/>
        <s v="pu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Sized for 40MLD"/>
    <s v="Sized for 20MLD"/>
    <n v="254975"/>
    <n v="152985"/>
    <x v="0"/>
  </r>
  <r>
    <s v="700 HPPE"/>
    <s v="630 HPPE / reduced holding down requirements"/>
    <n v="669651"/>
    <n v="15000"/>
    <x v="1"/>
  </r>
  <r>
    <s v="3 pumps (duty / assist / standby)"/>
    <s v="2 pumps (duty / standby) / chamber diameter "/>
    <n v="72138"/>
    <n v="24000"/>
    <x v="2"/>
  </r>
  <r>
    <s v="6m diameter pump chamber"/>
    <s v="Potentially 5m diameter pump chamber"/>
    <n v="1200000"/>
    <n v="300000"/>
    <x v="2"/>
  </r>
  <r>
    <s v="3 x 450 DI (3 x 36m)"/>
    <s v="2 x 375 DI (3 x 36m)"/>
    <n v="38585"/>
    <n v="5787"/>
    <x v="2"/>
  </r>
  <r>
    <s v="50m @ 600DI"/>
    <s v="50m @ 500DI"/>
    <n v="47899"/>
    <n v="7184"/>
    <x v="2"/>
  </r>
  <r>
    <s v="3 drum filters sized for 40MLD"/>
    <s v="3 drum filters sized for 20MLD"/>
    <n v="368421"/>
    <n v="147000"/>
    <x v="2"/>
  </r>
  <r>
    <s v="Building Footprint = 22.6m x 6"/>
    <s v="Reduced building size as the drum filters will be smaller - circa 20%"/>
    <n v="634000"/>
    <n v="126800"/>
    <x v="2"/>
  </r>
  <r>
    <s v="40m @ 700DI"/>
    <s v="40m @ 500DI"/>
    <n v="34599"/>
    <n v="5500"/>
    <x v="2"/>
  </r>
  <r>
    <s v="5 pumps"/>
    <s v="3 pumps"/>
    <n v="330935"/>
    <n v="132374"/>
    <x v="2"/>
  </r>
  <r>
    <s v="Electrical panel"/>
    <s v="25% reduction in panel length due to less pump drives"/>
    <n v="71306"/>
    <n v="17826"/>
    <x v="2"/>
  </r>
  <r>
    <s v="Building Footprint = 25m x 17.5m"/>
    <s v="20% reduction in bulilding footprint"/>
    <n v="434492"/>
    <n v="86898"/>
    <x v="2"/>
  </r>
  <r>
    <s v="HV supply"/>
    <s v="LV supply so HV not be required "/>
    <n v="481363"/>
    <n v="481363"/>
    <x v="2"/>
  </r>
  <r>
    <s v="5km @ 700DI"/>
    <s v="1km@500DI and 4km@560PE SDR17"/>
    <n v="528902"/>
    <n v="343216"/>
    <x v="1"/>
  </r>
  <r>
    <s v="200m3 tank"/>
    <s v="It's quite a small tank anyway so suggest that it should remain the same"/>
    <n v="430580"/>
    <n v="0"/>
    <x v="1"/>
  </r>
  <r>
    <s v="1.25km @ 560HPPE"/>
    <s v="1.25km @ 400HPPE"/>
    <n v="300000"/>
    <n v="60000"/>
    <x v="1"/>
  </r>
  <r>
    <s v="0.535km @710HPPE"/>
    <s v="0.535km @560HPPE"/>
    <n v="302400"/>
    <n v="60494"/>
    <x v="1"/>
  </r>
  <r>
    <s v="3 x 300 diameter flow control valves / pipework / flowmeters"/>
    <s v="2 x 300 diameter flow control valves / pipework / flowmeters"/>
    <n v="27400"/>
    <n v="10000"/>
    <x v="1"/>
  </r>
  <r>
    <s v="Reinforced Concrete Chamber - Footprint = 7.6m x 4.1m"/>
    <s v="30% reduction in chamber footprint / one less access cover"/>
    <n v="231000"/>
    <n v="69300"/>
    <x v="1"/>
  </r>
  <r>
    <s v="HV supply"/>
    <s v="Potential that the power supply doesn’t need to be supplied from Inverness"/>
    <n v="2289950"/>
    <n v="1500000"/>
    <x v="2"/>
  </r>
  <r>
    <s v="Caustic Dosing"/>
    <s v="Smaller unit for 20MLD (or defer caustic dosing)"/>
    <m/>
    <n v="200000"/>
    <x v="3"/>
  </r>
  <r>
    <s v="Additional Cx 1-2 costs + Re-design costs"/>
    <s v="£75k per month for 4 months"/>
    <m/>
    <n v="-300000"/>
    <x v="3"/>
  </r>
  <r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0:S25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otential Saving" fld="3" baseField="4" baseItem="0" numFmtId="165"/>
  </dataFields>
  <formats count="21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J3:N26" totalsRowShown="0" headerRowDxfId="5" headerRowBorderDxfId="4" tableBorderDxfId="3">
  <autoFilter ref="J3:N26"/>
  <tableColumns count="5">
    <tableColumn id="1" name="Current Scope - 40MLD" dataDxfId="2"/>
    <tableColumn id="2" name="20MLD scope" dataDxfId="1"/>
    <tableColumn id="3" name="Current Cost" dataDxfId="0"/>
    <tableColumn id="4" name="Potential Saving"/>
    <tableColumn id="5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0-04-23T15:33:10.37" personId="{FECEAE00-A4F9-4017-BFD1-B7772181666A}" id="{7A84C6A4-F9FC-4262-A8E4-BB576111835F}">
    <text xml:space="preserve">Based on value from capital maintenanc e needs list Feb 2020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0"/>
  <sheetViews>
    <sheetView tabSelected="1" topLeftCell="E20" zoomScale="90" zoomScaleNormal="90" workbookViewId="0">
      <selection activeCell="W24" sqref="W24"/>
    </sheetView>
  </sheetViews>
  <sheetFormatPr defaultRowHeight="12.75"/>
  <cols>
    <col min="1" max="1" width="4" customWidth="1"/>
    <col min="2" max="2" width="52.19921875" customWidth="1"/>
    <col min="3" max="3" width="6.73046875" customWidth="1"/>
    <col min="4" max="4" width="7.73046875" customWidth="1"/>
    <col min="5" max="5" width="6.73046875" customWidth="1"/>
    <col min="6" max="6" width="7.265625" bestFit="1" customWidth="1"/>
    <col min="7" max="7" width="7.53125" bestFit="1" customWidth="1"/>
    <col min="8" max="8" width="7.265625" bestFit="1" customWidth="1"/>
    <col min="9" max="11" width="10.19921875" customWidth="1"/>
    <col min="12" max="17" width="8.19921875" customWidth="1"/>
    <col min="18" max="20" width="11.19921875" customWidth="1"/>
  </cols>
  <sheetData>
    <row r="3" spans="2:23" ht="13.15">
      <c r="B3" s="99" t="s">
        <v>0</v>
      </c>
      <c r="C3" s="109"/>
      <c r="D3" s="109"/>
      <c r="E3" s="109"/>
      <c r="F3" s="18">
        <v>3.5400000000000001E-2</v>
      </c>
      <c r="G3" s="170" t="s">
        <v>1</v>
      </c>
      <c r="H3" s="172"/>
      <c r="I3" s="19">
        <v>60</v>
      </c>
      <c r="J3" s="99" t="s">
        <v>2</v>
      </c>
    </row>
    <row r="5" spans="2:23" ht="12.75" customHeight="1">
      <c r="B5" s="99" t="s">
        <v>3</v>
      </c>
      <c r="C5" s="109"/>
      <c r="D5" s="109"/>
      <c r="E5" s="109"/>
      <c r="F5" s="169" t="s">
        <v>97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19"/>
      <c r="W5" s="120" t="s">
        <v>117</v>
      </c>
    </row>
    <row r="7" spans="2:23" ht="12.75" customHeight="1">
      <c r="B7" s="2"/>
      <c r="C7" s="2"/>
      <c r="D7" s="2"/>
      <c r="E7" s="2"/>
      <c r="F7" s="170" t="s">
        <v>4</v>
      </c>
      <c r="G7" s="171"/>
      <c r="H7" s="171"/>
      <c r="I7" s="171"/>
      <c r="J7" s="171"/>
      <c r="K7" s="171"/>
      <c r="L7" s="173" t="s">
        <v>90</v>
      </c>
      <c r="M7" s="174"/>
      <c r="N7" s="175"/>
      <c r="O7" s="168" t="s">
        <v>198</v>
      </c>
      <c r="P7" s="168"/>
      <c r="Q7" s="168"/>
      <c r="R7" s="168"/>
      <c r="S7" s="168" t="s">
        <v>197</v>
      </c>
      <c r="T7" s="168" t="s">
        <v>111</v>
      </c>
      <c r="U7" s="168" t="s">
        <v>113</v>
      </c>
    </row>
    <row r="8" spans="2:23" ht="29.25" customHeight="1">
      <c r="B8" s="168" t="s">
        <v>5</v>
      </c>
      <c r="C8" s="170" t="s">
        <v>96</v>
      </c>
      <c r="D8" s="171"/>
      <c r="E8" s="172"/>
      <c r="F8" s="170" t="s">
        <v>95</v>
      </c>
      <c r="G8" s="171"/>
      <c r="H8" s="172"/>
      <c r="I8" s="170" t="s">
        <v>91</v>
      </c>
      <c r="J8" s="171"/>
      <c r="K8" s="172"/>
      <c r="L8" s="176"/>
      <c r="M8" s="177"/>
      <c r="N8" s="178"/>
      <c r="O8" s="168"/>
      <c r="P8" s="168"/>
      <c r="Q8" s="168"/>
      <c r="R8" s="168"/>
      <c r="S8" s="168"/>
      <c r="T8" s="168"/>
      <c r="U8" s="168"/>
    </row>
    <row r="9" spans="2:23" s="20" customFormat="1" ht="19.5" customHeight="1">
      <c r="B9" s="168"/>
      <c r="C9" s="109" t="s">
        <v>6</v>
      </c>
      <c r="D9" s="109" t="s">
        <v>7</v>
      </c>
      <c r="E9" s="109" t="s">
        <v>8</v>
      </c>
      <c r="F9" s="99" t="s">
        <v>6</v>
      </c>
      <c r="G9" s="99" t="s">
        <v>7</v>
      </c>
      <c r="H9" s="99" t="s">
        <v>8</v>
      </c>
      <c r="I9" s="99" t="s">
        <v>6</v>
      </c>
      <c r="J9" s="99" t="s">
        <v>7</v>
      </c>
      <c r="K9" s="99" t="s">
        <v>8</v>
      </c>
      <c r="L9" s="50" t="s">
        <v>6</v>
      </c>
      <c r="M9" s="50" t="s">
        <v>7</v>
      </c>
      <c r="N9" s="50" t="s">
        <v>8</v>
      </c>
      <c r="O9" s="50" t="s">
        <v>6</v>
      </c>
      <c r="P9" s="50" t="s">
        <v>7</v>
      </c>
      <c r="Q9" s="50" t="s">
        <v>8</v>
      </c>
      <c r="R9" s="99" t="s">
        <v>9</v>
      </c>
      <c r="S9" s="168"/>
      <c r="T9" s="168"/>
      <c r="U9" s="168"/>
    </row>
    <row r="10" spans="2:23" s="20" customFormat="1" ht="33" customHeight="1">
      <c r="B10" s="116" t="str">
        <f>'Base Costs'!C2</f>
        <v>Base option - Maintain &amp; operate current plant, no improvement to resilience</v>
      </c>
      <c r="C10" s="53">
        <f>'Base Costs'!I6/1000</f>
        <v>4.58</v>
      </c>
      <c r="D10" s="53">
        <f>'Base Costs'!J6/1000</f>
        <v>5.7249999999999996</v>
      </c>
      <c r="E10" s="53">
        <f>'Base Costs'!K6/1000</f>
        <v>6.87</v>
      </c>
      <c r="F10" s="53">
        <f>'Base Costs'!C7/1000</f>
        <v>0</v>
      </c>
      <c r="G10" s="53">
        <f>'Base Costs'!D7/1000</f>
        <v>0</v>
      </c>
      <c r="H10" s="53">
        <f>'Base Costs'!E7/1000</f>
        <v>0</v>
      </c>
      <c r="I10" s="53">
        <f>'Base Costs'!F8/1000</f>
        <v>70.66</v>
      </c>
      <c r="J10" s="53">
        <f>'Base Costs'!G8/1000</f>
        <v>88.325000000000003</v>
      </c>
      <c r="K10" s="53">
        <f>'Base Costs'!H8/1000</f>
        <v>105.99</v>
      </c>
      <c r="L10" s="53">
        <f>'Base Costs'!Q74/1000</f>
        <v>8.4027499999999993</v>
      </c>
      <c r="M10" s="53">
        <f>'Base Costs'!R74/1000</f>
        <v>8.8450000000000006</v>
      </c>
      <c r="N10" s="53">
        <f>'Base Costs'!S74/1000</f>
        <v>9.2872500000000002</v>
      </c>
      <c r="O10" s="160">
        <f>'Base Costs'!D4/1000</f>
        <v>32.628101426236384</v>
      </c>
      <c r="P10" s="160">
        <f>'Base Costs'!E4/1000</f>
        <v>40.085183306139839</v>
      </c>
      <c r="Q10" s="160">
        <f>'Base Costs'!F4/1000</f>
        <v>47.542265186043295</v>
      </c>
      <c r="R10" s="160">
        <f t="shared" ref="R10:R22" si="0">Q10-O10</f>
        <v>14.914163759806911</v>
      </c>
      <c r="S10" s="160" t="s">
        <v>112</v>
      </c>
      <c r="T10" s="158">
        <v>0</v>
      </c>
      <c r="U10" s="158"/>
    </row>
    <row r="11" spans="2:23" s="20" customFormat="1" ht="33" customHeight="1">
      <c r="B11" s="116" t="str">
        <f>'Option 1a'!C2</f>
        <v>Option 1a - Leakage reduction</v>
      </c>
      <c r="C11" s="53">
        <f>'Option 1a'!I6/1000</f>
        <v>5.1020000000000003</v>
      </c>
      <c r="D11" s="53">
        <f>'Option 1a'!J6/1000</f>
        <v>6.3150000000000004</v>
      </c>
      <c r="E11" s="53">
        <f>'Option 1a'!K6/1000</f>
        <v>7.7279999999999998</v>
      </c>
      <c r="F11" s="53">
        <f>'Option 1a'!C7/1000</f>
        <v>0.45</v>
      </c>
      <c r="G11" s="53">
        <f>'Option 1a'!D7/1000</f>
        <v>0.5</v>
      </c>
      <c r="H11" s="53">
        <f>'Option 1a'!E7/1000</f>
        <v>0.75</v>
      </c>
      <c r="I11" s="53">
        <f>'Option 1a'!F8/1000</f>
        <v>72.075999999999993</v>
      </c>
      <c r="J11" s="53">
        <f>'Option 1a'!G8/1000</f>
        <v>90.094999999999999</v>
      </c>
      <c r="K11" s="53">
        <f>'Option 1a'!H8/1000</f>
        <v>108.114</v>
      </c>
      <c r="L11" s="53">
        <f>'Option 1a'!Q74/1000</f>
        <v>9.2709645000000052</v>
      </c>
      <c r="M11" s="53">
        <f>'Option 1a'!R74/1000</f>
        <v>9.7589099999999913</v>
      </c>
      <c r="N11" s="53">
        <f>'Option 1a'!S74/1000</f>
        <v>10.246855499999999</v>
      </c>
      <c r="O11" s="160">
        <f>'Option 1a'!D4/1000</f>
        <v>33.975911453077892</v>
      </c>
      <c r="P11" s="160">
        <f>'Option 1a'!E4/1000</f>
        <v>41.641550771709646</v>
      </c>
      <c r="Q11" s="160">
        <f>'Option 1a'!F4/1000</f>
        <v>49.497050078254688</v>
      </c>
      <c r="R11" s="160">
        <f t="shared" si="0"/>
        <v>15.521138625176796</v>
      </c>
      <c r="S11" s="166">
        <f>P11-$P$10</f>
        <v>1.5563674655698065</v>
      </c>
      <c r="T11" s="158">
        <v>2</v>
      </c>
      <c r="U11" s="159">
        <f>S11/T11</f>
        <v>0.77818373278490327</v>
      </c>
    </row>
    <row r="12" spans="2:23" s="20" customFormat="1" ht="33" customHeight="1">
      <c r="B12" s="116" t="str">
        <f>'Option 1b'!C2</f>
        <v>Option 1b - Leakage &amp; PCC management</v>
      </c>
      <c r="C12" s="53">
        <f>'Option 1b'!I6/1000</f>
        <v>5.282</v>
      </c>
      <c r="D12" s="53">
        <f>'Option 1b'!J6/1000</f>
        <v>6.5149999999999997</v>
      </c>
      <c r="E12" s="53">
        <f>'Option 1b'!K6/1000</f>
        <v>8.0280000000000005</v>
      </c>
      <c r="F12" s="53">
        <f>'Option 1b'!C7/1000</f>
        <v>2.4750000000000001</v>
      </c>
      <c r="G12" s="53">
        <f>'Option 1b'!D7/1000</f>
        <v>2.75</v>
      </c>
      <c r="H12" s="53">
        <f>'Option 1b'!E7/1000</f>
        <v>4.125</v>
      </c>
      <c r="I12" s="53">
        <f>'Option 1b'!F8/1000</f>
        <v>72.075999999999993</v>
      </c>
      <c r="J12" s="53">
        <f>'Option 1b'!G8/1000</f>
        <v>90.094999999999999</v>
      </c>
      <c r="K12" s="53">
        <f>'Option 1b'!H8/1000</f>
        <v>108.114</v>
      </c>
      <c r="L12" s="53">
        <f>'Option 1b'!Q74/1000</f>
        <v>9.2709645000000052</v>
      </c>
      <c r="M12" s="53">
        <f>'Option 1b'!R74/1000</f>
        <v>9.7589099999999913</v>
      </c>
      <c r="N12" s="53">
        <f>'Option 1b'!S74/1000</f>
        <v>10.246855499999999</v>
      </c>
      <c r="O12" s="160">
        <f>'Option 1b'!D4/1000</f>
        <v>34.835206688804945</v>
      </c>
      <c r="P12" s="160">
        <f>'Option 1b'!E4/1000</f>
        <v>42.59632325585082</v>
      </c>
      <c r="Q12" s="160">
        <f>'Option 1b'!F4/1000</f>
        <v>50.929208804466434</v>
      </c>
      <c r="R12" s="160">
        <f t="shared" si="0"/>
        <v>16.094002115661489</v>
      </c>
      <c r="S12" s="166">
        <v>2.5</v>
      </c>
      <c r="T12" s="158">
        <f>2+1</f>
        <v>3</v>
      </c>
      <c r="U12" s="159">
        <f t="shared" ref="U12:U22" si="1">S12/T12</f>
        <v>0.83333333333333337</v>
      </c>
    </row>
    <row r="13" spans="2:23" s="20" customFormat="1" ht="33" customHeight="1">
      <c r="B13" s="116" t="str">
        <f>'Option 1c'!C2</f>
        <v>Option 1c - Leakage &amp; PCC management with customer metering</v>
      </c>
      <c r="C13" s="53">
        <f>'Option 1c'!I6/1000</f>
        <v>13.157</v>
      </c>
      <c r="D13" s="53">
        <f>'Option 1c'!J6/1000</f>
        <v>15.264999999999999</v>
      </c>
      <c r="E13" s="53">
        <f>'Option 1c'!K6/1000</f>
        <v>18.318000000000001</v>
      </c>
      <c r="F13" s="53">
        <f>'Option 1c'!C7/1000</f>
        <v>9</v>
      </c>
      <c r="G13" s="53">
        <f>'Option 1c'!D7/1000</f>
        <v>10</v>
      </c>
      <c r="H13" s="53">
        <f>'Option 1c'!E7/1000</f>
        <v>11.999999999999998</v>
      </c>
      <c r="I13" s="53">
        <f>'Option 1c'!F8/1000</f>
        <v>108.476</v>
      </c>
      <c r="J13" s="53">
        <f>'Option 1c'!G8/1000</f>
        <v>135.595</v>
      </c>
      <c r="K13" s="53">
        <f>'Option 1c'!H8/1000</f>
        <v>162.714</v>
      </c>
      <c r="L13" s="53">
        <f>'Option 1c'!Q74/1000</f>
        <v>9.2709645000000052</v>
      </c>
      <c r="M13" s="53">
        <f>'Option 1c'!R74/1000</f>
        <v>9.7589099999999913</v>
      </c>
      <c r="N13" s="53">
        <f>'Option 1c'!S74/1000</f>
        <v>10.246855499999999</v>
      </c>
      <c r="O13" s="160">
        <f>'Option 1c'!D4/1000</f>
        <v>54.192619931738676</v>
      </c>
      <c r="P13" s="160">
        <f>'Option 1c'!E4/1000</f>
        <v>65.843141727498221</v>
      </c>
      <c r="Q13" s="160">
        <f>'Option 1c'!F4/1000</f>
        <v>78.396564234265966</v>
      </c>
      <c r="R13" s="160">
        <f t="shared" si="0"/>
        <v>24.20394430252729</v>
      </c>
      <c r="S13" s="166">
        <f t="shared" ref="S13:S22" si="2">P13-$P$10</f>
        <v>25.757958421358381</v>
      </c>
      <c r="T13" s="158">
        <f>2+4</f>
        <v>6</v>
      </c>
      <c r="U13" s="159">
        <f t="shared" si="1"/>
        <v>4.2929930702263972</v>
      </c>
      <c r="V13" s="163" t="s">
        <v>203</v>
      </c>
    </row>
    <row r="14" spans="2:23" s="20" customFormat="1" ht="33" customHeight="1">
      <c r="B14" s="116" t="str">
        <f>'Option 1d'!C2</f>
        <v>Option 1d - Leakage reduction &amp; Assynt  link</v>
      </c>
      <c r="C14" s="53">
        <f>'Option 1d'!I6/1000</f>
        <v>30.47</v>
      </c>
      <c r="D14" s="53">
        <f>'Option 1d'!J6/1000</f>
        <v>34.524999999999999</v>
      </c>
      <c r="E14" s="53">
        <f>'Option 1d'!K6/1000</f>
        <v>49.98</v>
      </c>
      <c r="F14" s="53">
        <f>'Option 1d'!C7/1000</f>
        <v>25.65</v>
      </c>
      <c r="G14" s="53">
        <f>'Option 1d'!D7/1000</f>
        <v>28.5</v>
      </c>
      <c r="H14" s="53">
        <f>'Option 1d'!E7/1000</f>
        <v>42.75</v>
      </c>
      <c r="I14" s="53">
        <f>'Option 1d'!F8/1000</f>
        <v>75.38</v>
      </c>
      <c r="J14" s="53">
        <f>'Option 1d'!G8/1000</f>
        <v>94.224999999999994</v>
      </c>
      <c r="K14" s="53">
        <f>'Option 1d'!H8/1000</f>
        <v>113.07</v>
      </c>
      <c r="L14" s="53">
        <f>'Option 1d'!Q74/1000</f>
        <v>9.2709645000000052</v>
      </c>
      <c r="M14" s="53">
        <f>'Option 1d'!R74/1000</f>
        <v>9.7589099999999913</v>
      </c>
      <c r="N14" s="53">
        <f>'Option 1d'!S74/1000</f>
        <v>10.246855499999999</v>
      </c>
      <c r="O14" s="160">
        <f>'Option 1d'!D4/1000</f>
        <v>59.229907207884303</v>
      </c>
      <c r="P14" s="160">
        <f>'Option 1d'!E4/1000</f>
        <v>69.886495676735194</v>
      </c>
      <c r="Q14" s="160">
        <f>'Option 1d'!F4/1000</f>
        <v>91.36510345664334</v>
      </c>
      <c r="R14" s="160">
        <f t="shared" si="0"/>
        <v>32.135196248759037</v>
      </c>
      <c r="S14" s="166">
        <f t="shared" si="2"/>
        <v>29.801312370595355</v>
      </c>
      <c r="T14" s="158">
        <f>2+5</f>
        <v>7</v>
      </c>
      <c r="U14" s="159">
        <f t="shared" si="1"/>
        <v>4.2573303386564794</v>
      </c>
      <c r="V14" s="163"/>
    </row>
    <row r="15" spans="2:23" s="20" customFormat="1" ht="33" customHeight="1">
      <c r="B15" s="116" t="str">
        <f>'Option 2a'!C2</f>
        <v>Option 2a - new 20Ml/d raw water source from Inverness</v>
      </c>
      <c r="C15" s="53">
        <f>'Option 2a'!I6/1000</f>
        <v>35.594684830662608</v>
      </c>
      <c r="D15" s="53">
        <f>'Option 2a'!J6/1000</f>
        <v>40.214649811847337</v>
      </c>
      <c r="E15" s="53">
        <f>'Option 2a'!K6/1000</f>
        <v>44.834614793032074</v>
      </c>
      <c r="F15" s="53">
        <f>'Option 2a'!C7/1000</f>
        <v>30.806684830662604</v>
      </c>
      <c r="G15" s="53">
        <f>'Option 2a'!D7/1000</f>
        <v>34.229649811847338</v>
      </c>
      <c r="H15" s="53">
        <f>'Option 2a'!E7/1000</f>
        <v>37.652614793032072</v>
      </c>
      <c r="I15" s="53">
        <f>'Option 2a'!F8/1000</f>
        <v>93.867646696139744</v>
      </c>
      <c r="J15" s="53">
        <f>'Option 2a'!G8/1000</f>
        <v>117.33455837017466</v>
      </c>
      <c r="K15" s="53">
        <f>'Option 2a'!H8/1000</f>
        <v>140.80147004420957</v>
      </c>
      <c r="L15" s="53">
        <f>'Option 2a'!Q74/1000</f>
        <v>37.458334600244207</v>
      </c>
      <c r="M15" s="53">
        <f>'Option 2a'!R74/1000</f>
        <v>39.429825894993897</v>
      </c>
      <c r="N15" s="53">
        <f>'Option 2a'!S74/1000</f>
        <v>41.401317189743587</v>
      </c>
      <c r="O15" s="160">
        <f>'Option 2a'!D4/1000</f>
        <v>79.922530361667384</v>
      </c>
      <c r="P15" s="160">
        <f>'Option 2a'!E4/1000</f>
        <v>93.090789488694838</v>
      </c>
      <c r="Q15" s="160">
        <f>'Option 2a'!F4/1000</f>
        <v>106.25904861572219</v>
      </c>
      <c r="R15" s="160">
        <f t="shared" si="0"/>
        <v>26.336518254054809</v>
      </c>
      <c r="S15" s="160">
        <f t="shared" si="2"/>
        <v>53.005606182554999</v>
      </c>
      <c r="T15" s="158">
        <v>20</v>
      </c>
      <c r="U15" s="159">
        <f t="shared" si="1"/>
        <v>2.65028030912775</v>
      </c>
    </row>
    <row r="16" spans="2:23" s="20" customFormat="1" ht="33" customHeight="1">
      <c r="B16" s="116" t="str">
        <f>'Option 2b'!C2</f>
        <v>Option 2b - new 40Ml/d raw water source from Inverness and WTW capacity increased 2065</v>
      </c>
      <c r="C16" s="53">
        <f>'Option 2b'!I6/1000</f>
        <v>39.194684830662602</v>
      </c>
      <c r="D16" s="53">
        <f>'Option 2b'!J6/1000</f>
        <v>44.214649811847337</v>
      </c>
      <c r="E16" s="53">
        <f>'Option 2b'!K6/1000</f>
        <v>49.234614793032073</v>
      </c>
      <c r="F16" s="53">
        <f>'Option 2b'!C7/1000</f>
        <v>46.406684830662606</v>
      </c>
      <c r="G16" s="53">
        <f>'Option 2b'!D7/1000</f>
        <v>53.229649811847338</v>
      </c>
      <c r="H16" s="53">
        <f>'Option 2b'!E7/1000</f>
        <v>62.05261479303207</v>
      </c>
      <c r="I16" s="53">
        <f>'Option 2b'!F8/1000</f>
        <v>96.699646696139737</v>
      </c>
      <c r="J16" s="53">
        <f>'Option 2b'!G8/1000</f>
        <v>120.87455837017467</v>
      </c>
      <c r="K16" s="53">
        <f>'Option 2b'!H8/1000</f>
        <v>145.04947004420956</v>
      </c>
      <c r="L16" s="53">
        <f>'Option 2b'!Q74/1000</f>
        <v>38.060397100244202</v>
      </c>
      <c r="M16" s="53">
        <f>'Option 2b'!R74/1000</f>
        <v>40.063575894993896</v>
      </c>
      <c r="N16" s="53">
        <f>'Option 2b'!S74/1000</f>
        <v>42.06675468974359</v>
      </c>
      <c r="O16" s="160">
        <f>'Option 2b'!D4/1000</f>
        <v>86.948050329412268</v>
      </c>
      <c r="P16" s="160">
        <f>'Option 2b'!E4/1000</f>
        <v>101.36208478942046</v>
      </c>
      <c r="Q16" s="160">
        <f>'Option 2b'!F4/1000</f>
        <v>116.19410624153889</v>
      </c>
      <c r="R16" s="160">
        <f t="shared" si="0"/>
        <v>29.246055912126621</v>
      </c>
      <c r="S16" s="160">
        <f t="shared" si="2"/>
        <v>61.276901483280625</v>
      </c>
      <c r="T16" s="158">
        <v>40</v>
      </c>
      <c r="U16" s="159">
        <f t="shared" si="1"/>
        <v>1.5319225370820155</v>
      </c>
    </row>
    <row r="17" spans="2:21" s="20" customFormat="1" ht="33" customHeight="1">
      <c r="B17" s="116" t="str">
        <f>'Option 2c'!C2</f>
        <v>Option 2c - new 20Ml/d raw water source augmented in 30 years from Inverness and WTW capacity increased 2065</v>
      </c>
      <c r="C17" s="53">
        <f>'Option 2c'!I6/1000</f>
        <v>35.594684830662608</v>
      </c>
      <c r="D17" s="53">
        <f>'Option 2c'!J6/1000</f>
        <v>40.214649811847337</v>
      </c>
      <c r="E17" s="53">
        <f>'Option 2c'!K6/1000</f>
        <v>44.834614793032074</v>
      </c>
      <c r="F17" s="53">
        <f>'Option 2c'!C7/1000</f>
        <v>73.613369661325208</v>
      </c>
      <c r="G17" s="53">
        <f>'Option 2c'!D7/1000</f>
        <v>83.459299623694676</v>
      </c>
      <c r="H17" s="53">
        <f>'Option 2c'!E7/1000</f>
        <v>95.305229586064144</v>
      </c>
      <c r="I17" s="53">
        <f>'Option 2c'!F8/1000</f>
        <v>104.79883424646744</v>
      </c>
      <c r="J17" s="53">
        <f>'Option 2c'!G8/1000</f>
        <v>130.9985428080843</v>
      </c>
      <c r="K17" s="53">
        <f>'Option 2c'!H8/1000</f>
        <v>157.19825136970115</v>
      </c>
      <c r="L17" s="53">
        <f>'Option 2c'!Q74/1000</f>
        <v>38.085334600244202</v>
      </c>
      <c r="M17" s="53">
        <f>'Option 2c'!R74/1000</f>
        <v>40.089825894993901</v>
      </c>
      <c r="N17" s="53">
        <f>'Option 2c'!S74/1000</f>
        <v>42.094317189743592</v>
      </c>
      <c r="O17" s="160">
        <f>'Option 2c'!D4/1000</f>
        <v>94.94018765863936</v>
      </c>
      <c r="P17" s="160">
        <f>'Option 2c'!E4/1000</f>
        <v>110.36159784509654</v>
      </c>
      <c r="Q17" s="160">
        <f>'Option 2c'!F4/1000</f>
        <v>126.20099502366391</v>
      </c>
      <c r="R17" s="160">
        <f t="shared" si="0"/>
        <v>31.260807365024547</v>
      </c>
      <c r="S17" s="160">
        <f t="shared" si="2"/>
        <v>70.276414538956701</v>
      </c>
      <c r="T17" s="158">
        <v>40</v>
      </c>
      <c r="U17" s="159">
        <f t="shared" si="1"/>
        <v>1.7569103634739176</v>
      </c>
    </row>
    <row r="18" spans="2:21" s="20" customFormat="1" ht="33" customHeight="1">
      <c r="B18" s="116" t="str">
        <f>'Option 2d'!C2</f>
        <v>Option 2d - new 20Ml/d raw water source augmented in 50 years from Inverness and WTW capacity increased 2065</v>
      </c>
      <c r="C18" s="53">
        <f>'Option 2d'!I6/1000</f>
        <v>35.594684830662608</v>
      </c>
      <c r="D18" s="53">
        <f>'Option 2d'!J6/1000</f>
        <v>40.214649811847337</v>
      </c>
      <c r="E18" s="53">
        <f>'Option 2d'!K6/1000</f>
        <v>44.834614793032074</v>
      </c>
      <c r="F18" s="53">
        <f>'Option 2d'!C7/1000</f>
        <v>73.613369661325208</v>
      </c>
      <c r="G18" s="53">
        <f>'Option 2d'!D7/1000</f>
        <v>83.459299623694676</v>
      </c>
      <c r="H18" s="53">
        <f>'Option 2d'!E7/1000</f>
        <v>95.305229586064144</v>
      </c>
      <c r="I18" s="53">
        <f>'Option 2d'!F8/1000</f>
        <v>93.867646696139744</v>
      </c>
      <c r="J18" s="53">
        <f>'Option 2d'!G8/1000</f>
        <v>117.33455837017466</v>
      </c>
      <c r="K18" s="53">
        <f>'Option 2d'!H8/1000</f>
        <v>140.80147004420957</v>
      </c>
      <c r="L18" s="53">
        <f>'Option 2d'!Q74/1000</f>
        <v>38.104334600244208</v>
      </c>
      <c r="M18" s="53">
        <f>'Option 2d'!R74/1000</f>
        <v>40.109825894993897</v>
      </c>
      <c r="N18" s="53">
        <f>'Option 2d'!S74/1000</f>
        <v>42.115317189743593</v>
      </c>
      <c r="O18" s="160">
        <f>'Option 2d'!D4/1000</f>
        <v>87.854815363487262</v>
      </c>
      <c r="P18" s="160">
        <f>'Option 2d'!E4/1000</f>
        <v>102.24654207611189</v>
      </c>
      <c r="Q18" s="160">
        <f>'Option 2d'!F4/1000</f>
        <v>117.05625578084677</v>
      </c>
      <c r="R18" s="160">
        <f t="shared" si="0"/>
        <v>29.201440417359507</v>
      </c>
      <c r="S18" s="160">
        <f t="shared" si="2"/>
        <v>62.161358769972054</v>
      </c>
      <c r="T18" s="158">
        <v>40</v>
      </c>
      <c r="U18" s="159">
        <f t="shared" si="1"/>
        <v>1.5540339692493013</v>
      </c>
    </row>
    <row r="19" spans="2:21" s="20" customFormat="1" ht="33" customHeight="1">
      <c r="B19" s="116" t="str">
        <f>'Option 2e'!C2</f>
        <v>Option 2e -  40Ml/d raw water source initial 20Ml/d PS capacity, WTW and PS capacity increased 2065</v>
      </c>
      <c r="C19" s="53">
        <f>'Option 2e'!I6/1000</f>
        <v>37.574684830662605</v>
      </c>
      <c r="D19" s="53">
        <f>'Option 2e'!J6/1000</f>
        <v>42.41464981184734</v>
      </c>
      <c r="E19" s="53">
        <f>'Option 2e'!K6/1000</f>
        <v>47.254614793032076</v>
      </c>
      <c r="F19" s="53">
        <f>'Option 2e'!C7/1000</f>
        <v>44.786684830662608</v>
      </c>
      <c r="G19" s="53">
        <f>'Option 2e'!D7/1000</f>
        <v>52.429649811847341</v>
      </c>
      <c r="H19" s="53">
        <f>'Option 2e'!E7/1000</f>
        <v>60.072614793032074</v>
      </c>
      <c r="I19" s="53">
        <f>'Option 2e'!F8/1000</f>
        <v>93.154406696139731</v>
      </c>
      <c r="J19" s="53">
        <f>'Option 2e'!G8/1000</f>
        <v>116.44300837017467</v>
      </c>
      <c r="K19" s="53">
        <f>'Option 2e'!H8/1000</f>
        <v>139.73161004420959</v>
      </c>
      <c r="L19" s="53">
        <f>'Option 2e'!Q74/1000</f>
        <v>38.060397100244202</v>
      </c>
      <c r="M19" s="53">
        <f>'Option 2e'!R74/1000</f>
        <v>40.063575894993896</v>
      </c>
      <c r="N19" s="53">
        <f>'Option 2e'!S74/1000</f>
        <v>42.06675468974359</v>
      </c>
      <c r="O19" s="160">
        <f>'Option 2e'!D4/1000</f>
        <v>84.223197504666672</v>
      </c>
      <c r="P19" s="160">
        <f>'Option 2e'!E4/1000</f>
        <v>98.386165914964707</v>
      </c>
      <c r="Q19" s="160">
        <f>'Option 2e'!F4/1000</f>
        <v>112.54913432526271</v>
      </c>
      <c r="R19" s="160">
        <f t="shared" si="0"/>
        <v>28.325936820596041</v>
      </c>
      <c r="S19" s="160">
        <f t="shared" si="2"/>
        <v>58.300982608824867</v>
      </c>
      <c r="T19" s="158">
        <v>40</v>
      </c>
      <c r="U19" s="159">
        <f t="shared" si="1"/>
        <v>1.4575245652206217</v>
      </c>
    </row>
    <row r="20" spans="2:21" s="20" customFormat="1" ht="33" customHeight="1">
      <c r="B20" s="116" t="str">
        <f>'Option 2e (defer 10 years)'!C2</f>
        <v>Option 2f -  defer by 10 years 40Ml/d raw water source initial 20Ml/d PS capacity, WTW and PS capacity increased 2065</v>
      </c>
      <c r="C20" s="53">
        <f>'Option 2e (defer 10 years)'!I6/1000</f>
        <v>4.7992499999999998</v>
      </c>
      <c r="D20" s="53">
        <f>'Option 2e (defer 10 years)'!J6/1000</f>
        <v>5.9974999999999996</v>
      </c>
      <c r="E20" s="53">
        <f>'Option 2e (defer 10 years)'!K6/1000</f>
        <v>7.1957500000000003</v>
      </c>
      <c r="F20" s="53">
        <f>'Option 2e (defer 10 years)'!C7/1000</f>
        <v>44.851934830662607</v>
      </c>
      <c r="G20" s="53">
        <f>'Option 2e (defer 10 years)'!D7/1000</f>
        <v>52.502149811847339</v>
      </c>
      <c r="H20" s="53">
        <f>'Option 2e (defer 10 years)'!E7/1000</f>
        <v>60.152364793032071</v>
      </c>
      <c r="I20" s="53">
        <f>'Option 2e (defer 10 years)'!F8/1000</f>
        <v>91.070823505171049</v>
      </c>
      <c r="J20" s="53">
        <f>'Option 2e (defer 10 years)'!G8/1000</f>
        <v>113.83852938146383</v>
      </c>
      <c r="K20" s="53">
        <f>'Option 2e (defer 10 years)'!H8/1000</f>
        <v>136.60623525775657</v>
      </c>
      <c r="L20" s="53">
        <f>'Option 2e (defer 10 years)'!Q74/1000</f>
        <v>35.353125835878942</v>
      </c>
      <c r="M20" s="53">
        <f>'Option 2e (defer 10 years)'!R74/1000</f>
        <v>37.213816669346265</v>
      </c>
      <c r="N20" s="53">
        <f>'Option 2e (defer 10 years)'!S74/1000</f>
        <v>39.074507502813567</v>
      </c>
      <c r="O20" s="160">
        <f>'Option 2e (defer 10 years)'!D4/1000</f>
        <v>70.364062633738783</v>
      </c>
      <c r="P20" s="160">
        <f>'Option 2e (defer 10 years)'!E4/1000</f>
        <v>82.794474501607567</v>
      </c>
      <c r="Q20" s="160">
        <f>'Option 2e (defer 10 years)'!F4/1000</f>
        <v>95.224886369476351</v>
      </c>
      <c r="R20" s="160">
        <f t="shared" si="0"/>
        <v>24.860823735737569</v>
      </c>
      <c r="S20" s="160">
        <f t="shared" si="2"/>
        <v>42.709291195467728</v>
      </c>
      <c r="T20" s="158">
        <v>40</v>
      </c>
      <c r="U20" s="159">
        <f t="shared" si="1"/>
        <v>1.0677322798866933</v>
      </c>
    </row>
    <row r="21" spans="2:21" s="20" customFormat="1" ht="33" customHeight="1">
      <c r="B21" s="116" t="str">
        <f>'Option 2e (defer 15 years)'!C2</f>
        <v>Option 2g -  defer by 15 years 40Ml/d raw water source initial 20Ml/d PS capacity, WTW and PS capacity increased 2065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160">
        <f>'Option 2e (defer 15 years)'!D4/1000</f>
        <v>65.613562086471262</v>
      </c>
      <c r="P21" s="160">
        <f>'Option 2e (defer 15 years)'!E4/1000</f>
        <v>77.36097437670459</v>
      </c>
      <c r="Q21" s="160">
        <f>'Option 2e (defer 15 years)'!F4/1000</f>
        <v>89.108386666937932</v>
      </c>
      <c r="R21" s="160">
        <f t="shared" si="0"/>
        <v>23.49482458046667</v>
      </c>
      <c r="S21" s="160">
        <f t="shared" si="2"/>
        <v>37.27579107056475</v>
      </c>
      <c r="T21" s="158">
        <v>40</v>
      </c>
      <c r="U21" s="159">
        <f t="shared" si="1"/>
        <v>0.9318947767641188</v>
      </c>
    </row>
    <row r="22" spans="2:21" s="20" customFormat="1" ht="33" customHeight="1">
      <c r="B22" s="116" t="str">
        <f>'Option 3'!C2</f>
        <v>Option 3 - New source &amp; new WTW at new location, 20Mld raw in 45 years</v>
      </c>
      <c r="C22" s="53">
        <f>'Option 3'!$I$6/1000</f>
        <v>46.62</v>
      </c>
      <c r="D22" s="82">
        <f>'Option 3'!$J$6/1000</f>
        <v>58.274999999999999</v>
      </c>
      <c r="E22" s="54">
        <f>'Option 3'!$K$6/1000</f>
        <v>69.930000000000007</v>
      </c>
      <c r="F22" s="53">
        <f>'Option 3'!$C$7/1000</f>
        <v>68.103719849477869</v>
      </c>
      <c r="G22" s="82">
        <f>'Option 3'!$D$7/1000</f>
        <v>85.129649811847344</v>
      </c>
      <c r="H22" s="54">
        <f>'Option 3'!$E$7/1000</f>
        <v>102.1555797742168</v>
      </c>
      <c r="I22" s="53">
        <f>'Option 3'!$F$8/1000</f>
        <v>131.61407159548432</v>
      </c>
      <c r="J22" s="53">
        <f>'Option 3'!$G$8/1000</f>
        <v>164.51758949435543</v>
      </c>
      <c r="K22" s="53">
        <f>'Option 3'!$H$8/1000</f>
        <v>197.42110739322649</v>
      </c>
      <c r="L22" s="53">
        <f>'Option 3'!$Q$74/1000</f>
        <v>20.285369000000014</v>
      </c>
      <c r="M22" s="53">
        <f>'Option 3'!$R$74/1000</f>
        <v>21.353019999999997</v>
      </c>
      <c r="N22" s="53">
        <f>'Option 3'!$S$74/1000</f>
        <v>22.420671000000038</v>
      </c>
      <c r="O22" s="160">
        <f>'Option 3'!$D$4/1000</f>
        <v>104.29163507158401</v>
      </c>
      <c r="P22" s="160">
        <f>'Option 3'!$E$4/1000</f>
        <v>128.69871640617251</v>
      </c>
      <c r="Q22" s="160">
        <f>'Option 3'!$F$4/1000</f>
        <v>153.10579774076112</v>
      </c>
      <c r="R22" s="160">
        <f t="shared" si="0"/>
        <v>48.814162669177108</v>
      </c>
      <c r="S22" s="160">
        <f t="shared" si="2"/>
        <v>88.613533100032669</v>
      </c>
      <c r="T22" s="158">
        <v>40</v>
      </c>
      <c r="U22" s="159">
        <f t="shared" si="1"/>
        <v>2.2153383275008167</v>
      </c>
    </row>
    <row r="24" spans="2:21">
      <c r="G24" s="83"/>
      <c r="H24" s="83"/>
      <c r="J24" s="83"/>
    </row>
    <row r="25" spans="2:21">
      <c r="H25" s="52"/>
      <c r="I25" s="52"/>
      <c r="J25" s="52"/>
    </row>
    <row r="26" spans="2:21">
      <c r="H26" s="52"/>
      <c r="I26" s="52"/>
      <c r="J26" s="52"/>
    </row>
    <row r="27" spans="2:21">
      <c r="H27" s="52"/>
      <c r="I27" s="52"/>
      <c r="J27" s="52"/>
    </row>
    <row r="28" spans="2:21">
      <c r="H28" s="52"/>
      <c r="I28" s="52"/>
      <c r="J28" s="52"/>
    </row>
    <row r="29" spans="2:21">
      <c r="H29" s="52"/>
      <c r="I29" s="52"/>
      <c r="J29" s="52"/>
    </row>
    <row r="30" spans="2:21">
      <c r="H30" s="52"/>
      <c r="I30" s="52"/>
      <c r="J30" s="52"/>
    </row>
  </sheetData>
  <mergeCells count="12">
    <mergeCell ref="G3:H3"/>
    <mergeCell ref="F8:H8"/>
    <mergeCell ref="I8:K8"/>
    <mergeCell ref="F7:K7"/>
    <mergeCell ref="L7:N8"/>
    <mergeCell ref="T7:T9"/>
    <mergeCell ref="U7:U9"/>
    <mergeCell ref="S7:S9"/>
    <mergeCell ref="B8:B9"/>
    <mergeCell ref="F5:R5"/>
    <mergeCell ref="O7:R8"/>
    <mergeCell ref="C8:E8"/>
  </mergeCells>
  <conditionalFormatting sqref="F8 I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N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Q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R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2 G10:H2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K2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N2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22 D10:E2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&amp;L&amp;1#&amp;"Arial"&amp;11&amp;K000000SW Internal Personal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0" zoomScaleNormal="80" workbookViewId="0">
      <pane xSplit="2" ySplit="12" topLeftCell="C44" activePane="bottomRight" state="frozen"/>
      <selection pane="topRight" activeCell="O65" sqref="O65"/>
      <selection pane="bottomLeft" activeCell="O65" sqref="O65"/>
      <selection pane="bottomRight" activeCell="M57" sqref="M57:M73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121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10146.254868293137</v>
      </c>
      <c r="U3" s="97">
        <v>0</v>
      </c>
      <c r="W3" s="105">
        <v>0.56000000000000005</v>
      </c>
      <c r="X3" s="97">
        <f t="shared" ref="X3:X8" si="0">W3*$X$9</f>
        <v>11051.6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87854.815363487258</v>
      </c>
      <c r="E4" s="57">
        <f>Y74</f>
        <v>102246.54207611189</v>
      </c>
      <c r="F4" s="58">
        <f>Z74</f>
        <v>117056.25578084677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2029.2509736586276</v>
      </c>
      <c r="U4" s="97">
        <f>(T4/N4)</f>
        <v>81.170038946345102</v>
      </c>
      <c r="W4" s="105">
        <v>0.27</v>
      </c>
      <c r="X4" s="97">
        <f t="shared" si="0"/>
        <v>5328.4500000000007</v>
      </c>
      <c r="Y4" s="97">
        <f>(X4/N4)</f>
        <v>213.13800000000003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1884.304475540154</v>
      </c>
      <c r="U5" s="97">
        <f t="shared" ref="U5:U8" si="1">(T5/N5)</f>
        <v>75.372179021606158</v>
      </c>
      <c r="W5" s="105">
        <v>0.08</v>
      </c>
      <c r="X5" s="97">
        <f t="shared" si="0"/>
        <v>1578.8</v>
      </c>
      <c r="Y5" s="97">
        <f>(X5/N5)</f>
        <v>63.152000000000001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35594.684830662605</v>
      </c>
      <c r="J6" s="84">
        <f t="shared" ref="J6:K6" si="3">SUM(J13:J17)</f>
        <v>40214.649811847339</v>
      </c>
      <c r="K6" s="31">
        <f t="shared" si="3"/>
        <v>44834.614793032073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434.83949435542019</v>
      </c>
      <c r="U6" s="97">
        <f t="shared" si="1"/>
        <v>43.483949435542016</v>
      </c>
      <c r="W6" s="105">
        <v>0.05</v>
      </c>
      <c r="X6" s="97">
        <f t="shared" si="0"/>
        <v>986.75</v>
      </c>
      <c r="Y6" s="97">
        <f>(X6/N6)</f>
        <v>98.674999999999997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73613.36966132521</v>
      </c>
      <c r="D7" s="60">
        <f t="shared" ref="D7:E7" si="4">SUM(D13:D73)</f>
        <v>83459.299623694678</v>
      </c>
      <c r="E7" s="61">
        <f t="shared" si="4"/>
        <v>95305.229586064146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789.4</v>
      </c>
      <c r="Y7" s="97">
        <f>(X7/N7)</f>
        <v>7.8939999999999996E-2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93867.646696139738</v>
      </c>
      <c r="G8" s="59">
        <f t="shared" ref="G8:H8" si="5">SUM(G13:G73)</f>
        <v>117334.55837017467</v>
      </c>
      <c r="H8" s="59">
        <f t="shared" si="5"/>
        <v>140801.47004420956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'Option 2b'!T9-1000</f>
        <v>14494.649811847339</v>
      </c>
      <c r="U9" s="98">
        <f>SUM(U3:U8)</f>
        <v>200.02616740349328</v>
      </c>
      <c r="V9" s="1"/>
      <c r="W9" s="106">
        <f>SUM(W3:W8)</f>
        <v>1</v>
      </c>
      <c r="X9" s="98">
        <f>'Option 2b'!X9-3000</f>
        <v>19735</v>
      </c>
      <c r="Y9" s="98">
        <f>SUM(Y3:Y8)</f>
        <v>375.04394000000002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15403.342415331303</v>
      </c>
      <c r="D13" s="27">
        <f>(T9+X9)/2</f>
        <v>17114.82490592367</v>
      </c>
      <c r="E13" s="65">
        <f>D13*(1+$E$11)</f>
        <v>18826.307396516037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16027.342415331303</v>
      </c>
      <c r="J13" s="89">
        <f>G13+D13</f>
        <v>17894.82490592367</v>
      </c>
      <c r="K13" s="67">
        <f>H13+E13</f>
        <v>19762.307396516037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16165.092415331303</v>
      </c>
      <c r="U13" s="89">
        <f>R13+J13</f>
        <v>18039.82490592367</v>
      </c>
      <c r="V13" s="67">
        <f>S13+K13</f>
        <v>19914.557396516037</v>
      </c>
      <c r="W13" s="5">
        <v>1</v>
      </c>
      <c r="X13" s="69">
        <f>W13*T13</f>
        <v>16165.092415331303</v>
      </c>
      <c r="Y13" s="89">
        <f>W13*U13</f>
        <v>18039.82490592367</v>
      </c>
      <c r="Z13" s="67">
        <f>W13*V13</f>
        <v>19914.557396516037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15403.342415331303</v>
      </c>
      <c r="D14" s="27">
        <f>D13</f>
        <v>17114.82490592367</v>
      </c>
      <c r="E14" s="65">
        <f t="shared" ref="E14:E73" si="11">D14*(1+$E$11)</f>
        <v>18826.307396516037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16027.342415331303</v>
      </c>
      <c r="J14" s="89">
        <f t="shared" si="13"/>
        <v>17894.82490592367</v>
      </c>
      <c r="K14" s="67">
        <f t="shared" si="13"/>
        <v>19762.307396516037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16165.092415331303</v>
      </c>
      <c r="U14" s="89">
        <f t="shared" ref="U14:V73" si="15">R14+J14</f>
        <v>18039.82490592367</v>
      </c>
      <c r="V14" s="67">
        <f t="shared" si="15"/>
        <v>19914.557396516037</v>
      </c>
      <c r="W14" s="6">
        <f t="shared" ref="W14:W73" si="16">(1/(1+$C$3))^B14</f>
        <v>0.96581031485416258</v>
      </c>
      <c r="X14" s="66">
        <f t="shared" ref="X14:X73" si="17">W14*T14</f>
        <v>15612.41299529776</v>
      </c>
      <c r="Y14" s="89">
        <f t="shared" ref="Y14:Y73" si="18">W14*U14</f>
        <v>17423.048972304103</v>
      </c>
      <c r="Z14" s="67">
        <f t="shared" ref="Z14:Z73" si="19">W14*V14</f>
        <v>19233.684949310446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$M$14+'[1]Summary 40MLD'!R5/1000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4"/>
        <v>354.28812267999268</v>
      </c>
      <c r="R15" s="70">
        <f t="shared" si="7"/>
        <v>372.93486597893968</v>
      </c>
      <c r="S15" s="67">
        <f t="shared" si="8"/>
        <v>391.58160927788668</v>
      </c>
      <c r="T15" s="66">
        <f t="shared" ref="T15:T73" si="21">Q15+I15</f>
        <v>1534.2881226799927</v>
      </c>
      <c r="U15" s="89">
        <f t="shared" si="15"/>
        <v>1847.9348659789398</v>
      </c>
      <c r="V15" s="67">
        <f t="shared" si="15"/>
        <v>2161.5816092778869</v>
      </c>
      <c r="W15" s="6">
        <f t="shared" si="16"/>
        <v>0.93278956427869664</v>
      </c>
      <c r="X15" s="66">
        <f t="shared" si="17"/>
        <v>1431.1679494326499</v>
      </c>
      <c r="Y15" s="89">
        <f t="shared" si="18"/>
        <v>1723.7343584519069</v>
      </c>
      <c r="Z15" s="67">
        <f t="shared" si="19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$M$14+'[1]Summary 40MLD'!R6/1000</f>
        <v>291.51556076584779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369.56478272755538</v>
      </c>
      <c r="R16" s="70">
        <f t="shared" si="7"/>
        <v>389.01556076584779</v>
      </c>
      <c r="S16" s="67">
        <f t="shared" si="8"/>
        <v>408.46633880414021</v>
      </c>
      <c r="T16" s="66">
        <f t="shared" si="21"/>
        <v>1549.5647827275554</v>
      </c>
      <c r="U16" s="89">
        <f t="shared" si="15"/>
        <v>1864.0155607658478</v>
      </c>
      <c r="V16" s="67">
        <f t="shared" si="15"/>
        <v>2178.4663388041404</v>
      </c>
      <c r="W16" s="6">
        <f t="shared" si="16"/>
        <v>0.90089778276868515</v>
      </c>
      <c r="X16" s="66">
        <f t="shared" si="17"/>
        <v>1395.9994770156941</v>
      </c>
      <c r="Y16" s="89">
        <f t="shared" si="18"/>
        <v>1679.2874857402796</v>
      </c>
      <c r="Z16" s="67">
        <f t="shared" si="19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1180</v>
      </c>
      <c r="J17" s="89">
        <f t="shared" si="13"/>
        <v>1475</v>
      </c>
      <c r="K17" s="67">
        <f t="shared" si="13"/>
        <v>1770</v>
      </c>
      <c r="L17" s="68">
        <f t="shared" si="23"/>
        <v>55</v>
      </c>
      <c r="M17" s="68">
        <f>$M$14+'[1]Summary 40MLD'!R7/1000</f>
        <v>302.30825444493053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379.81784172268397</v>
      </c>
      <c r="R17" s="70">
        <f t="shared" si="7"/>
        <v>399.80825444493053</v>
      </c>
      <c r="S17" s="67">
        <f t="shared" si="8"/>
        <v>419.79866716717709</v>
      </c>
      <c r="T17" s="66">
        <f t="shared" si="21"/>
        <v>1559.8178417226841</v>
      </c>
      <c r="U17" s="89">
        <f t="shared" si="15"/>
        <v>1874.8082544449305</v>
      </c>
      <c r="V17" s="67">
        <f t="shared" si="15"/>
        <v>2189.798667167177</v>
      </c>
      <c r="W17" s="6">
        <f t="shared" si="16"/>
        <v>0.87009637122724071</v>
      </c>
      <c r="X17" s="66">
        <f t="shared" si="17"/>
        <v>1357.1918438584139</v>
      </c>
      <c r="Y17" s="89">
        <f t="shared" si="18"/>
        <v>1631.2638589394114</v>
      </c>
      <c r="Z17" s="67">
        <f t="shared" si="19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$M$14+'[1]Summary 40MLD'!R8/1000</f>
        <v>316.0747916778588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392.89605209396586</v>
      </c>
      <c r="R18" s="70">
        <f t="shared" si="7"/>
        <v>413.5747916778588</v>
      </c>
      <c r="S18" s="67">
        <f t="shared" si="8"/>
        <v>434.25353126175173</v>
      </c>
      <c r="T18" s="66">
        <f t="shared" si="21"/>
        <v>1572.8960520939659</v>
      </c>
      <c r="U18" s="89">
        <f t="shared" si="15"/>
        <v>1888.5747916778587</v>
      </c>
      <c r="V18" s="67">
        <f t="shared" si="15"/>
        <v>2204.253531261752</v>
      </c>
      <c r="W18" s="6">
        <f t="shared" si="16"/>
        <v>0.84034805024844572</v>
      </c>
      <c r="X18" s="66">
        <f t="shared" si="17"/>
        <v>1321.780130620642</v>
      </c>
      <c r="Y18" s="89">
        <f t="shared" si="18"/>
        <v>1587.0601439348532</v>
      </c>
      <c r="Z18" s="67">
        <f t="shared" si="19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$M$14+'[1]Summary 40MLD'!R9/1000</f>
        <v>326.23258389956914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402.54595470459066</v>
      </c>
      <c r="R19" s="70">
        <f t="shared" si="7"/>
        <v>423.73258389956914</v>
      </c>
      <c r="S19" s="67">
        <f t="shared" si="8"/>
        <v>444.91921309454762</v>
      </c>
      <c r="T19" s="66">
        <f t="shared" si="21"/>
        <v>1582.5459547045907</v>
      </c>
      <c r="U19" s="89">
        <f t="shared" si="15"/>
        <v>1898.7325838995691</v>
      </c>
      <c r="V19" s="67">
        <f t="shared" si="15"/>
        <v>2214.9192130945476</v>
      </c>
      <c r="W19" s="6">
        <f t="shared" si="16"/>
        <v>0.81161681499753291</v>
      </c>
      <c r="X19" s="66">
        <f t="shared" si="17"/>
        <v>1284.42090734457</v>
      </c>
      <c r="Y19" s="89">
        <f t="shared" si="18"/>
        <v>1541.0432922766042</v>
      </c>
      <c r="Z19" s="67">
        <f t="shared" si="19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1180</v>
      </c>
      <c r="J20" s="89">
        <f t="shared" si="13"/>
        <v>1475</v>
      </c>
      <c r="K20" s="67">
        <f t="shared" si="13"/>
        <v>1770</v>
      </c>
      <c r="L20" s="68">
        <f t="shared" si="23"/>
        <v>55</v>
      </c>
      <c r="M20" s="68">
        <f>$M$14+'[1]Summary 40MLD'!R10/1000</f>
        <v>330.97372987921659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407.05004338525572</v>
      </c>
      <c r="R20" s="70">
        <f t="shared" si="7"/>
        <v>428.47372987921659</v>
      </c>
      <c r="S20" s="67">
        <f t="shared" si="8"/>
        <v>449.89741637317746</v>
      </c>
      <c r="T20" s="66">
        <f t="shared" si="21"/>
        <v>1587.0500433852558</v>
      </c>
      <c r="U20" s="89">
        <f t="shared" si="15"/>
        <v>1903.4737298792165</v>
      </c>
      <c r="V20" s="67">
        <f t="shared" si="15"/>
        <v>2219.8974163731773</v>
      </c>
      <c r="W20" s="6">
        <f t="shared" si="16"/>
        <v>0.78386789163369996</v>
      </c>
      <c r="X20" s="66">
        <f t="shared" si="17"/>
        <v>1244.0375714255724</v>
      </c>
      <c r="Y20" s="89">
        <f t="shared" si="18"/>
        <v>1492.0719394205564</v>
      </c>
      <c r="Z20" s="67">
        <f t="shared" si="19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1180</v>
      </c>
      <c r="J21" s="89">
        <f t="shared" si="13"/>
        <v>1475</v>
      </c>
      <c r="K21" s="67">
        <f t="shared" si="13"/>
        <v>1770</v>
      </c>
      <c r="L21" s="68">
        <f t="shared" si="23"/>
        <v>55</v>
      </c>
      <c r="M21" s="68">
        <f>$M$14+'[1]Summary 40MLD'!R11/1000</f>
        <v>336.42671869662865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412.23038276179722</v>
      </c>
      <c r="R21" s="70">
        <f t="shared" si="7"/>
        <v>433.92671869662865</v>
      </c>
      <c r="S21" s="67">
        <f t="shared" si="8"/>
        <v>455.62305463146009</v>
      </c>
      <c r="T21" s="66">
        <f t="shared" si="21"/>
        <v>1592.2303827617973</v>
      </c>
      <c r="U21" s="89">
        <f t="shared" si="15"/>
        <v>1908.9267186966285</v>
      </c>
      <c r="V21" s="67">
        <f t="shared" si="15"/>
        <v>2225.62305463146</v>
      </c>
      <c r="W21" s="6">
        <f t="shared" si="16"/>
        <v>0.75706769522281225</v>
      </c>
      <c r="X21" s="66">
        <f t="shared" si="17"/>
        <v>1205.4261861412101</v>
      </c>
      <c r="Y21" s="89">
        <f t="shared" si="18"/>
        <v>1445.1867512729023</v>
      </c>
      <c r="Z21" s="67">
        <f t="shared" si="19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1180</v>
      </c>
      <c r="J22" s="89">
        <f t="shared" si="13"/>
        <v>1475</v>
      </c>
      <c r="K22" s="67">
        <f t="shared" si="13"/>
        <v>1770</v>
      </c>
      <c r="L22" s="68">
        <f t="shared" si="23"/>
        <v>55</v>
      </c>
      <c r="M22" s="68">
        <f>$M$14+'[1]Summary 40MLD'!R12/1000</f>
        <v>344.07809776603415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419.49919287773241</v>
      </c>
      <c r="R22" s="70">
        <f t="shared" si="7"/>
        <v>441.57809776603415</v>
      </c>
      <c r="S22" s="67">
        <f t="shared" si="8"/>
        <v>463.65700265433588</v>
      </c>
      <c r="T22" s="66">
        <f t="shared" si="21"/>
        <v>1599.4991928777324</v>
      </c>
      <c r="U22" s="89">
        <f t="shared" si="15"/>
        <v>1916.5780977660343</v>
      </c>
      <c r="V22" s="67">
        <f t="shared" si="15"/>
        <v>2233.6570026543359</v>
      </c>
      <c r="W22" s="6">
        <f t="shared" si="16"/>
        <v>0.73118378908905945</v>
      </c>
      <c r="X22" s="66">
        <f t="shared" si="17"/>
        <v>1169.5278804932327</v>
      </c>
      <c r="Y22" s="89">
        <f t="shared" si="18"/>
        <v>1401.3708356096708</v>
      </c>
      <c r="Z22" s="67">
        <f t="shared" si="19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$M$14+'[1]Summary 40MLD'!R13/1000</f>
        <v>358.31074175170977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433.02020466412426</v>
      </c>
      <c r="R23" s="70">
        <f t="shared" si="7"/>
        <v>455.81074175170977</v>
      </c>
      <c r="S23" s="67">
        <f t="shared" si="8"/>
        <v>478.60127883929528</v>
      </c>
      <c r="T23" s="66">
        <f t="shared" si="21"/>
        <v>1613.0202046641243</v>
      </c>
      <c r="U23" s="89">
        <f t="shared" si="15"/>
        <v>1930.8107417517099</v>
      </c>
      <c r="V23" s="67">
        <f t="shared" si="15"/>
        <v>2248.6012788392954</v>
      </c>
      <c r="W23" s="6">
        <f t="shared" si="16"/>
        <v>0.70618484555636418</v>
      </c>
      <c r="X23" s="66">
        <f t="shared" si="17"/>
        <v>1139.0904241100295</v>
      </c>
      <c r="Y23" s="89">
        <f t="shared" si="18"/>
        <v>1363.5092854625002</v>
      </c>
      <c r="Z23" s="67">
        <f t="shared" si="19"/>
        <v>1587.9281468149709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2317.2715954843366</v>
      </c>
      <c r="G24" s="64">
        <f>$AC$9+T6+X6</f>
        <v>2896.5894943554204</v>
      </c>
      <c r="H24" s="65">
        <f t="shared" si="6"/>
        <v>3475.9073932265042</v>
      </c>
      <c r="I24" s="66">
        <f t="shared" si="13"/>
        <v>2317.2715954843366</v>
      </c>
      <c r="J24" s="89">
        <f t="shared" si="13"/>
        <v>2896.5894943554204</v>
      </c>
      <c r="K24" s="67">
        <f t="shared" si="13"/>
        <v>3475.9073932265042</v>
      </c>
      <c r="L24" s="68">
        <f t="shared" si="23"/>
        <v>55</v>
      </c>
      <c r="M24" s="68">
        <f>$M$14+'[1]Summary 40MLD'!R14/1000</f>
        <v>368.40388078689898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442.60868674755403</v>
      </c>
      <c r="R24" s="70">
        <f t="shared" si="7"/>
        <v>465.90388078689898</v>
      </c>
      <c r="S24" s="67">
        <f t="shared" si="8"/>
        <v>489.19907482624393</v>
      </c>
      <c r="T24" s="66">
        <f t="shared" si="21"/>
        <v>2759.8802822318908</v>
      </c>
      <c r="U24" s="89">
        <f t="shared" si="15"/>
        <v>3362.4933751423196</v>
      </c>
      <c r="V24" s="67">
        <f t="shared" si="15"/>
        <v>3965.1064680527479</v>
      </c>
      <c r="W24" s="6">
        <f t="shared" si="16"/>
        <v>0.68204060803203026</v>
      </c>
      <c r="X24" s="66">
        <f t="shared" si="17"/>
        <v>1882.35042578905</v>
      </c>
      <c r="Y24" s="89">
        <f t="shared" si="18"/>
        <v>2293.3570260857414</v>
      </c>
      <c r="Z24" s="67">
        <f t="shared" si="19"/>
        <v>2704.3636263824324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$M$14+'[1]Summary 40MLD'!R15/1000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$M$14+'[1]Summary 40MLD'!R16/1000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$M$14+'[1]Summary 40MLD'!R17/1000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$M$14+'[1]Summary 40MLD'!R18/1000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$M$14+'[1]Summary 40MLD'!R19/1000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$M$14+'[1]Summary 40MLD'!R20/1000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$M$14+'[1]Summary 40MLD'!R21/1000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7">L31</f>
        <v>55</v>
      </c>
      <c r="M32" s="68">
        <f>$M$14+'[1]Summary 40MLD'!R22/1000</f>
        <v>454.49530981036185</v>
      </c>
      <c r="N32" s="68">
        <f t="shared" si="27"/>
        <v>30</v>
      </c>
      <c r="O32" s="68">
        <f t="shared" si="27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7"/>
        <v>55</v>
      </c>
      <c r="M33" s="68">
        <f>$M$14+'[1]Summary 40MLD'!R23/1000</f>
        <v>468.91011753151565</v>
      </c>
      <c r="N33" s="68">
        <f t="shared" si="27"/>
        <v>30</v>
      </c>
      <c r="O33" s="68">
        <f t="shared" si="27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2317.2715954843366</v>
      </c>
      <c r="G34" s="64">
        <f>$AC$9+T6+X6+X8</f>
        <v>2896.5894943554204</v>
      </c>
      <c r="H34" s="65">
        <f t="shared" si="6"/>
        <v>3475.9073932265042</v>
      </c>
      <c r="I34" s="66">
        <f t="shared" si="13"/>
        <v>2317.2715954843366</v>
      </c>
      <c r="J34" s="89">
        <f t="shared" si="13"/>
        <v>2896.5894943554204</v>
      </c>
      <c r="K34" s="67">
        <f t="shared" si="13"/>
        <v>3475.9073932265042</v>
      </c>
      <c r="L34" s="68">
        <f t="shared" si="27"/>
        <v>55</v>
      </c>
      <c r="M34" s="68">
        <f>$M$14+'[1]Summary 40MLD'!R24/1000</f>
        <v>483.56425355965922</v>
      </c>
      <c r="N34" s="68">
        <f t="shared" si="27"/>
        <v>30</v>
      </c>
      <c r="O34" s="68">
        <f t="shared" si="27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2869.2826363660129</v>
      </c>
      <c r="U34" s="89">
        <f t="shared" si="15"/>
        <v>3477.6537479150793</v>
      </c>
      <c r="V34" s="67">
        <f t="shared" si="15"/>
        <v>4086.0248594641462</v>
      </c>
      <c r="W34" s="6">
        <f t="shared" si="16"/>
        <v>0.48164674144626801</v>
      </c>
      <c r="X34" s="66">
        <f t="shared" si="17"/>
        <v>1381.9806320940472</v>
      </c>
      <c r="Y34" s="89">
        <f t="shared" si="18"/>
        <v>1675.0005955616991</v>
      </c>
      <c r="Z34" s="67">
        <f t="shared" si="19"/>
        <v>1968.0205590293513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7"/>
        <v>55</v>
      </c>
      <c r="M35" s="68">
        <f>$M$14+'[1]Summary 40MLD'!R25/1000</f>
        <v>498.41448773437878</v>
      </c>
      <c r="N35" s="68">
        <f t="shared" si="27"/>
        <v>30</v>
      </c>
      <c r="O35" s="68">
        <f t="shared" si="27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7"/>
        <v>55</v>
      </c>
      <c r="M36" s="68">
        <f>$M$14+'[1]Summary 40MLD'!R26/1000</f>
        <v>507.11810941023009</v>
      </c>
      <c r="N36" s="68">
        <f t="shared" si="27"/>
        <v>30</v>
      </c>
      <c r="O36" s="68">
        <f t="shared" si="27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7"/>
        <v>55</v>
      </c>
      <c r="M37" s="68">
        <f>$M$14+'[1]Summary 40MLD'!R27/1000</f>
        <v>515.8217310860814</v>
      </c>
      <c r="N37" s="68">
        <f t="shared" si="27"/>
        <v>30</v>
      </c>
      <c r="O37" s="68">
        <f t="shared" si="27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>$AC$9+X8</f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7"/>
        <v>55</v>
      </c>
      <c r="M38" s="68">
        <f>$M$14+'[1]Summary 40MLD'!R28/1000</f>
        <v>524.52535276193271</v>
      </c>
      <c r="N38" s="68">
        <f t="shared" si="27"/>
        <v>30</v>
      </c>
      <c r="O38" s="68">
        <f t="shared" si="27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9836.6443593590266</v>
      </c>
      <c r="G39" s="64">
        <f>$AC$9+T5+T4+X4+X5</f>
        <v>12295.805449198782</v>
      </c>
      <c r="H39" s="65">
        <f t="shared" si="6"/>
        <v>14754.966539038538</v>
      </c>
      <c r="I39" s="66">
        <f t="shared" si="13"/>
        <v>9836.6443593590266</v>
      </c>
      <c r="J39" s="89">
        <f t="shared" si="13"/>
        <v>12295.805449198782</v>
      </c>
      <c r="K39" s="67">
        <f t="shared" si="13"/>
        <v>14754.966539038538</v>
      </c>
      <c r="L39" s="68">
        <f t="shared" si="27"/>
        <v>55</v>
      </c>
      <c r="M39" s="68">
        <f>$M$14+'[1]Summary 40MLD'!R29/1000</f>
        <v>533.22897443778402</v>
      </c>
      <c r="N39" s="68">
        <f t="shared" si="27"/>
        <v>30</v>
      </c>
      <c r="O39" s="68">
        <f t="shared" si="27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10435.836885074921</v>
      </c>
      <c r="U39" s="89">
        <f t="shared" si="15"/>
        <v>12926.534423636567</v>
      </c>
      <c r="V39" s="67">
        <f t="shared" si="15"/>
        <v>15417.231962198211</v>
      </c>
      <c r="W39" s="7">
        <f t="shared" si="16"/>
        <v>0.40475090008288855</v>
      </c>
      <c r="X39" s="66">
        <f t="shared" si="17"/>
        <v>4223.914372352282</v>
      </c>
      <c r="Y39" s="89">
        <f t="shared" si="18"/>
        <v>5232.0264429193439</v>
      </c>
      <c r="Z39" s="67">
        <f t="shared" si="19"/>
        <v>6240.138513486404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7"/>
        <v>55</v>
      </c>
      <c r="M40" s="68">
        <f>$M$14+'[1]Summary 40MLD'!R30/1000</f>
        <v>541.93259611363521</v>
      </c>
      <c r="N40" s="68">
        <f t="shared" si="27"/>
        <v>30</v>
      </c>
      <c r="O40" s="68">
        <f t="shared" si="27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7"/>
        <v>55</v>
      </c>
      <c r="M41" s="68">
        <f>$M$14+'[1]Summary 40MLD'!R31/1000</f>
        <v>550.63621778948652</v>
      </c>
      <c r="N41" s="68">
        <f t="shared" si="27"/>
        <v>30</v>
      </c>
      <c r="O41" s="68">
        <f t="shared" si="27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7"/>
        <v>55</v>
      </c>
      <c r="M42" s="68">
        <f>$M$14+'[1]Summary 40MLD'!R32/1000</f>
        <v>559.33983946533783</v>
      </c>
      <c r="N42" s="68">
        <f t="shared" si="27"/>
        <v>30</v>
      </c>
      <c r="O42" s="68">
        <f t="shared" si="27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>D43*(1+$C$11)</f>
        <v>0</v>
      </c>
      <c r="D43" s="64"/>
      <c r="E43" s="65">
        <f>D43*(1+$E$11)</f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>G43+D43</f>
        <v>1475</v>
      </c>
      <c r="K43" s="67">
        <f t="shared" si="13"/>
        <v>1770</v>
      </c>
      <c r="L43" s="68">
        <f t="shared" si="27"/>
        <v>55</v>
      </c>
      <c r="M43" s="68">
        <f>$M$14+'[1]Summary 40MLD'!R33/1000</f>
        <v>568.04346114118914</v>
      </c>
      <c r="N43" s="68">
        <f t="shared" si="27"/>
        <v>30</v>
      </c>
      <c r="O43" s="68">
        <f t="shared" si="27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2317.2715954843366</v>
      </c>
      <c r="G44" s="64">
        <f>$AC$9+T6+X6</f>
        <v>2896.5894943554204</v>
      </c>
      <c r="H44" s="65">
        <f t="shared" si="6"/>
        <v>3475.9073932265042</v>
      </c>
      <c r="I44" s="66">
        <f t="shared" si="13"/>
        <v>2317.2715954843366</v>
      </c>
      <c r="J44" s="89">
        <f t="shared" si="13"/>
        <v>2896.5894943554204</v>
      </c>
      <c r="K44" s="67">
        <f t="shared" si="13"/>
        <v>3475.9073932265042</v>
      </c>
      <c r="L44" s="68">
        <f t="shared" si="27"/>
        <v>55</v>
      </c>
      <c r="M44" s="68">
        <f>$M$14+'[1]Summary 40MLD'!R34/1000</f>
        <v>576.74708281704034</v>
      </c>
      <c r="N44" s="68">
        <f t="shared" si="27"/>
        <v>30</v>
      </c>
      <c r="O44" s="68">
        <f t="shared" si="27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2957.806324160525</v>
      </c>
      <c r="U44" s="89">
        <f t="shared" si="15"/>
        <v>3570.8365771724607</v>
      </c>
      <c r="V44" s="67">
        <f t="shared" si="15"/>
        <v>4183.8668301843963</v>
      </c>
      <c r="W44" s="7">
        <f t="shared" si="16"/>
        <v>0.34013162972095884</v>
      </c>
      <c r="X44" s="66">
        <f t="shared" si="17"/>
        <v>1006.043485435678</v>
      </c>
      <c r="Y44" s="89">
        <f t="shared" si="18"/>
        <v>1214.5544644608794</v>
      </c>
      <c r="Z44" s="67">
        <f t="shared" si="19"/>
        <v>1423.0654434860808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7"/>
        <v>55</v>
      </c>
      <c r="M45" s="68">
        <f>$M$14+'[1]Summary 40MLD'!R35/1000</f>
        <v>585.45070449289165</v>
      </c>
      <c r="N45" s="68">
        <f t="shared" si="27"/>
        <v>30</v>
      </c>
      <c r="O45" s="68">
        <f t="shared" si="27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7"/>
        <v>55</v>
      </c>
      <c r="M46" s="68">
        <f>$M$14+'[1]Summary 40MLD'!R36/1000</f>
        <v>594.15432616874295</v>
      </c>
      <c r="N46" s="68">
        <f t="shared" si="27"/>
        <v>30</v>
      </c>
      <c r="O46" s="68">
        <f t="shared" si="27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7"/>
        <v>55</v>
      </c>
      <c r="M47" s="68">
        <f>$M$14+'[1]Summary 40MLD'!R37/1000</f>
        <v>602.85794784459426</v>
      </c>
      <c r="N47" s="68">
        <f t="shared" si="27"/>
        <v>30</v>
      </c>
      <c r="O47" s="68">
        <f t="shared" si="27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8">L47</f>
        <v>55</v>
      </c>
      <c r="M48" s="68">
        <f>$M$14+'[1]Summary 40MLD'!R38/1000</f>
        <v>611.56156952044557</v>
      </c>
      <c r="N48" s="68">
        <f t="shared" si="28"/>
        <v>30</v>
      </c>
      <c r="O48" s="68">
        <f t="shared" si="28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1180</v>
      </c>
      <c r="G49" s="64">
        <f t="shared" si="22"/>
        <v>1475</v>
      </c>
      <c r="H49" s="65">
        <f t="shared" si="6"/>
        <v>1770</v>
      </c>
      <c r="I49" s="66">
        <f t="shared" si="13"/>
        <v>1180</v>
      </c>
      <c r="J49" s="89">
        <f t="shared" si="13"/>
        <v>1475</v>
      </c>
      <c r="K49" s="67">
        <f t="shared" si="13"/>
        <v>1770</v>
      </c>
      <c r="L49" s="68">
        <f t="shared" si="28"/>
        <v>55</v>
      </c>
      <c r="M49" s="68">
        <f>$M$14+'[1]Summary 40MLD'!R39/1000</f>
        <v>620.26519119629688</v>
      </c>
      <c r="N49" s="68">
        <f t="shared" si="28"/>
        <v>30</v>
      </c>
      <c r="O49" s="68">
        <f t="shared" si="28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1861.8769316364819</v>
      </c>
      <c r="U49" s="89">
        <f t="shared" si="15"/>
        <v>2192.7651911962967</v>
      </c>
      <c r="V49" s="67">
        <f t="shared" si="15"/>
        <v>2523.6534507561119</v>
      </c>
      <c r="W49" s="7">
        <f t="shared" si="16"/>
        <v>0.28582895186383406</v>
      </c>
      <c r="X49" s="66">
        <f t="shared" si="17"/>
        <v>532.17833186910707</v>
      </c>
      <c r="Y49" s="89">
        <f t="shared" si="18"/>
        <v>626.75577628313715</v>
      </c>
      <c r="Z49" s="67">
        <f t="shared" si="19"/>
        <v>721.33322069716746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8"/>
        <v>55</v>
      </c>
      <c r="M50" s="68">
        <f>$M$14+'[1]Summary 40MLD'!R40/1000</f>
        <v>628.96881287214808</v>
      </c>
      <c r="N50" s="68">
        <f t="shared" si="28"/>
        <v>30</v>
      </c>
      <c r="O50" s="68">
        <f t="shared" si="28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8"/>
        <v>55</v>
      </c>
      <c r="M51" s="68">
        <f>$M$14+'[1]Summary 40MLD'!R41/1000</f>
        <v>637.67243454799939</v>
      </c>
      <c r="N51" s="68">
        <f t="shared" si="28"/>
        <v>30</v>
      </c>
      <c r="O51" s="68">
        <f t="shared" si="28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8"/>
        <v>55</v>
      </c>
      <c r="M52" s="68">
        <f>$M$14+'[1]Summary 40MLD'!R42/1000</f>
        <v>646.3760562238507</v>
      </c>
      <c r="N52" s="68">
        <f t="shared" si="28"/>
        <v>30</v>
      </c>
      <c r="O52" s="68">
        <f t="shared" si="28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8"/>
        <v>55</v>
      </c>
      <c r="M53" s="68">
        <f>$M$14+'[1]Summary 40MLD'!R43/1000</f>
        <v>655.07967789970201</v>
      </c>
      <c r="N53" s="68">
        <f t="shared" si="28"/>
        <v>30</v>
      </c>
      <c r="O53" s="68">
        <f t="shared" si="28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2317.2715954843366</v>
      </c>
      <c r="G54" s="64">
        <f>$AC$9+T6+X6+X8</f>
        <v>2896.5894943554204</v>
      </c>
      <c r="H54" s="65">
        <f t="shared" si="6"/>
        <v>3475.9073932265042</v>
      </c>
      <c r="I54" s="66">
        <f t="shared" si="13"/>
        <v>2317.2715954843366</v>
      </c>
      <c r="J54" s="89">
        <f t="shared" si="13"/>
        <v>2896.5894943554204</v>
      </c>
      <c r="K54" s="67">
        <f t="shared" si="13"/>
        <v>3475.9073932265042</v>
      </c>
      <c r="L54" s="68">
        <f t="shared" si="28"/>
        <v>55</v>
      </c>
      <c r="M54" s="68">
        <f>$M$14+'[1]Summary 40MLD'!R44/1000</f>
        <v>663.78329957555331</v>
      </c>
      <c r="N54" s="68">
        <f t="shared" si="28"/>
        <v>30</v>
      </c>
      <c r="O54" s="68">
        <f t="shared" si="28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3040.4907300811119</v>
      </c>
      <c r="U54" s="89">
        <f t="shared" si="15"/>
        <v>3657.8727939309738</v>
      </c>
      <c r="V54" s="67">
        <f t="shared" si="15"/>
        <v>4275.2548577808357</v>
      </c>
      <c r="W54" s="7">
        <f t="shared" si="16"/>
        <v>0.24019580240332974</v>
      </c>
      <c r="X54" s="66">
        <f t="shared" si="17"/>
        <v>730.31311061171857</v>
      </c>
      <c r="Y54" s="89">
        <f t="shared" si="18"/>
        <v>878.6056908275599</v>
      </c>
      <c r="Z54" s="67">
        <f t="shared" si="19"/>
        <v>1026.8982710434011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8"/>
        <v>55</v>
      </c>
      <c r="M55" s="68">
        <f>$M$14+'[1]Summary 40MLD'!R45/1000</f>
        <v>672.48692125140451</v>
      </c>
      <c r="N55" s="68">
        <f t="shared" si="28"/>
        <v>30</v>
      </c>
      <c r="O55" s="68">
        <f t="shared" si="28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8"/>
        <v>55</v>
      </c>
      <c r="M56" s="68">
        <f>$M$14+'[1]Summary 40MLD'!R46/1000</f>
        <v>681.19054292725582</v>
      </c>
      <c r="N56" s="68">
        <f t="shared" si="28"/>
        <v>30</v>
      </c>
      <c r="O56" s="68">
        <f t="shared" si="28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8"/>
        <v>55</v>
      </c>
      <c r="M57" s="68">
        <f>$M$14*1.5+'[1]Summary 40MLD'!R47/1000</f>
        <v>709.89416460310713</v>
      </c>
      <c r="N57" s="68">
        <f t="shared" si="28"/>
        <v>30</v>
      </c>
      <c r="O57" s="68">
        <f t="shared" si="28"/>
        <v>12.5</v>
      </c>
      <c r="P57" s="68">
        <f t="shared" si="24"/>
        <v>0</v>
      </c>
      <c r="Q57" s="66">
        <f t="shared" si="14"/>
        <v>767.0244563729517</v>
      </c>
      <c r="R57" s="70">
        <f t="shared" si="7"/>
        <v>807.39416460310713</v>
      </c>
      <c r="S57" s="67">
        <f t="shared" si="8"/>
        <v>847.76387283326255</v>
      </c>
      <c r="T57" s="66">
        <f t="shared" si="21"/>
        <v>1947.0244563729516</v>
      </c>
      <c r="U57" s="89">
        <f t="shared" si="15"/>
        <v>2282.3941646031071</v>
      </c>
      <c r="V57" s="67">
        <f t="shared" si="15"/>
        <v>2617.7638728332627</v>
      </c>
      <c r="W57" s="7">
        <f t="shared" si="16"/>
        <v>0.21639186581550499</v>
      </c>
      <c r="X57" s="66">
        <f t="shared" si="17"/>
        <v>421.32025490296229</v>
      </c>
      <c r="Y57" s="89">
        <f t="shared" si="18"/>
        <v>493.89153180488717</v>
      </c>
      <c r="Z57" s="67">
        <f t="shared" si="19"/>
        <v>566.46280870681198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v>15000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16475</v>
      </c>
      <c r="K58" s="67">
        <f t="shared" si="13"/>
        <v>21770</v>
      </c>
      <c r="L58" s="68">
        <f t="shared" si="28"/>
        <v>55</v>
      </c>
      <c r="M58" s="68">
        <f>$M$14*1.5+'[1]Summary 40MLD'!R48/1000</f>
        <v>718.59778627895844</v>
      </c>
      <c r="N58" s="68">
        <f>N57*1.5</f>
        <v>45</v>
      </c>
      <c r="O58" s="68">
        <f>O57*1.5</f>
        <v>18.75</v>
      </c>
      <c r="P58" s="68">
        <f t="shared" si="24"/>
        <v>0</v>
      </c>
      <c r="Q58" s="66">
        <f t="shared" si="14"/>
        <v>795.48039696501053</v>
      </c>
      <c r="R58" s="70">
        <f t="shared" si="7"/>
        <v>837.34778627895844</v>
      </c>
      <c r="S58" s="67">
        <f t="shared" si="8"/>
        <v>879.21517559290635</v>
      </c>
      <c r="T58" s="66">
        <f t="shared" si="21"/>
        <v>13975.480396965011</v>
      </c>
      <c r="U58" s="89">
        <f t="shared" si="15"/>
        <v>17312.347786278959</v>
      </c>
      <c r="V58" s="67">
        <f t="shared" si="15"/>
        <v>22649.215175592908</v>
      </c>
      <c r="W58" s="7">
        <f t="shared" si="16"/>
        <v>0.20899349605515255</v>
      </c>
      <c r="X58" s="66">
        <f t="shared" si="17"/>
        <v>2920.784507211969</v>
      </c>
      <c r="Y58" s="89">
        <f t="shared" si="18"/>
        <v>3618.1680887771204</v>
      </c>
      <c r="Z58" s="67">
        <f t="shared" si="19"/>
        <v>4733.5386624525781</v>
      </c>
      <c r="AA58" s="14"/>
    </row>
    <row r="59" spans="1:27">
      <c r="A59" s="4">
        <f t="shared" si="20"/>
        <v>2065</v>
      </c>
      <c r="B59" s="4">
        <f t="shared" si="9"/>
        <v>46</v>
      </c>
      <c r="C59" s="63">
        <f>D59*(1+$C$11)</f>
        <v>0</v>
      </c>
      <c r="D59" s="64"/>
      <c r="E59" s="65">
        <f>D59*(1+$E$11)</f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>G59+D59</f>
        <v>1475</v>
      </c>
      <c r="K59" s="67">
        <f t="shared" si="13"/>
        <v>1770</v>
      </c>
      <c r="L59" s="68">
        <f t="shared" si="28"/>
        <v>55</v>
      </c>
      <c r="M59" s="68">
        <f>$M$14*1.5+'[1]Summary 40MLD'!R49/1000</f>
        <v>727.30140795480975</v>
      </c>
      <c r="N59" s="68">
        <f t="shared" si="28"/>
        <v>45</v>
      </c>
      <c r="O59" s="68">
        <f t="shared" si="28"/>
        <v>18.75</v>
      </c>
      <c r="P59" s="68">
        <f t="shared" si="24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1983.7488375570692</v>
      </c>
      <c r="U59" s="89">
        <f t="shared" si="15"/>
        <v>2321.0514079548097</v>
      </c>
      <c r="V59" s="67">
        <f t="shared" si="15"/>
        <v>2658.3539783525503</v>
      </c>
      <c r="W59" s="7">
        <f t="shared" si="16"/>
        <v>0.20184807422749909</v>
      </c>
      <c r="X59" s="66">
        <f t="shared" si="17"/>
        <v>400.41588261193436</v>
      </c>
      <c r="Y59" s="89">
        <f t="shared" si="18"/>
        <v>468.49975687870369</v>
      </c>
      <c r="Z59" s="67">
        <f t="shared" si="19"/>
        <v>536.58363114547308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8"/>
        <v>55</v>
      </c>
      <c r="M60" s="68">
        <f>$M$14*1.5+'[1]Summary 40MLD'!R50/1000</f>
        <v>736.00502963066106</v>
      </c>
      <c r="N60" s="68">
        <f t="shared" si="28"/>
        <v>45</v>
      </c>
      <c r="O60" s="68">
        <f t="shared" si="28"/>
        <v>18.75</v>
      </c>
      <c r="P60" s="68">
        <f t="shared" si="24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8"/>
        <v>55</v>
      </c>
      <c r="M61" s="68">
        <f>$M$14*1.5+'[1]Summary 40MLD'!R51/1000</f>
        <v>744.70865130651225</v>
      </c>
      <c r="N61" s="68">
        <f t="shared" si="28"/>
        <v>45</v>
      </c>
      <c r="O61" s="68">
        <f t="shared" si="28"/>
        <v>18.75</v>
      </c>
      <c r="P61" s="68">
        <f t="shared" si="24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8"/>
        <v>55</v>
      </c>
      <c r="M62" s="68">
        <f>$M$14*1.5+'[1]Summary 40MLD'!R52/1000</f>
        <v>753.41227298236356</v>
      </c>
      <c r="N62" s="68">
        <f t="shared" si="28"/>
        <v>45</v>
      </c>
      <c r="O62" s="68">
        <f t="shared" si="28"/>
        <v>18.75</v>
      </c>
      <c r="P62" s="68">
        <f t="shared" si="24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15403.342415331303</v>
      </c>
      <c r="D63" s="64">
        <f>D13</f>
        <v>17114.82490592367</v>
      </c>
      <c r="E63" s="65">
        <f t="shared" si="11"/>
        <v>18826.307396516037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16583.342415331303</v>
      </c>
      <c r="J63" s="89">
        <f t="shared" si="13"/>
        <v>18589.82490592367</v>
      </c>
      <c r="K63" s="67">
        <f t="shared" si="13"/>
        <v>20596.307396516037</v>
      </c>
      <c r="L63" s="68">
        <f t="shared" si="28"/>
        <v>55</v>
      </c>
      <c r="M63" s="68">
        <f>$M$14*1.5+'[1]Summary 40MLD'!R53/1000</f>
        <v>762.11589465821487</v>
      </c>
      <c r="N63" s="68">
        <f t="shared" si="28"/>
        <v>45</v>
      </c>
      <c r="O63" s="68">
        <f t="shared" si="28"/>
        <v>18.75</v>
      </c>
      <c r="P63" s="68">
        <f t="shared" si="24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17420.165015256607</v>
      </c>
      <c r="U63" s="89">
        <f t="shared" si="15"/>
        <v>19470.690800581884</v>
      </c>
      <c r="V63" s="67">
        <f t="shared" si="15"/>
        <v>21521.216585907161</v>
      </c>
      <c r="W63" s="7">
        <f t="shared" si="16"/>
        <v>0.17562727692455368</v>
      </c>
      <c r="X63" s="66">
        <f t="shared" si="17"/>
        <v>3059.4561452058942</v>
      </c>
      <c r="Y63" s="89">
        <f t="shared" si="18"/>
        <v>3419.5844051461545</v>
      </c>
      <c r="Z63" s="67">
        <f t="shared" si="19"/>
        <v>3779.7126650864147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15403.342415331303</v>
      </c>
      <c r="D64" s="64">
        <f>D14</f>
        <v>17114.82490592367</v>
      </c>
      <c r="E64" s="65">
        <f t="shared" si="11"/>
        <v>18826.307396516037</v>
      </c>
      <c r="F64" s="63">
        <f t="shared" si="12"/>
        <v>10973.915954843362</v>
      </c>
      <c r="G64" s="64">
        <f>$AC$9+T6+T5+T4+X4+X5+X6</f>
        <v>13717.394943554202</v>
      </c>
      <c r="H64" s="65">
        <f t="shared" si="6"/>
        <v>16460.87393226504</v>
      </c>
      <c r="I64" s="66">
        <f t="shared" si="13"/>
        <v>26377.258370174663</v>
      </c>
      <c r="J64" s="89">
        <f t="shared" si="13"/>
        <v>30832.219849477871</v>
      </c>
      <c r="K64" s="67">
        <f t="shared" si="13"/>
        <v>35287.18132878108</v>
      </c>
      <c r="L64" s="68">
        <f t="shared" ref="L64:O73" si="29">L63</f>
        <v>55</v>
      </c>
      <c r="M64" s="68">
        <f>$M$14*1.5+'[1]Summary 40MLD'!R54/1000</f>
        <v>770.81951633406618</v>
      </c>
      <c r="N64" s="68">
        <f t="shared" si="29"/>
        <v>45</v>
      </c>
      <c r="O64" s="68">
        <f t="shared" si="29"/>
        <v>18.75</v>
      </c>
      <c r="P64" s="68">
        <f t="shared" si="24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27222.349410692026</v>
      </c>
      <c r="U64" s="89">
        <f t="shared" si="15"/>
        <v>31721.789365811939</v>
      </c>
      <c r="V64" s="67">
        <f t="shared" si="15"/>
        <v>36221.229320931852</v>
      </c>
      <c r="W64" s="7">
        <f t="shared" si="16"/>
        <v>0.16962263562348243</v>
      </c>
      <c r="X64" s="66">
        <f t="shared" si="17"/>
        <v>4617.5266549049347</v>
      </c>
      <c r="Y64" s="89">
        <f t="shared" si="18"/>
        <v>5380.7335189219784</v>
      </c>
      <c r="Z64" s="67">
        <f t="shared" si="19"/>
        <v>6143.9403829390212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29"/>
        <v>55</v>
      </c>
      <c r="M65" s="68">
        <f>$M$14*1.5+'[1]Summary 40MLD'!R55/1000</f>
        <v>779.52313800991749</v>
      </c>
      <c r="N65" s="68">
        <f t="shared" si="29"/>
        <v>45</v>
      </c>
      <c r="O65" s="68">
        <f t="shared" si="29"/>
        <v>18.75</v>
      </c>
      <c r="P65" s="68">
        <f t="shared" si="24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29"/>
        <v>55</v>
      </c>
      <c r="M66" s="68">
        <f>$M$14*1.5+'[1]Summary 40MLD'!R56/1000</f>
        <v>788.2267596857688</v>
      </c>
      <c r="N66" s="68">
        <f t="shared" si="29"/>
        <v>45</v>
      </c>
      <c r="O66" s="68">
        <f t="shared" si="29"/>
        <v>18.75</v>
      </c>
      <c r="P66" s="68">
        <f t="shared" si="24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29"/>
        <v>55</v>
      </c>
      <c r="M67" s="68">
        <f>$M$14*1.5+'[1]Summary 40MLD'!R57/1000</f>
        <v>796.93038136161999</v>
      </c>
      <c r="N67" s="68">
        <f t="shared" si="29"/>
        <v>45</v>
      </c>
      <c r="O67" s="68">
        <f t="shared" si="29"/>
        <v>18.75</v>
      </c>
      <c r="P67" s="68">
        <f t="shared" si="24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1180</v>
      </c>
      <c r="G68" s="64">
        <f t="shared" si="22"/>
        <v>1475</v>
      </c>
      <c r="H68" s="65">
        <f t="shared" si="6"/>
        <v>1770</v>
      </c>
      <c r="I68" s="66">
        <f t="shared" si="13"/>
        <v>1180</v>
      </c>
      <c r="J68" s="89">
        <f t="shared" si="13"/>
        <v>1475</v>
      </c>
      <c r="K68" s="67">
        <f t="shared" si="13"/>
        <v>1770</v>
      </c>
      <c r="L68" s="68">
        <f t="shared" si="29"/>
        <v>55</v>
      </c>
      <c r="M68" s="68">
        <f>$M$14*1.5+'[1]Summary 40MLD'!R58/1000</f>
        <v>805.6340030374713</v>
      </c>
      <c r="N68" s="68">
        <f t="shared" si="29"/>
        <v>45</v>
      </c>
      <c r="O68" s="68">
        <f t="shared" si="29"/>
        <v>18.75</v>
      </c>
      <c r="P68" s="68">
        <f t="shared" si="24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2058.164802885598</v>
      </c>
      <c r="U68" s="89">
        <f t="shared" si="15"/>
        <v>2399.3840030374713</v>
      </c>
      <c r="V68" s="67">
        <f t="shared" si="15"/>
        <v>2740.6032031893446</v>
      </c>
      <c r="W68" s="7">
        <f t="shared" si="16"/>
        <v>0.14758803973399254</v>
      </c>
      <c r="X68" s="66">
        <f t="shared" si="17"/>
        <v>303.76050870738453</v>
      </c>
      <c r="Y68" s="89">
        <f t="shared" si="18"/>
        <v>354.12038157740039</v>
      </c>
      <c r="Z68" s="67">
        <f t="shared" si="19"/>
        <v>404.4802544474162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29"/>
        <v>55</v>
      </c>
      <c r="M69" s="68">
        <f>$M$14*1.5+'[1]Summary 40MLD'!R59/1000</f>
        <v>814.33762471332261</v>
      </c>
      <c r="N69" s="68">
        <f t="shared" si="29"/>
        <v>45</v>
      </c>
      <c r="O69" s="68">
        <f t="shared" si="29"/>
        <v>18.75</v>
      </c>
      <c r="P69" s="68">
        <f t="shared" si="24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29"/>
        <v>55</v>
      </c>
      <c r="M70" s="68">
        <f>$M$14*1.5+'[1]Summary 40MLD'!R60/1000</f>
        <v>823.04124638917392</v>
      </c>
      <c r="N70" s="68">
        <f t="shared" si="29"/>
        <v>45</v>
      </c>
      <c r="O70" s="68">
        <f t="shared" si="29"/>
        <v>18.75</v>
      </c>
      <c r="P70" s="68">
        <f t="shared" si="24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29"/>
        <v>55</v>
      </c>
      <c r="M71" s="68">
        <f>$M$14*1.5+'[1]Summary 40MLD'!R61/1000</f>
        <v>831.74486806502523</v>
      </c>
      <c r="N71" s="68">
        <f t="shared" si="29"/>
        <v>45</v>
      </c>
      <c r="O71" s="68">
        <f t="shared" si="29"/>
        <v>18.75</v>
      </c>
      <c r="P71" s="68">
        <f t="shared" si="24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29"/>
        <v>55</v>
      </c>
      <c r="M72" s="68">
        <f>$M$14*1.5+'[1]Summary 40MLD'!R62/1000</f>
        <v>840.44848974087643</v>
      </c>
      <c r="N72" s="68">
        <f t="shared" si="29"/>
        <v>45</v>
      </c>
      <c r="O72" s="68">
        <f t="shared" si="29"/>
        <v>18.75</v>
      </c>
      <c r="P72" s="68">
        <f t="shared" si="24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29"/>
        <v>55</v>
      </c>
      <c r="M73" s="68">
        <f>$M$14*1.5+'[1]Summary 40MLD'!R63/1000</f>
        <v>849.15211141672773</v>
      </c>
      <c r="N73" s="68">
        <f t="shared" si="29"/>
        <v>45</v>
      </c>
      <c r="O73" s="68">
        <f t="shared" si="29"/>
        <v>18.75</v>
      </c>
      <c r="P73" s="68">
        <f t="shared" si="24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2099.5070058458914</v>
      </c>
      <c r="U73" s="89">
        <f t="shared" si="15"/>
        <v>2442.9021114167276</v>
      </c>
      <c r="V73" s="67">
        <f t="shared" si="15"/>
        <v>2786.2972169875643</v>
      </c>
      <c r="W73" s="7">
        <f t="shared" si="16"/>
        <v>0.12402532143045074</v>
      </c>
      <c r="X73" s="73">
        <f t="shared" si="17"/>
        <v>260.39203124551989</v>
      </c>
      <c r="Y73" s="91">
        <f t="shared" si="18"/>
        <v>302.9817195915864</v>
      </c>
      <c r="Z73" s="74">
        <f t="shared" si="19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73613.36966132521</v>
      </c>
      <c r="D74" s="75">
        <f t="shared" si="30"/>
        <v>83459.299623694678</v>
      </c>
      <c r="E74" s="93">
        <f t="shared" si="30"/>
        <v>95305.229586064146</v>
      </c>
      <c r="F74" s="92">
        <f t="shared" si="30"/>
        <v>93867.646696139738</v>
      </c>
      <c r="G74" s="75">
        <f t="shared" si="30"/>
        <v>117334.55837017467</v>
      </c>
      <c r="H74" s="76">
        <f t="shared" si="30"/>
        <v>140801.47004420956</v>
      </c>
      <c r="I74" s="77">
        <f t="shared" si="30"/>
        <v>167481.01635746495</v>
      </c>
      <c r="J74" s="78">
        <f t="shared" si="30"/>
        <v>200793.85799386934</v>
      </c>
      <c r="K74" s="79">
        <f t="shared" si="30"/>
        <v>236106.69963027374</v>
      </c>
      <c r="L74" s="80">
        <f t="shared" si="30"/>
        <v>3325</v>
      </c>
      <c r="M74" s="80">
        <f t="shared" si="30"/>
        <v>33807.32589499389</v>
      </c>
      <c r="N74" s="80">
        <f t="shared" si="30"/>
        <v>2090</v>
      </c>
      <c r="O74" s="80">
        <f t="shared" si="30"/>
        <v>887.5</v>
      </c>
      <c r="P74" s="80">
        <f t="shared" si="30"/>
        <v>0</v>
      </c>
      <c r="Q74" s="77">
        <f t="shared" si="30"/>
        <v>38104.334600244205</v>
      </c>
      <c r="R74" s="78">
        <f t="shared" si="30"/>
        <v>40109.825894993897</v>
      </c>
      <c r="S74" s="79">
        <f t="shared" si="30"/>
        <v>42115.31718974359</v>
      </c>
      <c r="T74" s="77">
        <f>SUM(T13:T73)</f>
        <v>205585.3509577091</v>
      </c>
      <c r="U74" s="78">
        <f>SUM(U13:U73)</f>
        <v>240903.68388886322</v>
      </c>
      <c r="V74" s="79">
        <f>SUM(V13:V73)</f>
        <v>278222.01682001731</v>
      </c>
      <c r="W74" s="81"/>
      <c r="X74" s="77">
        <f>SUM(X13:X73)</f>
        <v>87854.815363487258</v>
      </c>
      <c r="Y74" s="78">
        <f t="shared" ref="Y74:Z74" si="31">SUM(Y13:Y73)</f>
        <v>102246.54207611189</v>
      </c>
      <c r="Z74" s="79">
        <f t="shared" si="31"/>
        <v>117056.25578084677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A1:AC1"/>
    <mergeCell ref="A1:B1"/>
    <mergeCell ref="C1:K1"/>
    <mergeCell ref="O1:Q1"/>
    <mergeCell ref="S1:U1"/>
    <mergeCell ref="W1:Y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5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G5" sqref="G5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209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10846.254868293137</v>
      </c>
      <c r="U3" s="97">
        <v>0</v>
      </c>
      <c r="W3" s="105">
        <v>0.61</v>
      </c>
      <c r="X3" s="97">
        <f t="shared" ref="X3:X8" si="0">W3*$X$9</f>
        <v>12770.35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84223.197504666678</v>
      </c>
      <c r="E4" s="57">
        <f>Y74</f>
        <v>98386.165914964702</v>
      </c>
      <c r="F4" s="58">
        <f>Z74</f>
        <v>112549.13432526271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0.24</v>
      </c>
      <c r="X4" s="97">
        <f t="shared" si="0"/>
        <v>5024.3999999999996</v>
      </c>
      <c r="Y4" s="97">
        <f>(X4/N4)</f>
        <v>200.976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2014.3044755401543</v>
      </c>
      <c r="U5" s="97">
        <f t="shared" ref="U5:U8" si="1">(T5/N5)</f>
        <v>80.572179021606175</v>
      </c>
      <c r="W5" s="105">
        <v>7.0000000000000007E-2</v>
      </c>
      <c r="X5" s="97">
        <f t="shared" si="0"/>
        <v>1465.45</v>
      </c>
      <c r="Y5" s="97">
        <f>(X5/N5)</f>
        <v>58.618000000000002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37574.684830662605</v>
      </c>
      <c r="J6" s="84">
        <f t="shared" ref="J6:K6" si="3">SUM(J13:J17)</f>
        <v>42414.649811847339</v>
      </c>
      <c r="K6" s="31">
        <f t="shared" si="3"/>
        <v>47254.614793032073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464.83949435542013</v>
      </c>
      <c r="U6" s="97">
        <f t="shared" si="1"/>
        <v>46.483949435542016</v>
      </c>
      <c r="W6" s="105">
        <v>0.04</v>
      </c>
      <c r="X6" s="97">
        <f t="shared" si="0"/>
        <v>837.4</v>
      </c>
      <c r="Y6" s="97">
        <f>(X6/N6)</f>
        <v>83.74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44786.684830662605</v>
      </c>
      <c r="D7" s="60">
        <f t="shared" ref="D7:E7" si="4">SUM(D13:D73)</f>
        <v>52429.649811847339</v>
      </c>
      <c r="E7" s="61">
        <f t="shared" si="4"/>
        <v>60072.614793032073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837.4</v>
      </c>
      <c r="Y7" s="97">
        <f>(X7/N7)</f>
        <v>8.3739999999999995E-2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93154.406696139733</v>
      </c>
      <c r="G8" s="59">
        <f t="shared" ref="G8:H8" si="5">SUM(G13:G73)</f>
        <v>116443.00837017466</v>
      </c>
      <c r="H8" s="59">
        <f t="shared" si="5"/>
        <v>139731.61004420958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f>22735-1800</f>
        <v>20935</v>
      </c>
      <c r="Y9" s="98">
        <f>SUM(Y3:Y8)</f>
        <v>343.41773999999998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16393.342415331303</v>
      </c>
      <c r="D13" s="27">
        <f>(T9+X9)/2</f>
        <v>18214.82490592367</v>
      </c>
      <c r="E13" s="65">
        <f>D13*(1+$E$11)</f>
        <v>20036.307396516037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17017.342415331303</v>
      </c>
      <c r="J13" s="89">
        <f>G13+D13</f>
        <v>18994.82490592367</v>
      </c>
      <c r="K13" s="67">
        <f>H13+E13</f>
        <v>20972.307396516037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17155.092415331303</v>
      </c>
      <c r="U13" s="89">
        <f>R13+J13</f>
        <v>19139.82490592367</v>
      </c>
      <c r="V13" s="67">
        <f>S13+K13</f>
        <v>21124.557396516037</v>
      </c>
      <c r="W13" s="5">
        <v>1</v>
      </c>
      <c r="X13" s="69">
        <f>W13*T13</f>
        <v>17155.092415331303</v>
      </c>
      <c r="Y13" s="89">
        <f>W13*U13</f>
        <v>19139.82490592367</v>
      </c>
      <c r="Z13" s="67">
        <f>W13*V13</f>
        <v>21124.557396516037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16393.342415331303</v>
      </c>
      <c r="D14" s="27">
        <f>D13</f>
        <v>18214.82490592367</v>
      </c>
      <c r="E14" s="65">
        <f t="shared" ref="E14:E73" si="11">D14*(1+$E$11)</f>
        <v>20036.307396516037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17017.342415331303</v>
      </c>
      <c r="J14" s="89">
        <f t="shared" si="13"/>
        <v>18994.82490592367</v>
      </c>
      <c r="K14" s="67">
        <f t="shared" si="13"/>
        <v>20972.307396516037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17155.092415331303</v>
      </c>
      <c r="U14" s="89">
        <f t="shared" ref="U14:V73" si="15">R14+J14</f>
        <v>19139.82490592367</v>
      </c>
      <c r="V14" s="67">
        <f t="shared" si="15"/>
        <v>21124.557396516037</v>
      </c>
      <c r="W14" s="6">
        <f t="shared" ref="W14:W73" si="16">(1/(1+$C$3))^B14</f>
        <v>0.96581031485416258</v>
      </c>
      <c r="X14" s="66">
        <f t="shared" ref="X14:X73" si="17">W14*T14</f>
        <v>16568.565207003383</v>
      </c>
      <c r="Y14" s="89">
        <f t="shared" ref="Y14:Y73" si="18">W14*U14</f>
        <v>18485.440318643683</v>
      </c>
      <c r="Z14" s="67">
        <f t="shared" ref="Z14:Z73" si="19">W14*V14</f>
        <v>20402.315430283983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'Option 2a'!M15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4"/>
        <v>354.28812267999268</v>
      </c>
      <c r="R15" s="70">
        <f t="shared" si="7"/>
        <v>372.93486597893968</v>
      </c>
      <c r="S15" s="67">
        <f t="shared" si="8"/>
        <v>391.58160927788668</v>
      </c>
      <c r="T15" s="66">
        <f t="shared" ref="T15:T73" si="21">Q15+I15</f>
        <v>1534.2881226799927</v>
      </c>
      <c r="U15" s="89">
        <f t="shared" si="15"/>
        <v>1847.9348659789398</v>
      </c>
      <c r="V15" s="67">
        <f t="shared" si="15"/>
        <v>2161.5816092778869</v>
      </c>
      <c r="W15" s="6">
        <f t="shared" si="16"/>
        <v>0.93278956427869664</v>
      </c>
      <c r="X15" s="66">
        <f t="shared" si="17"/>
        <v>1431.1679494326499</v>
      </c>
      <c r="Y15" s="89">
        <f t="shared" si="18"/>
        <v>1723.7343584519069</v>
      </c>
      <c r="Z15" s="67">
        <f t="shared" si="19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'Option 2a'!M16</f>
        <v>291.51556076584779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369.56478272755538</v>
      </c>
      <c r="R16" s="70">
        <f t="shared" si="7"/>
        <v>389.01556076584779</v>
      </c>
      <c r="S16" s="67">
        <f t="shared" si="8"/>
        <v>408.46633880414021</v>
      </c>
      <c r="T16" s="66">
        <f t="shared" si="21"/>
        <v>1549.5647827275554</v>
      </c>
      <c r="U16" s="89">
        <f t="shared" si="15"/>
        <v>1864.0155607658478</v>
      </c>
      <c r="V16" s="67">
        <f t="shared" si="15"/>
        <v>2178.4663388041404</v>
      </c>
      <c r="W16" s="6">
        <f t="shared" si="16"/>
        <v>0.90089778276868515</v>
      </c>
      <c r="X16" s="66">
        <f t="shared" si="17"/>
        <v>1395.9994770156941</v>
      </c>
      <c r="Y16" s="89">
        <f t="shared" si="18"/>
        <v>1679.2874857402796</v>
      </c>
      <c r="Z16" s="67">
        <f t="shared" si="19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1180</v>
      </c>
      <c r="J17" s="89">
        <f t="shared" si="13"/>
        <v>1475</v>
      </c>
      <c r="K17" s="67">
        <f t="shared" si="13"/>
        <v>1770</v>
      </c>
      <c r="L17" s="68">
        <f t="shared" si="23"/>
        <v>55</v>
      </c>
      <c r="M17" s="68">
        <f>'Option 2a'!M17</f>
        <v>302.30825444493053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379.81784172268397</v>
      </c>
      <c r="R17" s="70">
        <f t="shared" si="7"/>
        <v>399.80825444493053</v>
      </c>
      <c r="S17" s="67">
        <f t="shared" si="8"/>
        <v>419.79866716717709</v>
      </c>
      <c r="T17" s="66">
        <f t="shared" si="21"/>
        <v>1559.8178417226841</v>
      </c>
      <c r="U17" s="89">
        <f t="shared" si="15"/>
        <v>1874.8082544449305</v>
      </c>
      <c r="V17" s="67">
        <f t="shared" si="15"/>
        <v>2189.798667167177</v>
      </c>
      <c r="W17" s="6">
        <f t="shared" si="16"/>
        <v>0.87009637122724071</v>
      </c>
      <c r="X17" s="66">
        <f t="shared" si="17"/>
        <v>1357.1918438584139</v>
      </c>
      <c r="Y17" s="89">
        <f t="shared" si="18"/>
        <v>1631.2638589394114</v>
      </c>
      <c r="Z17" s="67">
        <f t="shared" si="19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'Option 2a'!M18</f>
        <v>316.0747916778588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392.89605209396586</v>
      </c>
      <c r="R18" s="70">
        <f t="shared" si="7"/>
        <v>413.5747916778588</v>
      </c>
      <c r="S18" s="67">
        <f t="shared" si="8"/>
        <v>434.25353126175173</v>
      </c>
      <c r="T18" s="66">
        <f t="shared" si="21"/>
        <v>1572.8960520939659</v>
      </c>
      <c r="U18" s="89">
        <f t="shared" si="15"/>
        <v>1888.5747916778587</v>
      </c>
      <c r="V18" s="67">
        <f t="shared" si="15"/>
        <v>2204.253531261752</v>
      </c>
      <c r="W18" s="6">
        <f t="shared" si="16"/>
        <v>0.84034805024844572</v>
      </c>
      <c r="X18" s="66">
        <f t="shared" si="17"/>
        <v>1321.780130620642</v>
      </c>
      <c r="Y18" s="89">
        <f t="shared" si="18"/>
        <v>1587.0601439348532</v>
      </c>
      <c r="Z18" s="67">
        <f t="shared" si="19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'Option 2a'!M19</f>
        <v>326.23258389956914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402.54595470459066</v>
      </c>
      <c r="R19" s="70">
        <f t="shared" si="7"/>
        <v>423.73258389956914</v>
      </c>
      <c r="S19" s="67">
        <f t="shared" si="8"/>
        <v>444.91921309454762</v>
      </c>
      <c r="T19" s="66">
        <f t="shared" si="21"/>
        <v>1582.5459547045907</v>
      </c>
      <c r="U19" s="89">
        <f t="shared" si="15"/>
        <v>1898.7325838995691</v>
      </c>
      <c r="V19" s="67">
        <f t="shared" si="15"/>
        <v>2214.9192130945476</v>
      </c>
      <c r="W19" s="6">
        <f t="shared" si="16"/>
        <v>0.81161681499753291</v>
      </c>
      <c r="X19" s="66">
        <f t="shared" si="17"/>
        <v>1284.42090734457</v>
      </c>
      <c r="Y19" s="89">
        <f t="shared" si="18"/>
        <v>1541.0432922766042</v>
      </c>
      <c r="Z19" s="67">
        <f t="shared" si="19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1180</v>
      </c>
      <c r="J20" s="89">
        <f t="shared" si="13"/>
        <v>1475</v>
      </c>
      <c r="K20" s="67">
        <f t="shared" si="13"/>
        <v>1770</v>
      </c>
      <c r="L20" s="68">
        <f t="shared" si="23"/>
        <v>55</v>
      </c>
      <c r="M20" s="68">
        <f>'Option 2a'!M20</f>
        <v>330.97372987921659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407.05004338525572</v>
      </c>
      <c r="R20" s="70">
        <f t="shared" si="7"/>
        <v>428.47372987921659</v>
      </c>
      <c r="S20" s="67">
        <f t="shared" si="8"/>
        <v>449.89741637317746</v>
      </c>
      <c r="T20" s="66">
        <f t="shared" si="21"/>
        <v>1587.0500433852558</v>
      </c>
      <c r="U20" s="89">
        <f t="shared" si="15"/>
        <v>1903.4737298792165</v>
      </c>
      <c r="V20" s="67">
        <f t="shared" si="15"/>
        <v>2219.8974163731773</v>
      </c>
      <c r="W20" s="6">
        <f t="shared" si="16"/>
        <v>0.78386789163369996</v>
      </c>
      <c r="X20" s="66">
        <f t="shared" si="17"/>
        <v>1244.0375714255724</v>
      </c>
      <c r="Y20" s="89">
        <f t="shared" si="18"/>
        <v>1492.0719394205564</v>
      </c>
      <c r="Z20" s="67">
        <f t="shared" si="19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1180</v>
      </c>
      <c r="J21" s="89">
        <f t="shared" si="13"/>
        <v>1475</v>
      </c>
      <c r="K21" s="67">
        <f t="shared" si="13"/>
        <v>1770</v>
      </c>
      <c r="L21" s="68">
        <f t="shared" si="23"/>
        <v>55</v>
      </c>
      <c r="M21" s="68">
        <f>'Option 2a'!M21</f>
        <v>336.42671869662865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412.23038276179722</v>
      </c>
      <c r="R21" s="70">
        <f t="shared" si="7"/>
        <v>433.92671869662865</v>
      </c>
      <c r="S21" s="67">
        <f t="shared" si="8"/>
        <v>455.62305463146009</v>
      </c>
      <c r="T21" s="66">
        <f t="shared" si="21"/>
        <v>1592.2303827617973</v>
      </c>
      <c r="U21" s="89">
        <f t="shared" si="15"/>
        <v>1908.9267186966285</v>
      </c>
      <c r="V21" s="67">
        <f t="shared" si="15"/>
        <v>2225.62305463146</v>
      </c>
      <c r="W21" s="6">
        <f t="shared" si="16"/>
        <v>0.75706769522281225</v>
      </c>
      <c r="X21" s="66">
        <f t="shared" si="17"/>
        <v>1205.4261861412101</v>
      </c>
      <c r="Y21" s="89">
        <f t="shared" si="18"/>
        <v>1445.1867512729023</v>
      </c>
      <c r="Z21" s="67">
        <f t="shared" si="19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1180</v>
      </c>
      <c r="J22" s="89">
        <f t="shared" si="13"/>
        <v>1475</v>
      </c>
      <c r="K22" s="67">
        <f t="shared" si="13"/>
        <v>1770</v>
      </c>
      <c r="L22" s="68">
        <f t="shared" si="23"/>
        <v>55</v>
      </c>
      <c r="M22" s="68">
        <f>'Option 2a'!M22</f>
        <v>344.07809776603415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419.49919287773241</v>
      </c>
      <c r="R22" s="70">
        <f t="shared" si="7"/>
        <v>441.57809776603415</v>
      </c>
      <c r="S22" s="67">
        <f t="shared" si="8"/>
        <v>463.65700265433588</v>
      </c>
      <c r="T22" s="66">
        <f t="shared" si="21"/>
        <v>1599.4991928777324</v>
      </c>
      <c r="U22" s="89">
        <f t="shared" si="15"/>
        <v>1916.5780977660343</v>
      </c>
      <c r="V22" s="67">
        <f t="shared" si="15"/>
        <v>2233.6570026543359</v>
      </c>
      <c r="W22" s="6">
        <f t="shared" si="16"/>
        <v>0.73118378908905945</v>
      </c>
      <c r="X22" s="66">
        <f t="shared" si="17"/>
        <v>1169.5278804932327</v>
      </c>
      <c r="Y22" s="89">
        <f t="shared" si="18"/>
        <v>1401.3708356096708</v>
      </c>
      <c r="Z22" s="67">
        <f t="shared" si="19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'Option 2a'!M23</f>
        <v>358.31074175170977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433.02020466412426</v>
      </c>
      <c r="R23" s="70">
        <f t="shared" si="7"/>
        <v>455.81074175170977</v>
      </c>
      <c r="S23" s="67">
        <f t="shared" si="8"/>
        <v>478.60127883929528</v>
      </c>
      <c r="T23" s="66">
        <f t="shared" si="21"/>
        <v>1613.0202046641243</v>
      </c>
      <c r="U23" s="89">
        <f t="shared" si="15"/>
        <v>1930.8107417517099</v>
      </c>
      <c r="V23" s="67">
        <f t="shared" si="15"/>
        <v>2248.6012788392954</v>
      </c>
      <c r="W23" s="6">
        <f t="shared" si="16"/>
        <v>0.70618484555636418</v>
      </c>
      <c r="X23" s="66">
        <f t="shared" si="17"/>
        <v>1139.0904241100295</v>
      </c>
      <c r="Y23" s="89">
        <f t="shared" si="18"/>
        <v>1363.5092854625002</v>
      </c>
      <c r="Z23" s="67">
        <f t="shared" si="19"/>
        <v>1587.9281468149709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2221.7915954843361</v>
      </c>
      <c r="G24" s="64">
        <f>$AC$9+T6+X6</f>
        <v>2777.23949435542</v>
      </c>
      <c r="H24" s="65">
        <f t="shared" si="6"/>
        <v>3332.6873932265039</v>
      </c>
      <c r="I24" s="66">
        <f t="shared" si="13"/>
        <v>2221.7915954843361</v>
      </c>
      <c r="J24" s="89">
        <f t="shared" si="13"/>
        <v>2777.23949435542</v>
      </c>
      <c r="K24" s="67">
        <f t="shared" si="13"/>
        <v>3332.6873932265039</v>
      </c>
      <c r="L24" s="68">
        <f t="shared" si="23"/>
        <v>55</v>
      </c>
      <c r="M24" s="68">
        <f>'Option 2a'!M24</f>
        <v>368.40388078689898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442.60868674755403</v>
      </c>
      <c r="R24" s="70">
        <f t="shared" si="7"/>
        <v>465.90388078689898</v>
      </c>
      <c r="S24" s="67">
        <f t="shared" si="8"/>
        <v>489.19907482624393</v>
      </c>
      <c r="T24" s="66">
        <f t="shared" si="21"/>
        <v>2664.4002822318903</v>
      </c>
      <c r="U24" s="89">
        <f t="shared" si="15"/>
        <v>3243.1433751423192</v>
      </c>
      <c r="V24" s="67">
        <f t="shared" si="15"/>
        <v>3821.8864680527477</v>
      </c>
      <c r="W24" s="6">
        <f t="shared" si="16"/>
        <v>0.68204060803203026</v>
      </c>
      <c r="X24" s="66">
        <f t="shared" si="17"/>
        <v>1817.2291885341515</v>
      </c>
      <c r="Y24" s="89">
        <f t="shared" si="18"/>
        <v>2211.9554795171184</v>
      </c>
      <c r="Z24" s="67">
        <f t="shared" si="19"/>
        <v>2606.6817705000844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'Option 2a'!M25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'Option 2a'!M26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'Option 2a'!M27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'Option 2a'!M28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'Option 2a'!M29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'Option 2a'!M30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'Option 2a'!M31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7">L31</f>
        <v>55</v>
      </c>
      <c r="M32" s="68">
        <f>'Option 2a'!M32</f>
        <v>454.49530981036185</v>
      </c>
      <c r="N32" s="68">
        <f t="shared" si="27"/>
        <v>30</v>
      </c>
      <c r="O32" s="68">
        <f t="shared" si="27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7"/>
        <v>55</v>
      </c>
      <c r="M33" s="68">
        <f>'Option 2a'!M33</f>
        <v>468.91011753151565</v>
      </c>
      <c r="N33" s="68">
        <f t="shared" si="27"/>
        <v>30</v>
      </c>
      <c r="O33" s="68">
        <f t="shared" si="27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2221.7915954843361</v>
      </c>
      <c r="G34" s="64">
        <f>$AC$9+T6+X6+X8</f>
        <v>2777.23949435542</v>
      </c>
      <c r="H34" s="65">
        <f t="shared" si="6"/>
        <v>3332.6873932265039</v>
      </c>
      <c r="I34" s="66">
        <f t="shared" si="13"/>
        <v>2221.7915954843361</v>
      </c>
      <c r="J34" s="89">
        <f t="shared" si="13"/>
        <v>2777.23949435542</v>
      </c>
      <c r="K34" s="67">
        <f t="shared" si="13"/>
        <v>3332.6873932265039</v>
      </c>
      <c r="L34" s="68">
        <f t="shared" si="27"/>
        <v>55</v>
      </c>
      <c r="M34" s="68">
        <f>'Option 2a'!M34</f>
        <v>483.56425355965922</v>
      </c>
      <c r="N34" s="68">
        <f t="shared" si="27"/>
        <v>30</v>
      </c>
      <c r="O34" s="68">
        <f t="shared" si="27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2773.8026363660124</v>
      </c>
      <c r="U34" s="89">
        <f t="shared" si="15"/>
        <v>3358.3037479150789</v>
      </c>
      <c r="V34" s="67">
        <f t="shared" si="15"/>
        <v>3942.8048594641459</v>
      </c>
      <c r="W34" s="6">
        <f t="shared" si="16"/>
        <v>0.48164674144626801</v>
      </c>
      <c r="X34" s="66">
        <f t="shared" si="17"/>
        <v>1335.9930012207574</v>
      </c>
      <c r="Y34" s="89">
        <f t="shared" si="18"/>
        <v>1617.5160569700868</v>
      </c>
      <c r="Z34" s="67">
        <f t="shared" si="19"/>
        <v>1899.0391127194166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7"/>
        <v>55</v>
      </c>
      <c r="M35" s="68">
        <f>'Option 2a'!M35</f>
        <v>498.41448773437878</v>
      </c>
      <c r="N35" s="68">
        <f t="shared" si="27"/>
        <v>30</v>
      </c>
      <c r="O35" s="68">
        <f t="shared" si="27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7"/>
        <v>55</v>
      </c>
      <c r="M36" s="68">
        <f>'Option 2a'!M36</f>
        <v>507.11810941023009</v>
      </c>
      <c r="N36" s="68">
        <f t="shared" si="27"/>
        <v>30</v>
      </c>
      <c r="O36" s="68">
        <f t="shared" si="27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7"/>
        <v>55</v>
      </c>
      <c r="M37" s="68">
        <f>'Option 2a'!M37</f>
        <v>515.8217310860814</v>
      </c>
      <c r="N37" s="68">
        <f t="shared" si="27"/>
        <v>30</v>
      </c>
      <c r="O37" s="68">
        <f t="shared" si="27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>$AC$9+X8</f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7"/>
        <v>55</v>
      </c>
      <c r="M38" s="68">
        <f>'Option 2a'!M38</f>
        <v>524.52535276193271</v>
      </c>
      <c r="N38" s="68">
        <f t="shared" si="27"/>
        <v>30</v>
      </c>
      <c r="O38" s="68">
        <f t="shared" si="27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9718.7243593590265</v>
      </c>
      <c r="G39" s="64">
        <f>$AC$9+T5+T4+X4+X5</f>
        <v>12148.405449198783</v>
      </c>
      <c r="H39" s="65">
        <f t="shared" si="6"/>
        <v>14578.086539038539</v>
      </c>
      <c r="I39" s="66">
        <f t="shared" si="13"/>
        <v>9718.7243593590265</v>
      </c>
      <c r="J39" s="89">
        <f t="shared" si="13"/>
        <v>12148.405449198783</v>
      </c>
      <c r="K39" s="67">
        <f t="shared" si="13"/>
        <v>14578.086539038539</v>
      </c>
      <c r="L39" s="68">
        <f t="shared" si="27"/>
        <v>55</v>
      </c>
      <c r="M39" s="68">
        <f>'Option 2a'!M39</f>
        <v>533.22897443778402</v>
      </c>
      <c r="N39" s="68">
        <f t="shared" si="27"/>
        <v>30</v>
      </c>
      <c r="O39" s="68">
        <f t="shared" si="27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10317.916885074921</v>
      </c>
      <c r="U39" s="89">
        <f t="shared" si="15"/>
        <v>12779.134423636566</v>
      </c>
      <c r="V39" s="67">
        <f t="shared" si="15"/>
        <v>15240.351962198212</v>
      </c>
      <c r="W39" s="7">
        <f t="shared" si="16"/>
        <v>0.40475090008288855</v>
      </c>
      <c r="X39" s="66">
        <f t="shared" si="17"/>
        <v>4176.186146214508</v>
      </c>
      <c r="Y39" s="89">
        <f t="shared" si="18"/>
        <v>5172.3661602471257</v>
      </c>
      <c r="Z39" s="67">
        <f t="shared" si="19"/>
        <v>6168.5461742797434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7"/>
        <v>55</v>
      </c>
      <c r="M40" s="68">
        <f>'Option 2a'!M40</f>
        <v>541.93259611363521</v>
      </c>
      <c r="N40" s="68">
        <f t="shared" si="27"/>
        <v>30</v>
      </c>
      <c r="O40" s="68">
        <f t="shared" si="27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7"/>
        <v>55</v>
      </c>
      <c r="M41" s="68">
        <f>'Option 2a'!M41</f>
        <v>550.63621778948652</v>
      </c>
      <c r="N41" s="68">
        <f t="shared" si="27"/>
        <v>30</v>
      </c>
      <c r="O41" s="68">
        <f t="shared" si="27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7"/>
        <v>55</v>
      </c>
      <c r="M42" s="68">
        <f>'Option 2a'!M42</f>
        <v>559.33983946533783</v>
      </c>
      <c r="N42" s="68">
        <f t="shared" si="27"/>
        <v>30</v>
      </c>
      <c r="O42" s="68">
        <f t="shared" si="27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 t="shared" si="13"/>
        <v>1475</v>
      </c>
      <c r="K43" s="67">
        <f t="shared" si="13"/>
        <v>1770</v>
      </c>
      <c r="L43" s="68">
        <f t="shared" si="27"/>
        <v>55</v>
      </c>
      <c r="M43" s="68">
        <f>'Option 2a'!M43</f>
        <v>568.04346114118914</v>
      </c>
      <c r="N43" s="68">
        <f t="shared" si="27"/>
        <v>30</v>
      </c>
      <c r="O43" s="68">
        <f t="shared" si="27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2221.7915954843361</v>
      </c>
      <c r="G44" s="64">
        <f>$AC$9+T6+X6</f>
        <v>2777.23949435542</v>
      </c>
      <c r="H44" s="65">
        <f t="shared" si="6"/>
        <v>3332.6873932265039</v>
      </c>
      <c r="I44" s="66">
        <f t="shared" si="13"/>
        <v>2221.7915954843361</v>
      </c>
      <c r="J44" s="89">
        <f t="shared" si="13"/>
        <v>2777.23949435542</v>
      </c>
      <c r="K44" s="67">
        <f t="shared" si="13"/>
        <v>3332.6873932265039</v>
      </c>
      <c r="L44" s="68">
        <f t="shared" si="27"/>
        <v>55</v>
      </c>
      <c r="M44" s="68">
        <f>'Option 2a'!M44</f>
        <v>576.74708281704034</v>
      </c>
      <c r="N44" s="68">
        <f t="shared" si="27"/>
        <v>30</v>
      </c>
      <c r="O44" s="68">
        <f t="shared" si="27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2862.3263241605246</v>
      </c>
      <c r="U44" s="89">
        <f t="shared" si="15"/>
        <v>3451.4865771724603</v>
      </c>
      <c r="V44" s="67">
        <f t="shared" si="15"/>
        <v>4040.6468301843961</v>
      </c>
      <c r="W44" s="7">
        <f t="shared" si="16"/>
        <v>0.34013162972095884</v>
      </c>
      <c r="X44" s="66">
        <f t="shared" si="17"/>
        <v>973.56771742992078</v>
      </c>
      <c r="Y44" s="89">
        <f t="shared" si="18"/>
        <v>1173.959754453683</v>
      </c>
      <c r="Z44" s="67">
        <f t="shared" si="19"/>
        <v>1374.351791477445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7"/>
        <v>55</v>
      </c>
      <c r="M45" s="68">
        <f>'Option 2a'!M45</f>
        <v>585.45070449289165</v>
      </c>
      <c r="N45" s="68">
        <f t="shared" si="27"/>
        <v>30</v>
      </c>
      <c r="O45" s="68">
        <f t="shared" si="27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7"/>
        <v>55</v>
      </c>
      <c r="M46" s="68">
        <f>'Option 2a'!M46</f>
        <v>594.15432616874295</v>
      </c>
      <c r="N46" s="68">
        <f t="shared" si="27"/>
        <v>30</v>
      </c>
      <c r="O46" s="68">
        <f t="shared" si="27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7"/>
        <v>55</v>
      </c>
      <c r="M47" s="68">
        <f>'Option 2a'!M47</f>
        <v>602.85794784459426</v>
      </c>
      <c r="N47" s="68">
        <f t="shared" si="27"/>
        <v>30</v>
      </c>
      <c r="O47" s="68">
        <f t="shared" si="27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8">L47</f>
        <v>55</v>
      </c>
      <c r="M48" s="68">
        <f>'Option 2a'!M48</f>
        <v>611.56156952044557</v>
      </c>
      <c r="N48" s="68">
        <f t="shared" si="28"/>
        <v>30</v>
      </c>
      <c r="O48" s="68">
        <f t="shared" si="28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1180</v>
      </c>
      <c r="G49" s="64">
        <f t="shared" si="22"/>
        <v>1475</v>
      </c>
      <c r="H49" s="65">
        <f t="shared" si="6"/>
        <v>1770</v>
      </c>
      <c r="I49" s="66">
        <f t="shared" si="13"/>
        <v>1180</v>
      </c>
      <c r="J49" s="89">
        <f t="shared" si="13"/>
        <v>1475</v>
      </c>
      <c r="K49" s="67">
        <f t="shared" si="13"/>
        <v>1770</v>
      </c>
      <c r="L49" s="68">
        <f t="shared" si="28"/>
        <v>55</v>
      </c>
      <c r="M49" s="68">
        <f>'Option 2a'!M49</f>
        <v>620.26519119629688</v>
      </c>
      <c r="N49" s="68">
        <f t="shared" si="28"/>
        <v>30</v>
      </c>
      <c r="O49" s="68">
        <f t="shared" si="28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1861.8769316364819</v>
      </c>
      <c r="U49" s="89">
        <f t="shared" si="15"/>
        <v>2192.7651911962967</v>
      </c>
      <c r="V49" s="67">
        <f t="shared" si="15"/>
        <v>2523.6534507561119</v>
      </c>
      <c r="W49" s="7">
        <f t="shared" si="16"/>
        <v>0.28582895186383406</v>
      </c>
      <c r="X49" s="66">
        <f t="shared" si="17"/>
        <v>532.17833186910707</v>
      </c>
      <c r="Y49" s="89">
        <f t="shared" si="18"/>
        <v>626.75577628313715</v>
      </c>
      <c r="Z49" s="67">
        <f t="shared" si="19"/>
        <v>721.33322069716746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8"/>
        <v>55</v>
      </c>
      <c r="M50" s="68">
        <f>'Option 2a'!M50</f>
        <v>628.96881287214808</v>
      </c>
      <c r="N50" s="68">
        <f t="shared" si="28"/>
        <v>30</v>
      </c>
      <c r="O50" s="68">
        <f t="shared" si="28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8"/>
        <v>55</v>
      </c>
      <c r="M51" s="68">
        <f>'Option 2a'!M51</f>
        <v>637.67243454799939</v>
      </c>
      <c r="N51" s="68">
        <f t="shared" si="28"/>
        <v>30</v>
      </c>
      <c r="O51" s="68">
        <f t="shared" si="28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8"/>
        <v>55</v>
      </c>
      <c r="M52" s="68">
        <f>'Option 2a'!M52</f>
        <v>646.3760562238507</v>
      </c>
      <c r="N52" s="68">
        <f t="shared" si="28"/>
        <v>30</v>
      </c>
      <c r="O52" s="68">
        <f t="shared" si="28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8"/>
        <v>55</v>
      </c>
      <c r="M53" s="68">
        <f>'Option 2a'!M53</f>
        <v>655.07967789970201</v>
      </c>
      <c r="N53" s="68">
        <f t="shared" si="28"/>
        <v>30</v>
      </c>
      <c r="O53" s="68">
        <f t="shared" si="28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2221.7915954843361</v>
      </c>
      <c r="G54" s="64">
        <f>$AC$9+T6+X6+X8</f>
        <v>2777.23949435542</v>
      </c>
      <c r="H54" s="65">
        <f t="shared" si="6"/>
        <v>3332.6873932265039</v>
      </c>
      <c r="I54" s="66">
        <f t="shared" si="13"/>
        <v>2221.7915954843361</v>
      </c>
      <c r="J54" s="89">
        <f t="shared" si="13"/>
        <v>2777.23949435542</v>
      </c>
      <c r="K54" s="67">
        <f t="shared" si="13"/>
        <v>3332.6873932265039</v>
      </c>
      <c r="L54" s="68">
        <f t="shared" si="28"/>
        <v>55</v>
      </c>
      <c r="M54" s="68">
        <f>'Option 2a'!M54</f>
        <v>663.78329957555331</v>
      </c>
      <c r="N54" s="68">
        <f t="shared" si="28"/>
        <v>30</v>
      </c>
      <c r="O54" s="68">
        <f t="shared" si="28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2945.0107300811114</v>
      </c>
      <c r="U54" s="89">
        <f t="shared" si="15"/>
        <v>3538.5227939309734</v>
      </c>
      <c r="V54" s="67">
        <f t="shared" si="15"/>
        <v>4132.0348577808345</v>
      </c>
      <c r="W54" s="7">
        <f t="shared" si="16"/>
        <v>0.24019580240332974</v>
      </c>
      <c r="X54" s="66">
        <f t="shared" si="17"/>
        <v>707.37921539824856</v>
      </c>
      <c r="Y54" s="89">
        <f t="shared" si="18"/>
        <v>849.93832181072241</v>
      </c>
      <c r="Z54" s="67">
        <f t="shared" si="19"/>
        <v>992.49742822319604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8"/>
        <v>55</v>
      </c>
      <c r="M55" s="68">
        <f>'Option 2a'!M55</f>
        <v>672.48692125140451</v>
      </c>
      <c r="N55" s="68">
        <f t="shared" si="28"/>
        <v>30</v>
      </c>
      <c r="O55" s="68">
        <f t="shared" si="28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8"/>
        <v>55</v>
      </c>
      <c r="M56" s="68">
        <f>'Option 2a'!M56</f>
        <v>681.19054292725582</v>
      </c>
      <c r="N56" s="68">
        <f t="shared" si="28"/>
        <v>30</v>
      </c>
      <c r="O56" s="68">
        <f t="shared" si="28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8"/>
        <v>55</v>
      </c>
      <c r="M57" s="68">
        <f>'Option 2a'!M57</f>
        <v>689.89416460310713</v>
      </c>
      <c r="N57" s="68">
        <f t="shared" si="28"/>
        <v>30</v>
      </c>
      <c r="O57" s="68">
        <f t="shared" si="28"/>
        <v>12.5</v>
      </c>
      <c r="P57" s="68">
        <f t="shared" si="24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f>15000+1000</f>
        <v>16000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17475</v>
      </c>
      <c r="K58" s="67">
        <f t="shared" si="13"/>
        <v>21770</v>
      </c>
      <c r="L58" s="68">
        <f t="shared" si="28"/>
        <v>55</v>
      </c>
      <c r="M58" s="68">
        <f>'Option 2b'!M58</f>
        <v>698.59778627895844</v>
      </c>
      <c r="N58" s="68">
        <f>N57*1.5</f>
        <v>45</v>
      </c>
      <c r="O58" s="68">
        <f t="shared" si="28"/>
        <v>12.5</v>
      </c>
      <c r="P58" s="68">
        <f t="shared" si="24"/>
        <v>0</v>
      </c>
      <c r="Q58" s="66">
        <f t="shared" si="14"/>
        <v>770.54289696501053</v>
      </c>
      <c r="R58" s="70">
        <f t="shared" si="7"/>
        <v>811.09778627895844</v>
      </c>
      <c r="S58" s="67">
        <f t="shared" si="8"/>
        <v>851.65267559290635</v>
      </c>
      <c r="T58" s="66">
        <f t="shared" si="21"/>
        <v>13950.542896965011</v>
      </c>
      <c r="U58" s="89">
        <f t="shared" si="15"/>
        <v>18286.097786278959</v>
      </c>
      <c r="V58" s="67">
        <f t="shared" si="15"/>
        <v>22621.652675592908</v>
      </c>
      <c r="W58" s="7">
        <f t="shared" si="16"/>
        <v>0.20899349605515255</v>
      </c>
      <c r="X58" s="66">
        <f t="shared" si="17"/>
        <v>2915.5727319040934</v>
      </c>
      <c r="Y58" s="89">
        <f t="shared" si="18"/>
        <v>3821.6755055608255</v>
      </c>
      <c r="Z58" s="67">
        <f t="shared" si="19"/>
        <v>4727.7782792175576</v>
      </c>
      <c r="AA58" s="14" t="s">
        <v>119</v>
      </c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 t="shared" si="13"/>
        <v>1475</v>
      </c>
      <c r="K59" s="67">
        <f t="shared" si="13"/>
        <v>1770</v>
      </c>
      <c r="L59" s="68">
        <f t="shared" si="28"/>
        <v>55</v>
      </c>
      <c r="M59" s="68">
        <f>'Option 2b'!M59</f>
        <v>727.30140795480975</v>
      </c>
      <c r="N59" s="68">
        <f t="shared" si="28"/>
        <v>45</v>
      </c>
      <c r="O59" s="68">
        <f>O58*1.5</f>
        <v>18.75</v>
      </c>
      <c r="P59" s="68">
        <f t="shared" si="24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1983.7488375570692</v>
      </c>
      <c r="U59" s="89">
        <f t="shared" si="15"/>
        <v>2321.0514079548097</v>
      </c>
      <c r="V59" s="67">
        <f t="shared" si="15"/>
        <v>2658.3539783525503</v>
      </c>
      <c r="W59" s="7">
        <f t="shared" si="16"/>
        <v>0.20184807422749909</v>
      </c>
      <c r="X59" s="66">
        <f t="shared" si="17"/>
        <v>400.41588261193436</v>
      </c>
      <c r="Y59" s="89">
        <f t="shared" si="18"/>
        <v>468.49975687870369</v>
      </c>
      <c r="Z59" s="67">
        <f t="shared" si="19"/>
        <v>536.58363114547308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8"/>
        <v>55</v>
      </c>
      <c r="M60" s="68">
        <f>'Option 2b'!M60</f>
        <v>736.00502963066106</v>
      </c>
      <c r="N60" s="68">
        <f t="shared" si="28"/>
        <v>45</v>
      </c>
      <c r="O60" s="68">
        <f t="shared" si="28"/>
        <v>18.75</v>
      </c>
      <c r="P60" s="68">
        <f t="shared" si="24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8"/>
        <v>55</v>
      </c>
      <c r="M61" s="68">
        <f>'Option 2b'!M61</f>
        <v>744.70865130651225</v>
      </c>
      <c r="N61" s="68">
        <f t="shared" si="28"/>
        <v>45</v>
      </c>
      <c r="O61" s="68">
        <f t="shared" si="28"/>
        <v>18.75</v>
      </c>
      <c r="P61" s="68">
        <f t="shared" si="24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8"/>
        <v>55</v>
      </c>
      <c r="M62" s="68">
        <f>'Option 2b'!M62</f>
        <v>753.41227298236356</v>
      </c>
      <c r="N62" s="68">
        <f t="shared" si="28"/>
        <v>45</v>
      </c>
      <c r="O62" s="68">
        <f t="shared" si="28"/>
        <v>18.75</v>
      </c>
      <c r="P62" s="68">
        <f t="shared" si="24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8"/>
        <v>55</v>
      </c>
      <c r="M63" s="68">
        <f>'Option 2b'!M63</f>
        <v>762.11589465821487</v>
      </c>
      <c r="N63" s="68">
        <f t="shared" si="28"/>
        <v>45</v>
      </c>
      <c r="O63" s="68">
        <f t="shared" si="28"/>
        <v>18.75</v>
      </c>
      <c r="P63" s="68">
        <f t="shared" si="24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2016.8225999253041</v>
      </c>
      <c r="U63" s="89">
        <f t="shared" si="15"/>
        <v>2355.865894658215</v>
      </c>
      <c r="V63" s="67">
        <f t="shared" si="15"/>
        <v>2694.9091893911254</v>
      </c>
      <c r="W63" s="7">
        <f t="shared" si="16"/>
        <v>0.17562727692455368</v>
      </c>
      <c r="X63" s="66">
        <f t="shared" si="17"/>
        <v>354.20906126477973</v>
      </c>
      <c r="Y63" s="89">
        <f t="shared" si="18"/>
        <v>413.75431187824972</v>
      </c>
      <c r="Z63" s="67">
        <f t="shared" si="19"/>
        <v>473.29956249171966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10760.515954843362</v>
      </c>
      <c r="G64" s="64">
        <f>$AC$9+T6+T5+T4+X4+X5+X6</f>
        <v>13450.644943554202</v>
      </c>
      <c r="H64" s="65">
        <f t="shared" si="6"/>
        <v>16140.773932265041</v>
      </c>
      <c r="I64" s="66">
        <f t="shared" si="13"/>
        <v>10760.515954843362</v>
      </c>
      <c r="J64" s="89">
        <f t="shared" si="13"/>
        <v>13450.644943554202</v>
      </c>
      <c r="K64" s="67">
        <f t="shared" si="13"/>
        <v>16140.773932265041</v>
      </c>
      <c r="L64" s="68">
        <f t="shared" ref="L64:O73" si="29">L63</f>
        <v>55</v>
      </c>
      <c r="M64" s="68">
        <f>'Option 2b'!M64</f>
        <v>770.81951633406618</v>
      </c>
      <c r="N64" s="68">
        <f t="shared" si="29"/>
        <v>45</v>
      </c>
      <c r="O64" s="68">
        <f t="shared" si="29"/>
        <v>18.75</v>
      </c>
      <c r="P64" s="68">
        <f t="shared" si="24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11605.606995360726</v>
      </c>
      <c r="U64" s="89">
        <f t="shared" si="15"/>
        <v>14340.214459888268</v>
      </c>
      <c r="V64" s="67">
        <f t="shared" si="15"/>
        <v>17074.82192441581</v>
      </c>
      <c r="W64" s="7">
        <f t="shared" si="16"/>
        <v>0.16962263562348243</v>
      </c>
      <c r="X64" s="66">
        <f t="shared" si="17"/>
        <v>1968.5736465634111</v>
      </c>
      <c r="Y64" s="89">
        <f t="shared" si="18"/>
        <v>2432.4249720922217</v>
      </c>
      <c r="Z64" s="67">
        <f t="shared" si="19"/>
        <v>2896.276297621032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29"/>
        <v>55</v>
      </c>
      <c r="M65" s="68">
        <f>'Option 2b'!M65</f>
        <v>779.52313800991749</v>
      </c>
      <c r="N65" s="68">
        <f t="shared" si="29"/>
        <v>45</v>
      </c>
      <c r="O65" s="68">
        <f t="shared" si="29"/>
        <v>18.75</v>
      </c>
      <c r="P65" s="68">
        <f t="shared" si="24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29"/>
        <v>55</v>
      </c>
      <c r="M66" s="68">
        <f>'Option 2b'!M66</f>
        <v>788.2267596857688</v>
      </c>
      <c r="N66" s="68">
        <f t="shared" si="29"/>
        <v>45</v>
      </c>
      <c r="O66" s="68">
        <f t="shared" si="29"/>
        <v>18.75</v>
      </c>
      <c r="P66" s="68">
        <f t="shared" si="24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29"/>
        <v>55</v>
      </c>
      <c r="M67" s="68">
        <f>'Option 2b'!M67</f>
        <v>796.93038136161999</v>
      </c>
      <c r="N67" s="68">
        <f t="shared" si="29"/>
        <v>45</v>
      </c>
      <c r="O67" s="68">
        <f t="shared" si="29"/>
        <v>18.75</v>
      </c>
      <c r="P67" s="68">
        <f t="shared" si="24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1180</v>
      </c>
      <c r="G68" s="64">
        <f t="shared" si="22"/>
        <v>1475</v>
      </c>
      <c r="H68" s="65">
        <f t="shared" si="6"/>
        <v>1770</v>
      </c>
      <c r="I68" s="66">
        <f t="shared" si="13"/>
        <v>1180</v>
      </c>
      <c r="J68" s="89">
        <f t="shared" si="13"/>
        <v>1475</v>
      </c>
      <c r="K68" s="67">
        <f t="shared" si="13"/>
        <v>1770</v>
      </c>
      <c r="L68" s="68">
        <f t="shared" si="29"/>
        <v>55</v>
      </c>
      <c r="M68" s="68">
        <f>'Option 2b'!M68</f>
        <v>805.6340030374713</v>
      </c>
      <c r="N68" s="68">
        <f t="shared" si="29"/>
        <v>45</v>
      </c>
      <c r="O68" s="68">
        <f t="shared" si="29"/>
        <v>18.75</v>
      </c>
      <c r="P68" s="68">
        <f t="shared" si="24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2058.164802885598</v>
      </c>
      <c r="U68" s="89">
        <f t="shared" si="15"/>
        <v>2399.3840030374713</v>
      </c>
      <c r="V68" s="67">
        <f t="shared" si="15"/>
        <v>2740.6032031893446</v>
      </c>
      <c r="W68" s="7">
        <f t="shared" si="16"/>
        <v>0.14758803973399254</v>
      </c>
      <c r="X68" s="66">
        <f t="shared" si="17"/>
        <v>303.76050870738453</v>
      </c>
      <c r="Y68" s="89">
        <f t="shared" si="18"/>
        <v>354.12038157740039</v>
      </c>
      <c r="Z68" s="67">
        <f t="shared" si="19"/>
        <v>404.4802544474162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29"/>
        <v>55</v>
      </c>
      <c r="M69" s="68">
        <f>'Option 2b'!M69</f>
        <v>814.33762471332261</v>
      </c>
      <c r="N69" s="68">
        <f t="shared" si="29"/>
        <v>45</v>
      </c>
      <c r="O69" s="68">
        <f t="shared" si="29"/>
        <v>18.75</v>
      </c>
      <c r="P69" s="68">
        <f t="shared" si="24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29"/>
        <v>55</v>
      </c>
      <c r="M70" s="68">
        <f>'Option 2b'!M70</f>
        <v>823.04124638917392</v>
      </c>
      <c r="N70" s="68">
        <f t="shared" si="29"/>
        <v>45</v>
      </c>
      <c r="O70" s="68">
        <f t="shared" si="29"/>
        <v>18.75</v>
      </c>
      <c r="P70" s="68">
        <f t="shared" si="24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29"/>
        <v>55</v>
      </c>
      <c r="M71" s="68">
        <f>'Option 2b'!M71</f>
        <v>831.74486806502523</v>
      </c>
      <c r="N71" s="68">
        <f t="shared" si="29"/>
        <v>45</v>
      </c>
      <c r="O71" s="68">
        <f t="shared" si="29"/>
        <v>18.75</v>
      </c>
      <c r="P71" s="68">
        <f t="shared" si="24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29"/>
        <v>55</v>
      </c>
      <c r="M72" s="68">
        <f>'Option 2b'!M72</f>
        <v>840.44848974087643</v>
      </c>
      <c r="N72" s="68">
        <f t="shared" si="29"/>
        <v>45</v>
      </c>
      <c r="O72" s="68">
        <f t="shared" si="29"/>
        <v>18.75</v>
      </c>
      <c r="P72" s="68">
        <f t="shared" si="24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29"/>
        <v>55</v>
      </c>
      <c r="M73" s="68">
        <f>'Option 2b'!M73</f>
        <v>849.15211141672773</v>
      </c>
      <c r="N73" s="68">
        <f t="shared" si="29"/>
        <v>45</v>
      </c>
      <c r="O73" s="68">
        <f t="shared" si="29"/>
        <v>18.75</v>
      </c>
      <c r="P73" s="68">
        <f t="shared" si="24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2099.5070058458914</v>
      </c>
      <c r="U73" s="89">
        <f t="shared" si="15"/>
        <v>2442.9021114167276</v>
      </c>
      <c r="V73" s="67">
        <f t="shared" si="15"/>
        <v>2786.2972169875643</v>
      </c>
      <c r="W73" s="7">
        <f t="shared" si="16"/>
        <v>0.12402532143045074</v>
      </c>
      <c r="X73" s="73">
        <f t="shared" si="17"/>
        <v>260.39203124551989</v>
      </c>
      <c r="Y73" s="91">
        <f t="shared" si="18"/>
        <v>302.9817195915864</v>
      </c>
      <c r="Z73" s="74">
        <f t="shared" si="19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44786.684830662605</v>
      </c>
      <c r="D74" s="75">
        <f t="shared" si="30"/>
        <v>52429.649811847339</v>
      </c>
      <c r="E74" s="93">
        <f t="shared" si="30"/>
        <v>60072.614793032073</v>
      </c>
      <c r="F74" s="92">
        <f t="shared" si="30"/>
        <v>93154.406696139733</v>
      </c>
      <c r="G74" s="75">
        <f t="shared" si="30"/>
        <v>116443.00837017466</v>
      </c>
      <c r="H74" s="76">
        <f t="shared" si="30"/>
        <v>139731.61004420958</v>
      </c>
      <c r="I74" s="77">
        <f t="shared" si="30"/>
        <v>137941.09152680234</v>
      </c>
      <c r="J74" s="78">
        <f t="shared" si="30"/>
        <v>168872.65818202199</v>
      </c>
      <c r="K74" s="79">
        <f t="shared" si="30"/>
        <v>199804.22483724167</v>
      </c>
      <c r="L74" s="80">
        <f t="shared" si="30"/>
        <v>3325</v>
      </c>
      <c r="M74" s="80">
        <f t="shared" si="30"/>
        <v>33767.32589499389</v>
      </c>
      <c r="N74" s="80">
        <f t="shared" si="30"/>
        <v>2090</v>
      </c>
      <c r="O74" s="80">
        <f t="shared" si="30"/>
        <v>881.25</v>
      </c>
      <c r="P74" s="80">
        <f t="shared" si="30"/>
        <v>0</v>
      </c>
      <c r="Q74" s="77">
        <f t="shared" si="30"/>
        <v>38060.397100244205</v>
      </c>
      <c r="R74" s="78">
        <f t="shared" si="30"/>
        <v>40063.575894993897</v>
      </c>
      <c r="S74" s="79">
        <f t="shared" si="30"/>
        <v>42066.75468974359</v>
      </c>
      <c r="T74" s="77">
        <f>SUM(T13:T73)</f>
        <v>176001.48862704646</v>
      </c>
      <c r="U74" s="78">
        <f>SUM(U13:U73)</f>
        <v>208936.23407701589</v>
      </c>
      <c r="V74" s="79">
        <f>SUM(V13:V73)</f>
        <v>241870.97952698523</v>
      </c>
      <c r="W74" s="81"/>
      <c r="X74" s="77">
        <f>SUM(X13:X73)</f>
        <v>84223.197504666678</v>
      </c>
      <c r="Y74" s="78">
        <f t="shared" ref="Y74:Z74" si="31">SUM(Y13:Y73)</f>
        <v>98386.165914964702</v>
      </c>
      <c r="Z74" s="79">
        <f t="shared" si="31"/>
        <v>112549.13432526271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A1:AC1"/>
    <mergeCell ref="A1:B1"/>
    <mergeCell ref="C1:K1"/>
    <mergeCell ref="O1:Q1"/>
    <mergeCell ref="S1:U1"/>
    <mergeCell ref="W1:Y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5" zoomScaleNormal="80" workbookViewId="0">
      <pane xSplit="2" ySplit="12" topLeftCell="C22" activePane="bottomRight" state="frozen"/>
      <selection pane="topRight" activeCell="O65" sqref="O65"/>
      <selection pane="bottomLeft" activeCell="O65" sqref="O65"/>
      <selection pane="bottomRight" activeCell="D23" sqref="D23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214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10846.254868293137</v>
      </c>
      <c r="U3" s="97">
        <v>0</v>
      </c>
      <c r="W3" s="105">
        <v>0.61</v>
      </c>
      <c r="X3" s="97">
        <f t="shared" ref="X3:X8" si="0">W3*$X$9</f>
        <v>12770.35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70364.06263373878</v>
      </c>
      <c r="E4" s="57">
        <f>Y74</f>
        <v>82794.474501607561</v>
      </c>
      <c r="F4" s="58">
        <f>Z74</f>
        <v>95224.886369476357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0.24</v>
      </c>
      <c r="X4" s="97">
        <f t="shared" si="0"/>
        <v>5024.3999999999996</v>
      </c>
      <c r="Y4" s="97">
        <f>(X4/N4)</f>
        <v>200.976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2014.3044755401543</v>
      </c>
      <c r="U5" s="97">
        <f t="shared" ref="U5:U8" si="1">(T5/N5)</f>
        <v>80.572179021606175</v>
      </c>
      <c r="W5" s="105">
        <v>7.0000000000000007E-2</v>
      </c>
      <c r="X5" s="97">
        <f t="shared" si="0"/>
        <v>1465.45</v>
      </c>
      <c r="Y5" s="97">
        <f>(X5/N5)</f>
        <v>58.618000000000002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4799.25</v>
      </c>
      <c r="J6" s="84">
        <f t="shared" ref="J6:K6" si="3">SUM(J13:J17)</f>
        <v>5997.5</v>
      </c>
      <c r="K6" s="31">
        <f t="shared" si="3"/>
        <v>7195.75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464.83949435542013</v>
      </c>
      <c r="U6" s="97">
        <f t="shared" si="1"/>
        <v>46.483949435542016</v>
      </c>
      <c r="W6" s="105">
        <v>0.04</v>
      </c>
      <c r="X6" s="97">
        <f t="shared" si="0"/>
        <v>837.4</v>
      </c>
      <c r="Y6" s="97">
        <f>(X6/N6)</f>
        <v>83.74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44851.934830662605</v>
      </c>
      <c r="D7" s="60">
        <f t="shared" ref="D7:E7" si="4">SUM(D13:D73)</f>
        <v>52502.149811847339</v>
      </c>
      <c r="E7" s="61">
        <f t="shared" si="4"/>
        <v>60152.364793032073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837.4</v>
      </c>
      <c r="Y7" s="97">
        <f>(X7/N7)</f>
        <v>8.3739999999999995E-2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91070.823505171051</v>
      </c>
      <c r="G8" s="59">
        <f t="shared" ref="G8:H8" si="5">SUM(G13:G73)</f>
        <v>113838.52938146383</v>
      </c>
      <c r="H8" s="59">
        <f t="shared" si="5"/>
        <v>136606.23525775658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f>22735-1800</f>
        <v>20935</v>
      </c>
      <c r="Y9" s="98">
        <f>SUM(Y3:Y8)</f>
        <v>343.41773999999998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0</v>
      </c>
      <c r="D13" s="27"/>
      <c r="E13" s="65">
        <f>D13*(1+$E$11)</f>
        <v>0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624</v>
      </c>
      <c r="J13" s="89">
        <f>G13+D13</f>
        <v>780</v>
      </c>
      <c r="K13" s="67">
        <f>H13+E13</f>
        <v>936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761.75</v>
      </c>
      <c r="U13" s="89">
        <f>R13+J13</f>
        <v>925</v>
      </c>
      <c r="V13" s="67">
        <f>S13+K13</f>
        <v>1088.25</v>
      </c>
      <c r="W13" s="5">
        <v>1</v>
      </c>
      <c r="X13" s="69">
        <f>W13*T13</f>
        <v>761.75</v>
      </c>
      <c r="Y13" s="89">
        <f>W13*U13</f>
        <v>925</v>
      </c>
      <c r="Z13" s="67">
        <f>W13*V13</f>
        <v>1088.25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0</v>
      </c>
      <c r="D14" s="27">
        <f>D13</f>
        <v>0</v>
      </c>
      <c r="E14" s="65">
        <f t="shared" ref="E14:E73" si="11">D14*(1+$E$11)</f>
        <v>0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624</v>
      </c>
      <c r="J14" s="89">
        <f t="shared" si="13"/>
        <v>780</v>
      </c>
      <c r="K14" s="67">
        <f t="shared" si="13"/>
        <v>936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761.75</v>
      </c>
      <c r="U14" s="89">
        <f t="shared" ref="U14:V73" si="15">R14+J14</f>
        <v>925</v>
      </c>
      <c r="V14" s="67">
        <f t="shared" si="15"/>
        <v>1088.25</v>
      </c>
      <c r="W14" s="6">
        <f t="shared" ref="W14:W73" si="16">(1/(1+$C$3))^B14</f>
        <v>0.96581031485416258</v>
      </c>
      <c r="X14" s="66">
        <f t="shared" ref="X14:X73" si="17">W14*T14</f>
        <v>735.70600734015829</v>
      </c>
      <c r="Y14" s="89">
        <f t="shared" ref="Y14:Y73" si="18">W14*U14</f>
        <v>893.37454124010037</v>
      </c>
      <c r="Z14" s="67">
        <f t="shared" ref="Z14:Z73" si="19">W14*V14</f>
        <v>1051.0430751400424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'Base Costs'!M15</f>
        <v>40</v>
      </c>
      <c r="N15" s="68">
        <v>30</v>
      </c>
      <c r="O15" s="68">
        <f>O14*0.5</f>
        <v>12.5</v>
      </c>
      <c r="P15" s="68">
        <v>0</v>
      </c>
      <c r="Q15" s="66">
        <f t="shared" si="14"/>
        <v>130.625</v>
      </c>
      <c r="R15" s="70">
        <f t="shared" si="7"/>
        <v>137.5</v>
      </c>
      <c r="S15" s="67">
        <f t="shared" si="8"/>
        <v>144.375</v>
      </c>
      <c r="T15" s="66">
        <f t="shared" ref="T15:T73" si="21">Q15+I15</f>
        <v>1310.625</v>
      </c>
      <c r="U15" s="89">
        <f t="shared" si="15"/>
        <v>1612.5</v>
      </c>
      <c r="V15" s="67">
        <f t="shared" si="15"/>
        <v>1914.375</v>
      </c>
      <c r="W15" s="6">
        <f t="shared" si="16"/>
        <v>0.93278956427869664</v>
      </c>
      <c r="X15" s="66">
        <f t="shared" si="17"/>
        <v>1222.5373226827667</v>
      </c>
      <c r="Y15" s="89">
        <f t="shared" si="18"/>
        <v>1504.1231723993983</v>
      </c>
      <c r="Z15" s="67">
        <f t="shared" si="19"/>
        <v>1785.7090221160299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2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'Base Costs'!M16</f>
        <v>40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130.625</v>
      </c>
      <c r="R16" s="70">
        <f t="shared" si="7"/>
        <v>137.5</v>
      </c>
      <c r="S16" s="67">
        <f t="shared" si="8"/>
        <v>144.375</v>
      </c>
      <c r="T16" s="66">
        <f t="shared" si="21"/>
        <v>1310.625</v>
      </c>
      <c r="U16" s="89">
        <f t="shared" si="15"/>
        <v>1612.5</v>
      </c>
      <c r="V16" s="67">
        <f t="shared" si="15"/>
        <v>1914.375</v>
      </c>
      <c r="W16" s="6">
        <f t="shared" si="16"/>
        <v>0.90089778276868515</v>
      </c>
      <c r="X16" s="66">
        <f t="shared" si="17"/>
        <v>1180.7391565412079</v>
      </c>
      <c r="Y16" s="89">
        <f t="shared" si="18"/>
        <v>1452.6976747145047</v>
      </c>
      <c r="Z16" s="67">
        <f t="shared" si="19"/>
        <v>1724.6561928878016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11.25</v>
      </c>
      <c r="D17" s="167">
        <f>250*0.05</f>
        <v>12.5</v>
      </c>
      <c r="E17" s="65">
        <f t="shared" si="11"/>
        <v>13.750000000000002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1191.25</v>
      </c>
      <c r="J17" s="89">
        <f t="shared" si="13"/>
        <v>1487.5</v>
      </c>
      <c r="K17" s="67">
        <f t="shared" si="13"/>
        <v>1783.75</v>
      </c>
      <c r="L17" s="68">
        <f t="shared" si="23"/>
        <v>55</v>
      </c>
      <c r="M17" s="68">
        <f>'Base Costs'!M17</f>
        <v>40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130.625</v>
      </c>
      <c r="R17" s="70">
        <f t="shared" si="7"/>
        <v>137.5</v>
      </c>
      <c r="S17" s="67">
        <f t="shared" si="8"/>
        <v>144.375</v>
      </c>
      <c r="T17" s="66">
        <f t="shared" si="21"/>
        <v>1321.875</v>
      </c>
      <c r="U17" s="89">
        <f t="shared" si="15"/>
        <v>1625</v>
      </c>
      <c r="V17" s="67">
        <f t="shared" si="15"/>
        <v>1928.125</v>
      </c>
      <c r="W17" s="6">
        <f t="shared" si="16"/>
        <v>0.87009637122724071</v>
      </c>
      <c r="X17" s="66">
        <f t="shared" si="17"/>
        <v>1150.1586407160089</v>
      </c>
      <c r="Y17" s="89">
        <f t="shared" si="18"/>
        <v>1413.9066032442661</v>
      </c>
      <c r="Z17" s="67">
        <f t="shared" si="19"/>
        <v>1677.6545657725235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'Base Costs'!M18</f>
        <v>40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130.625</v>
      </c>
      <c r="R18" s="70">
        <f t="shared" si="7"/>
        <v>137.5</v>
      </c>
      <c r="S18" s="67">
        <f t="shared" si="8"/>
        <v>144.375</v>
      </c>
      <c r="T18" s="66">
        <f t="shared" si="21"/>
        <v>1310.625</v>
      </c>
      <c r="U18" s="89">
        <f t="shared" si="15"/>
        <v>1612.5</v>
      </c>
      <c r="V18" s="67">
        <f t="shared" si="15"/>
        <v>1914.375</v>
      </c>
      <c r="W18" s="6">
        <f t="shared" si="16"/>
        <v>0.84034805024844572</v>
      </c>
      <c r="X18" s="66">
        <f t="shared" si="17"/>
        <v>1101.3811633568691</v>
      </c>
      <c r="Y18" s="89">
        <f t="shared" si="18"/>
        <v>1355.0612310256188</v>
      </c>
      <c r="Z18" s="67">
        <f t="shared" si="19"/>
        <v>1608.7412986943682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'Base Costs'!M19</f>
        <v>40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130.625</v>
      </c>
      <c r="R19" s="70">
        <f t="shared" si="7"/>
        <v>137.5</v>
      </c>
      <c r="S19" s="67">
        <f t="shared" si="8"/>
        <v>144.375</v>
      </c>
      <c r="T19" s="66">
        <f t="shared" si="21"/>
        <v>1310.625</v>
      </c>
      <c r="U19" s="89">
        <f t="shared" si="15"/>
        <v>1612.5</v>
      </c>
      <c r="V19" s="67">
        <f t="shared" si="15"/>
        <v>1914.375</v>
      </c>
      <c r="W19" s="6">
        <f t="shared" si="16"/>
        <v>0.81161681499753291</v>
      </c>
      <c r="X19" s="66">
        <f t="shared" si="17"/>
        <v>1063.7252881561415</v>
      </c>
      <c r="Y19" s="89">
        <f t="shared" si="18"/>
        <v>1308.7321141835218</v>
      </c>
      <c r="Z19" s="67">
        <f t="shared" si="19"/>
        <v>1553.738940210902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18</v>
      </c>
      <c r="D20" s="167">
        <f>0.05*400</f>
        <v>20</v>
      </c>
      <c r="E20" s="65">
        <f t="shared" si="11"/>
        <v>22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1198</v>
      </c>
      <c r="J20" s="89">
        <f t="shared" si="13"/>
        <v>1495</v>
      </c>
      <c r="K20" s="67">
        <f t="shared" si="13"/>
        <v>1792</v>
      </c>
      <c r="L20" s="68">
        <f t="shared" si="23"/>
        <v>55</v>
      </c>
      <c r="M20" s="68">
        <f>'Base Costs'!M20</f>
        <v>40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130.625</v>
      </c>
      <c r="R20" s="70">
        <f t="shared" si="7"/>
        <v>137.5</v>
      </c>
      <c r="S20" s="67">
        <f t="shared" si="8"/>
        <v>144.375</v>
      </c>
      <c r="T20" s="66">
        <f t="shared" si="21"/>
        <v>1328.625</v>
      </c>
      <c r="U20" s="89">
        <f t="shared" si="15"/>
        <v>1632.5</v>
      </c>
      <c r="V20" s="67">
        <f t="shared" si="15"/>
        <v>1936.375</v>
      </c>
      <c r="W20" s="6">
        <f t="shared" si="16"/>
        <v>0.78386789163369996</v>
      </c>
      <c r="X20" s="66">
        <f t="shared" si="17"/>
        <v>1041.4664775218246</v>
      </c>
      <c r="Y20" s="89">
        <f t="shared" si="18"/>
        <v>1279.6643330920151</v>
      </c>
      <c r="Z20" s="67">
        <f t="shared" si="19"/>
        <v>1517.8621886622059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18</v>
      </c>
      <c r="D21" s="167">
        <f t="shared" ref="D21:D22" si="27">0.05*400</f>
        <v>20</v>
      </c>
      <c r="E21" s="65">
        <f t="shared" si="11"/>
        <v>22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1198</v>
      </c>
      <c r="J21" s="89">
        <f t="shared" si="13"/>
        <v>1495</v>
      </c>
      <c r="K21" s="67">
        <f t="shared" si="13"/>
        <v>1792</v>
      </c>
      <c r="L21" s="68">
        <f t="shared" si="23"/>
        <v>55</v>
      </c>
      <c r="M21" s="68">
        <f>'Base Costs'!M21</f>
        <v>40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130.625</v>
      </c>
      <c r="R21" s="70">
        <f t="shared" si="7"/>
        <v>137.5</v>
      </c>
      <c r="S21" s="67">
        <f t="shared" si="8"/>
        <v>144.375</v>
      </c>
      <c r="T21" s="66">
        <f t="shared" si="21"/>
        <v>1328.625</v>
      </c>
      <c r="U21" s="89">
        <f t="shared" si="15"/>
        <v>1632.5</v>
      </c>
      <c r="V21" s="67">
        <f t="shared" si="15"/>
        <v>1936.375</v>
      </c>
      <c r="W21" s="6">
        <f t="shared" si="16"/>
        <v>0.75706769522281225</v>
      </c>
      <c r="X21" s="66">
        <f t="shared" si="17"/>
        <v>1005.859066565409</v>
      </c>
      <c r="Y21" s="89">
        <f t="shared" si="18"/>
        <v>1235.913012451241</v>
      </c>
      <c r="Z21" s="67">
        <f t="shared" si="19"/>
        <v>1465.966958337073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18</v>
      </c>
      <c r="D22" s="167">
        <f t="shared" si="27"/>
        <v>20</v>
      </c>
      <c r="E22" s="65">
        <f t="shared" si="11"/>
        <v>22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1198</v>
      </c>
      <c r="J22" s="89">
        <f t="shared" si="13"/>
        <v>1495</v>
      </c>
      <c r="K22" s="67">
        <f t="shared" si="13"/>
        <v>1792</v>
      </c>
      <c r="L22" s="68">
        <f t="shared" si="23"/>
        <v>55</v>
      </c>
      <c r="M22" s="68">
        <f>'Base Costs'!M22</f>
        <v>40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130.625</v>
      </c>
      <c r="R22" s="70">
        <f t="shared" si="7"/>
        <v>137.5</v>
      </c>
      <c r="S22" s="67">
        <f t="shared" si="8"/>
        <v>144.375</v>
      </c>
      <c r="T22" s="66">
        <f t="shared" si="21"/>
        <v>1328.625</v>
      </c>
      <c r="U22" s="89">
        <f t="shared" si="15"/>
        <v>1632.5</v>
      </c>
      <c r="V22" s="67">
        <f t="shared" si="15"/>
        <v>1936.375</v>
      </c>
      <c r="W22" s="6">
        <f t="shared" si="16"/>
        <v>0.73118378908905945</v>
      </c>
      <c r="X22" s="66">
        <f t="shared" si="17"/>
        <v>971.46906177845165</v>
      </c>
      <c r="Y22" s="89">
        <f t="shared" si="18"/>
        <v>1193.6575356878895</v>
      </c>
      <c r="Z22" s="67">
        <f t="shared" si="19"/>
        <v>1415.8460095973276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16393.342415331303</v>
      </c>
      <c r="D23" s="27">
        <f>(T9+X9)/2</f>
        <v>18214.82490592367</v>
      </c>
      <c r="E23" s="65">
        <f t="shared" si="11"/>
        <v>20036.307396516037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17573.342415331303</v>
      </c>
      <c r="J23" s="89">
        <f t="shared" si="13"/>
        <v>19689.82490592367</v>
      </c>
      <c r="K23" s="67">
        <f t="shared" si="13"/>
        <v>21806.307396516037</v>
      </c>
      <c r="L23" s="68">
        <f t="shared" si="23"/>
        <v>55</v>
      </c>
      <c r="M23" s="68">
        <f>'Base Costs'!M23</f>
        <v>40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130.625</v>
      </c>
      <c r="R23" s="70">
        <f t="shared" si="7"/>
        <v>137.5</v>
      </c>
      <c r="S23" s="67">
        <f t="shared" si="8"/>
        <v>144.375</v>
      </c>
      <c r="T23" s="66">
        <f t="shared" si="21"/>
        <v>17703.967415331303</v>
      </c>
      <c r="U23" s="89">
        <f t="shared" si="15"/>
        <v>19827.32490592367</v>
      </c>
      <c r="V23" s="67">
        <f t="shared" si="15"/>
        <v>21950.682396516037</v>
      </c>
      <c r="W23" s="6">
        <f t="shared" si="16"/>
        <v>0.70618484555636418</v>
      </c>
      <c r="X23" s="66">
        <f t="shared" si="17"/>
        <v>12502.27349493064</v>
      </c>
      <c r="Y23" s="89">
        <f t="shared" si="18"/>
        <v>14001.75637648556</v>
      </c>
      <c r="Z23" s="67">
        <f t="shared" si="19"/>
        <v>15501.239258040479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16393.342415331303</v>
      </c>
      <c r="D24" s="27">
        <f>D23</f>
        <v>18214.82490592367</v>
      </c>
      <c r="E24" s="65">
        <f t="shared" si="11"/>
        <v>20036.307396516037</v>
      </c>
      <c r="F24" s="63">
        <f t="shared" si="12"/>
        <v>1180</v>
      </c>
      <c r="G24" s="64">
        <f>$AC$9</f>
        <v>1475</v>
      </c>
      <c r="H24" s="65">
        <f t="shared" si="6"/>
        <v>1770</v>
      </c>
      <c r="I24" s="66">
        <f t="shared" si="13"/>
        <v>17573.342415331303</v>
      </c>
      <c r="J24" s="89">
        <f t="shared" si="13"/>
        <v>19689.82490592367</v>
      </c>
      <c r="K24" s="67">
        <f t="shared" si="13"/>
        <v>21806.307396516037</v>
      </c>
      <c r="L24" s="68">
        <f t="shared" si="23"/>
        <v>55</v>
      </c>
      <c r="M24" s="68">
        <f>'Base Costs'!M24</f>
        <v>40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130.625</v>
      </c>
      <c r="R24" s="70">
        <f t="shared" si="7"/>
        <v>137.5</v>
      </c>
      <c r="S24" s="67">
        <f t="shared" si="8"/>
        <v>144.375</v>
      </c>
      <c r="T24" s="66">
        <f t="shared" si="21"/>
        <v>17703.967415331303</v>
      </c>
      <c r="U24" s="89">
        <f t="shared" si="15"/>
        <v>19827.32490592367</v>
      </c>
      <c r="V24" s="67">
        <f t="shared" si="15"/>
        <v>21950.682396516037</v>
      </c>
      <c r="W24" s="6">
        <f t="shared" si="16"/>
        <v>0.68204060803203026</v>
      </c>
      <c r="X24" s="66">
        <f t="shared" si="17"/>
        <v>12074.824700531814</v>
      </c>
      <c r="Y24" s="89">
        <f t="shared" si="18"/>
        <v>13523.040734484797</v>
      </c>
      <c r="Z24" s="67">
        <f t="shared" si="19"/>
        <v>14971.256768437781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'Option 2a'!M25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'Option 2a'!M26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'Option 2a'!M27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'Option 2a'!M28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'Option 2a'!M29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'Option 2a'!M30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'Option 2a'!M31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8">L31</f>
        <v>55</v>
      </c>
      <c r="M32" s="68">
        <f>'Option 2a'!M32</f>
        <v>454.49530981036185</v>
      </c>
      <c r="N32" s="68">
        <f t="shared" si="28"/>
        <v>30</v>
      </c>
      <c r="O32" s="68">
        <f t="shared" si="28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8"/>
        <v>55</v>
      </c>
      <c r="M33" s="68">
        <f>'Option 2a'!M33</f>
        <v>468.91011753151565</v>
      </c>
      <c r="N33" s="68">
        <f t="shared" si="28"/>
        <v>30</v>
      </c>
      <c r="O33" s="68">
        <f t="shared" si="28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2221.7915954843361</v>
      </c>
      <c r="G34" s="64">
        <f>$AC$9+T6+X6+X8</f>
        <v>2777.23949435542</v>
      </c>
      <c r="H34" s="65">
        <f t="shared" si="6"/>
        <v>3332.6873932265039</v>
      </c>
      <c r="I34" s="66">
        <f t="shared" si="13"/>
        <v>2221.7915954843361</v>
      </c>
      <c r="J34" s="89">
        <f t="shared" si="13"/>
        <v>2777.23949435542</v>
      </c>
      <c r="K34" s="67">
        <f t="shared" si="13"/>
        <v>3332.6873932265039</v>
      </c>
      <c r="L34" s="68">
        <f t="shared" si="28"/>
        <v>55</v>
      </c>
      <c r="M34" s="68">
        <f>'Option 2a'!M34</f>
        <v>483.56425355965922</v>
      </c>
      <c r="N34" s="68">
        <f t="shared" si="28"/>
        <v>30</v>
      </c>
      <c r="O34" s="68">
        <f t="shared" si="28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2773.8026363660124</v>
      </c>
      <c r="U34" s="89">
        <f t="shared" si="15"/>
        <v>3358.3037479150789</v>
      </c>
      <c r="V34" s="67">
        <f t="shared" si="15"/>
        <v>3942.8048594641459</v>
      </c>
      <c r="W34" s="6">
        <f t="shared" si="16"/>
        <v>0.48164674144626801</v>
      </c>
      <c r="X34" s="66">
        <f t="shared" si="17"/>
        <v>1335.9930012207574</v>
      </c>
      <c r="Y34" s="89">
        <f t="shared" si="18"/>
        <v>1617.5160569700868</v>
      </c>
      <c r="Z34" s="67">
        <f t="shared" si="19"/>
        <v>1899.0391127194166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8"/>
        <v>55</v>
      </c>
      <c r="M35" s="68">
        <f>'Option 2a'!M35</f>
        <v>498.41448773437878</v>
      </c>
      <c r="N35" s="68">
        <f t="shared" si="28"/>
        <v>30</v>
      </c>
      <c r="O35" s="68">
        <f t="shared" si="28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8"/>
        <v>55</v>
      </c>
      <c r="M36" s="68">
        <f>'Option 2a'!M36</f>
        <v>507.11810941023009</v>
      </c>
      <c r="N36" s="68">
        <f t="shared" si="28"/>
        <v>30</v>
      </c>
      <c r="O36" s="68">
        <f t="shared" si="28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8"/>
        <v>55</v>
      </c>
      <c r="M37" s="68">
        <f>'Option 2a'!M37</f>
        <v>515.8217310860814</v>
      </c>
      <c r="N37" s="68">
        <f t="shared" si="28"/>
        <v>30</v>
      </c>
      <c r="O37" s="68">
        <f t="shared" si="28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 t="shared" si="22"/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8"/>
        <v>55</v>
      </c>
      <c r="M38" s="68">
        <f>'Option 2a'!M38</f>
        <v>524.52535276193271</v>
      </c>
      <c r="N38" s="68">
        <f t="shared" si="28"/>
        <v>30</v>
      </c>
      <c r="O38" s="68">
        <f t="shared" si="28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1180</v>
      </c>
      <c r="G39" s="64">
        <f t="shared" si="22"/>
        <v>1475</v>
      </c>
      <c r="H39" s="65">
        <f t="shared" si="6"/>
        <v>1770</v>
      </c>
      <c r="I39" s="66">
        <f t="shared" si="13"/>
        <v>1180</v>
      </c>
      <c r="J39" s="89">
        <f t="shared" si="13"/>
        <v>1475</v>
      </c>
      <c r="K39" s="67">
        <f t="shared" si="13"/>
        <v>1770</v>
      </c>
      <c r="L39" s="68">
        <f t="shared" si="28"/>
        <v>55</v>
      </c>
      <c r="M39" s="68">
        <f>'Option 2a'!M39</f>
        <v>533.22897443778402</v>
      </c>
      <c r="N39" s="68">
        <f t="shared" si="28"/>
        <v>30</v>
      </c>
      <c r="O39" s="68">
        <f t="shared" si="28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1779.1925257158948</v>
      </c>
      <c r="U39" s="89">
        <f t="shared" si="15"/>
        <v>2105.728974437784</v>
      </c>
      <c r="V39" s="67">
        <f t="shared" si="15"/>
        <v>2432.2654231596734</v>
      </c>
      <c r="W39" s="7">
        <f t="shared" si="16"/>
        <v>0.40475090008288855</v>
      </c>
      <c r="X39" s="66">
        <f t="shared" si="17"/>
        <v>720.12977620425625</v>
      </c>
      <c r="Y39" s="89">
        <f t="shared" si="18"/>
        <v>852.29569773431092</v>
      </c>
      <c r="Z39" s="67">
        <f t="shared" si="19"/>
        <v>984.46161926436559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8"/>
        <v>55</v>
      </c>
      <c r="M40" s="68">
        <f>'Option 2a'!M40</f>
        <v>541.93259611363521</v>
      </c>
      <c r="N40" s="68">
        <f t="shared" si="28"/>
        <v>30</v>
      </c>
      <c r="O40" s="68">
        <f t="shared" si="28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8"/>
        <v>55</v>
      </c>
      <c r="M41" s="68">
        <f>'Option 2a'!M41</f>
        <v>550.63621778948652</v>
      </c>
      <c r="N41" s="68">
        <f t="shared" si="28"/>
        <v>30</v>
      </c>
      <c r="O41" s="68">
        <f t="shared" si="28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8"/>
        <v>55</v>
      </c>
      <c r="M42" s="68">
        <f>'Option 2a'!M42</f>
        <v>559.33983946533783</v>
      </c>
      <c r="N42" s="68">
        <f t="shared" si="28"/>
        <v>30</v>
      </c>
      <c r="O42" s="68">
        <f t="shared" si="28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 t="shared" si="13"/>
        <v>1475</v>
      </c>
      <c r="K43" s="67">
        <f t="shared" si="13"/>
        <v>1770</v>
      </c>
      <c r="L43" s="68">
        <f t="shared" si="28"/>
        <v>55</v>
      </c>
      <c r="M43" s="68">
        <f>'Option 2a'!M43</f>
        <v>568.04346114118914</v>
      </c>
      <c r="N43" s="68">
        <f t="shared" si="28"/>
        <v>30</v>
      </c>
      <c r="O43" s="68">
        <f t="shared" si="28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2221.7915954843361</v>
      </c>
      <c r="G44" s="64">
        <f>$AC$9+T6+X6</f>
        <v>2777.23949435542</v>
      </c>
      <c r="H44" s="65">
        <f t="shared" si="6"/>
        <v>3332.6873932265039</v>
      </c>
      <c r="I44" s="66">
        <f t="shared" si="13"/>
        <v>2221.7915954843361</v>
      </c>
      <c r="J44" s="89">
        <f t="shared" si="13"/>
        <v>2777.23949435542</v>
      </c>
      <c r="K44" s="67">
        <f t="shared" si="13"/>
        <v>3332.6873932265039</v>
      </c>
      <c r="L44" s="68">
        <f t="shared" si="28"/>
        <v>55</v>
      </c>
      <c r="M44" s="68">
        <f>'Option 2a'!M44</f>
        <v>576.74708281704034</v>
      </c>
      <c r="N44" s="68">
        <f t="shared" si="28"/>
        <v>30</v>
      </c>
      <c r="O44" s="68">
        <f t="shared" si="28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2862.3263241605246</v>
      </c>
      <c r="U44" s="89">
        <f t="shared" si="15"/>
        <v>3451.4865771724603</v>
      </c>
      <c r="V44" s="67">
        <f t="shared" si="15"/>
        <v>4040.6468301843961</v>
      </c>
      <c r="W44" s="7">
        <f t="shared" si="16"/>
        <v>0.34013162972095884</v>
      </c>
      <c r="X44" s="66">
        <f t="shared" si="17"/>
        <v>973.56771742992078</v>
      </c>
      <c r="Y44" s="89">
        <f t="shared" si="18"/>
        <v>1173.959754453683</v>
      </c>
      <c r="Z44" s="67">
        <f t="shared" si="19"/>
        <v>1374.351791477445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8"/>
        <v>55</v>
      </c>
      <c r="M45" s="68">
        <f>'Option 2a'!M45</f>
        <v>585.45070449289165</v>
      </c>
      <c r="N45" s="68">
        <f t="shared" si="28"/>
        <v>30</v>
      </c>
      <c r="O45" s="68">
        <f t="shared" si="28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8"/>
        <v>55</v>
      </c>
      <c r="M46" s="68">
        <f>'Option 2a'!M46</f>
        <v>594.15432616874295</v>
      </c>
      <c r="N46" s="68">
        <f t="shared" si="28"/>
        <v>30</v>
      </c>
      <c r="O46" s="68">
        <f t="shared" si="28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8"/>
        <v>55</v>
      </c>
      <c r="M47" s="68">
        <f>'Option 2a'!M47</f>
        <v>602.85794784459426</v>
      </c>
      <c r="N47" s="68">
        <f t="shared" si="28"/>
        <v>30</v>
      </c>
      <c r="O47" s="68">
        <f t="shared" si="28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9">L47</f>
        <v>55</v>
      </c>
      <c r="M48" s="68">
        <f>'Option 2a'!M48</f>
        <v>611.56156952044557</v>
      </c>
      <c r="N48" s="68">
        <f t="shared" si="29"/>
        <v>30</v>
      </c>
      <c r="O48" s="68">
        <f t="shared" si="29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9718.7243593590265</v>
      </c>
      <c r="G49" s="64">
        <f>$AC$9+T5+T4+X4+X5</f>
        <v>12148.405449198783</v>
      </c>
      <c r="H49" s="65">
        <f t="shared" si="6"/>
        <v>14578.086539038539</v>
      </c>
      <c r="I49" s="66">
        <f t="shared" si="13"/>
        <v>9718.7243593590265</v>
      </c>
      <c r="J49" s="89">
        <f t="shared" si="13"/>
        <v>12148.405449198783</v>
      </c>
      <c r="K49" s="67">
        <f t="shared" si="13"/>
        <v>14578.086539038539</v>
      </c>
      <c r="L49" s="68">
        <f t="shared" si="29"/>
        <v>55</v>
      </c>
      <c r="M49" s="68">
        <f>'Option 2a'!M49</f>
        <v>620.26519119629688</v>
      </c>
      <c r="N49" s="68">
        <f t="shared" si="29"/>
        <v>30</v>
      </c>
      <c r="O49" s="68">
        <f t="shared" si="29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10400.601290995508</v>
      </c>
      <c r="U49" s="89">
        <f t="shared" si="15"/>
        <v>12866.170640395079</v>
      </c>
      <c r="V49" s="67">
        <f t="shared" si="15"/>
        <v>15331.739989794651</v>
      </c>
      <c r="W49" s="7">
        <f t="shared" si="16"/>
        <v>0.28582895186383406</v>
      </c>
      <c r="X49" s="66">
        <f t="shared" si="17"/>
        <v>2972.7929657588852</v>
      </c>
      <c r="Y49" s="89">
        <f t="shared" si="18"/>
        <v>3677.5240686453603</v>
      </c>
      <c r="Z49" s="67">
        <f t="shared" si="19"/>
        <v>4382.255171531835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9"/>
        <v>55</v>
      </c>
      <c r="M50" s="68">
        <f>'Option 2a'!M50</f>
        <v>628.96881287214808</v>
      </c>
      <c r="N50" s="68">
        <f t="shared" si="29"/>
        <v>30</v>
      </c>
      <c r="O50" s="68">
        <f t="shared" si="29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9"/>
        <v>55</v>
      </c>
      <c r="M51" s="68">
        <f>'Option 2a'!M51</f>
        <v>637.67243454799939</v>
      </c>
      <c r="N51" s="68">
        <f t="shared" si="29"/>
        <v>30</v>
      </c>
      <c r="O51" s="68">
        <f t="shared" si="29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9"/>
        <v>55</v>
      </c>
      <c r="M52" s="68">
        <f>'Option 2a'!M52</f>
        <v>646.3760562238507</v>
      </c>
      <c r="N52" s="68">
        <f t="shared" si="29"/>
        <v>30</v>
      </c>
      <c r="O52" s="68">
        <f t="shared" si="29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9"/>
        <v>55</v>
      </c>
      <c r="M53" s="68">
        <f>'Option 2a'!M53</f>
        <v>655.07967789970201</v>
      </c>
      <c r="N53" s="68">
        <f t="shared" si="29"/>
        <v>30</v>
      </c>
      <c r="O53" s="68">
        <f t="shared" si="29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2221.7915954843361</v>
      </c>
      <c r="G54" s="64">
        <f>$AC$9+T6+X6+X8</f>
        <v>2777.23949435542</v>
      </c>
      <c r="H54" s="65">
        <f t="shared" si="6"/>
        <v>3332.6873932265039</v>
      </c>
      <c r="I54" s="66">
        <f t="shared" si="13"/>
        <v>2221.7915954843361</v>
      </c>
      <c r="J54" s="89">
        <f t="shared" si="13"/>
        <v>2777.23949435542</v>
      </c>
      <c r="K54" s="67">
        <f t="shared" si="13"/>
        <v>3332.6873932265039</v>
      </c>
      <c r="L54" s="68">
        <f t="shared" si="29"/>
        <v>55</v>
      </c>
      <c r="M54" s="68">
        <f>'Option 2a'!M54</f>
        <v>663.78329957555331</v>
      </c>
      <c r="N54" s="68">
        <f t="shared" si="29"/>
        <v>30</v>
      </c>
      <c r="O54" s="68">
        <f t="shared" si="29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2945.0107300811114</v>
      </c>
      <c r="U54" s="89">
        <f t="shared" si="15"/>
        <v>3538.5227939309734</v>
      </c>
      <c r="V54" s="67">
        <f t="shared" si="15"/>
        <v>4132.0348577808345</v>
      </c>
      <c r="W54" s="7">
        <f t="shared" si="16"/>
        <v>0.24019580240332974</v>
      </c>
      <c r="X54" s="66">
        <f t="shared" si="17"/>
        <v>707.37921539824856</v>
      </c>
      <c r="Y54" s="89">
        <f t="shared" si="18"/>
        <v>849.93832181072241</v>
      </c>
      <c r="Z54" s="67">
        <f t="shared" si="19"/>
        <v>992.49742822319604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9"/>
        <v>55</v>
      </c>
      <c r="M55" s="68">
        <f>'Option 2a'!M55</f>
        <v>672.48692125140451</v>
      </c>
      <c r="N55" s="68">
        <f t="shared" si="29"/>
        <v>30</v>
      </c>
      <c r="O55" s="68">
        <f t="shared" si="29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9"/>
        <v>55</v>
      </c>
      <c r="M56" s="68">
        <f>'Option 2a'!M56</f>
        <v>681.19054292725582</v>
      </c>
      <c r="N56" s="68">
        <f t="shared" si="29"/>
        <v>30</v>
      </c>
      <c r="O56" s="68">
        <f t="shared" si="29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9"/>
        <v>55</v>
      </c>
      <c r="M57" s="68">
        <f>'Option 2a'!M57</f>
        <v>689.89416460310713</v>
      </c>
      <c r="N57" s="68">
        <f t="shared" si="29"/>
        <v>30</v>
      </c>
      <c r="O57" s="68">
        <f t="shared" si="29"/>
        <v>12.5</v>
      </c>
      <c r="P57" s="68">
        <f t="shared" si="24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f>15000+1000</f>
        <v>16000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17475</v>
      </c>
      <c r="K58" s="67">
        <f t="shared" si="13"/>
        <v>21770</v>
      </c>
      <c r="L58" s="68">
        <f t="shared" si="29"/>
        <v>55</v>
      </c>
      <c r="M58" s="68">
        <f>'Option 2b'!M58</f>
        <v>698.59778627895844</v>
      </c>
      <c r="N58" s="68">
        <f>N57*1.5</f>
        <v>45</v>
      </c>
      <c r="O58" s="68">
        <f t="shared" si="29"/>
        <v>12.5</v>
      </c>
      <c r="P58" s="68">
        <f t="shared" si="24"/>
        <v>0</v>
      </c>
      <c r="Q58" s="66">
        <f t="shared" si="14"/>
        <v>770.54289696501053</v>
      </c>
      <c r="R58" s="70">
        <f t="shared" si="7"/>
        <v>811.09778627895844</v>
      </c>
      <c r="S58" s="67">
        <f t="shared" si="8"/>
        <v>851.65267559290635</v>
      </c>
      <c r="T58" s="66">
        <f t="shared" si="21"/>
        <v>13950.542896965011</v>
      </c>
      <c r="U58" s="89">
        <f t="shared" si="15"/>
        <v>18286.097786278959</v>
      </c>
      <c r="V58" s="67">
        <f t="shared" si="15"/>
        <v>22621.652675592908</v>
      </c>
      <c r="W58" s="7">
        <f t="shared" si="16"/>
        <v>0.20899349605515255</v>
      </c>
      <c r="X58" s="66">
        <f t="shared" si="17"/>
        <v>2915.5727319040934</v>
      </c>
      <c r="Y58" s="89">
        <f t="shared" si="18"/>
        <v>3821.6755055608255</v>
      </c>
      <c r="Z58" s="67">
        <f t="shared" si="19"/>
        <v>4727.7782792175576</v>
      </c>
      <c r="AA58" s="14" t="s">
        <v>119</v>
      </c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 t="shared" si="13"/>
        <v>1475</v>
      </c>
      <c r="K59" s="67">
        <f t="shared" si="13"/>
        <v>1770</v>
      </c>
      <c r="L59" s="68">
        <f t="shared" si="29"/>
        <v>55</v>
      </c>
      <c r="M59" s="68">
        <f>'Option 2b'!M59</f>
        <v>727.30140795480975</v>
      </c>
      <c r="N59" s="68">
        <f t="shared" si="29"/>
        <v>45</v>
      </c>
      <c r="O59" s="68">
        <f>O58*1.5</f>
        <v>18.75</v>
      </c>
      <c r="P59" s="68">
        <f t="shared" si="24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1983.7488375570692</v>
      </c>
      <c r="U59" s="89">
        <f t="shared" si="15"/>
        <v>2321.0514079548097</v>
      </c>
      <c r="V59" s="67">
        <f t="shared" si="15"/>
        <v>2658.3539783525503</v>
      </c>
      <c r="W59" s="7">
        <f t="shared" si="16"/>
        <v>0.20184807422749909</v>
      </c>
      <c r="X59" s="66">
        <f t="shared" si="17"/>
        <v>400.41588261193436</v>
      </c>
      <c r="Y59" s="89">
        <f t="shared" si="18"/>
        <v>468.49975687870369</v>
      </c>
      <c r="Z59" s="67">
        <f t="shared" si="19"/>
        <v>536.58363114547308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9"/>
        <v>55</v>
      </c>
      <c r="M60" s="68">
        <f>'Option 2b'!M60</f>
        <v>736.00502963066106</v>
      </c>
      <c r="N60" s="68">
        <f t="shared" si="29"/>
        <v>45</v>
      </c>
      <c r="O60" s="68">
        <f t="shared" si="29"/>
        <v>18.75</v>
      </c>
      <c r="P60" s="68">
        <f t="shared" si="24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9"/>
        <v>55</v>
      </c>
      <c r="M61" s="68">
        <f>'Option 2b'!M61</f>
        <v>744.70865130651225</v>
      </c>
      <c r="N61" s="68">
        <f t="shared" si="29"/>
        <v>45</v>
      </c>
      <c r="O61" s="68">
        <f t="shared" si="29"/>
        <v>18.75</v>
      </c>
      <c r="P61" s="68">
        <f t="shared" si="24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9"/>
        <v>55</v>
      </c>
      <c r="M62" s="68">
        <f>'Option 2b'!M62</f>
        <v>753.41227298236356</v>
      </c>
      <c r="N62" s="68">
        <f t="shared" si="29"/>
        <v>45</v>
      </c>
      <c r="O62" s="68">
        <f t="shared" si="29"/>
        <v>18.75</v>
      </c>
      <c r="P62" s="68">
        <f t="shared" si="24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9"/>
        <v>55</v>
      </c>
      <c r="M63" s="68">
        <f>'Option 2b'!M63</f>
        <v>762.11589465821487</v>
      </c>
      <c r="N63" s="68">
        <f t="shared" si="29"/>
        <v>45</v>
      </c>
      <c r="O63" s="68">
        <f t="shared" si="29"/>
        <v>18.75</v>
      </c>
      <c r="P63" s="68">
        <f t="shared" si="24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2016.8225999253041</v>
      </c>
      <c r="U63" s="89">
        <f t="shared" si="15"/>
        <v>2355.865894658215</v>
      </c>
      <c r="V63" s="67">
        <f t="shared" si="15"/>
        <v>2694.9091893911254</v>
      </c>
      <c r="W63" s="7">
        <f t="shared" si="16"/>
        <v>0.17562727692455368</v>
      </c>
      <c r="X63" s="66">
        <f t="shared" si="17"/>
        <v>354.20906126477973</v>
      </c>
      <c r="Y63" s="89">
        <f t="shared" si="18"/>
        <v>413.75431187824972</v>
      </c>
      <c r="Z63" s="67">
        <f t="shared" si="19"/>
        <v>473.29956249171966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1180</v>
      </c>
      <c r="G64" s="64">
        <f>$AC$9</f>
        <v>1475</v>
      </c>
      <c r="H64" s="65">
        <f t="shared" si="6"/>
        <v>1770</v>
      </c>
      <c r="I64" s="66">
        <f t="shared" si="13"/>
        <v>1180</v>
      </c>
      <c r="J64" s="89">
        <f t="shared" si="13"/>
        <v>1475</v>
      </c>
      <c r="K64" s="67">
        <f t="shared" si="13"/>
        <v>1770</v>
      </c>
      <c r="L64" s="68">
        <f t="shared" ref="L64:O73" si="30">L63</f>
        <v>55</v>
      </c>
      <c r="M64" s="68">
        <f>'Option 2b'!M64</f>
        <v>770.81951633406618</v>
      </c>
      <c r="N64" s="68">
        <f t="shared" si="30"/>
        <v>45</v>
      </c>
      <c r="O64" s="68">
        <f t="shared" si="30"/>
        <v>18.75</v>
      </c>
      <c r="P64" s="68">
        <f t="shared" si="24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2025.0910405173627</v>
      </c>
      <c r="U64" s="89">
        <f t="shared" si="15"/>
        <v>2364.5695163340661</v>
      </c>
      <c r="V64" s="67">
        <f t="shared" si="15"/>
        <v>2704.0479921507695</v>
      </c>
      <c r="W64" s="7">
        <f t="shared" si="16"/>
        <v>0.16962263562348243</v>
      </c>
      <c r="X64" s="66">
        <f t="shared" si="17"/>
        <v>343.50127967005551</v>
      </c>
      <c r="Y64" s="89">
        <f t="shared" si="18"/>
        <v>401.08451347552739</v>
      </c>
      <c r="Z64" s="67">
        <f t="shared" si="19"/>
        <v>458.66774728099921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30"/>
        <v>55</v>
      </c>
      <c r="M65" s="68">
        <f>'Option 2b'!M65</f>
        <v>779.52313800991749</v>
      </c>
      <c r="N65" s="68">
        <f t="shared" si="30"/>
        <v>45</v>
      </c>
      <c r="O65" s="68">
        <f t="shared" si="30"/>
        <v>18.75</v>
      </c>
      <c r="P65" s="68">
        <f t="shared" si="24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30"/>
        <v>55</v>
      </c>
      <c r="M66" s="68">
        <f>'Option 2b'!M66</f>
        <v>788.2267596857688</v>
      </c>
      <c r="N66" s="68">
        <f t="shared" si="30"/>
        <v>45</v>
      </c>
      <c r="O66" s="68">
        <f t="shared" si="30"/>
        <v>18.75</v>
      </c>
      <c r="P66" s="68">
        <f t="shared" si="24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30"/>
        <v>55</v>
      </c>
      <c r="M67" s="68">
        <f>'Option 2b'!M67</f>
        <v>796.93038136161999</v>
      </c>
      <c r="N67" s="68">
        <f t="shared" si="30"/>
        <v>45</v>
      </c>
      <c r="O67" s="68">
        <f t="shared" si="30"/>
        <v>18.75</v>
      </c>
      <c r="P67" s="68">
        <f t="shared" si="24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1180</v>
      </c>
      <c r="G68" s="64">
        <f t="shared" si="22"/>
        <v>1475</v>
      </c>
      <c r="H68" s="65">
        <f t="shared" si="6"/>
        <v>1770</v>
      </c>
      <c r="I68" s="66">
        <f t="shared" si="13"/>
        <v>1180</v>
      </c>
      <c r="J68" s="89">
        <f t="shared" si="13"/>
        <v>1475</v>
      </c>
      <c r="K68" s="67">
        <f t="shared" si="13"/>
        <v>1770</v>
      </c>
      <c r="L68" s="68">
        <f t="shared" si="30"/>
        <v>55</v>
      </c>
      <c r="M68" s="68">
        <f>'Option 2b'!M68</f>
        <v>805.6340030374713</v>
      </c>
      <c r="N68" s="68">
        <f t="shared" si="30"/>
        <v>45</v>
      </c>
      <c r="O68" s="68">
        <f t="shared" si="30"/>
        <v>18.75</v>
      </c>
      <c r="P68" s="68">
        <f t="shared" si="24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2058.164802885598</v>
      </c>
      <c r="U68" s="89">
        <f t="shared" si="15"/>
        <v>2399.3840030374713</v>
      </c>
      <c r="V68" s="67">
        <f t="shared" si="15"/>
        <v>2740.6032031893446</v>
      </c>
      <c r="W68" s="7">
        <f t="shared" si="16"/>
        <v>0.14758803973399254</v>
      </c>
      <c r="X68" s="66">
        <f t="shared" si="17"/>
        <v>303.76050870738453</v>
      </c>
      <c r="Y68" s="89">
        <f t="shared" si="18"/>
        <v>354.12038157740039</v>
      </c>
      <c r="Z68" s="67">
        <f t="shared" si="19"/>
        <v>404.4802544474162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30"/>
        <v>55</v>
      </c>
      <c r="M69" s="68">
        <f>'Option 2b'!M69</f>
        <v>814.33762471332261</v>
      </c>
      <c r="N69" s="68">
        <f t="shared" si="30"/>
        <v>45</v>
      </c>
      <c r="O69" s="68">
        <f t="shared" si="30"/>
        <v>18.75</v>
      </c>
      <c r="P69" s="68">
        <f t="shared" si="24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30"/>
        <v>55</v>
      </c>
      <c r="M70" s="68">
        <f>'Option 2b'!M70</f>
        <v>823.04124638917392</v>
      </c>
      <c r="N70" s="68">
        <f t="shared" si="30"/>
        <v>45</v>
      </c>
      <c r="O70" s="68">
        <f t="shared" si="30"/>
        <v>18.75</v>
      </c>
      <c r="P70" s="68">
        <f t="shared" si="24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30"/>
        <v>55</v>
      </c>
      <c r="M71" s="68">
        <f>'Option 2b'!M71</f>
        <v>831.74486806502523</v>
      </c>
      <c r="N71" s="68">
        <f t="shared" si="30"/>
        <v>45</v>
      </c>
      <c r="O71" s="68">
        <f t="shared" si="30"/>
        <v>18.75</v>
      </c>
      <c r="P71" s="68">
        <f t="shared" si="24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30"/>
        <v>55</v>
      </c>
      <c r="M72" s="68">
        <f>'Option 2b'!M72</f>
        <v>840.44848974087643</v>
      </c>
      <c r="N72" s="68">
        <f t="shared" si="30"/>
        <v>45</v>
      </c>
      <c r="O72" s="68">
        <f t="shared" si="30"/>
        <v>18.75</v>
      </c>
      <c r="P72" s="68">
        <f t="shared" si="24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9718.7243593590265</v>
      </c>
      <c r="G73" s="64">
        <f>$AC$9+T5+T4+X4+X5</f>
        <v>12148.405449198783</v>
      </c>
      <c r="H73" s="65">
        <f t="shared" si="6"/>
        <v>14578.086539038539</v>
      </c>
      <c r="I73" s="73">
        <f t="shared" si="13"/>
        <v>9718.7243593590265</v>
      </c>
      <c r="J73" s="91">
        <f t="shared" si="13"/>
        <v>12148.405449198783</v>
      </c>
      <c r="K73" s="74">
        <f t="shared" si="13"/>
        <v>14578.086539038539</v>
      </c>
      <c r="L73" s="68">
        <f t="shared" si="30"/>
        <v>55</v>
      </c>
      <c r="M73" s="68">
        <f>'Option 2b'!M73</f>
        <v>849.15211141672773</v>
      </c>
      <c r="N73" s="68">
        <f t="shared" si="30"/>
        <v>45</v>
      </c>
      <c r="O73" s="68">
        <f t="shared" si="30"/>
        <v>18.75</v>
      </c>
      <c r="P73" s="68">
        <f t="shared" si="24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10638.231365204918</v>
      </c>
      <c r="U73" s="89">
        <f t="shared" si="15"/>
        <v>13116.307560615511</v>
      </c>
      <c r="V73" s="67">
        <f t="shared" si="15"/>
        <v>15594.383756026104</v>
      </c>
      <c r="W73" s="7">
        <f t="shared" si="16"/>
        <v>0.12402532143045074</v>
      </c>
      <c r="X73" s="73">
        <f t="shared" si="17"/>
        <v>1319.4100645210426</v>
      </c>
      <c r="Y73" s="91">
        <f t="shared" si="18"/>
        <v>1626.7542611859899</v>
      </c>
      <c r="Z73" s="74">
        <f t="shared" si="19"/>
        <v>1934.0984578509372</v>
      </c>
      <c r="AA73" s="15"/>
    </row>
    <row r="74" spans="1:27" ht="13.5" thickBot="1">
      <c r="A74" s="185" t="s">
        <v>58</v>
      </c>
      <c r="B74" s="186"/>
      <c r="C74" s="92">
        <f t="shared" ref="C74:S74" si="31">SUM(C13:C73)</f>
        <v>44851.934830662605</v>
      </c>
      <c r="D74" s="75">
        <f t="shared" si="31"/>
        <v>52502.149811847339</v>
      </c>
      <c r="E74" s="93">
        <f t="shared" si="31"/>
        <v>60152.364793032073</v>
      </c>
      <c r="F74" s="92">
        <f t="shared" si="31"/>
        <v>91070.823505171051</v>
      </c>
      <c r="G74" s="75">
        <f t="shared" si="31"/>
        <v>113838.52938146383</v>
      </c>
      <c r="H74" s="76">
        <f t="shared" si="31"/>
        <v>136606.23525775658</v>
      </c>
      <c r="I74" s="77">
        <f t="shared" si="31"/>
        <v>135922.75833583367</v>
      </c>
      <c r="J74" s="78">
        <f t="shared" si="31"/>
        <v>166340.6791933112</v>
      </c>
      <c r="K74" s="79">
        <f t="shared" si="31"/>
        <v>196758.60005078866</v>
      </c>
      <c r="L74" s="80">
        <f t="shared" si="31"/>
        <v>3325</v>
      </c>
      <c r="M74" s="80">
        <f t="shared" si="31"/>
        <v>30917.566669346259</v>
      </c>
      <c r="N74" s="80">
        <f t="shared" si="31"/>
        <v>2090</v>
      </c>
      <c r="O74" s="80">
        <f t="shared" si="31"/>
        <v>881.25</v>
      </c>
      <c r="P74" s="80">
        <f t="shared" si="31"/>
        <v>0</v>
      </c>
      <c r="Q74" s="77">
        <f t="shared" si="31"/>
        <v>35353.125835878942</v>
      </c>
      <c r="R74" s="78">
        <f t="shared" si="31"/>
        <v>37213.816669346263</v>
      </c>
      <c r="S74" s="79">
        <f t="shared" si="31"/>
        <v>39074.507502813569</v>
      </c>
      <c r="T74" s="77">
        <f>SUM(T13:T73)</f>
        <v>171275.8841717125</v>
      </c>
      <c r="U74" s="78">
        <f>SUM(U13:U73)</f>
        <v>203554.49586265741</v>
      </c>
      <c r="V74" s="79">
        <f>SUM(V13:V73)</f>
        <v>235833.10755360225</v>
      </c>
      <c r="W74" s="81"/>
      <c r="X74" s="77">
        <f>SUM(X13:X73)</f>
        <v>70364.06263373878</v>
      </c>
      <c r="Y74" s="78">
        <f t="shared" ref="Y74:Z74" si="32">SUM(Y13:Y73)</f>
        <v>82794.474501607561</v>
      </c>
      <c r="Z74" s="79">
        <f t="shared" si="32"/>
        <v>95224.886369476357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A1:AC1"/>
    <mergeCell ref="A1:B1"/>
    <mergeCell ref="C1:K1"/>
    <mergeCell ref="O1:Q1"/>
    <mergeCell ref="S1:U1"/>
    <mergeCell ref="W1:Y1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C14:AD14"/>
    <mergeCell ref="AG14:AH14"/>
    <mergeCell ref="AK14:AL14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5" zoomScaleNormal="80" workbookViewId="0">
      <pane xSplit="2" ySplit="12" topLeftCell="C57" activePane="bottomRight" state="frozen"/>
      <selection pane="topRight" activeCell="O65" sqref="O65"/>
      <selection pane="bottomLeft" activeCell="O65" sqref="O65"/>
      <selection pane="bottomRight" activeCell="C3" sqref="C3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215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10846.254868293137</v>
      </c>
      <c r="U3" s="97">
        <v>0</v>
      </c>
      <c r="W3" s="105">
        <v>0.61</v>
      </c>
      <c r="X3" s="97">
        <f t="shared" ref="X3:X8" si="0">W3*$X$9</f>
        <v>12770.35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65613.562086471269</v>
      </c>
      <c r="E4" s="57">
        <f>Y74</f>
        <v>77360.974376704587</v>
      </c>
      <c r="F4" s="58">
        <f>Z74</f>
        <v>89108.386666937935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0.24</v>
      </c>
      <c r="X4" s="97">
        <f t="shared" si="0"/>
        <v>5024.3999999999996</v>
      </c>
      <c r="Y4" s="97">
        <f>(X4/N4)</f>
        <v>200.976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2014.3044755401543</v>
      </c>
      <c r="U5" s="97">
        <f t="shared" ref="U5:U8" si="1">(T5/N5)</f>
        <v>80.572179021606175</v>
      </c>
      <c r="W5" s="105">
        <v>7.0000000000000007E-2</v>
      </c>
      <c r="X5" s="97">
        <f t="shared" si="0"/>
        <v>1465.45</v>
      </c>
      <c r="Y5" s="97">
        <f>(X5/N5)</f>
        <v>58.618000000000002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4799.25</v>
      </c>
      <c r="J6" s="84">
        <f t="shared" ref="J6:K6" si="3">SUM(J13:J17)</f>
        <v>5997.5</v>
      </c>
      <c r="K6" s="31">
        <f t="shared" si="3"/>
        <v>7195.75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464.83949435542013</v>
      </c>
      <c r="U6" s="97">
        <f t="shared" si="1"/>
        <v>46.483949435542016</v>
      </c>
      <c r="W6" s="105">
        <v>0.04</v>
      </c>
      <c r="X6" s="97">
        <f t="shared" si="0"/>
        <v>837.4</v>
      </c>
      <c r="Y6" s="97">
        <f>(X6/N6)</f>
        <v>83.74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44851.934830662605</v>
      </c>
      <c r="D7" s="60">
        <f t="shared" ref="D7:E7" si="4">SUM(D13:D73)</f>
        <v>52502.149811847339</v>
      </c>
      <c r="E7" s="61">
        <f t="shared" si="4"/>
        <v>60152.364793032073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837.4</v>
      </c>
      <c r="Y7" s="97">
        <f>(X7/N7)</f>
        <v>8.3739999999999995E-2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84615.682336780694</v>
      </c>
      <c r="G8" s="59">
        <f t="shared" ref="G8:H8" si="5">SUM(G13:G73)</f>
        <v>105769.60292097589</v>
      </c>
      <c r="H8" s="59">
        <f t="shared" si="5"/>
        <v>126923.52350517105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f>22735-1800</f>
        <v>20935</v>
      </c>
      <c r="Y9" s="98">
        <f>SUM(Y3:Y8)</f>
        <v>343.41773999999998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0</v>
      </c>
      <c r="D13" s="27"/>
      <c r="E13" s="65">
        <f>D13*(1+$E$11)</f>
        <v>0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624</v>
      </c>
      <c r="J13" s="89">
        <f>G13+D13</f>
        <v>780</v>
      </c>
      <c r="K13" s="67">
        <f>H13+E13</f>
        <v>936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761.75</v>
      </c>
      <c r="U13" s="89">
        <f>R13+J13</f>
        <v>925</v>
      </c>
      <c r="V13" s="67">
        <f>S13+K13</f>
        <v>1088.25</v>
      </c>
      <c r="W13" s="5">
        <v>1</v>
      </c>
      <c r="X13" s="69">
        <f>W13*T13</f>
        <v>761.75</v>
      </c>
      <c r="Y13" s="89">
        <f>W13*U13</f>
        <v>925</v>
      </c>
      <c r="Z13" s="67">
        <f>W13*V13</f>
        <v>1088.25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0</v>
      </c>
      <c r="D14" s="27">
        <f>D13</f>
        <v>0</v>
      </c>
      <c r="E14" s="65">
        <f t="shared" ref="E14:E73" si="11">D14*(1+$E$11)</f>
        <v>0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624</v>
      </c>
      <c r="J14" s="89">
        <f t="shared" si="13"/>
        <v>780</v>
      </c>
      <c r="K14" s="67">
        <f t="shared" si="13"/>
        <v>936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761.75</v>
      </c>
      <c r="U14" s="89">
        <f t="shared" ref="U14:V73" si="15">R14+J14</f>
        <v>925</v>
      </c>
      <c r="V14" s="67">
        <f t="shared" si="15"/>
        <v>1088.25</v>
      </c>
      <c r="W14" s="6">
        <f t="shared" ref="W14:W73" si="16">(1/(1+$C$3))^B14</f>
        <v>0.96581031485416258</v>
      </c>
      <c r="X14" s="66">
        <f t="shared" ref="X14:X73" si="17">W14*T14</f>
        <v>735.70600734015829</v>
      </c>
      <c r="Y14" s="89">
        <f t="shared" ref="Y14:Y73" si="18">W14*U14</f>
        <v>893.37454124010037</v>
      </c>
      <c r="Z14" s="67">
        <f t="shared" ref="Z14:Z73" si="19">W14*V14</f>
        <v>1051.0430751400424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'Base Costs'!M15</f>
        <v>40</v>
      </c>
      <c r="N15" s="68">
        <v>30</v>
      </c>
      <c r="O15" s="68">
        <f>O14*0.5</f>
        <v>12.5</v>
      </c>
      <c r="P15" s="68">
        <v>0</v>
      </c>
      <c r="Q15" s="66">
        <f t="shared" si="14"/>
        <v>130.625</v>
      </c>
      <c r="R15" s="70">
        <f t="shared" si="7"/>
        <v>137.5</v>
      </c>
      <c r="S15" s="67">
        <f t="shared" si="8"/>
        <v>144.375</v>
      </c>
      <c r="T15" s="66">
        <f t="shared" ref="T15:T73" si="21">Q15+I15</f>
        <v>1310.625</v>
      </c>
      <c r="U15" s="89">
        <f t="shared" si="15"/>
        <v>1612.5</v>
      </c>
      <c r="V15" s="67">
        <f t="shared" si="15"/>
        <v>1914.375</v>
      </c>
      <c r="W15" s="6">
        <f t="shared" si="16"/>
        <v>0.93278956427869664</v>
      </c>
      <c r="X15" s="66">
        <f t="shared" si="17"/>
        <v>1222.5373226827667</v>
      </c>
      <c r="Y15" s="89">
        <f t="shared" si="18"/>
        <v>1504.1231723993983</v>
      </c>
      <c r="Z15" s="67">
        <f t="shared" si="19"/>
        <v>1785.7090221160299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'Base Costs'!M16</f>
        <v>40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130.625</v>
      </c>
      <c r="R16" s="70">
        <f t="shared" si="7"/>
        <v>137.5</v>
      </c>
      <c r="S16" s="67">
        <f t="shared" si="8"/>
        <v>144.375</v>
      </c>
      <c r="T16" s="66">
        <f t="shared" si="21"/>
        <v>1310.625</v>
      </c>
      <c r="U16" s="89">
        <f t="shared" si="15"/>
        <v>1612.5</v>
      </c>
      <c r="V16" s="67">
        <f t="shared" si="15"/>
        <v>1914.375</v>
      </c>
      <c r="W16" s="6">
        <f t="shared" si="16"/>
        <v>0.90089778276868515</v>
      </c>
      <c r="X16" s="66">
        <f t="shared" si="17"/>
        <v>1180.7391565412079</v>
      </c>
      <c r="Y16" s="89">
        <f t="shared" si="18"/>
        <v>1452.6976747145047</v>
      </c>
      <c r="Z16" s="67">
        <f t="shared" si="19"/>
        <v>1724.6561928878016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11.25</v>
      </c>
      <c r="D17" s="167">
        <f>250*0.05</f>
        <v>12.5</v>
      </c>
      <c r="E17" s="65">
        <f t="shared" si="11"/>
        <v>13.750000000000002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1191.25</v>
      </c>
      <c r="J17" s="89">
        <f t="shared" si="13"/>
        <v>1487.5</v>
      </c>
      <c r="K17" s="67">
        <f t="shared" si="13"/>
        <v>1783.75</v>
      </c>
      <c r="L17" s="68">
        <f t="shared" si="23"/>
        <v>55</v>
      </c>
      <c r="M17" s="68">
        <f>'Base Costs'!M17</f>
        <v>40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130.625</v>
      </c>
      <c r="R17" s="70">
        <f t="shared" si="7"/>
        <v>137.5</v>
      </c>
      <c r="S17" s="67">
        <f t="shared" si="8"/>
        <v>144.375</v>
      </c>
      <c r="T17" s="66">
        <f t="shared" si="21"/>
        <v>1321.875</v>
      </c>
      <c r="U17" s="89">
        <f t="shared" si="15"/>
        <v>1625</v>
      </c>
      <c r="V17" s="67">
        <f t="shared" si="15"/>
        <v>1928.125</v>
      </c>
      <c r="W17" s="6">
        <f t="shared" si="16"/>
        <v>0.87009637122724071</v>
      </c>
      <c r="X17" s="66">
        <f t="shared" si="17"/>
        <v>1150.1586407160089</v>
      </c>
      <c r="Y17" s="89">
        <f t="shared" si="18"/>
        <v>1413.9066032442661</v>
      </c>
      <c r="Z17" s="67">
        <f t="shared" si="19"/>
        <v>1677.6545657725235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'Base Costs'!M18</f>
        <v>40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130.625</v>
      </c>
      <c r="R18" s="70">
        <f t="shared" si="7"/>
        <v>137.5</v>
      </c>
      <c r="S18" s="67">
        <f t="shared" si="8"/>
        <v>144.375</v>
      </c>
      <c r="T18" s="66">
        <f t="shared" si="21"/>
        <v>1310.625</v>
      </c>
      <c r="U18" s="89">
        <f t="shared" si="15"/>
        <v>1612.5</v>
      </c>
      <c r="V18" s="67">
        <f t="shared" si="15"/>
        <v>1914.375</v>
      </c>
      <c r="W18" s="6">
        <f t="shared" si="16"/>
        <v>0.84034805024844572</v>
      </c>
      <c r="X18" s="66">
        <f t="shared" si="17"/>
        <v>1101.3811633568691</v>
      </c>
      <c r="Y18" s="89">
        <f t="shared" si="18"/>
        <v>1355.0612310256188</v>
      </c>
      <c r="Z18" s="67">
        <f t="shared" si="19"/>
        <v>1608.7412986943682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'Base Costs'!M19</f>
        <v>40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130.625</v>
      </c>
      <c r="R19" s="70">
        <f t="shared" si="7"/>
        <v>137.5</v>
      </c>
      <c r="S19" s="67">
        <f t="shared" si="8"/>
        <v>144.375</v>
      </c>
      <c r="T19" s="66">
        <f t="shared" si="21"/>
        <v>1310.625</v>
      </c>
      <c r="U19" s="89">
        <f t="shared" si="15"/>
        <v>1612.5</v>
      </c>
      <c r="V19" s="67">
        <f t="shared" si="15"/>
        <v>1914.375</v>
      </c>
      <c r="W19" s="6">
        <f t="shared" si="16"/>
        <v>0.81161681499753291</v>
      </c>
      <c r="X19" s="66">
        <f t="shared" si="17"/>
        <v>1063.7252881561415</v>
      </c>
      <c r="Y19" s="89">
        <f t="shared" si="18"/>
        <v>1308.7321141835218</v>
      </c>
      <c r="Z19" s="67">
        <f t="shared" si="19"/>
        <v>1553.738940210902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18</v>
      </c>
      <c r="D20" s="167">
        <f>0.05*400</f>
        <v>20</v>
      </c>
      <c r="E20" s="65">
        <f t="shared" si="11"/>
        <v>22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1198</v>
      </c>
      <c r="J20" s="89">
        <f t="shared" si="13"/>
        <v>1495</v>
      </c>
      <c r="K20" s="67">
        <f t="shared" si="13"/>
        <v>1792</v>
      </c>
      <c r="L20" s="68">
        <f t="shared" si="23"/>
        <v>55</v>
      </c>
      <c r="M20" s="68">
        <f>'Base Costs'!M20</f>
        <v>40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130.625</v>
      </c>
      <c r="R20" s="70">
        <f t="shared" si="7"/>
        <v>137.5</v>
      </c>
      <c r="S20" s="67">
        <f t="shared" si="8"/>
        <v>144.375</v>
      </c>
      <c r="T20" s="66">
        <f t="shared" si="21"/>
        <v>1328.625</v>
      </c>
      <c r="U20" s="89">
        <f t="shared" si="15"/>
        <v>1632.5</v>
      </c>
      <c r="V20" s="67">
        <f t="shared" si="15"/>
        <v>1936.375</v>
      </c>
      <c r="W20" s="6">
        <f t="shared" si="16"/>
        <v>0.78386789163369996</v>
      </c>
      <c r="X20" s="66">
        <f t="shared" si="17"/>
        <v>1041.4664775218246</v>
      </c>
      <c r="Y20" s="89">
        <f t="shared" si="18"/>
        <v>1279.6643330920151</v>
      </c>
      <c r="Z20" s="67">
        <f t="shared" si="19"/>
        <v>1517.8621886622059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18</v>
      </c>
      <c r="D21" s="167">
        <f t="shared" ref="D21:D22" si="27">0.05*400</f>
        <v>20</v>
      </c>
      <c r="E21" s="65">
        <f t="shared" si="11"/>
        <v>22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1198</v>
      </c>
      <c r="J21" s="89">
        <f t="shared" si="13"/>
        <v>1495</v>
      </c>
      <c r="K21" s="67">
        <f t="shared" si="13"/>
        <v>1792</v>
      </c>
      <c r="L21" s="68">
        <f t="shared" si="23"/>
        <v>55</v>
      </c>
      <c r="M21" s="68">
        <f>'Base Costs'!M21</f>
        <v>40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130.625</v>
      </c>
      <c r="R21" s="70">
        <f t="shared" si="7"/>
        <v>137.5</v>
      </c>
      <c r="S21" s="67">
        <f t="shared" si="8"/>
        <v>144.375</v>
      </c>
      <c r="T21" s="66">
        <f t="shared" si="21"/>
        <v>1328.625</v>
      </c>
      <c r="U21" s="89">
        <f t="shared" si="15"/>
        <v>1632.5</v>
      </c>
      <c r="V21" s="67">
        <f t="shared" si="15"/>
        <v>1936.375</v>
      </c>
      <c r="W21" s="6">
        <f t="shared" si="16"/>
        <v>0.75706769522281225</v>
      </c>
      <c r="X21" s="66">
        <f t="shared" si="17"/>
        <v>1005.859066565409</v>
      </c>
      <c r="Y21" s="89">
        <f t="shared" si="18"/>
        <v>1235.913012451241</v>
      </c>
      <c r="Z21" s="67">
        <f t="shared" si="19"/>
        <v>1465.966958337073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18</v>
      </c>
      <c r="D22" s="167">
        <f t="shared" si="27"/>
        <v>20</v>
      </c>
      <c r="E22" s="65">
        <f t="shared" si="11"/>
        <v>22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1198</v>
      </c>
      <c r="J22" s="89">
        <f t="shared" si="13"/>
        <v>1495</v>
      </c>
      <c r="K22" s="67">
        <f t="shared" si="13"/>
        <v>1792</v>
      </c>
      <c r="L22" s="68">
        <f t="shared" si="23"/>
        <v>55</v>
      </c>
      <c r="M22" s="68">
        <f>'Base Costs'!M22</f>
        <v>40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130.625</v>
      </c>
      <c r="R22" s="70">
        <f t="shared" si="7"/>
        <v>137.5</v>
      </c>
      <c r="S22" s="67">
        <f t="shared" si="8"/>
        <v>144.375</v>
      </c>
      <c r="T22" s="66">
        <f t="shared" si="21"/>
        <v>1328.625</v>
      </c>
      <c r="U22" s="89">
        <f t="shared" si="15"/>
        <v>1632.5</v>
      </c>
      <c r="V22" s="67">
        <f t="shared" si="15"/>
        <v>1936.375</v>
      </c>
      <c r="W22" s="6">
        <f t="shared" si="16"/>
        <v>0.73118378908905945</v>
      </c>
      <c r="X22" s="66">
        <f t="shared" si="17"/>
        <v>971.46906177845165</v>
      </c>
      <c r="Y22" s="89">
        <f t="shared" si="18"/>
        <v>1193.6575356878895</v>
      </c>
      <c r="Z22" s="67">
        <f t="shared" si="19"/>
        <v>1415.8460095973276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27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'Base Costs'!M23</f>
        <v>40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130.625</v>
      </c>
      <c r="R23" s="70">
        <f t="shared" si="7"/>
        <v>137.5</v>
      </c>
      <c r="S23" s="67">
        <f t="shared" si="8"/>
        <v>144.375</v>
      </c>
      <c r="T23" s="66">
        <f t="shared" si="21"/>
        <v>1310.625</v>
      </c>
      <c r="U23" s="89">
        <f t="shared" si="15"/>
        <v>1612.5</v>
      </c>
      <c r="V23" s="67">
        <f t="shared" si="15"/>
        <v>1914.375</v>
      </c>
      <c r="W23" s="6">
        <f t="shared" si="16"/>
        <v>0.70618484555636418</v>
      </c>
      <c r="X23" s="66">
        <f t="shared" si="17"/>
        <v>925.54351320730984</v>
      </c>
      <c r="Y23" s="89">
        <f t="shared" si="18"/>
        <v>1138.7230634596372</v>
      </c>
      <c r="Z23" s="67">
        <f t="shared" si="19"/>
        <v>1351.9026137119647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27">
        <f>D23</f>
        <v>0</v>
      </c>
      <c r="E24" s="65">
        <f t="shared" si="11"/>
        <v>0</v>
      </c>
      <c r="F24" s="63">
        <f t="shared" si="12"/>
        <v>1180</v>
      </c>
      <c r="G24" s="64">
        <f>$AC$9</f>
        <v>1475</v>
      </c>
      <c r="H24" s="65">
        <f t="shared" si="6"/>
        <v>1770</v>
      </c>
      <c r="I24" s="66">
        <f t="shared" si="13"/>
        <v>1180</v>
      </c>
      <c r="J24" s="89">
        <f t="shared" si="13"/>
        <v>1475</v>
      </c>
      <c r="K24" s="67">
        <f t="shared" si="13"/>
        <v>1770</v>
      </c>
      <c r="L24" s="68">
        <f t="shared" si="23"/>
        <v>55</v>
      </c>
      <c r="M24" s="68">
        <f>'Base Costs'!M24</f>
        <v>40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130.625</v>
      </c>
      <c r="R24" s="70">
        <f t="shared" si="7"/>
        <v>137.5</v>
      </c>
      <c r="S24" s="67">
        <f t="shared" si="8"/>
        <v>144.375</v>
      </c>
      <c r="T24" s="66">
        <f t="shared" si="21"/>
        <v>1310.625</v>
      </c>
      <c r="U24" s="89">
        <f t="shared" si="15"/>
        <v>1612.5</v>
      </c>
      <c r="V24" s="67">
        <f t="shared" si="15"/>
        <v>1914.375</v>
      </c>
      <c r="W24" s="6">
        <f t="shared" si="16"/>
        <v>0.68204060803203026</v>
      </c>
      <c r="X24" s="66">
        <f t="shared" si="17"/>
        <v>893.89947190197961</v>
      </c>
      <c r="Y24" s="89">
        <f t="shared" si="18"/>
        <v>1099.7904804516488</v>
      </c>
      <c r="Z24" s="67">
        <f t="shared" si="19"/>
        <v>1305.6814890013179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'Option 2a'!M25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'Option 2a'!M26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'Option 2a'!M27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16393.342415331303</v>
      </c>
      <c r="D28" s="64">
        <f>(T9+X9)/2</f>
        <v>18214.82490592367</v>
      </c>
      <c r="E28" s="65">
        <f t="shared" si="11"/>
        <v>20036.307396516037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17573.342415331303</v>
      </c>
      <c r="J28" s="89">
        <f t="shared" si="13"/>
        <v>19689.82490592367</v>
      </c>
      <c r="K28" s="67">
        <f t="shared" si="13"/>
        <v>21806.307396516037</v>
      </c>
      <c r="L28" s="68">
        <f t="shared" si="23"/>
        <v>55</v>
      </c>
      <c r="M28" s="68">
        <f>'Option 2a'!M28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18048.832020661284</v>
      </c>
      <c r="U28" s="89">
        <f t="shared" si="15"/>
        <v>20190.340279955231</v>
      </c>
      <c r="V28" s="67">
        <f t="shared" si="15"/>
        <v>22331.848539249175</v>
      </c>
      <c r="W28" s="6">
        <f t="shared" si="16"/>
        <v>0.5934410580782904</v>
      </c>
      <c r="X28" s="66">
        <f t="shared" si="17"/>
        <v>10710.917971418561</v>
      </c>
      <c r="Y28" s="89">
        <f t="shared" si="18"/>
        <v>11981.776898697359</v>
      </c>
      <c r="Z28" s="67">
        <f t="shared" si="19"/>
        <v>13252.635825976155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16393.342415331303</v>
      </c>
      <c r="D29" s="64">
        <f>(T9+X9)/2</f>
        <v>18214.82490592367</v>
      </c>
      <c r="E29" s="65">
        <f t="shared" si="11"/>
        <v>20036.307396516037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17573.342415331303</v>
      </c>
      <c r="J29" s="89">
        <f t="shared" si="13"/>
        <v>19689.82490592367</v>
      </c>
      <c r="K29" s="67">
        <f t="shared" si="13"/>
        <v>21806.307396516037</v>
      </c>
      <c r="L29" s="68">
        <f t="shared" si="23"/>
        <v>55</v>
      </c>
      <c r="M29" s="68">
        <f>'Option 2a'!M29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18056.214772818414</v>
      </c>
      <c r="U29" s="89">
        <f t="shared" si="15"/>
        <v>20198.111598015366</v>
      </c>
      <c r="V29" s="67">
        <f t="shared" si="15"/>
        <v>22340.008423212319</v>
      </c>
      <c r="W29" s="6">
        <f t="shared" si="16"/>
        <v>0.57315149514998098</v>
      </c>
      <c r="X29" s="66">
        <f t="shared" si="17"/>
        <v>10348.946493790048</v>
      </c>
      <c r="Y29" s="89">
        <f t="shared" si="18"/>
        <v>11576.577861608679</v>
      </c>
      <c r="Z29" s="67">
        <f t="shared" si="19"/>
        <v>12804.20922942731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'Option 2a'!M30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'Option 2a'!M31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8">L31</f>
        <v>55</v>
      </c>
      <c r="M32" s="68">
        <f>'Option 2a'!M32</f>
        <v>454.49530981036185</v>
      </c>
      <c r="N32" s="68">
        <f t="shared" si="28"/>
        <v>30</v>
      </c>
      <c r="O32" s="68">
        <f t="shared" si="28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8"/>
        <v>55</v>
      </c>
      <c r="M33" s="68">
        <f>'Option 2a'!M33</f>
        <v>468.91011753151565</v>
      </c>
      <c r="N33" s="68">
        <f t="shared" si="28"/>
        <v>30</v>
      </c>
      <c r="O33" s="68">
        <f t="shared" si="28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1180</v>
      </c>
      <c r="G34" s="64">
        <f t="shared" si="22"/>
        <v>1475</v>
      </c>
      <c r="H34" s="65">
        <f t="shared" si="6"/>
        <v>1770</v>
      </c>
      <c r="I34" s="66">
        <f t="shared" si="13"/>
        <v>1180</v>
      </c>
      <c r="J34" s="89">
        <f t="shared" si="13"/>
        <v>1475</v>
      </c>
      <c r="K34" s="67">
        <f t="shared" si="13"/>
        <v>1770</v>
      </c>
      <c r="L34" s="68">
        <f t="shared" si="28"/>
        <v>55</v>
      </c>
      <c r="M34" s="68">
        <f>'Option 2a'!M34</f>
        <v>483.56425355965922</v>
      </c>
      <c r="N34" s="68">
        <f t="shared" si="28"/>
        <v>30</v>
      </c>
      <c r="O34" s="68">
        <f t="shared" si="28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1732.0110408816763</v>
      </c>
      <c r="U34" s="89">
        <f t="shared" si="15"/>
        <v>2056.0642535596589</v>
      </c>
      <c r="V34" s="67">
        <f t="shared" si="15"/>
        <v>2380.117466237642</v>
      </c>
      <c r="W34" s="6">
        <f t="shared" si="16"/>
        <v>0.48164674144626801</v>
      </c>
      <c r="X34" s="66">
        <f t="shared" si="17"/>
        <v>834.21747398961827</v>
      </c>
      <c r="Y34" s="89">
        <f t="shared" si="18"/>
        <v>990.29664793116308</v>
      </c>
      <c r="Z34" s="67">
        <f t="shared" si="19"/>
        <v>1146.375821872708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8"/>
        <v>55</v>
      </c>
      <c r="M35" s="68">
        <f>'Option 2a'!M35</f>
        <v>498.41448773437878</v>
      </c>
      <c r="N35" s="68">
        <f t="shared" si="28"/>
        <v>30</v>
      </c>
      <c r="O35" s="68">
        <f t="shared" si="28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8"/>
        <v>55</v>
      </c>
      <c r="M36" s="68">
        <f>'Option 2a'!M36</f>
        <v>507.11810941023009</v>
      </c>
      <c r="N36" s="68">
        <f t="shared" si="28"/>
        <v>30</v>
      </c>
      <c r="O36" s="68">
        <f t="shared" si="28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8"/>
        <v>55</v>
      </c>
      <c r="M37" s="68">
        <f>'Option 2a'!M37</f>
        <v>515.8217310860814</v>
      </c>
      <c r="N37" s="68">
        <f t="shared" si="28"/>
        <v>30</v>
      </c>
      <c r="O37" s="68">
        <f t="shared" si="28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 t="shared" si="22"/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8"/>
        <v>55</v>
      </c>
      <c r="M38" s="68">
        <f>'Option 2a'!M38</f>
        <v>524.52535276193271</v>
      </c>
      <c r="N38" s="68">
        <f t="shared" si="28"/>
        <v>30</v>
      </c>
      <c r="O38" s="68">
        <f t="shared" si="28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2221.7915954843361</v>
      </c>
      <c r="G39" s="64">
        <f>$AC$9+T6+X6+X8</f>
        <v>2777.23949435542</v>
      </c>
      <c r="H39" s="65">
        <f t="shared" si="6"/>
        <v>3332.6873932265039</v>
      </c>
      <c r="I39" s="66">
        <f t="shared" si="13"/>
        <v>2221.7915954843361</v>
      </c>
      <c r="J39" s="89">
        <f t="shared" si="13"/>
        <v>2777.23949435542</v>
      </c>
      <c r="K39" s="67">
        <f t="shared" si="13"/>
        <v>3332.6873932265039</v>
      </c>
      <c r="L39" s="68">
        <f t="shared" si="28"/>
        <v>55</v>
      </c>
      <c r="M39" s="68">
        <f>'Option 2a'!M39</f>
        <v>533.22897443778402</v>
      </c>
      <c r="N39" s="68">
        <f t="shared" si="28"/>
        <v>30</v>
      </c>
      <c r="O39" s="68">
        <f t="shared" si="28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2820.9841212002311</v>
      </c>
      <c r="U39" s="89">
        <f t="shared" si="15"/>
        <v>3407.968468793204</v>
      </c>
      <c r="V39" s="67">
        <f t="shared" si="15"/>
        <v>3994.9528163861769</v>
      </c>
      <c r="W39" s="7">
        <f t="shared" si="16"/>
        <v>0.40475090008288855</v>
      </c>
      <c r="X39" s="66">
        <f t="shared" si="17"/>
        <v>1141.7958621753298</v>
      </c>
      <c r="Y39" s="89">
        <f t="shared" si="18"/>
        <v>1379.3783051981527</v>
      </c>
      <c r="Z39" s="67">
        <f t="shared" si="19"/>
        <v>1616.9607482209758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8"/>
        <v>55</v>
      </c>
      <c r="M40" s="68">
        <f>'Option 2a'!M40</f>
        <v>541.93259611363521</v>
      </c>
      <c r="N40" s="68">
        <f t="shared" si="28"/>
        <v>30</v>
      </c>
      <c r="O40" s="68">
        <f t="shared" si="28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8"/>
        <v>55</v>
      </c>
      <c r="M41" s="68">
        <f>'Option 2a'!M41</f>
        <v>550.63621778948652</v>
      </c>
      <c r="N41" s="68">
        <f t="shared" si="28"/>
        <v>30</v>
      </c>
      <c r="O41" s="68">
        <f t="shared" si="28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8"/>
        <v>55</v>
      </c>
      <c r="M42" s="68">
        <f>'Option 2a'!M42</f>
        <v>559.33983946533783</v>
      </c>
      <c r="N42" s="68">
        <f t="shared" si="28"/>
        <v>30</v>
      </c>
      <c r="O42" s="68">
        <f t="shared" si="28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 t="shared" si="13"/>
        <v>1475</v>
      </c>
      <c r="K43" s="67">
        <f t="shared" si="13"/>
        <v>1770</v>
      </c>
      <c r="L43" s="68">
        <f t="shared" si="28"/>
        <v>55</v>
      </c>
      <c r="M43" s="68">
        <f>'Option 2a'!M43</f>
        <v>568.04346114118914</v>
      </c>
      <c r="N43" s="68">
        <f t="shared" si="28"/>
        <v>30</v>
      </c>
      <c r="O43" s="68">
        <f t="shared" si="28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2221.7915954843361</v>
      </c>
      <c r="G44" s="64">
        <f>$AC$9+T6+X6</f>
        <v>2777.23949435542</v>
      </c>
      <c r="H44" s="65">
        <f t="shared" si="6"/>
        <v>3332.6873932265039</v>
      </c>
      <c r="I44" s="66">
        <f t="shared" si="13"/>
        <v>2221.7915954843361</v>
      </c>
      <c r="J44" s="89">
        <f t="shared" si="13"/>
        <v>2777.23949435542</v>
      </c>
      <c r="K44" s="67">
        <f t="shared" si="13"/>
        <v>3332.6873932265039</v>
      </c>
      <c r="L44" s="68">
        <f t="shared" si="28"/>
        <v>55</v>
      </c>
      <c r="M44" s="68">
        <f>'Option 2a'!M44</f>
        <v>576.74708281704034</v>
      </c>
      <c r="N44" s="68">
        <f t="shared" si="28"/>
        <v>30</v>
      </c>
      <c r="O44" s="68">
        <f t="shared" si="28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2862.3263241605246</v>
      </c>
      <c r="U44" s="89">
        <f t="shared" si="15"/>
        <v>3451.4865771724603</v>
      </c>
      <c r="V44" s="67">
        <f t="shared" si="15"/>
        <v>4040.6468301843961</v>
      </c>
      <c r="W44" s="7">
        <f t="shared" si="16"/>
        <v>0.34013162972095884</v>
      </c>
      <c r="X44" s="66">
        <f t="shared" si="17"/>
        <v>973.56771742992078</v>
      </c>
      <c r="Y44" s="89">
        <f t="shared" si="18"/>
        <v>1173.959754453683</v>
      </c>
      <c r="Z44" s="67">
        <f t="shared" si="19"/>
        <v>1374.351791477445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8"/>
        <v>55</v>
      </c>
      <c r="M45" s="68">
        <f>'Option 2a'!M45</f>
        <v>585.45070449289165</v>
      </c>
      <c r="N45" s="68">
        <f t="shared" si="28"/>
        <v>30</v>
      </c>
      <c r="O45" s="68">
        <f t="shared" si="28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8"/>
        <v>55</v>
      </c>
      <c r="M46" s="68">
        <f>'Option 2a'!M46</f>
        <v>594.15432616874295</v>
      </c>
      <c r="N46" s="68">
        <f t="shared" si="28"/>
        <v>30</v>
      </c>
      <c r="O46" s="68">
        <f t="shared" si="28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8"/>
        <v>55</v>
      </c>
      <c r="M47" s="68">
        <f>'Option 2a'!M47</f>
        <v>602.85794784459426</v>
      </c>
      <c r="N47" s="68">
        <f t="shared" si="28"/>
        <v>30</v>
      </c>
      <c r="O47" s="68">
        <f t="shared" si="28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9">L47</f>
        <v>55</v>
      </c>
      <c r="M48" s="68">
        <f>'Option 2a'!M48</f>
        <v>611.56156952044557</v>
      </c>
      <c r="N48" s="68">
        <f t="shared" si="29"/>
        <v>30</v>
      </c>
      <c r="O48" s="68">
        <f t="shared" si="29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2221.7915954843361</v>
      </c>
      <c r="G49" s="64">
        <f>$AC$9+T6+X6</f>
        <v>2777.23949435542</v>
      </c>
      <c r="H49" s="65">
        <f t="shared" si="6"/>
        <v>3332.6873932265039</v>
      </c>
      <c r="I49" s="66">
        <f t="shared" si="13"/>
        <v>2221.7915954843361</v>
      </c>
      <c r="J49" s="89">
        <f t="shared" si="13"/>
        <v>2777.23949435542</v>
      </c>
      <c r="K49" s="67">
        <f t="shared" si="13"/>
        <v>3332.6873932265039</v>
      </c>
      <c r="L49" s="68">
        <f t="shared" si="29"/>
        <v>55</v>
      </c>
      <c r="M49" s="68">
        <f>'Option 2a'!M49</f>
        <v>620.26519119629688</v>
      </c>
      <c r="N49" s="68">
        <f t="shared" si="29"/>
        <v>30</v>
      </c>
      <c r="O49" s="68">
        <f t="shared" si="29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2903.668527120818</v>
      </c>
      <c r="U49" s="89">
        <f t="shared" si="15"/>
        <v>3495.0046855517166</v>
      </c>
      <c r="V49" s="67">
        <f t="shared" si="15"/>
        <v>4086.3408439826158</v>
      </c>
      <c r="W49" s="7">
        <f t="shared" si="16"/>
        <v>0.28582895186383406</v>
      </c>
      <c r="X49" s="66">
        <f t="shared" si="17"/>
        <v>829.95253166694624</v>
      </c>
      <c r="Y49" s="89">
        <f t="shared" si="18"/>
        <v>998.97352603043612</v>
      </c>
      <c r="Z49" s="67">
        <f t="shared" si="19"/>
        <v>1167.9945203939262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9"/>
        <v>55</v>
      </c>
      <c r="M50" s="68">
        <f>'Option 2a'!M50</f>
        <v>628.96881287214808</v>
      </c>
      <c r="N50" s="68">
        <f t="shared" si="29"/>
        <v>30</v>
      </c>
      <c r="O50" s="68">
        <f t="shared" si="29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9"/>
        <v>55</v>
      </c>
      <c r="M51" s="68">
        <f>'Option 2a'!M51</f>
        <v>637.67243454799939</v>
      </c>
      <c r="N51" s="68">
        <f t="shared" si="29"/>
        <v>30</v>
      </c>
      <c r="O51" s="68">
        <f t="shared" si="29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9"/>
        <v>55</v>
      </c>
      <c r="M52" s="68">
        <f>'Option 2a'!M52</f>
        <v>646.3760562238507</v>
      </c>
      <c r="N52" s="68">
        <f t="shared" si="29"/>
        <v>30</v>
      </c>
      <c r="O52" s="68">
        <f t="shared" si="29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9"/>
        <v>55</v>
      </c>
      <c r="M53" s="68">
        <f>'Option 2a'!M53</f>
        <v>655.07967789970201</v>
      </c>
      <c r="N53" s="68">
        <f t="shared" si="29"/>
        <v>30</v>
      </c>
      <c r="O53" s="68">
        <f t="shared" si="29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9718.7243593590265</v>
      </c>
      <c r="G54" s="64">
        <f>$AC$9+T5+T4+X4+X5</f>
        <v>12148.405449198783</v>
      </c>
      <c r="H54" s="65">
        <f t="shared" si="6"/>
        <v>14578.086539038539</v>
      </c>
      <c r="I54" s="66">
        <f t="shared" si="13"/>
        <v>9718.7243593590265</v>
      </c>
      <c r="J54" s="89">
        <f t="shared" si="13"/>
        <v>12148.405449198783</v>
      </c>
      <c r="K54" s="67">
        <f t="shared" si="13"/>
        <v>14578.086539038539</v>
      </c>
      <c r="L54" s="68">
        <f t="shared" si="29"/>
        <v>55</v>
      </c>
      <c r="M54" s="68">
        <f>'Option 2a'!M54</f>
        <v>663.78329957555331</v>
      </c>
      <c r="N54" s="68">
        <f t="shared" si="29"/>
        <v>30</v>
      </c>
      <c r="O54" s="68">
        <f t="shared" si="29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10441.943493955801</v>
      </c>
      <c r="U54" s="89">
        <f t="shared" si="15"/>
        <v>12909.688748774335</v>
      </c>
      <c r="V54" s="67">
        <f t="shared" si="15"/>
        <v>15377.434003592869</v>
      </c>
      <c r="W54" s="7">
        <f t="shared" si="16"/>
        <v>0.24019580240332974</v>
      </c>
      <c r="X54" s="66">
        <f t="shared" si="17"/>
        <v>2508.1109961809425</v>
      </c>
      <c r="Y54" s="89">
        <f t="shared" si="18"/>
        <v>3100.8530477890895</v>
      </c>
      <c r="Z54" s="67">
        <f t="shared" si="19"/>
        <v>3693.5950993972365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9"/>
        <v>55</v>
      </c>
      <c r="M55" s="68">
        <f>'Option 2a'!M55</f>
        <v>672.48692125140451</v>
      </c>
      <c r="N55" s="68">
        <f t="shared" si="29"/>
        <v>30</v>
      </c>
      <c r="O55" s="68">
        <f t="shared" si="29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9"/>
        <v>55</v>
      </c>
      <c r="M56" s="68">
        <f>'Option 2a'!M56</f>
        <v>681.19054292725582</v>
      </c>
      <c r="N56" s="68">
        <f t="shared" si="29"/>
        <v>30</v>
      </c>
      <c r="O56" s="68">
        <f t="shared" si="29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9"/>
        <v>55</v>
      </c>
      <c r="M57" s="68">
        <f>'Option 2a'!M57</f>
        <v>689.89416460310713</v>
      </c>
      <c r="N57" s="68">
        <f t="shared" si="29"/>
        <v>30</v>
      </c>
      <c r="O57" s="68">
        <f t="shared" si="29"/>
        <v>12.5</v>
      </c>
      <c r="P57" s="68">
        <f t="shared" si="24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f>15000+1000</f>
        <v>16000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17475</v>
      </c>
      <c r="K58" s="67">
        <f t="shared" si="13"/>
        <v>21770</v>
      </c>
      <c r="L58" s="68">
        <f t="shared" si="29"/>
        <v>55</v>
      </c>
      <c r="M58" s="68">
        <f>'Option 2b'!M58</f>
        <v>698.59778627895844</v>
      </c>
      <c r="N58" s="68">
        <f>N57*1.5</f>
        <v>45</v>
      </c>
      <c r="O58" s="68">
        <f t="shared" si="29"/>
        <v>12.5</v>
      </c>
      <c r="P58" s="68">
        <f t="shared" si="24"/>
        <v>0</v>
      </c>
      <c r="Q58" s="66">
        <f t="shared" si="14"/>
        <v>770.54289696501053</v>
      </c>
      <c r="R58" s="70">
        <f t="shared" si="7"/>
        <v>811.09778627895844</v>
      </c>
      <c r="S58" s="67">
        <f t="shared" si="8"/>
        <v>851.65267559290635</v>
      </c>
      <c r="T58" s="66">
        <f t="shared" si="21"/>
        <v>13950.542896965011</v>
      </c>
      <c r="U58" s="89">
        <f t="shared" si="15"/>
        <v>18286.097786278959</v>
      </c>
      <c r="V58" s="67">
        <f t="shared" si="15"/>
        <v>22621.652675592908</v>
      </c>
      <c r="W58" s="7">
        <f t="shared" si="16"/>
        <v>0.20899349605515255</v>
      </c>
      <c r="X58" s="66">
        <f t="shared" si="17"/>
        <v>2915.5727319040934</v>
      </c>
      <c r="Y58" s="89">
        <f t="shared" si="18"/>
        <v>3821.6755055608255</v>
      </c>
      <c r="Z58" s="67">
        <f t="shared" si="19"/>
        <v>4727.7782792175576</v>
      </c>
      <c r="AA58" s="14" t="s">
        <v>119</v>
      </c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2221.7915954843361</v>
      </c>
      <c r="G59" s="64">
        <f>$AC$9+T6+X6</f>
        <v>2777.23949435542</v>
      </c>
      <c r="H59" s="65">
        <f t="shared" si="6"/>
        <v>3332.6873932265039</v>
      </c>
      <c r="I59" s="66">
        <f t="shared" si="13"/>
        <v>2221.7915954843361</v>
      </c>
      <c r="J59" s="89">
        <f t="shared" si="13"/>
        <v>2777.23949435542</v>
      </c>
      <c r="K59" s="67">
        <f t="shared" si="13"/>
        <v>3332.6873932265039</v>
      </c>
      <c r="L59" s="68">
        <f t="shared" si="29"/>
        <v>55</v>
      </c>
      <c r="M59" s="68">
        <f>'Option 2b'!M59</f>
        <v>727.30140795480975</v>
      </c>
      <c r="N59" s="68">
        <f t="shared" si="29"/>
        <v>45</v>
      </c>
      <c r="O59" s="68">
        <f>O58*1.5</f>
        <v>18.75</v>
      </c>
      <c r="P59" s="68">
        <f t="shared" si="24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3025.5404330414053</v>
      </c>
      <c r="U59" s="89">
        <f t="shared" si="15"/>
        <v>3623.2909023102297</v>
      </c>
      <c r="V59" s="67">
        <f t="shared" si="15"/>
        <v>4221.0413715790546</v>
      </c>
      <c r="W59" s="7">
        <f t="shared" si="16"/>
        <v>0.20184807422749909</v>
      </c>
      <c r="X59" s="66">
        <f t="shared" si="17"/>
        <v>610.69950990684129</v>
      </c>
      <c r="Y59" s="89">
        <f t="shared" si="18"/>
        <v>731.35429099733744</v>
      </c>
      <c r="Z59" s="67">
        <f t="shared" si="19"/>
        <v>852.0090720878336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9"/>
        <v>55</v>
      </c>
      <c r="M60" s="68">
        <f>'Option 2b'!M60</f>
        <v>736.00502963066106</v>
      </c>
      <c r="N60" s="68">
        <f t="shared" si="29"/>
        <v>45</v>
      </c>
      <c r="O60" s="68">
        <f t="shared" si="29"/>
        <v>18.75</v>
      </c>
      <c r="P60" s="68">
        <f t="shared" si="24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9"/>
        <v>55</v>
      </c>
      <c r="M61" s="68">
        <f>'Option 2b'!M61</f>
        <v>744.70865130651225</v>
      </c>
      <c r="N61" s="68">
        <f t="shared" si="29"/>
        <v>45</v>
      </c>
      <c r="O61" s="68">
        <f t="shared" si="29"/>
        <v>18.75</v>
      </c>
      <c r="P61" s="68">
        <f t="shared" si="24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9"/>
        <v>55</v>
      </c>
      <c r="M62" s="68">
        <f>'Option 2b'!M62</f>
        <v>753.41227298236356</v>
      </c>
      <c r="N62" s="68">
        <f t="shared" si="29"/>
        <v>45</v>
      </c>
      <c r="O62" s="68">
        <f t="shared" si="29"/>
        <v>18.75</v>
      </c>
      <c r="P62" s="68">
        <f t="shared" si="24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9"/>
        <v>55</v>
      </c>
      <c r="M63" s="68">
        <f>'Option 2b'!M63</f>
        <v>762.11589465821487</v>
      </c>
      <c r="N63" s="68">
        <f t="shared" si="29"/>
        <v>45</v>
      </c>
      <c r="O63" s="68">
        <f t="shared" si="29"/>
        <v>18.75</v>
      </c>
      <c r="P63" s="68">
        <f t="shared" si="24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2016.8225999253041</v>
      </c>
      <c r="U63" s="89">
        <f t="shared" si="15"/>
        <v>2355.865894658215</v>
      </c>
      <c r="V63" s="67">
        <f t="shared" si="15"/>
        <v>2694.9091893911254</v>
      </c>
      <c r="W63" s="7">
        <f t="shared" si="16"/>
        <v>0.17562727692455368</v>
      </c>
      <c r="X63" s="66">
        <f t="shared" si="17"/>
        <v>354.20906126477973</v>
      </c>
      <c r="Y63" s="89">
        <f t="shared" si="18"/>
        <v>413.75431187824972</v>
      </c>
      <c r="Z63" s="67">
        <f t="shared" si="19"/>
        <v>473.29956249171966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1180</v>
      </c>
      <c r="G64" s="64">
        <f>$AC$9</f>
        <v>1475</v>
      </c>
      <c r="H64" s="65">
        <f t="shared" si="6"/>
        <v>1770</v>
      </c>
      <c r="I64" s="66">
        <f t="shared" si="13"/>
        <v>1180</v>
      </c>
      <c r="J64" s="89">
        <f t="shared" si="13"/>
        <v>1475</v>
      </c>
      <c r="K64" s="67">
        <f t="shared" si="13"/>
        <v>1770</v>
      </c>
      <c r="L64" s="68">
        <f t="shared" ref="L64:O73" si="30">L63</f>
        <v>55</v>
      </c>
      <c r="M64" s="68">
        <f>'Option 2b'!M64</f>
        <v>770.81951633406618</v>
      </c>
      <c r="N64" s="68">
        <f t="shared" si="30"/>
        <v>45</v>
      </c>
      <c r="O64" s="68">
        <f t="shared" si="30"/>
        <v>18.75</v>
      </c>
      <c r="P64" s="68">
        <f t="shared" si="24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2025.0910405173627</v>
      </c>
      <c r="U64" s="89">
        <f t="shared" si="15"/>
        <v>2364.5695163340661</v>
      </c>
      <c r="V64" s="67">
        <f t="shared" si="15"/>
        <v>2704.0479921507695</v>
      </c>
      <c r="W64" s="7">
        <f t="shared" si="16"/>
        <v>0.16962263562348243</v>
      </c>
      <c r="X64" s="66">
        <f t="shared" si="17"/>
        <v>343.50127967005551</v>
      </c>
      <c r="Y64" s="89">
        <f t="shared" si="18"/>
        <v>401.08451347552739</v>
      </c>
      <c r="Z64" s="67">
        <f t="shared" si="19"/>
        <v>458.66774728099921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30"/>
        <v>55</v>
      </c>
      <c r="M65" s="68">
        <f>'Option 2b'!M65</f>
        <v>779.52313800991749</v>
      </c>
      <c r="N65" s="68">
        <f t="shared" si="30"/>
        <v>45</v>
      </c>
      <c r="O65" s="68">
        <f t="shared" si="30"/>
        <v>18.75</v>
      </c>
      <c r="P65" s="68">
        <f t="shared" si="24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30"/>
        <v>55</v>
      </c>
      <c r="M66" s="68">
        <f>'Option 2b'!M66</f>
        <v>788.2267596857688</v>
      </c>
      <c r="N66" s="68">
        <f t="shared" si="30"/>
        <v>45</v>
      </c>
      <c r="O66" s="68">
        <f t="shared" si="30"/>
        <v>18.75</v>
      </c>
      <c r="P66" s="68">
        <f t="shared" si="24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30"/>
        <v>55</v>
      </c>
      <c r="M67" s="68">
        <f>'Option 2b'!M67</f>
        <v>796.93038136161999</v>
      </c>
      <c r="N67" s="68">
        <f t="shared" si="30"/>
        <v>45</v>
      </c>
      <c r="O67" s="68">
        <f t="shared" si="30"/>
        <v>18.75</v>
      </c>
      <c r="P67" s="68">
        <f t="shared" si="24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2221.7915954843361</v>
      </c>
      <c r="G68" s="64">
        <f>$AC$9+T6+X6</f>
        <v>2777.23949435542</v>
      </c>
      <c r="H68" s="65">
        <f t="shared" si="6"/>
        <v>3332.6873932265039</v>
      </c>
      <c r="I68" s="66">
        <f t="shared" si="13"/>
        <v>2221.7915954843361</v>
      </c>
      <c r="J68" s="89">
        <f t="shared" si="13"/>
        <v>2777.23949435542</v>
      </c>
      <c r="K68" s="67">
        <f t="shared" si="13"/>
        <v>3332.6873932265039</v>
      </c>
      <c r="L68" s="68">
        <f t="shared" si="30"/>
        <v>55</v>
      </c>
      <c r="M68" s="68">
        <f>'Option 2b'!M68</f>
        <v>805.6340030374713</v>
      </c>
      <c r="N68" s="68">
        <f t="shared" si="30"/>
        <v>45</v>
      </c>
      <c r="O68" s="68">
        <f t="shared" si="30"/>
        <v>18.75</v>
      </c>
      <c r="P68" s="68">
        <f t="shared" si="24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3099.9563983699336</v>
      </c>
      <c r="U68" s="89">
        <f t="shared" si="15"/>
        <v>3701.6234973928913</v>
      </c>
      <c r="V68" s="67">
        <f t="shared" si="15"/>
        <v>4303.290596415849</v>
      </c>
      <c r="W68" s="7">
        <f t="shared" si="16"/>
        <v>0.14758803973399254</v>
      </c>
      <c r="X68" s="66">
        <f t="shared" si="17"/>
        <v>457.51648809626619</v>
      </c>
      <c r="Y68" s="89">
        <f t="shared" si="18"/>
        <v>546.31535581350249</v>
      </c>
      <c r="Z68" s="67">
        <f t="shared" si="19"/>
        <v>635.11422353073874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30"/>
        <v>55</v>
      </c>
      <c r="M69" s="68">
        <f>'Option 2b'!M69</f>
        <v>814.33762471332261</v>
      </c>
      <c r="N69" s="68">
        <f t="shared" si="30"/>
        <v>45</v>
      </c>
      <c r="O69" s="68">
        <f t="shared" si="30"/>
        <v>18.75</v>
      </c>
      <c r="P69" s="68">
        <f t="shared" si="24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30"/>
        <v>55</v>
      </c>
      <c r="M70" s="68">
        <f>'Option 2b'!M70</f>
        <v>823.04124638917392</v>
      </c>
      <c r="N70" s="68">
        <f t="shared" si="30"/>
        <v>45</v>
      </c>
      <c r="O70" s="68">
        <f t="shared" si="30"/>
        <v>18.75</v>
      </c>
      <c r="P70" s="68">
        <f t="shared" si="24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30"/>
        <v>55</v>
      </c>
      <c r="M71" s="68">
        <f>'Option 2b'!M71</f>
        <v>831.74486806502523</v>
      </c>
      <c r="N71" s="68">
        <f t="shared" si="30"/>
        <v>45</v>
      </c>
      <c r="O71" s="68">
        <f t="shared" si="30"/>
        <v>18.75</v>
      </c>
      <c r="P71" s="68">
        <f t="shared" si="24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30"/>
        <v>55</v>
      </c>
      <c r="M72" s="68">
        <f>'Option 2b'!M72</f>
        <v>840.44848974087643</v>
      </c>
      <c r="N72" s="68">
        <f t="shared" si="30"/>
        <v>45</v>
      </c>
      <c r="O72" s="68">
        <f t="shared" si="30"/>
        <v>18.75</v>
      </c>
      <c r="P72" s="68">
        <f t="shared" si="24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30"/>
        <v>55</v>
      </c>
      <c r="M73" s="68">
        <f>'Option 2b'!M73</f>
        <v>849.15211141672773</v>
      </c>
      <c r="N73" s="68">
        <f t="shared" si="30"/>
        <v>45</v>
      </c>
      <c r="O73" s="68">
        <f t="shared" si="30"/>
        <v>18.75</v>
      </c>
      <c r="P73" s="68">
        <f t="shared" si="24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2099.5070058458914</v>
      </c>
      <c r="U73" s="89">
        <f t="shared" si="15"/>
        <v>2442.9021114167276</v>
      </c>
      <c r="V73" s="67">
        <f t="shared" si="15"/>
        <v>2786.2972169875643</v>
      </c>
      <c r="W73" s="7">
        <f t="shared" si="16"/>
        <v>0.12402532143045074</v>
      </c>
      <c r="X73" s="73">
        <f t="shared" si="17"/>
        <v>260.39203124551989</v>
      </c>
      <c r="Y73" s="91">
        <f t="shared" si="18"/>
        <v>302.9817195915864</v>
      </c>
      <c r="Z73" s="74">
        <f t="shared" si="19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1">SUM(C13:C73)</f>
        <v>44851.934830662605</v>
      </c>
      <c r="D74" s="75">
        <f t="shared" si="31"/>
        <v>52502.149811847339</v>
      </c>
      <c r="E74" s="93">
        <f t="shared" si="31"/>
        <v>60152.364793032073</v>
      </c>
      <c r="F74" s="92">
        <f t="shared" si="31"/>
        <v>84615.682336780694</v>
      </c>
      <c r="G74" s="75">
        <f t="shared" si="31"/>
        <v>105769.60292097589</v>
      </c>
      <c r="H74" s="76">
        <f t="shared" si="31"/>
        <v>126923.52350517105</v>
      </c>
      <c r="I74" s="77">
        <f t="shared" si="31"/>
        <v>129467.6171674433</v>
      </c>
      <c r="J74" s="78">
        <f t="shared" si="31"/>
        <v>158271.75273282325</v>
      </c>
      <c r="K74" s="79">
        <f t="shared" si="31"/>
        <v>187075.88829820315</v>
      </c>
      <c r="L74" s="80">
        <f t="shared" si="31"/>
        <v>3325</v>
      </c>
      <c r="M74" s="80">
        <f t="shared" si="31"/>
        <v>30917.566669346259</v>
      </c>
      <c r="N74" s="80">
        <f t="shared" si="31"/>
        <v>2090</v>
      </c>
      <c r="O74" s="80">
        <f t="shared" si="31"/>
        <v>881.25</v>
      </c>
      <c r="P74" s="80">
        <f t="shared" si="31"/>
        <v>0</v>
      </c>
      <c r="Q74" s="77">
        <f t="shared" si="31"/>
        <v>35353.125835878942</v>
      </c>
      <c r="R74" s="78">
        <f t="shared" si="31"/>
        <v>37213.816669346263</v>
      </c>
      <c r="S74" s="79">
        <f t="shared" si="31"/>
        <v>39074.507502813569</v>
      </c>
      <c r="T74" s="77">
        <f>SUM(T13:T73)</f>
        <v>164820.74300332222</v>
      </c>
      <c r="U74" s="78">
        <f>SUM(U13:U73)</f>
        <v>195485.56940216949</v>
      </c>
      <c r="V74" s="79">
        <f>SUM(V13:V73)</f>
        <v>226150.39580101668</v>
      </c>
      <c r="W74" s="81"/>
      <c r="X74" s="77">
        <f>SUM(X13:X73)</f>
        <v>65613.562086471269</v>
      </c>
      <c r="Y74" s="78">
        <f t="shared" ref="Y74:Z74" si="32">SUM(Y13:Y73)</f>
        <v>77360.974376704587</v>
      </c>
      <c r="Z74" s="79">
        <f t="shared" si="32"/>
        <v>89108.386666937935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11:B11"/>
    <mergeCell ref="A12:B12"/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:B1"/>
    <mergeCell ref="C1:K1"/>
    <mergeCell ref="O1:Q1"/>
    <mergeCell ref="S1:U1"/>
    <mergeCell ref="W1:Y1"/>
    <mergeCell ref="AA1:AC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5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D13" sqref="D13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204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123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106</v>
      </c>
      <c r="Q2" s="8" t="s">
        <v>14</v>
      </c>
      <c r="S2" s="8" t="s">
        <v>11</v>
      </c>
      <c r="T2" s="8" t="s">
        <v>106</v>
      </c>
      <c r="U2" s="8" t="s">
        <v>74</v>
      </c>
      <c r="W2" s="8" t="s">
        <v>11</v>
      </c>
      <c r="X2" s="8" t="s">
        <v>106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>
        <v>0.6</v>
      </c>
      <c r="P3" s="164">
        <f>$P$9*O3</f>
        <v>9000</v>
      </c>
      <c r="Q3" s="97">
        <f>(P3/N3)*25%</f>
        <v>37.5</v>
      </c>
      <c r="S3" s="105">
        <v>0.7</v>
      </c>
      <c r="T3" s="12">
        <f>S3*T9</f>
        <v>10846.254868293137</v>
      </c>
      <c r="U3" s="97">
        <v>0</v>
      </c>
      <c r="W3" s="105">
        <v>0.56000000000000005</v>
      </c>
      <c r="X3" s="97">
        <f t="shared" ref="X3:X8" si="0">W3*$X$9</f>
        <v>12731.6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88366.391309325889</v>
      </c>
      <c r="E4" s="57">
        <f>Y74</f>
        <v>103103.0032762021</v>
      </c>
      <c r="F4" s="58">
        <f>Z74</f>
        <v>118257.60223518866</v>
      </c>
      <c r="M4" s="8" t="s">
        <v>21</v>
      </c>
      <c r="N4" s="100">
        <v>25</v>
      </c>
      <c r="O4" s="112">
        <v>0.15</v>
      </c>
      <c r="P4" s="164">
        <f t="shared" ref="P4:P8" si="1">$P$9*O4</f>
        <v>2250</v>
      </c>
      <c r="Q4" s="97">
        <f>(P4/N4)</f>
        <v>90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0.27</v>
      </c>
      <c r="X4" s="97">
        <f t="shared" si="0"/>
        <v>6138.4500000000007</v>
      </c>
      <c r="Y4" s="97">
        <f>(X4/N4)</f>
        <v>245.53800000000004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>
        <v>0.15</v>
      </c>
      <c r="P5" s="164">
        <f t="shared" si="1"/>
        <v>2250</v>
      </c>
      <c r="Q5" s="97">
        <f t="shared" ref="Q5:Q8" si="2">(P5/N5)</f>
        <v>90</v>
      </c>
      <c r="S5" s="105">
        <v>0.13</v>
      </c>
      <c r="T5" s="97">
        <f>S5*$T$9</f>
        <v>2014.3044755401543</v>
      </c>
      <c r="U5" s="97">
        <f t="shared" ref="U5:U8" si="3">(T5/N5)</f>
        <v>80.572179021606175</v>
      </c>
      <c r="W5" s="105">
        <v>0.08</v>
      </c>
      <c r="X5" s="97">
        <f t="shared" si="0"/>
        <v>1818.8</v>
      </c>
      <c r="Y5" s="97">
        <f>(X5/N5)</f>
        <v>72.751999999999995</v>
      </c>
      <c r="AA5" s="105">
        <f>'Base Costs'!Q5</f>
        <v>0.15</v>
      </c>
      <c r="AB5" s="97">
        <f>'Base Costs'!R5</f>
        <v>7500</v>
      </c>
      <c r="AC5" s="97">
        <f t="shared" ref="AC5:AC8" si="4">(AB5/N5)</f>
        <v>300</v>
      </c>
    </row>
    <row r="6" spans="1:38" ht="12.75" customHeight="1">
      <c r="A6" s="181" t="s">
        <v>92</v>
      </c>
      <c r="B6" s="182"/>
      <c r="I6" s="30">
        <f>SUM(I13:I17)</f>
        <v>18288</v>
      </c>
      <c r="J6" s="84">
        <f t="shared" ref="J6:K6" si="5">SUM(J13:J17)</f>
        <v>20985</v>
      </c>
      <c r="K6" s="31">
        <f t="shared" si="5"/>
        <v>23682</v>
      </c>
      <c r="M6" s="8" t="s">
        <v>24</v>
      </c>
      <c r="N6" s="100">
        <v>10</v>
      </c>
      <c r="O6" s="112">
        <v>0.05</v>
      </c>
      <c r="P6" s="164">
        <f t="shared" si="1"/>
        <v>750</v>
      </c>
      <c r="Q6" s="97">
        <f t="shared" si="2"/>
        <v>75</v>
      </c>
      <c r="S6" s="105">
        <v>0.03</v>
      </c>
      <c r="T6" s="97">
        <f>S6*$T$9</f>
        <v>464.83949435542013</v>
      </c>
      <c r="U6" s="97">
        <f t="shared" si="3"/>
        <v>46.483949435542016</v>
      </c>
      <c r="W6" s="105">
        <v>0.05</v>
      </c>
      <c r="X6" s="97">
        <f t="shared" si="0"/>
        <v>1136.75</v>
      </c>
      <c r="Y6" s="97">
        <f>(X6/N6)</f>
        <v>113.675</v>
      </c>
      <c r="AA6" s="105">
        <f>'Base Costs'!Q6</f>
        <v>0.05</v>
      </c>
      <c r="AB6" s="97">
        <f>'Base Costs'!R6</f>
        <v>2500</v>
      </c>
      <c r="AC6" s="97">
        <f t="shared" si="4"/>
        <v>250</v>
      </c>
    </row>
    <row r="7" spans="1:38" ht="18.75" customHeight="1">
      <c r="A7" s="181" t="s">
        <v>93</v>
      </c>
      <c r="B7" s="182"/>
      <c r="C7" s="59">
        <f>SUM(C13:C73)</f>
        <v>59906.684830662605</v>
      </c>
      <c r="D7" s="60">
        <f t="shared" ref="D7:E7" si="6">SUM(D13:D73)</f>
        <v>68229.649811847339</v>
      </c>
      <c r="E7" s="61">
        <f t="shared" si="6"/>
        <v>78552.614793032073</v>
      </c>
      <c r="M7" s="8" t="s">
        <v>25</v>
      </c>
      <c r="N7" s="101">
        <v>10000</v>
      </c>
      <c r="O7" s="112">
        <v>0.04</v>
      </c>
      <c r="P7" s="164">
        <f t="shared" si="1"/>
        <v>600</v>
      </c>
      <c r="Q7" s="97">
        <f t="shared" si="2"/>
        <v>0.06</v>
      </c>
      <c r="S7" s="105">
        <v>0</v>
      </c>
      <c r="T7" s="97">
        <f>S7*$T$9</f>
        <v>0</v>
      </c>
      <c r="U7" s="97">
        <f t="shared" si="3"/>
        <v>0</v>
      </c>
      <c r="W7" s="105">
        <v>0.04</v>
      </c>
      <c r="X7" s="97">
        <f t="shared" si="0"/>
        <v>909.4</v>
      </c>
      <c r="Y7" s="97">
        <f>(X7/N7)</f>
        <v>9.0939999999999993E-2</v>
      </c>
      <c r="AA7" s="105">
        <f>'Base Costs'!Q7</f>
        <v>0</v>
      </c>
      <c r="AB7" s="97">
        <f>'Base Costs'!R7</f>
        <v>0</v>
      </c>
      <c r="AC7" s="97">
        <f t="shared" si="4"/>
        <v>0</v>
      </c>
    </row>
    <row r="8" spans="1:38" ht="26.25" customHeight="1">
      <c r="A8" s="181" t="s">
        <v>94</v>
      </c>
      <c r="B8" s="182"/>
      <c r="F8" s="59">
        <f>SUM(F13:F73)</f>
        <v>101224.45914581203</v>
      </c>
      <c r="G8" s="59">
        <f t="shared" ref="G8:H8" si="7">SUM(G13:G73)</f>
        <v>126530.57393226503</v>
      </c>
      <c r="H8" s="59">
        <f t="shared" si="7"/>
        <v>151836.68871871804</v>
      </c>
      <c r="M8" s="8" t="s">
        <v>26</v>
      </c>
      <c r="N8" s="101">
        <v>5</v>
      </c>
      <c r="O8" s="112">
        <v>0.05</v>
      </c>
      <c r="P8" s="164">
        <f t="shared" si="1"/>
        <v>750</v>
      </c>
      <c r="Q8" s="97">
        <f t="shared" si="2"/>
        <v>150</v>
      </c>
      <c r="S8" s="105">
        <v>0</v>
      </c>
      <c r="T8" s="97">
        <f>S8*$T$9</f>
        <v>0</v>
      </c>
      <c r="U8" s="97">
        <f t="shared" si="3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4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64">
        <v>15000</v>
      </c>
      <c r="Q9" s="164">
        <f>SUM(Q3:Q8)</f>
        <v>442.56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v>22735</v>
      </c>
      <c r="Y9" s="98">
        <f>SUM(Y3:Y8)</f>
        <v>432.05594000000002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6750</v>
      </c>
      <c r="D13" s="27">
        <f>P9/2</f>
        <v>7500</v>
      </c>
      <c r="E13" s="65">
        <f>D13*(1+$E$11)</f>
        <v>8250</v>
      </c>
      <c r="F13" s="63">
        <f>G13*(1+$F$11)</f>
        <v>624</v>
      </c>
      <c r="G13" s="64">
        <v>780</v>
      </c>
      <c r="H13" s="65">
        <f t="shared" ref="H13:H73" si="8">G13*(1+$H$11)</f>
        <v>936</v>
      </c>
      <c r="I13" s="66">
        <f>F13+C13</f>
        <v>7374</v>
      </c>
      <c r="J13" s="89">
        <f>G13+D13</f>
        <v>8280</v>
      </c>
      <c r="K13" s="67">
        <f>H13+E13</f>
        <v>9186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9">SUM(L13:P13)</f>
        <v>145</v>
      </c>
      <c r="S13" s="67">
        <f t="shared" ref="S13:S73" si="10">R13*(1+$S$11)</f>
        <v>152.25</v>
      </c>
      <c r="T13" s="66">
        <f>Q13+I13</f>
        <v>7511.75</v>
      </c>
      <c r="U13" s="89">
        <f>R13+J13</f>
        <v>8425</v>
      </c>
      <c r="V13" s="67">
        <f>S13+K13</f>
        <v>9338.25</v>
      </c>
      <c r="W13" s="5">
        <v>1</v>
      </c>
      <c r="X13" s="69">
        <f>W13*T13</f>
        <v>7511.75</v>
      </c>
      <c r="Y13" s="89">
        <f>W13*U13</f>
        <v>8425</v>
      </c>
      <c r="Z13" s="67">
        <f>W13*V13</f>
        <v>9338.25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11">(B13+1)</f>
        <v>1</v>
      </c>
      <c r="C14" s="63">
        <f t="shared" ref="C14:C73" si="12">D14*(1+$C$11)</f>
        <v>6750</v>
      </c>
      <c r="D14" s="27">
        <f>P9/2</f>
        <v>7500</v>
      </c>
      <c r="E14" s="65">
        <f t="shared" ref="E14:E73" si="13">D14*(1+$E$11)</f>
        <v>8250</v>
      </c>
      <c r="F14" s="63">
        <f t="shared" ref="F14:F73" si="14">G14*(1+$F$11)</f>
        <v>624</v>
      </c>
      <c r="G14" s="64">
        <v>780</v>
      </c>
      <c r="H14" s="65">
        <f t="shared" si="8"/>
        <v>936</v>
      </c>
      <c r="I14" s="66">
        <f t="shared" ref="I14:K73" si="15">F14+C14</f>
        <v>7374</v>
      </c>
      <c r="J14" s="89">
        <f t="shared" si="15"/>
        <v>8280</v>
      </c>
      <c r="K14" s="67">
        <f t="shared" si="15"/>
        <v>9186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6">R14*(1+$Q$11)</f>
        <v>137.75</v>
      </c>
      <c r="R14" s="70">
        <f t="shared" si="9"/>
        <v>145</v>
      </c>
      <c r="S14" s="67">
        <f t="shared" si="10"/>
        <v>152.25</v>
      </c>
      <c r="T14" s="66">
        <f>Q14+I14</f>
        <v>7511.75</v>
      </c>
      <c r="U14" s="89">
        <f t="shared" ref="U14:V73" si="17">R14+J14</f>
        <v>8425</v>
      </c>
      <c r="V14" s="67">
        <f t="shared" si="17"/>
        <v>9338.25</v>
      </c>
      <c r="W14" s="6">
        <f t="shared" ref="W14:W73" si="18">(1/(1+$C$3))^B14</f>
        <v>0.96581031485416258</v>
      </c>
      <c r="X14" s="66">
        <f t="shared" ref="X14:X73" si="19">W14*T14</f>
        <v>7254.9256326057557</v>
      </c>
      <c r="Y14" s="89">
        <f t="shared" ref="Y14:Y73" si="20">W14*U14</f>
        <v>8136.9519026463195</v>
      </c>
      <c r="Z14" s="67">
        <f t="shared" ref="Z14:Z73" si="21">W14*V14</f>
        <v>9018.9781726868841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2">A14+1</f>
        <v>2021</v>
      </c>
      <c r="B15" s="4">
        <f t="shared" si="11"/>
        <v>2</v>
      </c>
      <c r="C15" s="63">
        <f t="shared" si="12"/>
        <v>0</v>
      </c>
      <c r="D15" s="64"/>
      <c r="E15" s="65">
        <f t="shared" si="13"/>
        <v>0</v>
      </c>
      <c r="F15" s="63">
        <f t="shared" si="14"/>
        <v>1180</v>
      </c>
      <c r="G15" s="64">
        <f>$AC$9</f>
        <v>1475</v>
      </c>
      <c r="H15" s="65">
        <f t="shared" si="8"/>
        <v>1770</v>
      </c>
      <c r="I15" s="66">
        <f t="shared" si="15"/>
        <v>1180</v>
      </c>
      <c r="J15" s="89">
        <f t="shared" si="15"/>
        <v>1475</v>
      </c>
      <c r="K15" s="67">
        <f t="shared" si="15"/>
        <v>1770</v>
      </c>
      <c r="L15" s="68">
        <v>55</v>
      </c>
      <c r="M15" s="68">
        <f>$M$14+'[1]Summary 40MLD'!R5/1000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6"/>
        <v>354.28812267999268</v>
      </c>
      <c r="R15" s="70">
        <f t="shared" si="9"/>
        <v>372.93486597893968</v>
      </c>
      <c r="S15" s="67">
        <f t="shared" si="10"/>
        <v>391.58160927788668</v>
      </c>
      <c r="T15" s="66">
        <f t="shared" ref="T15:T73" si="23">Q15+I15</f>
        <v>1534.2881226799927</v>
      </c>
      <c r="U15" s="89">
        <f t="shared" si="17"/>
        <v>1847.9348659789398</v>
      </c>
      <c r="V15" s="67">
        <f t="shared" si="17"/>
        <v>2161.5816092778869</v>
      </c>
      <c r="W15" s="6">
        <f t="shared" si="18"/>
        <v>0.93278956427869664</v>
      </c>
      <c r="X15" s="66">
        <f t="shared" si="19"/>
        <v>1431.1679494326499</v>
      </c>
      <c r="Y15" s="89">
        <f t="shared" si="20"/>
        <v>1723.7343584519069</v>
      </c>
      <c r="Z15" s="67">
        <f t="shared" si="21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2"/>
        <v>2022</v>
      </c>
      <c r="B16" s="4">
        <f t="shared" si="11"/>
        <v>3</v>
      </c>
      <c r="C16" s="63">
        <f t="shared" si="12"/>
        <v>0</v>
      </c>
      <c r="D16" s="64"/>
      <c r="E16" s="65">
        <f t="shared" si="13"/>
        <v>0</v>
      </c>
      <c r="F16" s="63">
        <f t="shared" si="14"/>
        <v>1180</v>
      </c>
      <c r="G16" s="64">
        <f t="shared" ref="G16:G73" si="24">$AC$9</f>
        <v>1475</v>
      </c>
      <c r="H16" s="65">
        <f t="shared" si="8"/>
        <v>1770</v>
      </c>
      <c r="I16" s="66">
        <f t="shared" si="15"/>
        <v>1180</v>
      </c>
      <c r="J16" s="89">
        <f t="shared" si="15"/>
        <v>1475</v>
      </c>
      <c r="K16" s="67">
        <f t="shared" si="15"/>
        <v>1770</v>
      </c>
      <c r="L16" s="68">
        <f t="shared" ref="L16:L73" si="25">L15</f>
        <v>55</v>
      </c>
      <c r="M16" s="68">
        <f>$M$14+'[1]Summary 40MLD'!R6/1000</f>
        <v>291.51556076584779</v>
      </c>
      <c r="N16" s="68">
        <f t="shared" ref="N16:O31" si="26">N15</f>
        <v>30</v>
      </c>
      <c r="O16" s="68">
        <f>O15</f>
        <v>12.5</v>
      </c>
      <c r="P16" s="68">
        <f t="shared" ref="P16:P73" si="27">P15</f>
        <v>0</v>
      </c>
      <c r="Q16" s="66">
        <f t="shared" si="16"/>
        <v>369.56478272755538</v>
      </c>
      <c r="R16" s="70">
        <f t="shared" si="9"/>
        <v>389.01556076584779</v>
      </c>
      <c r="S16" s="67">
        <f t="shared" si="10"/>
        <v>408.46633880414021</v>
      </c>
      <c r="T16" s="66">
        <f t="shared" si="23"/>
        <v>1549.5647827275554</v>
      </c>
      <c r="U16" s="89">
        <f t="shared" si="17"/>
        <v>1864.0155607658478</v>
      </c>
      <c r="V16" s="67">
        <f t="shared" si="17"/>
        <v>2178.4663388041404</v>
      </c>
      <c r="W16" s="6">
        <f t="shared" si="18"/>
        <v>0.90089778276868515</v>
      </c>
      <c r="X16" s="66">
        <f t="shared" si="19"/>
        <v>1395.9994770156941</v>
      </c>
      <c r="Y16" s="89">
        <f t="shared" si="20"/>
        <v>1679.2874857402796</v>
      </c>
      <c r="Z16" s="67">
        <f t="shared" si="21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8">AG16*$AH$22</f>
        <v>2693.3846153846148</v>
      </c>
      <c r="AK16" s="115">
        <f t="shared" ref="AK16:AK21" si="29">AL16/$AL$22</f>
        <v>0.55548301720335247</v>
      </c>
      <c r="AL16" s="97">
        <f>AH16+AG28</f>
        <v>4843.3846153846152</v>
      </c>
    </row>
    <row r="17" spans="1:38">
      <c r="A17" s="4">
        <f t="shared" si="22"/>
        <v>2023</v>
      </c>
      <c r="B17" s="4">
        <f t="shared" si="11"/>
        <v>4</v>
      </c>
      <c r="C17" s="63">
        <f t="shared" si="12"/>
        <v>0</v>
      </c>
      <c r="D17" s="64"/>
      <c r="E17" s="65">
        <f t="shared" si="13"/>
        <v>0</v>
      </c>
      <c r="F17" s="63">
        <f t="shared" si="14"/>
        <v>1180</v>
      </c>
      <c r="G17" s="64">
        <f t="shared" si="24"/>
        <v>1475</v>
      </c>
      <c r="H17" s="65">
        <f t="shared" si="8"/>
        <v>1770</v>
      </c>
      <c r="I17" s="66">
        <f t="shared" si="15"/>
        <v>1180</v>
      </c>
      <c r="J17" s="89">
        <f t="shared" si="15"/>
        <v>1475</v>
      </c>
      <c r="K17" s="67">
        <f t="shared" si="15"/>
        <v>1770</v>
      </c>
      <c r="L17" s="68">
        <f t="shared" si="25"/>
        <v>55</v>
      </c>
      <c r="M17" s="68">
        <f>$M$14+'[1]Summary 40MLD'!R7/1000</f>
        <v>302.30825444493053</v>
      </c>
      <c r="N17" s="68">
        <f t="shared" si="26"/>
        <v>30</v>
      </c>
      <c r="O17" s="68">
        <f t="shared" si="26"/>
        <v>12.5</v>
      </c>
      <c r="P17" s="68">
        <f t="shared" si="27"/>
        <v>0</v>
      </c>
      <c r="Q17" s="66">
        <f t="shared" si="16"/>
        <v>379.81784172268397</v>
      </c>
      <c r="R17" s="70">
        <f t="shared" si="9"/>
        <v>399.80825444493053</v>
      </c>
      <c r="S17" s="67">
        <f t="shared" si="10"/>
        <v>419.79866716717709</v>
      </c>
      <c r="T17" s="66">
        <f t="shared" si="23"/>
        <v>1559.8178417226841</v>
      </c>
      <c r="U17" s="89">
        <f t="shared" si="17"/>
        <v>1874.8082544449305</v>
      </c>
      <c r="V17" s="67">
        <f t="shared" si="17"/>
        <v>2189.798667167177</v>
      </c>
      <c r="W17" s="6">
        <f t="shared" si="18"/>
        <v>0.87009637122724071</v>
      </c>
      <c r="X17" s="66">
        <f t="shared" si="19"/>
        <v>1357.1918438584139</v>
      </c>
      <c r="Y17" s="89">
        <f t="shared" si="20"/>
        <v>1631.2638589394114</v>
      </c>
      <c r="Z17" s="67">
        <f t="shared" si="21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8"/>
        <v>2364.9230769230767</v>
      </c>
      <c r="AK17" s="115">
        <f t="shared" si="29"/>
        <v>0.27123070136744593</v>
      </c>
      <c r="AL17" s="97">
        <f>AH17</f>
        <v>2364.9230769230767</v>
      </c>
    </row>
    <row r="18" spans="1:38">
      <c r="A18" s="4">
        <f t="shared" si="22"/>
        <v>2024</v>
      </c>
      <c r="B18" s="4">
        <f t="shared" si="11"/>
        <v>5</v>
      </c>
      <c r="C18" s="63">
        <f t="shared" si="12"/>
        <v>0</v>
      </c>
      <c r="D18" s="64"/>
      <c r="E18" s="65">
        <f t="shared" si="13"/>
        <v>0</v>
      </c>
      <c r="F18" s="63">
        <f t="shared" si="14"/>
        <v>1180</v>
      </c>
      <c r="G18" s="64">
        <f>$AC$9+X8</f>
        <v>1475</v>
      </c>
      <c r="H18" s="65">
        <f t="shared" si="8"/>
        <v>1770</v>
      </c>
      <c r="I18" s="66">
        <f t="shared" si="15"/>
        <v>1180</v>
      </c>
      <c r="J18" s="89">
        <f t="shared" si="15"/>
        <v>1475</v>
      </c>
      <c r="K18" s="67">
        <f t="shared" si="15"/>
        <v>1770</v>
      </c>
      <c r="L18" s="68">
        <f t="shared" si="25"/>
        <v>55</v>
      </c>
      <c r="M18" s="68">
        <f>$M$14+'[1]Summary 40MLD'!R8/1000</f>
        <v>316.0747916778588</v>
      </c>
      <c r="N18" s="68">
        <f t="shared" si="26"/>
        <v>30</v>
      </c>
      <c r="O18" s="68">
        <f t="shared" si="26"/>
        <v>12.5</v>
      </c>
      <c r="P18" s="68">
        <f t="shared" si="27"/>
        <v>0</v>
      </c>
      <c r="Q18" s="66">
        <f t="shared" si="16"/>
        <v>392.89605209396586</v>
      </c>
      <c r="R18" s="70">
        <f t="shared" si="9"/>
        <v>413.5747916778588</v>
      </c>
      <c r="S18" s="67">
        <f t="shared" si="10"/>
        <v>434.25353126175173</v>
      </c>
      <c r="T18" s="66">
        <f t="shared" si="23"/>
        <v>1572.8960520939659</v>
      </c>
      <c r="U18" s="89">
        <f t="shared" si="17"/>
        <v>1888.5747916778587</v>
      </c>
      <c r="V18" s="67">
        <f t="shared" si="17"/>
        <v>2204.253531261752</v>
      </c>
      <c r="W18" s="6">
        <f t="shared" si="18"/>
        <v>0.84034805024844572</v>
      </c>
      <c r="X18" s="66">
        <f t="shared" si="19"/>
        <v>1321.780130620642</v>
      </c>
      <c r="Y18" s="89">
        <f t="shared" si="20"/>
        <v>1587.0601439348532</v>
      </c>
      <c r="Z18" s="67">
        <f t="shared" si="21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8"/>
        <v>656.92307692307691</v>
      </c>
      <c r="AK18" s="115">
        <f t="shared" si="29"/>
        <v>7.5341861490957202E-2</v>
      </c>
      <c r="AL18" s="97">
        <f>AH18</f>
        <v>656.92307692307691</v>
      </c>
    </row>
    <row r="19" spans="1:38">
      <c r="A19" s="4">
        <f t="shared" si="22"/>
        <v>2025</v>
      </c>
      <c r="B19" s="4">
        <f t="shared" si="11"/>
        <v>6</v>
      </c>
      <c r="C19" s="63">
        <f t="shared" si="12"/>
        <v>0</v>
      </c>
      <c r="D19" s="64"/>
      <c r="E19" s="65">
        <f t="shared" si="13"/>
        <v>0</v>
      </c>
      <c r="F19" s="63">
        <f t="shared" si="14"/>
        <v>1780</v>
      </c>
      <c r="G19" s="64">
        <f>$AC$9+P8</f>
        <v>2225</v>
      </c>
      <c r="H19" s="65">
        <f t="shared" si="8"/>
        <v>2670</v>
      </c>
      <c r="I19" s="66">
        <f t="shared" si="15"/>
        <v>1780</v>
      </c>
      <c r="J19" s="89">
        <f t="shared" si="15"/>
        <v>2225</v>
      </c>
      <c r="K19" s="67">
        <f t="shared" si="15"/>
        <v>2670</v>
      </c>
      <c r="L19" s="68">
        <f t="shared" si="25"/>
        <v>55</v>
      </c>
      <c r="M19" s="68">
        <f>$M$14+'[1]Summary 40MLD'!R9/1000</f>
        <v>326.23258389956914</v>
      </c>
      <c r="N19" s="68">
        <f t="shared" si="26"/>
        <v>30</v>
      </c>
      <c r="O19" s="68">
        <f t="shared" si="26"/>
        <v>12.5</v>
      </c>
      <c r="P19" s="68">
        <f t="shared" si="27"/>
        <v>0</v>
      </c>
      <c r="Q19" s="66">
        <f t="shared" si="16"/>
        <v>402.54595470459066</v>
      </c>
      <c r="R19" s="70">
        <f t="shared" si="9"/>
        <v>423.73258389956914</v>
      </c>
      <c r="S19" s="67">
        <f t="shared" si="10"/>
        <v>444.91921309454762</v>
      </c>
      <c r="T19" s="66">
        <f t="shared" si="23"/>
        <v>2182.5459547045907</v>
      </c>
      <c r="U19" s="89">
        <f t="shared" si="17"/>
        <v>2648.7325838995694</v>
      </c>
      <c r="V19" s="67">
        <f t="shared" si="17"/>
        <v>3114.9192130945476</v>
      </c>
      <c r="W19" s="6">
        <f t="shared" si="18"/>
        <v>0.81161681499753291</v>
      </c>
      <c r="X19" s="66">
        <f t="shared" si="19"/>
        <v>1771.3909963430897</v>
      </c>
      <c r="Y19" s="89">
        <f t="shared" si="20"/>
        <v>2149.7559035247541</v>
      </c>
      <c r="Z19" s="67">
        <f t="shared" si="21"/>
        <v>2528.1208107064181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8"/>
        <v>459.84615384615387</v>
      </c>
      <c r="AK19" s="115">
        <f t="shared" si="29"/>
        <v>5.2739303043670048E-2</v>
      </c>
      <c r="AL19" s="97">
        <f>AH19</f>
        <v>459.84615384615387</v>
      </c>
    </row>
    <row r="20" spans="1:38">
      <c r="A20" s="4">
        <f t="shared" si="22"/>
        <v>2026</v>
      </c>
      <c r="B20" s="4">
        <f t="shared" si="11"/>
        <v>7</v>
      </c>
      <c r="C20" s="63">
        <f t="shared" si="12"/>
        <v>0</v>
      </c>
      <c r="D20" s="64"/>
      <c r="E20" s="65">
        <f t="shared" si="13"/>
        <v>0</v>
      </c>
      <c r="F20" s="63">
        <f t="shared" si="14"/>
        <v>1180</v>
      </c>
      <c r="G20" s="64">
        <f t="shared" si="24"/>
        <v>1475</v>
      </c>
      <c r="H20" s="65">
        <f t="shared" si="8"/>
        <v>1770</v>
      </c>
      <c r="I20" s="66">
        <f t="shared" si="15"/>
        <v>1180</v>
      </c>
      <c r="J20" s="89">
        <f t="shared" si="15"/>
        <v>1475</v>
      </c>
      <c r="K20" s="67">
        <f t="shared" si="15"/>
        <v>1770</v>
      </c>
      <c r="L20" s="68">
        <f t="shared" si="25"/>
        <v>55</v>
      </c>
      <c r="M20" s="68">
        <f>$M$14+'[1]Summary 40MLD'!R10/1000</f>
        <v>330.97372987921659</v>
      </c>
      <c r="N20" s="68">
        <f t="shared" si="26"/>
        <v>30</v>
      </c>
      <c r="O20" s="68">
        <f t="shared" si="26"/>
        <v>12.5</v>
      </c>
      <c r="P20" s="68">
        <f t="shared" si="27"/>
        <v>0</v>
      </c>
      <c r="Q20" s="66">
        <f t="shared" si="16"/>
        <v>407.05004338525572</v>
      </c>
      <c r="R20" s="70">
        <f t="shared" si="9"/>
        <v>428.47372987921659</v>
      </c>
      <c r="S20" s="67">
        <f t="shared" si="10"/>
        <v>449.89741637317746</v>
      </c>
      <c r="T20" s="66">
        <f t="shared" si="23"/>
        <v>1587.0500433852558</v>
      </c>
      <c r="U20" s="89">
        <f t="shared" si="17"/>
        <v>1903.4737298792165</v>
      </c>
      <c r="V20" s="67">
        <f t="shared" si="17"/>
        <v>2219.8974163731773</v>
      </c>
      <c r="W20" s="6">
        <f t="shared" si="18"/>
        <v>0.78386789163369996</v>
      </c>
      <c r="X20" s="66">
        <f t="shared" si="19"/>
        <v>1244.0375714255724</v>
      </c>
      <c r="Y20" s="89">
        <f t="shared" si="20"/>
        <v>1492.0719394205564</v>
      </c>
      <c r="Z20" s="67">
        <f t="shared" si="21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8"/>
        <v>0</v>
      </c>
      <c r="AK20" s="115">
        <f t="shared" si="29"/>
        <v>0</v>
      </c>
      <c r="AL20" s="97">
        <f>AH20</f>
        <v>0</v>
      </c>
    </row>
    <row r="21" spans="1:38">
      <c r="A21" s="4">
        <f t="shared" si="22"/>
        <v>2027</v>
      </c>
      <c r="B21" s="4">
        <f t="shared" si="11"/>
        <v>8</v>
      </c>
      <c r="C21" s="63">
        <f t="shared" si="12"/>
        <v>0</v>
      </c>
      <c r="D21" s="64"/>
      <c r="E21" s="65">
        <f t="shared" si="13"/>
        <v>0</v>
      </c>
      <c r="F21" s="63">
        <f t="shared" si="14"/>
        <v>1180</v>
      </c>
      <c r="G21" s="64">
        <f t="shared" si="24"/>
        <v>1475</v>
      </c>
      <c r="H21" s="65">
        <f t="shared" si="8"/>
        <v>1770</v>
      </c>
      <c r="I21" s="66">
        <f t="shared" si="15"/>
        <v>1180</v>
      </c>
      <c r="J21" s="89">
        <f t="shared" si="15"/>
        <v>1475</v>
      </c>
      <c r="K21" s="67">
        <f t="shared" si="15"/>
        <v>1770</v>
      </c>
      <c r="L21" s="68">
        <f t="shared" si="25"/>
        <v>55</v>
      </c>
      <c r="M21" s="68">
        <f>$M$14+'[1]Summary 40MLD'!R11/1000</f>
        <v>336.42671869662865</v>
      </c>
      <c r="N21" s="68">
        <f t="shared" si="26"/>
        <v>30</v>
      </c>
      <c r="O21" s="68">
        <f t="shared" si="26"/>
        <v>12.5</v>
      </c>
      <c r="P21" s="68">
        <f t="shared" si="27"/>
        <v>0</v>
      </c>
      <c r="Q21" s="66">
        <f t="shared" si="16"/>
        <v>412.23038276179722</v>
      </c>
      <c r="R21" s="70">
        <f t="shared" si="9"/>
        <v>433.92671869662865</v>
      </c>
      <c r="S21" s="67">
        <f t="shared" si="10"/>
        <v>455.62305463146009</v>
      </c>
      <c r="T21" s="66">
        <f t="shared" si="23"/>
        <v>1592.2303827617973</v>
      </c>
      <c r="U21" s="89">
        <f t="shared" si="17"/>
        <v>1908.9267186966285</v>
      </c>
      <c r="V21" s="67">
        <f t="shared" si="17"/>
        <v>2225.62305463146</v>
      </c>
      <c r="W21" s="6">
        <f t="shared" si="18"/>
        <v>0.75706769522281225</v>
      </c>
      <c r="X21" s="66">
        <f t="shared" si="19"/>
        <v>1205.4261861412101</v>
      </c>
      <c r="Y21" s="89">
        <f t="shared" si="20"/>
        <v>1445.1867512729023</v>
      </c>
      <c r="Z21" s="67">
        <f t="shared" si="21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8"/>
        <v>328.46153846153845</v>
      </c>
      <c r="AK21" s="115">
        <f t="shared" si="29"/>
        <v>3.7670930745478601E-2</v>
      </c>
      <c r="AL21" s="97">
        <f>AH21</f>
        <v>328.46153846153845</v>
      </c>
    </row>
    <row r="22" spans="1:38" ht="13.15">
      <c r="A22" s="4">
        <f t="shared" si="22"/>
        <v>2028</v>
      </c>
      <c r="B22" s="4">
        <f t="shared" si="11"/>
        <v>9</v>
      </c>
      <c r="C22" s="63">
        <f t="shared" si="12"/>
        <v>0</v>
      </c>
      <c r="D22" s="64"/>
      <c r="E22" s="65">
        <f t="shared" si="13"/>
        <v>0</v>
      </c>
      <c r="F22" s="63">
        <f t="shared" si="14"/>
        <v>1180</v>
      </c>
      <c r="G22" s="64">
        <f>$AC$9+X8</f>
        <v>1475</v>
      </c>
      <c r="H22" s="65">
        <f t="shared" si="8"/>
        <v>1770</v>
      </c>
      <c r="I22" s="66">
        <f t="shared" si="15"/>
        <v>1180</v>
      </c>
      <c r="J22" s="89">
        <f t="shared" si="15"/>
        <v>1475</v>
      </c>
      <c r="K22" s="67">
        <f t="shared" si="15"/>
        <v>1770</v>
      </c>
      <c r="L22" s="68">
        <f t="shared" si="25"/>
        <v>55</v>
      </c>
      <c r="M22" s="68">
        <f>$M$14+'[1]Summary 40MLD'!R12/1000</f>
        <v>344.07809776603415</v>
      </c>
      <c r="N22" s="68">
        <f t="shared" si="26"/>
        <v>30</v>
      </c>
      <c r="O22" s="68">
        <f t="shared" si="26"/>
        <v>12.5</v>
      </c>
      <c r="P22" s="68">
        <f t="shared" si="27"/>
        <v>0</v>
      </c>
      <c r="Q22" s="66">
        <f t="shared" si="16"/>
        <v>419.49919287773241</v>
      </c>
      <c r="R22" s="70">
        <f t="shared" si="9"/>
        <v>441.57809776603415</v>
      </c>
      <c r="S22" s="67">
        <f t="shared" si="10"/>
        <v>463.65700265433588</v>
      </c>
      <c r="T22" s="66">
        <f t="shared" si="23"/>
        <v>1599.4991928777324</v>
      </c>
      <c r="U22" s="89">
        <f t="shared" si="17"/>
        <v>1916.5780977660343</v>
      </c>
      <c r="V22" s="67">
        <f t="shared" si="17"/>
        <v>2233.6570026543359</v>
      </c>
      <c r="W22" s="6">
        <f t="shared" si="18"/>
        <v>0.73118378908905945</v>
      </c>
      <c r="X22" s="66">
        <f t="shared" si="19"/>
        <v>1169.5278804932327</v>
      </c>
      <c r="Y22" s="89">
        <f t="shared" si="20"/>
        <v>1401.3708356096708</v>
      </c>
      <c r="Z22" s="67">
        <f t="shared" si="21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2"/>
        <v>2029</v>
      </c>
      <c r="B23" s="4">
        <f t="shared" si="11"/>
        <v>10</v>
      </c>
      <c r="C23" s="63">
        <f t="shared" si="12"/>
        <v>0</v>
      </c>
      <c r="D23" s="64"/>
      <c r="E23" s="65">
        <f t="shared" si="13"/>
        <v>0</v>
      </c>
      <c r="F23" s="63">
        <f t="shared" si="14"/>
        <v>1180</v>
      </c>
      <c r="G23" s="64">
        <f t="shared" si="24"/>
        <v>1475</v>
      </c>
      <c r="H23" s="65">
        <f t="shared" si="8"/>
        <v>1770</v>
      </c>
      <c r="I23" s="66">
        <f t="shared" si="15"/>
        <v>1180</v>
      </c>
      <c r="J23" s="89">
        <f t="shared" si="15"/>
        <v>1475</v>
      </c>
      <c r="K23" s="67">
        <f t="shared" si="15"/>
        <v>1770</v>
      </c>
      <c r="L23" s="68">
        <f t="shared" si="25"/>
        <v>55</v>
      </c>
      <c r="M23" s="68">
        <f>$M$14+'[1]Summary 40MLD'!R13/1000</f>
        <v>358.31074175170977</v>
      </c>
      <c r="N23" s="68">
        <f t="shared" si="26"/>
        <v>30</v>
      </c>
      <c r="O23" s="68">
        <f t="shared" si="26"/>
        <v>12.5</v>
      </c>
      <c r="P23" s="68">
        <f t="shared" si="27"/>
        <v>0</v>
      </c>
      <c r="Q23" s="66">
        <f t="shared" si="16"/>
        <v>433.02020466412426</v>
      </c>
      <c r="R23" s="70">
        <f t="shared" si="9"/>
        <v>455.81074175170977</v>
      </c>
      <c r="S23" s="67">
        <f t="shared" si="10"/>
        <v>478.60127883929528</v>
      </c>
      <c r="T23" s="66">
        <f t="shared" si="23"/>
        <v>1613.0202046641243</v>
      </c>
      <c r="U23" s="89">
        <f t="shared" si="17"/>
        <v>1930.8107417517099</v>
      </c>
      <c r="V23" s="67">
        <f t="shared" si="17"/>
        <v>2248.6012788392954</v>
      </c>
      <c r="W23" s="6">
        <f t="shared" si="18"/>
        <v>0.70618484555636418</v>
      </c>
      <c r="X23" s="66">
        <f t="shared" si="19"/>
        <v>1139.0904241100295</v>
      </c>
      <c r="Y23" s="89">
        <f t="shared" si="20"/>
        <v>1363.5092854625002</v>
      </c>
      <c r="Z23" s="67">
        <f t="shared" si="21"/>
        <v>1587.9281468149709</v>
      </c>
      <c r="AA23" s="14"/>
    </row>
    <row r="24" spans="1:38">
      <c r="A24" s="4">
        <f t="shared" si="22"/>
        <v>2030</v>
      </c>
      <c r="B24" s="4">
        <f t="shared" si="11"/>
        <v>11</v>
      </c>
      <c r="C24" s="63">
        <f t="shared" si="12"/>
        <v>0</v>
      </c>
      <c r="D24" s="64"/>
      <c r="E24" s="65">
        <f t="shared" si="13"/>
        <v>0</v>
      </c>
      <c r="F24" s="63">
        <f t="shared" si="14"/>
        <v>2380</v>
      </c>
      <c r="G24" s="64">
        <f>$AC$9+P6+P8</f>
        <v>2975</v>
      </c>
      <c r="H24" s="65">
        <f t="shared" si="8"/>
        <v>3570</v>
      </c>
      <c r="I24" s="66">
        <f t="shared" si="15"/>
        <v>2380</v>
      </c>
      <c r="J24" s="89">
        <f t="shared" si="15"/>
        <v>2975</v>
      </c>
      <c r="K24" s="67">
        <f t="shared" si="15"/>
        <v>3570</v>
      </c>
      <c r="L24" s="68">
        <f t="shared" si="25"/>
        <v>55</v>
      </c>
      <c r="M24" s="68">
        <f>$M$14+'[1]Summary 40MLD'!R14/1000</f>
        <v>368.40388078689898</v>
      </c>
      <c r="N24" s="68">
        <f t="shared" si="26"/>
        <v>30</v>
      </c>
      <c r="O24" s="68">
        <f t="shared" si="26"/>
        <v>12.5</v>
      </c>
      <c r="P24" s="68">
        <f t="shared" si="27"/>
        <v>0</v>
      </c>
      <c r="Q24" s="66">
        <f t="shared" si="16"/>
        <v>442.60868674755403</v>
      </c>
      <c r="R24" s="70">
        <f t="shared" si="9"/>
        <v>465.90388078689898</v>
      </c>
      <c r="S24" s="67">
        <f t="shared" si="10"/>
        <v>489.19907482624393</v>
      </c>
      <c r="T24" s="66">
        <f t="shared" si="23"/>
        <v>2822.6086867475542</v>
      </c>
      <c r="U24" s="89">
        <f t="shared" si="17"/>
        <v>3440.9038807868992</v>
      </c>
      <c r="V24" s="67">
        <f t="shared" si="17"/>
        <v>4059.1990748262438</v>
      </c>
      <c r="W24" s="6">
        <f t="shared" si="18"/>
        <v>0.68204060803203026</v>
      </c>
      <c r="X24" s="66">
        <f t="shared" si="19"/>
        <v>1925.1337449457924</v>
      </c>
      <c r="Y24" s="89">
        <f t="shared" si="20"/>
        <v>2346.8361750316694</v>
      </c>
      <c r="Z24" s="67">
        <f t="shared" si="21"/>
        <v>2768.538605117546</v>
      </c>
      <c r="AA24" s="14"/>
      <c r="AC24" t="s">
        <v>86</v>
      </c>
    </row>
    <row r="25" spans="1:38">
      <c r="A25" s="4">
        <f t="shared" si="22"/>
        <v>2031</v>
      </c>
      <c r="B25" s="4">
        <f t="shared" si="11"/>
        <v>12</v>
      </c>
      <c r="C25" s="63">
        <f t="shared" si="12"/>
        <v>0</v>
      </c>
      <c r="D25" s="64"/>
      <c r="E25" s="65">
        <f t="shared" si="13"/>
        <v>0</v>
      </c>
      <c r="F25" s="63">
        <f>G25*(1+$F$11)</f>
        <v>1180</v>
      </c>
      <c r="G25" s="64">
        <f t="shared" si="24"/>
        <v>1475</v>
      </c>
      <c r="H25" s="65">
        <f t="shared" si="8"/>
        <v>1770</v>
      </c>
      <c r="I25" s="66">
        <f t="shared" si="15"/>
        <v>1180</v>
      </c>
      <c r="J25" s="89">
        <f t="shared" si="15"/>
        <v>1475</v>
      </c>
      <c r="K25" s="67">
        <f t="shared" si="15"/>
        <v>1770</v>
      </c>
      <c r="L25" s="68">
        <f t="shared" si="25"/>
        <v>55</v>
      </c>
      <c r="M25" s="68">
        <f>$M$14+'[1]Summary 40MLD'!R15/1000</f>
        <v>378.92006329236165</v>
      </c>
      <c r="N25" s="68">
        <f t="shared" si="26"/>
        <v>30</v>
      </c>
      <c r="O25" s="68">
        <f t="shared" si="26"/>
        <v>12.5</v>
      </c>
      <c r="P25" s="68">
        <f t="shared" si="27"/>
        <v>0</v>
      </c>
      <c r="Q25" s="66">
        <f t="shared" si="16"/>
        <v>452.59906012774354</v>
      </c>
      <c r="R25" s="70">
        <f t="shared" si="9"/>
        <v>476.42006329236165</v>
      </c>
      <c r="S25" s="67">
        <f t="shared" si="10"/>
        <v>500.24106645697975</v>
      </c>
      <c r="T25" s="66">
        <f t="shared" si="23"/>
        <v>1632.5990601277435</v>
      </c>
      <c r="U25" s="89">
        <f t="shared" si="17"/>
        <v>1951.4200632923616</v>
      </c>
      <c r="V25" s="67">
        <f t="shared" si="17"/>
        <v>2270.2410664569798</v>
      </c>
      <c r="W25" s="6">
        <f t="shared" si="18"/>
        <v>0.65872185438673958</v>
      </c>
      <c r="X25" s="66">
        <f t="shared" si="19"/>
        <v>1075.4286803573955</v>
      </c>
      <c r="Y25" s="89">
        <f t="shared" si="20"/>
        <v>1285.4430427794332</v>
      </c>
      <c r="Z25" s="67">
        <f t="shared" si="21"/>
        <v>1495.4574052014709</v>
      </c>
      <c r="AA25" s="14"/>
      <c r="AC25" t="s">
        <v>83</v>
      </c>
      <c r="AG25">
        <v>700</v>
      </c>
    </row>
    <row r="26" spans="1:38">
      <c r="A26" s="4">
        <f t="shared" si="22"/>
        <v>2032</v>
      </c>
      <c r="B26" s="4">
        <f t="shared" si="11"/>
        <v>13</v>
      </c>
      <c r="C26" s="63">
        <f t="shared" si="12"/>
        <v>0</v>
      </c>
      <c r="D26" s="64"/>
      <c r="E26" s="65">
        <f t="shared" si="13"/>
        <v>0</v>
      </c>
      <c r="F26" s="63">
        <f t="shared" si="14"/>
        <v>1180</v>
      </c>
      <c r="G26" s="64">
        <f>$AC$9+X8</f>
        <v>1475</v>
      </c>
      <c r="H26" s="65">
        <f t="shared" si="8"/>
        <v>1770</v>
      </c>
      <c r="I26" s="66">
        <f t="shared" si="15"/>
        <v>1180</v>
      </c>
      <c r="J26" s="89">
        <f t="shared" si="15"/>
        <v>1475</v>
      </c>
      <c r="K26" s="67">
        <f t="shared" si="15"/>
        <v>1770</v>
      </c>
      <c r="L26" s="68">
        <f t="shared" si="25"/>
        <v>55</v>
      </c>
      <c r="M26" s="68">
        <f>$M$14+'[1]Summary 40MLD'!R16/1000</f>
        <v>386.06526709799408</v>
      </c>
      <c r="N26" s="68">
        <f t="shared" si="26"/>
        <v>30</v>
      </c>
      <c r="O26" s="68">
        <f t="shared" si="26"/>
        <v>12.5</v>
      </c>
      <c r="P26" s="68">
        <f t="shared" si="27"/>
        <v>0</v>
      </c>
      <c r="Q26" s="66">
        <f t="shared" si="16"/>
        <v>459.38700374309434</v>
      </c>
      <c r="R26" s="70">
        <f t="shared" si="9"/>
        <v>483.56526709799408</v>
      </c>
      <c r="S26" s="67">
        <f t="shared" si="10"/>
        <v>507.74353045289382</v>
      </c>
      <c r="T26" s="66">
        <f t="shared" si="23"/>
        <v>1639.3870037430943</v>
      </c>
      <c r="U26" s="89">
        <f t="shared" si="17"/>
        <v>1958.5652670979941</v>
      </c>
      <c r="V26" s="67">
        <f t="shared" si="17"/>
        <v>2277.743530452894</v>
      </c>
      <c r="W26" s="6">
        <f t="shared" si="18"/>
        <v>0.63620036158657478</v>
      </c>
      <c r="X26" s="66">
        <f t="shared" si="19"/>
        <v>1042.9786045616879</v>
      </c>
      <c r="Y26" s="89">
        <f t="shared" si="20"/>
        <v>1246.0399311186502</v>
      </c>
      <c r="Z26" s="67">
        <f t="shared" si="21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2"/>
        <v>2033</v>
      </c>
      <c r="B27" s="4">
        <f t="shared" si="11"/>
        <v>14</v>
      </c>
      <c r="C27" s="63">
        <f t="shared" si="12"/>
        <v>17203.342415331303</v>
      </c>
      <c r="D27" s="64">
        <f>(T9+X9)/2</f>
        <v>19114.82490592367</v>
      </c>
      <c r="E27" s="65">
        <f t="shared" si="13"/>
        <v>21026.307396516037</v>
      </c>
      <c r="F27" s="63">
        <f t="shared" si="14"/>
        <v>1180</v>
      </c>
      <c r="G27" s="64">
        <f t="shared" si="24"/>
        <v>1475</v>
      </c>
      <c r="H27" s="65">
        <f t="shared" si="8"/>
        <v>1770</v>
      </c>
      <c r="I27" s="66">
        <f t="shared" si="15"/>
        <v>18383.342415331303</v>
      </c>
      <c r="J27" s="89">
        <f t="shared" si="15"/>
        <v>20589.82490592367</v>
      </c>
      <c r="K27" s="67">
        <f t="shared" si="15"/>
        <v>22796.307396516037</v>
      </c>
      <c r="L27" s="68">
        <f t="shared" si="25"/>
        <v>55</v>
      </c>
      <c r="M27" s="68">
        <f>$M$14+'[1]Summary 40MLD'!R17/1000</f>
        <v>395.18188690263975</v>
      </c>
      <c r="N27" s="68">
        <f t="shared" si="26"/>
        <v>30</v>
      </c>
      <c r="O27" s="68">
        <f t="shared" si="26"/>
        <v>12.5</v>
      </c>
      <c r="P27" s="68">
        <f t="shared" si="27"/>
        <v>0</v>
      </c>
      <c r="Q27" s="66">
        <f t="shared" si="16"/>
        <v>468.04779255750776</v>
      </c>
      <c r="R27" s="70">
        <f t="shared" si="9"/>
        <v>492.68188690263975</v>
      </c>
      <c r="S27" s="67">
        <f t="shared" si="10"/>
        <v>517.31598124777179</v>
      </c>
      <c r="T27" s="66">
        <f t="shared" si="23"/>
        <v>18851.39020788881</v>
      </c>
      <c r="U27" s="89">
        <f t="shared" si="17"/>
        <v>21082.506792826309</v>
      </c>
      <c r="V27" s="67">
        <f t="shared" si="17"/>
        <v>23313.623377763808</v>
      </c>
      <c r="W27" s="6">
        <f t="shared" si="18"/>
        <v>0.61444887153426186</v>
      </c>
      <c r="X27" s="66">
        <f t="shared" si="19"/>
        <v>11583.215440089312</v>
      </c>
      <c r="Y27" s="89">
        <f t="shared" si="20"/>
        <v>12954.122507965536</v>
      </c>
      <c r="Z27" s="67">
        <f t="shared" si="21"/>
        <v>14325.029575841758</v>
      </c>
      <c r="AA27" s="14"/>
      <c r="AC27" t="s">
        <v>85</v>
      </c>
      <c r="AG27">
        <f>3*350</f>
        <v>1050</v>
      </c>
    </row>
    <row r="28" spans="1:38">
      <c r="A28" s="4">
        <f t="shared" si="22"/>
        <v>2034</v>
      </c>
      <c r="B28" s="4">
        <f t="shared" si="11"/>
        <v>15</v>
      </c>
      <c r="C28" s="63">
        <f t="shared" si="12"/>
        <v>17203.342415331303</v>
      </c>
      <c r="D28" s="64">
        <f>D27</f>
        <v>19114.82490592367</v>
      </c>
      <c r="E28" s="65">
        <f t="shared" si="13"/>
        <v>21026.307396516037</v>
      </c>
      <c r="F28" s="63">
        <f t="shared" si="14"/>
        <v>1180</v>
      </c>
      <c r="G28" s="64">
        <f t="shared" si="24"/>
        <v>1475</v>
      </c>
      <c r="H28" s="65">
        <f t="shared" si="8"/>
        <v>1770</v>
      </c>
      <c r="I28" s="66">
        <f t="shared" si="15"/>
        <v>18383.342415331303</v>
      </c>
      <c r="J28" s="89">
        <f t="shared" si="15"/>
        <v>20589.82490592367</v>
      </c>
      <c r="K28" s="67">
        <f t="shared" si="15"/>
        <v>22796.307396516037</v>
      </c>
      <c r="L28" s="68">
        <f t="shared" si="25"/>
        <v>55</v>
      </c>
      <c r="M28" s="68">
        <f>$M$14+'[1]Summary 40MLD'!R18/1000</f>
        <v>403.01537403156146</v>
      </c>
      <c r="N28" s="68">
        <f t="shared" si="26"/>
        <v>30</v>
      </c>
      <c r="O28" s="68">
        <f t="shared" si="26"/>
        <v>12.5</v>
      </c>
      <c r="P28" s="68">
        <f t="shared" si="27"/>
        <v>0</v>
      </c>
      <c r="Q28" s="66">
        <f t="shared" si="16"/>
        <v>475.48960532998336</v>
      </c>
      <c r="R28" s="70">
        <f t="shared" si="9"/>
        <v>500.51537403156146</v>
      </c>
      <c r="S28" s="67">
        <f t="shared" si="10"/>
        <v>525.54114273313951</v>
      </c>
      <c r="T28" s="66">
        <f t="shared" si="23"/>
        <v>18858.832020661284</v>
      </c>
      <c r="U28" s="89">
        <f t="shared" si="17"/>
        <v>21090.340279955231</v>
      </c>
      <c r="V28" s="67">
        <f t="shared" si="17"/>
        <v>23321.848539249175</v>
      </c>
      <c r="W28" s="6">
        <f t="shared" si="18"/>
        <v>0.5934410580782904</v>
      </c>
      <c r="X28" s="66">
        <f t="shared" si="19"/>
        <v>11191.605228461976</v>
      </c>
      <c r="Y28" s="89">
        <f t="shared" si="20"/>
        <v>12515.873850967821</v>
      </c>
      <c r="Z28" s="67">
        <f t="shared" si="21"/>
        <v>13840.142473473661</v>
      </c>
      <c r="AA28" s="14"/>
      <c r="AG28">
        <f>SUM(AG25:AG27)</f>
        <v>2150</v>
      </c>
    </row>
    <row r="29" spans="1:38">
      <c r="A29" s="4">
        <f t="shared" si="22"/>
        <v>2035</v>
      </c>
      <c r="B29" s="4">
        <f t="shared" si="11"/>
        <v>16</v>
      </c>
      <c r="C29" s="63">
        <f t="shared" si="12"/>
        <v>0</v>
      </c>
      <c r="D29" s="64"/>
      <c r="E29" s="65">
        <f t="shared" si="13"/>
        <v>0</v>
      </c>
      <c r="F29" s="63">
        <f t="shared" si="14"/>
        <v>1780</v>
      </c>
      <c r="G29" s="64">
        <f>$AC$9+P8</f>
        <v>2225</v>
      </c>
      <c r="H29" s="65">
        <f t="shared" si="8"/>
        <v>2670</v>
      </c>
      <c r="I29" s="66">
        <f t="shared" si="15"/>
        <v>1780</v>
      </c>
      <c r="J29" s="89">
        <f t="shared" si="15"/>
        <v>2225</v>
      </c>
      <c r="K29" s="67">
        <f t="shared" si="15"/>
        <v>2670</v>
      </c>
      <c r="L29" s="68">
        <f t="shared" si="25"/>
        <v>55</v>
      </c>
      <c r="M29" s="68">
        <f>$M$14+'[1]Summary 40MLD'!R19/1000</f>
        <v>410.78669209169692</v>
      </c>
      <c r="N29" s="68">
        <f t="shared" si="26"/>
        <v>30</v>
      </c>
      <c r="O29" s="68">
        <f t="shared" si="26"/>
        <v>12.5</v>
      </c>
      <c r="P29" s="68">
        <f t="shared" si="27"/>
        <v>0</v>
      </c>
      <c r="Q29" s="66">
        <f t="shared" si="16"/>
        <v>482.87235748711203</v>
      </c>
      <c r="R29" s="70">
        <f t="shared" si="9"/>
        <v>508.28669209169692</v>
      </c>
      <c r="S29" s="67">
        <f t="shared" si="10"/>
        <v>533.70102669628182</v>
      </c>
      <c r="T29" s="66">
        <f t="shared" si="23"/>
        <v>2262.8723574871119</v>
      </c>
      <c r="U29" s="89">
        <f t="shared" si="17"/>
        <v>2733.2866920916968</v>
      </c>
      <c r="V29" s="67">
        <f t="shared" si="17"/>
        <v>3203.7010266962816</v>
      </c>
      <c r="W29" s="6">
        <f t="shared" si="18"/>
        <v>0.57315149514998098</v>
      </c>
      <c r="X29" s="66">
        <f t="shared" si="19"/>
        <v>1296.9686750273004</v>
      </c>
      <c r="Y29" s="89">
        <f t="shared" si="20"/>
        <v>1566.5873542459017</v>
      </c>
      <c r="Z29" s="67">
        <f t="shared" si="21"/>
        <v>1836.206033464503</v>
      </c>
      <c r="AA29" s="14"/>
    </row>
    <row r="30" spans="1:38">
      <c r="A30" s="4">
        <f t="shared" si="22"/>
        <v>2036</v>
      </c>
      <c r="B30" s="4">
        <f t="shared" si="11"/>
        <v>17</v>
      </c>
      <c r="C30" s="63">
        <f t="shared" si="12"/>
        <v>0</v>
      </c>
      <c r="D30" s="64"/>
      <c r="E30" s="65">
        <f t="shared" si="13"/>
        <v>0</v>
      </c>
      <c r="F30" s="63">
        <f t="shared" si="14"/>
        <v>1180</v>
      </c>
      <c r="G30" s="64">
        <f>$AC$9+X8</f>
        <v>1475</v>
      </c>
      <c r="H30" s="65">
        <f t="shared" si="8"/>
        <v>1770</v>
      </c>
      <c r="I30" s="66">
        <f t="shared" si="15"/>
        <v>1180</v>
      </c>
      <c r="J30" s="89">
        <f t="shared" si="15"/>
        <v>1475</v>
      </c>
      <c r="K30" s="67">
        <f t="shared" si="15"/>
        <v>1770</v>
      </c>
      <c r="L30" s="68">
        <f t="shared" si="25"/>
        <v>55</v>
      </c>
      <c r="M30" s="68">
        <f>$M$14+'[1]Summary 40MLD'!R20/1000</f>
        <v>426.79445308876024</v>
      </c>
      <c r="N30" s="68">
        <f t="shared" si="26"/>
        <v>30</v>
      </c>
      <c r="O30" s="68">
        <f t="shared" si="26"/>
        <v>12.5</v>
      </c>
      <c r="P30" s="68">
        <f t="shared" si="27"/>
        <v>0</v>
      </c>
      <c r="Q30" s="66">
        <f t="shared" si="16"/>
        <v>498.07973043432224</v>
      </c>
      <c r="R30" s="70">
        <f t="shared" si="9"/>
        <v>524.29445308876029</v>
      </c>
      <c r="S30" s="67">
        <f t="shared" si="10"/>
        <v>550.50917574319828</v>
      </c>
      <c r="T30" s="66">
        <f t="shared" si="23"/>
        <v>1678.0797304343223</v>
      </c>
      <c r="U30" s="89">
        <f t="shared" si="17"/>
        <v>1999.2944530887603</v>
      </c>
      <c r="V30" s="67">
        <f t="shared" si="17"/>
        <v>2320.5091757431983</v>
      </c>
      <c r="W30" s="6">
        <f t="shared" si="18"/>
        <v>0.55355562598993713</v>
      </c>
      <c r="X30" s="66">
        <f t="shared" si="19"/>
        <v>928.91047564159624</v>
      </c>
      <c r="Y30" s="89">
        <f t="shared" si="20"/>
        <v>1106.7206925177577</v>
      </c>
      <c r="Z30" s="67">
        <f t="shared" si="21"/>
        <v>1284.530909393919</v>
      </c>
      <c r="AA30" s="14"/>
    </row>
    <row r="31" spans="1:38">
      <c r="A31" s="4">
        <f t="shared" si="22"/>
        <v>2037</v>
      </c>
      <c r="B31" s="4">
        <f t="shared" si="11"/>
        <v>18</v>
      </c>
      <c r="C31" s="63">
        <f t="shared" si="12"/>
        <v>0</v>
      </c>
      <c r="D31" s="27"/>
      <c r="E31" s="65">
        <f t="shared" si="13"/>
        <v>0</v>
      </c>
      <c r="F31" s="63">
        <f t="shared" si="14"/>
        <v>1180</v>
      </c>
      <c r="G31" s="64">
        <f t="shared" si="24"/>
        <v>1475</v>
      </c>
      <c r="H31" s="65">
        <f t="shared" si="8"/>
        <v>1770</v>
      </c>
      <c r="I31" s="66">
        <f t="shared" si="15"/>
        <v>1180</v>
      </c>
      <c r="J31" s="89">
        <f t="shared" si="15"/>
        <v>1475</v>
      </c>
      <c r="K31" s="67">
        <f t="shared" si="15"/>
        <v>1770</v>
      </c>
      <c r="L31" s="68">
        <f t="shared" si="25"/>
        <v>55</v>
      </c>
      <c r="M31" s="68">
        <f>$M$14+'[1]Summary 40MLD'!R21/1000</f>
        <v>442.28456849312823</v>
      </c>
      <c r="N31" s="68">
        <f t="shared" si="26"/>
        <v>30</v>
      </c>
      <c r="O31" s="68">
        <f t="shared" si="26"/>
        <v>12.5</v>
      </c>
      <c r="P31" s="68">
        <f t="shared" si="27"/>
        <v>0</v>
      </c>
      <c r="Q31" s="66">
        <f t="shared" si="16"/>
        <v>512.79534006847189</v>
      </c>
      <c r="R31" s="70">
        <f t="shared" si="9"/>
        <v>539.78456849312829</v>
      </c>
      <c r="S31" s="67">
        <f t="shared" si="10"/>
        <v>566.77379691778469</v>
      </c>
      <c r="T31" s="66">
        <f t="shared" si="23"/>
        <v>1692.7953400684719</v>
      </c>
      <c r="U31" s="89">
        <f t="shared" si="17"/>
        <v>2014.7845684931283</v>
      </c>
      <c r="V31" s="67">
        <f t="shared" si="17"/>
        <v>2336.7737969177847</v>
      </c>
      <c r="W31" s="6">
        <f t="shared" si="18"/>
        <v>0.53462973342663422</v>
      </c>
      <c r="X31" s="66">
        <f t="shared" si="19"/>
        <v>905.0187214066558</v>
      </c>
      <c r="Y31" s="89">
        <f t="shared" si="20"/>
        <v>1077.1637367655774</v>
      </c>
      <c r="Z31" s="67">
        <f t="shared" si="21"/>
        <v>1249.3087521244991</v>
      </c>
      <c r="AA31" s="14"/>
    </row>
    <row r="32" spans="1:38">
      <c r="A32" s="4">
        <f t="shared" si="22"/>
        <v>2038</v>
      </c>
      <c r="B32" s="4">
        <f t="shared" si="11"/>
        <v>19</v>
      </c>
      <c r="C32" s="63">
        <f t="shared" si="12"/>
        <v>0</v>
      </c>
      <c r="D32" s="27"/>
      <c r="E32" s="65">
        <f t="shared" si="13"/>
        <v>0</v>
      </c>
      <c r="F32" s="63">
        <f t="shared" si="14"/>
        <v>1180</v>
      </c>
      <c r="G32" s="64">
        <f t="shared" si="24"/>
        <v>1475</v>
      </c>
      <c r="H32" s="65">
        <f t="shared" si="8"/>
        <v>1770</v>
      </c>
      <c r="I32" s="66">
        <f t="shared" si="15"/>
        <v>1180</v>
      </c>
      <c r="J32" s="89">
        <f t="shared" si="15"/>
        <v>1475</v>
      </c>
      <c r="K32" s="67">
        <f t="shared" si="15"/>
        <v>1770</v>
      </c>
      <c r="L32" s="68">
        <f t="shared" si="25"/>
        <v>55</v>
      </c>
      <c r="M32" s="68">
        <f>$M$14+'[1]Summary 40MLD'!R22/1000</f>
        <v>454.49530981036185</v>
      </c>
      <c r="N32" s="68">
        <f t="shared" ref="N32:O47" si="30">N31</f>
        <v>30</v>
      </c>
      <c r="O32" s="68">
        <f t="shared" si="30"/>
        <v>12.5</v>
      </c>
      <c r="P32" s="68">
        <f t="shared" si="27"/>
        <v>0</v>
      </c>
      <c r="Q32" s="66">
        <f t="shared" si="16"/>
        <v>524.39554431984368</v>
      </c>
      <c r="R32" s="70">
        <f t="shared" si="9"/>
        <v>551.99530981036185</v>
      </c>
      <c r="S32" s="67">
        <f t="shared" si="10"/>
        <v>579.59507530088001</v>
      </c>
      <c r="T32" s="66">
        <f t="shared" si="23"/>
        <v>1704.3955443198438</v>
      </c>
      <c r="U32" s="89">
        <f t="shared" si="17"/>
        <v>2026.995309810362</v>
      </c>
      <c r="V32" s="67">
        <f t="shared" si="17"/>
        <v>2349.5950753008801</v>
      </c>
      <c r="W32" s="6">
        <f t="shared" si="18"/>
        <v>0.51635091117117471</v>
      </c>
      <c r="X32" s="66">
        <f t="shared" si="19"/>
        <v>880.06619230564161</v>
      </c>
      <c r="Y32" s="89">
        <f t="shared" si="20"/>
        <v>1046.640875160278</v>
      </c>
      <c r="Z32" s="67">
        <f t="shared" si="21"/>
        <v>1213.2155580149142</v>
      </c>
      <c r="AA32" s="14"/>
    </row>
    <row r="33" spans="1:27">
      <c r="A33" s="4">
        <f t="shared" si="22"/>
        <v>2039</v>
      </c>
      <c r="B33" s="4">
        <f t="shared" si="11"/>
        <v>20</v>
      </c>
      <c r="C33" s="63">
        <f t="shared" si="12"/>
        <v>0</v>
      </c>
      <c r="D33" s="64"/>
      <c r="E33" s="65">
        <f t="shared" si="13"/>
        <v>0</v>
      </c>
      <c r="F33" s="63">
        <f t="shared" si="14"/>
        <v>1180</v>
      </c>
      <c r="G33" s="64">
        <f t="shared" si="24"/>
        <v>1475</v>
      </c>
      <c r="H33" s="65">
        <f t="shared" si="8"/>
        <v>1770</v>
      </c>
      <c r="I33" s="66">
        <f t="shared" si="15"/>
        <v>1180</v>
      </c>
      <c r="J33" s="89">
        <f t="shared" si="15"/>
        <v>1475</v>
      </c>
      <c r="K33" s="67">
        <f t="shared" si="15"/>
        <v>1770</v>
      </c>
      <c r="L33" s="68">
        <f t="shared" si="25"/>
        <v>55</v>
      </c>
      <c r="M33" s="68">
        <f>$M$14+'[1]Summary 40MLD'!R23/1000</f>
        <v>468.91011753151565</v>
      </c>
      <c r="N33" s="68">
        <f t="shared" si="30"/>
        <v>30</v>
      </c>
      <c r="O33" s="68">
        <f t="shared" si="30"/>
        <v>12.5</v>
      </c>
      <c r="P33" s="68">
        <f t="shared" si="27"/>
        <v>0</v>
      </c>
      <c r="Q33" s="66">
        <f t="shared" si="16"/>
        <v>538.08961165493986</v>
      </c>
      <c r="R33" s="70">
        <f t="shared" si="9"/>
        <v>566.41011753151565</v>
      </c>
      <c r="S33" s="67">
        <f t="shared" si="10"/>
        <v>594.73062340809145</v>
      </c>
      <c r="T33" s="66">
        <f t="shared" si="23"/>
        <v>1718.0896116549397</v>
      </c>
      <c r="U33" s="89">
        <f t="shared" si="17"/>
        <v>2041.4101175315157</v>
      </c>
      <c r="V33" s="67">
        <f t="shared" si="17"/>
        <v>2364.7306234080916</v>
      </c>
      <c r="W33" s="6">
        <f t="shared" si="18"/>
        <v>0.49869703609346588</v>
      </c>
      <c r="X33" s="66">
        <f t="shared" si="19"/>
        <v>856.80619707529229</v>
      </c>
      <c r="Y33" s="89">
        <f t="shared" si="20"/>
        <v>1018.0451750641807</v>
      </c>
      <c r="Z33" s="67">
        <f t="shared" si="21"/>
        <v>1179.2841530530691</v>
      </c>
      <c r="AA33" s="14"/>
    </row>
    <row r="34" spans="1:27">
      <c r="A34" s="4">
        <f t="shared" si="22"/>
        <v>2040</v>
      </c>
      <c r="B34" s="4">
        <f t="shared" si="11"/>
        <v>21</v>
      </c>
      <c r="C34" s="63">
        <f t="shared" si="12"/>
        <v>0</v>
      </c>
      <c r="D34" s="64"/>
      <c r="E34" s="65">
        <f t="shared" si="13"/>
        <v>0</v>
      </c>
      <c r="F34" s="63">
        <f t="shared" si="14"/>
        <v>2380</v>
      </c>
      <c r="G34" s="64">
        <f>$AC$9+P6+P8</f>
        <v>2975</v>
      </c>
      <c r="H34" s="65">
        <f t="shared" si="8"/>
        <v>3570</v>
      </c>
      <c r="I34" s="66">
        <f t="shared" si="15"/>
        <v>2380</v>
      </c>
      <c r="J34" s="89">
        <f t="shared" si="15"/>
        <v>2975</v>
      </c>
      <c r="K34" s="67">
        <f t="shared" si="15"/>
        <v>3570</v>
      </c>
      <c r="L34" s="68">
        <f t="shared" si="25"/>
        <v>55</v>
      </c>
      <c r="M34" s="68">
        <f>$M$14+'[1]Summary 40MLD'!R24/1000</f>
        <v>483.56425355965922</v>
      </c>
      <c r="N34" s="68">
        <f t="shared" si="30"/>
        <v>30</v>
      </c>
      <c r="O34" s="68">
        <f t="shared" si="30"/>
        <v>12.5</v>
      </c>
      <c r="P34" s="68">
        <f t="shared" si="27"/>
        <v>0</v>
      </c>
      <c r="Q34" s="66">
        <f t="shared" si="16"/>
        <v>552.01104088167619</v>
      </c>
      <c r="R34" s="70">
        <f t="shared" si="9"/>
        <v>581.06425355965916</v>
      </c>
      <c r="S34" s="67">
        <f t="shared" si="10"/>
        <v>610.11746623764213</v>
      </c>
      <c r="T34" s="66">
        <f t="shared" si="23"/>
        <v>2932.0110408816763</v>
      </c>
      <c r="U34" s="89">
        <f t="shared" si="17"/>
        <v>3556.0642535596589</v>
      </c>
      <c r="V34" s="67">
        <f t="shared" si="17"/>
        <v>4180.1174662376425</v>
      </c>
      <c r="W34" s="6">
        <f t="shared" si="18"/>
        <v>0.48164674144626801</v>
      </c>
      <c r="X34" s="66">
        <f t="shared" si="19"/>
        <v>1412.1935637251399</v>
      </c>
      <c r="Y34" s="89">
        <f t="shared" si="20"/>
        <v>1712.7667601005651</v>
      </c>
      <c r="Z34" s="67">
        <f t="shared" si="21"/>
        <v>2013.3399564759907</v>
      </c>
      <c r="AA34" s="14"/>
    </row>
    <row r="35" spans="1:27">
      <c r="A35" s="4">
        <f t="shared" si="22"/>
        <v>2041</v>
      </c>
      <c r="B35" s="4">
        <f t="shared" si="11"/>
        <v>22</v>
      </c>
      <c r="C35" s="63">
        <f t="shared" si="12"/>
        <v>0</v>
      </c>
      <c r="D35" s="64"/>
      <c r="E35" s="65">
        <f t="shared" si="13"/>
        <v>0</v>
      </c>
      <c r="F35" s="63">
        <f t="shared" si="14"/>
        <v>1180</v>
      </c>
      <c r="G35" s="64">
        <f t="shared" si="24"/>
        <v>1475</v>
      </c>
      <c r="H35" s="65">
        <f t="shared" si="8"/>
        <v>1770</v>
      </c>
      <c r="I35" s="66">
        <f t="shared" si="15"/>
        <v>1180</v>
      </c>
      <c r="J35" s="89">
        <f t="shared" si="15"/>
        <v>1475</v>
      </c>
      <c r="K35" s="67">
        <f t="shared" si="15"/>
        <v>1770</v>
      </c>
      <c r="L35" s="68">
        <f t="shared" si="25"/>
        <v>55</v>
      </c>
      <c r="M35" s="68">
        <f>$M$14+'[1]Summary 40MLD'!R25/1000</f>
        <v>498.41448773437878</v>
      </c>
      <c r="N35" s="68">
        <f t="shared" si="30"/>
        <v>30</v>
      </c>
      <c r="O35" s="68">
        <f t="shared" si="30"/>
        <v>12.5</v>
      </c>
      <c r="P35" s="68">
        <f t="shared" si="27"/>
        <v>0</v>
      </c>
      <c r="Q35" s="66">
        <f t="shared" si="16"/>
        <v>566.11876334765986</v>
      </c>
      <c r="R35" s="70">
        <f t="shared" si="9"/>
        <v>595.91448773437878</v>
      </c>
      <c r="S35" s="67">
        <f t="shared" si="10"/>
        <v>625.7102121210977</v>
      </c>
      <c r="T35" s="66">
        <f t="shared" si="23"/>
        <v>1746.1187633476598</v>
      </c>
      <c r="U35" s="89">
        <f t="shared" si="17"/>
        <v>2070.9144877343788</v>
      </c>
      <c r="V35" s="67">
        <f t="shared" si="17"/>
        <v>2395.7102121210978</v>
      </c>
      <c r="W35" s="6">
        <f t="shared" si="18"/>
        <v>0.46517939100470151</v>
      </c>
      <c r="X35" s="66">
        <f t="shared" si="19"/>
        <v>812.25846295594692</v>
      </c>
      <c r="Y35" s="89">
        <f t="shared" si="20"/>
        <v>963.34674022709169</v>
      </c>
      <c r="Z35" s="67">
        <f t="shared" si="21"/>
        <v>1114.4350174982367</v>
      </c>
      <c r="AA35" s="14"/>
    </row>
    <row r="36" spans="1:27">
      <c r="A36" s="4">
        <f t="shared" si="22"/>
        <v>2042</v>
      </c>
      <c r="B36" s="4">
        <f t="shared" si="11"/>
        <v>23</v>
      </c>
      <c r="C36" s="63">
        <f t="shared" si="12"/>
        <v>0</v>
      </c>
      <c r="D36" s="64"/>
      <c r="E36" s="65">
        <f t="shared" si="13"/>
        <v>0</v>
      </c>
      <c r="F36" s="63">
        <f t="shared" si="14"/>
        <v>1180</v>
      </c>
      <c r="G36" s="64">
        <f t="shared" si="24"/>
        <v>1475</v>
      </c>
      <c r="H36" s="65">
        <f t="shared" si="8"/>
        <v>1770</v>
      </c>
      <c r="I36" s="66">
        <f t="shared" si="15"/>
        <v>1180</v>
      </c>
      <c r="J36" s="89">
        <f t="shared" si="15"/>
        <v>1475</v>
      </c>
      <c r="K36" s="67">
        <f t="shared" si="15"/>
        <v>1770</v>
      </c>
      <c r="L36" s="68">
        <f t="shared" si="25"/>
        <v>55</v>
      </c>
      <c r="M36" s="68">
        <f>$M$14+'[1]Summary 40MLD'!R26/1000</f>
        <v>507.11810941023009</v>
      </c>
      <c r="N36" s="68">
        <f t="shared" si="30"/>
        <v>30</v>
      </c>
      <c r="O36" s="68">
        <f t="shared" si="30"/>
        <v>12.5</v>
      </c>
      <c r="P36" s="68">
        <f t="shared" si="27"/>
        <v>0</v>
      </c>
      <c r="Q36" s="66">
        <f t="shared" si="16"/>
        <v>574.38720393971857</v>
      </c>
      <c r="R36" s="70">
        <f t="shared" si="9"/>
        <v>604.61810941023009</v>
      </c>
      <c r="S36" s="67">
        <f t="shared" si="10"/>
        <v>634.84901488074161</v>
      </c>
      <c r="T36" s="66">
        <f t="shared" si="23"/>
        <v>1754.3872039397186</v>
      </c>
      <c r="U36" s="89">
        <f t="shared" si="17"/>
        <v>2079.6181094102303</v>
      </c>
      <c r="V36" s="67">
        <f t="shared" si="17"/>
        <v>2404.8490148807414</v>
      </c>
      <c r="W36" s="6">
        <f t="shared" si="18"/>
        <v>0.44927505408991841</v>
      </c>
      <c r="X36" s="66">
        <f t="shared" si="19"/>
        <v>788.20240594467782</v>
      </c>
      <c r="Y36" s="89">
        <f t="shared" si="20"/>
        <v>934.32053859165512</v>
      </c>
      <c r="Z36" s="67">
        <f t="shared" si="21"/>
        <v>1080.4386712386322</v>
      </c>
      <c r="AA36" s="14"/>
    </row>
    <row r="37" spans="1:27">
      <c r="A37" s="4">
        <f t="shared" si="22"/>
        <v>2043</v>
      </c>
      <c r="B37" s="4">
        <f t="shared" si="11"/>
        <v>24</v>
      </c>
      <c r="C37" s="63">
        <f t="shared" si="12"/>
        <v>0</v>
      </c>
      <c r="D37" s="64"/>
      <c r="E37" s="65">
        <f t="shared" si="13"/>
        <v>0</v>
      </c>
      <c r="F37" s="63">
        <f t="shared" si="14"/>
        <v>1180</v>
      </c>
      <c r="G37" s="64">
        <f t="shared" si="24"/>
        <v>1475</v>
      </c>
      <c r="H37" s="65">
        <f t="shared" si="8"/>
        <v>1770</v>
      </c>
      <c r="I37" s="66">
        <f t="shared" si="15"/>
        <v>1180</v>
      </c>
      <c r="J37" s="89">
        <f t="shared" si="15"/>
        <v>1475</v>
      </c>
      <c r="K37" s="67">
        <f t="shared" si="15"/>
        <v>1770</v>
      </c>
      <c r="L37" s="68">
        <f t="shared" si="25"/>
        <v>55</v>
      </c>
      <c r="M37" s="68">
        <f>$M$14+'[1]Summary 40MLD'!R27/1000</f>
        <v>515.8217310860814</v>
      </c>
      <c r="N37" s="68">
        <f t="shared" si="30"/>
        <v>30</v>
      </c>
      <c r="O37" s="68">
        <f t="shared" si="30"/>
        <v>12.5</v>
      </c>
      <c r="P37" s="68">
        <f t="shared" si="27"/>
        <v>0</v>
      </c>
      <c r="Q37" s="66">
        <f t="shared" si="16"/>
        <v>582.65564453177728</v>
      </c>
      <c r="R37" s="70">
        <f t="shared" si="9"/>
        <v>613.3217310860814</v>
      </c>
      <c r="S37" s="67">
        <f t="shared" si="10"/>
        <v>643.98781764038552</v>
      </c>
      <c r="T37" s="66">
        <f t="shared" si="23"/>
        <v>1762.6556445317774</v>
      </c>
      <c r="U37" s="89">
        <f t="shared" si="17"/>
        <v>2088.3217310860814</v>
      </c>
      <c r="V37" s="67">
        <f t="shared" si="17"/>
        <v>2413.9878176403854</v>
      </c>
      <c r="W37" s="6">
        <f t="shared" si="18"/>
        <v>0.43391448144670497</v>
      </c>
      <c r="X37" s="66">
        <f t="shared" si="19"/>
        <v>764.84180996611371</v>
      </c>
      <c r="Y37" s="89">
        <f t="shared" si="20"/>
        <v>906.15304103810229</v>
      </c>
      <c r="Z37" s="67">
        <f t="shared" si="21"/>
        <v>1047.4642721100909</v>
      </c>
      <c r="AA37" s="14"/>
    </row>
    <row r="38" spans="1:27">
      <c r="A38" s="4">
        <f t="shared" si="22"/>
        <v>2044</v>
      </c>
      <c r="B38" s="4">
        <f t="shared" si="11"/>
        <v>25</v>
      </c>
      <c r="C38" s="63">
        <f t="shared" si="12"/>
        <v>0</v>
      </c>
      <c r="D38" s="64"/>
      <c r="E38" s="65">
        <f t="shared" si="13"/>
        <v>0</v>
      </c>
      <c r="F38" s="63">
        <f t="shared" si="14"/>
        <v>1180</v>
      </c>
      <c r="G38" s="64">
        <f>$AC$9+X8</f>
        <v>1475</v>
      </c>
      <c r="H38" s="65">
        <f t="shared" si="8"/>
        <v>1770</v>
      </c>
      <c r="I38" s="66">
        <f t="shared" si="15"/>
        <v>1180</v>
      </c>
      <c r="J38" s="89">
        <f t="shared" si="15"/>
        <v>1475</v>
      </c>
      <c r="K38" s="67">
        <f t="shared" si="15"/>
        <v>1770</v>
      </c>
      <c r="L38" s="68">
        <f t="shared" si="25"/>
        <v>55</v>
      </c>
      <c r="M38" s="68">
        <f>$M$14+'[1]Summary 40MLD'!R28/1000</f>
        <v>524.52535276193271</v>
      </c>
      <c r="N38" s="68">
        <f t="shared" si="30"/>
        <v>30</v>
      </c>
      <c r="O38" s="68">
        <f t="shared" si="30"/>
        <v>12.5</v>
      </c>
      <c r="P38" s="68">
        <f t="shared" si="27"/>
        <v>0</v>
      </c>
      <c r="Q38" s="66">
        <f t="shared" si="16"/>
        <v>590.92408512383599</v>
      </c>
      <c r="R38" s="70">
        <f t="shared" si="9"/>
        <v>622.02535276193271</v>
      </c>
      <c r="S38" s="67">
        <f t="shared" si="10"/>
        <v>653.12662040002942</v>
      </c>
      <c r="T38" s="66">
        <f t="shared" si="23"/>
        <v>1770.924085123836</v>
      </c>
      <c r="U38" s="89">
        <f t="shared" si="17"/>
        <v>2097.0253527619325</v>
      </c>
      <c r="V38" s="67">
        <f t="shared" si="17"/>
        <v>2423.1266204000294</v>
      </c>
      <c r="W38" s="7">
        <f t="shared" si="18"/>
        <v>0.41907908194582277</v>
      </c>
      <c r="X38" s="66">
        <f t="shared" si="19"/>
        <v>742.15723978944334</v>
      </c>
      <c r="Y38" s="89">
        <f t="shared" si="20"/>
        <v>878.81945965258581</v>
      </c>
      <c r="Z38" s="67">
        <f t="shared" si="21"/>
        <v>1015.4816795157285</v>
      </c>
      <c r="AA38" s="14"/>
    </row>
    <row r="39" spans="1:27">
      <c r="A39" s="4">
        <f t="shared" si="22"/>
        <v>2045</v>
      </c>
      <c r="B39" s="4">
        <f t="shared" si="11"/>
        <v>26</v>
      </c>
      <c r="C39" s="63">
        <f t="shared" si="12"/>
        <v>0</v>
      </c>
      <c r="D39" s="64"/>
      <c r="E39" s="65">
        <f t="shared" si="13"/>
        <v>0</v>
      </c>
      <c r="F39" s="63">
        <f t="shared" si="14"/>
        <v>6661.2715954843361</v>
      </c>
      <c r="G39" s="64">
        <f>$AC$9+P4+P5+P8+X6+T6</f>
        <v>8326.5894943554194</v>
      </c>
      <c r="H39" s="65">
        <f t="shared" si="8"/>
        <v>9991.9073932265037</v>
      </c>
      <c r="I39" s="66">
        <f t="shared" si="15"/>
        <v>6661.2715954843361</v>
      </c>
      <c r="J39" s="89">
        <f t="shared" si="15"/>
        <v>8326.5894943554194</v>
      </c>
      <c r="K39" s="67">
        <f t="shared" si="15"/>
        <v>9991.9073932265037</v>
      </c>
      <c r="L39" s="68">
        <f t="shared" si="25"/>
        <v>55</v>
      </c>
      <c r="M39" s="68">
        <f>$M$14+'[1]Summary 40MLD'!R29/1000</f>
        <v>533.22897443778402</v>
      </c>
      <c r="N39" s="68">
        <f t="shared" si="30"/>
        <v>30</v>
      </c>
      <c r="O39" s="68">
        <f t="shared" si="30"/>
        <v>12.5</v>
      </c>
      <c r="P39" s="68">
        <f t="shared" si="27"/>
        <v>0</v>
      </c>
      <c r="Q39" s="66">
        <f t="shared" si="16"/>
        <v>599.19252571589482</v>
      </c>
      <c r="R39" s="70">
        <f t="shared" si="9"/>
        <v>630.72897443778402</v>
      </c>
      <c r="S39" s="67">
        <f t="shared" si="10"/>
        <v>662.26542315967322</v>
      </c>
      <c r="T39" s="66">
        <f t="shared" si="23"/>
        <v>7260.4641212002307</v>
      </c>
      <c r="U39" s="89">
        <f t="shared" si="17"/>
        <v>8957.3184687932044</v>
      </c>
      <c r="V39" s="67">
        <f t="shared" si="17"/>
        <v>10654.172816386177</v>
      </c>
      <c r="W39" s="7">
        <f t="shared" si="18"/>
        <v>0.40475090008288855</v>
      </c>
      <c r="X39" s="66">
        <f t="shared" si="19"/>
        <v>2938.6793880753116</v>
      </c>
      <c r="Y39" s="89">
        <f t="shared" si="20"/>
        <v>3625.4827125731304</v>
      </c>
      <c r="Z39" s="67">
        <f t="shared" si="21"/>
        <v>4312.2860370709486</v>
      </c>
      <c r="AA39" s="14"/>
    </row>
    <row r="40" spans="1:27">
      <c r="A40" s="4">
        <f t="shared" si="22"/>
        <v>2046</v>
      </c>
      <c r="B40" s="4">
        <f t="shared" si="11"/>
        <v>27</v>
      </c>
      <c r="C40" s="63">
        <f t="shared" si="12"/>
        <v>0</v>
      </c>
      <c r="D40" s="64"/>
      <c r="E40" s="65">
        <f t="shared" si="13"/>
        <v>0</v>
      </c>
      <c r="F40" s="63">
        <f>G40*(1+$F$11)</f>
        <v>1180</v>
      </c>
      <c r="G40" s="64">
        <f t="shared" si="24"/>
        <v>1475</v>
      </c>
      <c r="H40" s="65">
        <f t="shared" si="8"/>
        <v>1770</v>
      </c>
      <c r="I40" s="66">
        <f t="shared" si="15"/>
        <v>1180</v>
      </c>
      <c r="J40" s="89">
        <f t="shared" si="15"/>
        <v>1475</v>
      </c>
      <c r="K40" s="67">
        <f t="shared" si="15"/>
        <v>1770</v>
      </c>
      <c r="L40" s="68">
        <f t="shared" si="25"/>
        <v>55</v>
      </c>
      <c r="M40" s="68">
        <f>$M$14+'[1]Summary 40MLD'!R30/1000</f>
        <v>541.93259611363521</v>
      </c>
      <c r="N40" s="68">
        <f t="shared" si="30"/>
        <v>30</v>
      </c>
      <c r="O40" s="68">
        <f t="shared" si="30"/>
        <v>12.5</v>
      </c>
      <c r="P40" s="68">
        <f t="shared" si="27"/>
        <v>0</v>
      </c>
      <c r="Q40" s="66">
        <f t="shared" si="16"/>
        <v>607.46096630795341</v>
      </c>
      <c r="R40" s="70">
        <f t="shared" si="9"/>
        <v>639.43259611363521</v>
      </c>
      <c r="S40" s="67">
        <f t="shared" si="10"/>
        <v>671.40422591931701</v>
      </c>
      <c r="T40" s="66">
        <f t="shared" si="23"/>
        <v>1787.4609663079534</v>
      </c>
      <c r="U40" s="89">
        <f t="shared" si="17"/>
        <v>2114.4325961136351</v>
      </c>
      <c r="V40" s="67">
        <f t="shared" si="17"/>
        <v>2441.404225919317</v>
      </c>
      <c r="W40" s="7">
        <f t="shared" si="18"/>
        <v>0.39091259424656027</v>
      </c>
      <c r="X40" s="66">
        <f t="shared" si="19"/>
        <v>698.74100345390559</v>
      </c>
      <c r="Y40" s="89">
        <f t="shared" si="20"/>
        <v>826.55833150627052</v>
      </c>
      <c r="Z40" s="67">
        <f t="shared" si="21"/>
        <v>954.37565955863556</v>
      </c>
      <c r="AA40" s="90" t="s">
        <v>62</v>
      </c>
    </row>
    <row r="41" spans="1:27">
      <c r="A41" s="4">
        <f t="shared" si="22"/>
        <v>2047</v>
      </c>
      <c r="B41" s="4">
        <f t="shared" si="11"/>
        <v>28</v>
      </c>
      <c r="C41" s="63">
        <f t="shared" si="12"/>
        <v>0</v>
      </c>
      <c r="D41" s="64"/>
      <c r="E41" s="65">
        <f t="shared" si="13"/>
        <v>0</v>
      </c>
      <c r="F41" s="63">
        <f t="shared" si="14"/>
        <v>1180</v>
      </c>
      <c r="G41" s="64">
        <f t="shared" si="24"/>
        <v>1475</v>
      </c>
      <c r="H41" s="65">
        <f t="shared" si="8"/>
        <v>1770</v>
      </c>
      <c r="I41" s="66">
        <f t="shared" si="15"/>
        <v>1180</v>
      </c>
      <c r="J41" s="89">
        <f t="shared" si="15"/>
        <v>1475</v>
      </c>
      <c r="K41" s="67">
        <f t="shared" si="15"/>
        <v>1770</v>
      </c>
      <c r="L41" s="68">
        <f t="shared" si="25"/>
        <v>55</v>
      </c>
      <c r="M41" s="68">
        <f>$M$14+'[1]Summary 40MLD'!R31/1000</f>
        <v>550.63621778948652</v>
      </c>
      <c r="N41" s="68">
        <f t="shared" si="30"/>
        <v>30</v>
      </c>
      <c r="O41" s="68">
        <f t="shared" si="30"/>
        <v>12.5</v>
      </c>
      <c r="P41" s="68">
        <f t="shared" si="27"/>
        <v>0</v>
      </c>
      <c r="Q41" s="66">
        <f t="shared" si="16"/>
        <v>615.72940690001212</v>
      </c>
      <c r="R41" s="70">
        <f t="shared" si="9"/>
        <v>648.13621778948652</v>
      </c>
      <c r="S41" s="67">
        <f t="shared" si="10"/>
        <v>680.54302867896092</v>
      </c>
      <c r="T41" s="66">
        <f t="shared" si="23"/>
        <v>1795.7294069000122</v>
      </c>
      <c r="U41" s="89">
        <f t="shared" si="17"/>
        <v>2123.1362177894866</v>
      </c>
      <c r="V41" s="67">
        <f t="shared" si="17"/>
        <v>2450.543028678961</v>
      </c>
      <c r="W41" s="7">
        <f t="shared" si="18"/>
        <v>0.37754741572972783</v>
      </c>
      <c r="X41" s="66">
        <f t="shared" si="19"/>
        <v>677.97299692497654</v>
      </c>
      <c r="Y41" s="89">
        <f t="shared" si="20"/>
        <v>801.5845922686093</v>
      </c>
      <c r="Z41" s="67">
        <f t="shared" si="21"/>
        <v>925.19618761224206</v>
      </c>
      <c r="AA41" s="14"/>
    </row>
    <row r="42" spans="1:27">
      <c r="A42" s="4">
        <f t="shared" si="22"/>
        <v>2048</v>
      </c>
      <c r="B42" s="4">
        <f t="shared" si="11"/>
        <v>29</v>
      </c>
      <c r="C42" s="63">
        <f t="shared" si="12"/>
        <v>0</v>
      </c>
      <c r="D42" s="64"/>
      <c r="E42" s="65">
        <f t="shared" si="13"/>
        <v>0</v>
      </c>
      <c r="F42" s="63">
        <f t="shared" si="14"/>
        <v>1180</v>
      </c>
      <c r="G42" s="64">
        <f>$AC$9+X8</f>
        <v>1475</v>
      </c>
      <c r="H42" s="65">
        <f t="shared" si="8"/>
        <v>1770</v>
      </c>
      <c r="I42" s="66">
        <f t="shared" si="15"/>
        <v>1180</v>
      </c>
      <c r="J42" s="89">
        <f t="shared" si="15"/>
        <v>1475</v>
      </c>
      <c r="K42" s="67">
        <f t="shared" si="15"/>
        <v>1770</v>
      </c>
      <c r="L42" s="68">
        <f t="shared" si="25"/>
        <v>55</v>
      </c>
      <c r="M42" s="68">
        <f>$M$14+'[1]Summary 40MLD'!R32/1000</f>
        <v>559.33983946533783</v>
      </c>
      <c r="N42" s="68">
        <f t="shared" si="30"/>
        <v>30</v>
      </c>
      <c r="O42" s="68">
        <f t="shared" si="30"/>
        <v>12.5</v>
      </c>
      <c r="P42" s="68">
        <f t="shared" si="27"/>
        <v>0</v>
      </c>
      <c r="Q42" s="66">
        <f t="shared" si="16"/>
        <v>623.99784749207095</v>
      </c>
      <c r="R42" s="70">
        <f t="shared" si="9"/>
        <v>656.83983946533783</v>
      </c>
      <c r="S42" s="67">
        <f t="shared" si="10"/>
        <v>689.68183143860472</v>
      </c>
      <c r="T42" s="66">
        <f t="shared" si="23"/>
        <v>1803.9978474920708</v>
      </c>
      <c r="U42" s="89">
        <f t="shared" si="17"/>
        <v>2131.8398394653377</v>
      </c>
      <c r="V42" s="67">
        <f t="shared" si="17"/>
        <v>2459.6818314386046</v>
      </c>
      <c r="W42" s="7">
        <f t="shared" si="18"/>
        <v>0.36463918845830384</v>
      </c>
      <c r="X42" s="66">
        <f t="shared" si="19"/>
        <v>657.80831109003566</v>
      </c>
      <c r="Y42" s="89">
        <f t="shared" si="20"/>
        <v>777.35234898572151</v>
      </c>
      <c r="Z42" s="67">
        <f t="shared" si="21"/>
        <v>896.89638688140724</v>
      </c>
      <c r="AA42" s="14"/>
    </row>
    <row r="43" spans="1:27">
      <c r="A43" s="4">
        <f t="shared" si="22"/>
        <v>2049</v>
      </c>
      <c r="B43" s="4">
        <f t="shared" si="11"/>
        <v>30</v>
      </c>
      <c r="C43" s="63">
        <f t="shared" si="12"/>
        <v>0</v>
      </c>
      <c r="D43" s="64"/>
      <c r="E43" s="65">
        <f t="shared" si="13"/>
        <v>0</v>
      </c>
      <c r="F43" s="63">
        <f t="shared" si="14"/>
        <v>1180</v>
      </c>
      <c r="G43" s="64">
        <f t="shared" si="24"/>
        <v>1475</v>
      </c>
      <c r="H43" s="65">
        <f t="shared" si="8"/>
        <v>1770</v>
      </c>
      <c r="I43" s="66">
        <f t="shared" si="15"/>
        <v>1180</v>
      </c>
      <c r="J43" s="89">
        <f t="shared" si="15"/>
        <v>1475</v>
      </c>
      <c r="K43" s="67">
        <f t="shared" si="15"/>
        <v>1770</v>
      </c>
      <c r="L43" s="68">
        <f t="shared" si="25"/>
        <v>55</v>
      </c>
      <c r="M43" s="68">
        <f>$M$14+'[1]Summary 40MLD'!R33/1000</f>
        <v>568.04346114118914</v>
      </c>
      <c r="N43" s="68">
        <f t="shared" si="30"/>
        <v>30</v>
      </c>
      <c r="O43" s="68">
        <f t="shared" si="30"/>
        <v>12.5</v>
      </c>
      <c r="P43" s="68">
        <f t="shared" si="27"/>
        <v>0</v>
      </c>
      <c r="Q43" s="66">
        <f t="shared" si="16"/>
        <v>632.26628808412966</v>
      </c>
      <c r="R43" s="70">
        <f t="shared" si="9"/>
        <v>665.54346114118914</v>
      </c>
      <c r="S43" s="67">
        <f t="shared" si="10"/>
        <v>698.82063419824863</v>
      </c>
      <c r="T43" s="66">
        <f t="shared" si="23"/>
        <v>1812.2662880841297</v>
      </c>
      <c r="U43" s="89">
        <f t="shared" si="17"/>
        <v>2140.5434611411893</v>
      </c>
      <c r="V43" s="67">
        <f t="shared" si="17"/>
        <v>2468.8206341982486</v>
      </c>
      <c r="W43" s="7">
        <f t="shared" si="18"/>
        <v>0.35217228941308076</v>
      </c>
      <c r="X43" s="66">
        <f t="shared" si="19"/>
        <v>638.22996770073371</v>
      </c>
      <c r="Y43" s="89">
        <f t="shared" si="20"/>
        <v>753.84009129829246</v>
      </c>
      <c r="Z43" s="67">
        <f t="shared" si="21"/>
        <v>869.45021489585122</v>
      </c>
      <c r="AA43" s="14"/>
    </row>
    <row r="44" spans="1:27">
      <c r="A44" s="4">
        <f t="shared" si="22"/>
        <v>2050</v>
      </c>
      <c r="B44" s="4">
        <f t="shared" si="11"/>
        <v>31</v>
      </c>
      <c r="C44" s="63">
        <f t="shared" si="12"/>
        <v>0</v>
      </c>
      <c r="D44" s="64"/>
      <c r="E44" s="65">
        <f t="shared" si="13"/>
        <v>0</v>
      </c>
      <c r="F44" s="63">
        <f t="shared" si="14"/>
        <v>1780</v>
      </c>
      <c r="G44" s="64">
        <f>$AC$9+P8</f>
        <v>2225</v>
      </c>
      <c r="H44" s="65">
        <f t="shared" si="8"/>
        <v>2670</v>
      </c>
      <c r="I44" s="66">
        <f t="shared" si="15"/>
        <v>1780</v>
      </c>
      <c r="J44" s="89">
        <f t="shared" si="15"/>
        <v>2225</v>
      </c>
      <c r="K44" s="67">
        <f t="shared" si="15"/>
        <v>2670</v>
      </c>
      <c r="L44" s="68">
        <f t="shared" si="25"/>
        <v>55</v>
      </c>
      <c r="M44" s="68">
        <f>$M$14+'[1]Summary 40MLD'!R34/1000</f>
        <v>576.74708281704034</v>
      </c>
      <c r="N44" s="68">
        <f t="shared" si="30"/>
        <v>30</v>
      </c>
      <c r="O44" s="68">
        <f t="shared" si="30"/>
        <v>12.5</v>
      </c>
      <c r="P44" s="68">
        <f t="shared" si="27"/>
        <v>0</v>
      </c>
      <c r="Q44" s="66">
        <f t="shared" si="16"/>
        <v>640.53472867618825</v>
      </c>
      <c r="R44" s="70">
        <f t="shared" si="9"/>
        <v>674.24708281704034</v>
      </c>
      <c r="S44" s="67">
        <f t="shared" si="10"/>
        <v>707.95943695789242</v>
      </c>
      <c r="T44" s="66">
        <f t="shared" si="23"/>
        <v>2420.534728676188</v>
      </c>
      <c r="U44" s="89">
        <f t="shared" si="17"/>
        <v>2899.2470828170403</v>
      </c>
      <c r="V44" s="67">
        <f t="shared" si="17"/>
        <v>3377.9594369578926</v>
      </c>
      <c r="W44" s="7">
        <f t="shared" si="18"/>
        <v>0.34013162972095884</v>
      </c>
      <c r="X44" s="66">
        <f t="shared" si="19"/>
        <v>823.30042206081077</v>
      </c>
      <c r="Y44" s="89">
        <f t="shared" si="20"/>
        <v>986.12563524229563</v>
      </c>
      <c r="Z44" s="67">
        <f t="shared" si="21"/>
        <v>1148.9508484237806</v>
      </c>
      <c r="AA44" s="90" t="s">
        <v>63</v>
      </c>
    </row>
    <row r="45" spans="1:27">
      <c r="A45" s="4">
        <f t="shared" si="22"/>
        <v>2051</v>
      </c>
      <c r="B45" s="4">
        <f t="shared" si="11"/>
        <v>32</v>
      </c>
      <c r="C45" s="63">
        <f t="shared" si="12"/>
        <v>0</v>
      </c>
      <c r="D45" s="64"/>
      <c r="E45" s="65">
        <f t="shared" si="13"/>
        <v>0</v>
      </c>
      <c r="F45" s="63">
        <f t="shared" si="14"/>
        <v>1180</v>
      </c>
      <c r="G45" s="64">
        <f t="shared" si="24"/>
        <v>1475</v>
      </c>
      <c r="H45" s="65">
        <f t="shared" si="8"/>
        <v>1770</v>
      </c>
      <c r="I45" s="66">
        <f t="shared" si="15"/>
        <v>1180</v>
      </c>
      <c r="J45" s="89">
        <f t="shared" si="15"/>
        <v>1475</v>
      </c>
      <c r="K45" s="67">
        <f t="shared" si="15"/>
        <v>1770</v>
      </c>
      <c r="L45" s="68">
        <f t="shared" si="25"/>
        <v>55</v>
      </c>
      <c r="M45" s="68">
        <f>$M$14+'[1]Summary 40MLD'!R35/1000</f>
        <v>585.45070449289165</v>
      </c>
      <c r="N45" s="68">
        <f t="shared" si="30"/>
        <v>30</v>
      </c>
      <c r="O45" s="68">
        <f t="shared" si="30"/>
        <v>12.5</v>
      </c>
      <c r="P45" s="68">
        <f t="shared" si="27"/>
        <v>0</v>
      </c>
      <c r="Q45" s="66">
        <f t="shared" si="16"/>
        <v>648.80316926824707</v>
      </c>
      <c r="R45" s="70">
        <f t="shared" si="9"/>
        <v>682.95070449289165</v>
      </c>
      <c r="S45" s="67">
        <f t="shared" si="10"/>
        <v>717.09823971753622</v>
      </c>
      <c r="T45" s="66">
        <f t="shared" si="23"/>
        <v>1828.8031692682471</v>
      </c>
      <c r="U45" s="89">
        <f t="shared" si="17"/>
        <v>2157.9507044928914</v>
      </c>
      <c r="V45" s="67">
        <f t="shared" si="17"/>
        <v>2487.0982397175362</v>
      </c>
      <c r="W45" s="7">
        <f t="shared" si="18"/>
        <v>0.3285026363926587</v>
      </c>
      <c r="X45" s="66">
        <f t="shared" si="19"/>
        <v>600.7666625478688</v>
      </c>
      <c r="Y45" s="89">
        <f t="shared" si="20"/>
        <v>708.89249563131</v>
      </c>
      <c r="Z45" s="67">
        <f t="shared" si="21"/>
        <v>817.01832871475131</v>
      </c>
      <c r="AA45" s="14"/>
    </row>
    <row r="46" spans="1:27">
      <c r="A46" s="4">
        <f t="shared" si="22"/>
        <v>2052</v>
      </c>
      <c r="B46" s="4">
        <f t="shared" si="11"/>
        <v>33</v>
      </c>
      <c r="C46" s="63">
        <f t="shared" si="12"/>
        <v>0</v>
      </c>
      <c r="D46" s="64"/>
      <c r="E46" s="65">
        <f t="shared" si="13"/>
        <v>0</v>
      </c>
      <c r="F46" s="63">
        <f t="shared" si="14"/>
        <v>1180</v>
      </c>
      <c r="G46" s="64">
        <f>$AC$9+X8</f>
        <v>1475</v>
      </c>
      <c r="H46" s="65">
        <f t="shared" si="8"/>
        <v>1770</v>
      </c>
      <c r="I46" s="66">
        <f t="shared" si="15"/>
        <v>1180</v>
      </c>
      <c r="J46" s="89">
        <f t="shared" si="15"/>
        <v>1475</v>
      </c>
      <c r="K46" s="67">
        <f t="shared" si="15"/>
        <v>1770</v>
      </c>
      <c r="L46" s="68">
        <f t="shared" si="25"/>
        <v>55</v>
      </c>
      <c r="M46" s="68">
        <f>$M$14+'[1]Summary 40MLD'!R36/1000</f>
        <v>594.15432616874295</v>
      </c>
      <c r="N46" s="68">
        <f t="shared" si="30"/>
        <v>30</v>
      </c>
      <c r="O46" s="68">
        <f t="shared" si="30"/>
        <v>12.5</v>
      </c>
      <c r="P46" s="68">
        <f t="shared" si="27"/>
        <v>0</v>
      </c>
      <c r="Q46" s="66">
        <f t="shared" si="16"/>
        <v>657.07160986030578</v>
      </c>
      <c r="R46" s="70">
        <f t="shared" si="9"/>
        <v>691.65432616874295</v>
      </c>
      <c r="S46" s="67">
        <f t="shared" si="10"/>
        <v>726.23704247718013</v>
      </c>
      <c r="T46" s="66">
        <f t="shared" si="23"/>
        <v>1837.0716098603057</v>
      </c>
      <c r="U46" s="89">
        <f t="shared" si="17"/>
        <v>2166.654326168743</v>
      </c>
      <c r="V46" s="67">
        <f t="shared" si="17"/>
        <v>2496.2370424771802</v>
      </c>
      <c r="W46" s="7">
        <f t="shared" si="18"/>
        <v>0.31727123468481616</v>
      </c>
      <c r="X46" s="66">
        <f t="shared" si="19"/>
        <v>582.8499778648021</v>
      </c>
      <c r="Y46" s="89">
        <f t="shared" si="20"/>
        <v>687.41709319875542</v>
      </c>
      <c r="Z46" s="67">
        <f t="shared" si="21"/>
        <v>791.98420853270886</v>
      </c>
      <c r="AA46" s="14"/>
    </row>
    <row r="47" spans="1:27">
      <c r="A47" s="4">
        <f t="shared" si="22"/>
        <v>2053</v>
      </c>
      <c r="B47" s="4">
        <f t="shared" si="11"/>
        <v>34</v>
      </c>
      <c r="C47" s="63">
        <f t="shared" si="12"/>
        <v>0</v>
      </c>
      <c r="D47" s="64"/>
      <c r="E47" s="65">
        <f t="shared" si="13"/>
        <v>0</v>
      </c>
      <c r="F47" s="63">
        <f t="shared" si="14"/>
        <v>1180</v>
      </c>
      <c r="G47" s="64">
        <f t="shared" si="24"/>
        <v>1475</v>
      </c>
      <c r="H47" s="65">
        <f t="shared" si="8"/>
        <v>1770</v>
      </c>
      <c r="I47" s="66">
        <f t="shared" si="15"/>
        <v>1180</v>
      </c>
      <c r="J47" s="89">
        <f t="shared" si="15"/>
        <v>1475</v>
      </c>
      <c r="K47" s="67">
        <f t="shared" si="15"/>
        <v>1770</v>
      </c>
      <c r="L47" s="68">
        <f t="shared" si="25"/>
        <v>55</v>
      </c>
      <c r="M47" s="68">
        <f>$M$14+'[1]Summary 40MLD'!R37/1000</f>
        <v>602.85794784459426</v>
      </c>
      <c r="N47" s="68">
        <f t="shared" si="30"/>
        <v>30</v>
      </c>
      <c r="O47" s="68">
        <f t="shared" si="30"/>
        <v>12.5</v>
      </c>
      <c r="P47" s="68">
        <f t="shared" si="27"/>
        <v>0</v>
      </c>
      <c r="Q47" s="66">
        <f t="shared" si="16"/>
        <v>665.34005045236449</v>
      </c>
      <c r="R47" s="70">
        <f t="shared" si="9"/>
        <v>700.35794784459426</v>
      </c>
      <c r="S47" s="67">
        <f t="shared" si="10"/>
        <v>735.37584523682403</v>
      </c>
      <c r="T47" s="66">
        <f t="shared" si="23"/>
        <v>1845.3400504523645</v>
      </c>
      <c r="U47" s="89">
        <f t="shared" si="17"/>
        <v>2175.3579478445945</v>
      </c>
      <c r="V47" s="67">
        <f t="shared" si="17"/>
        <v>2505.3758452368238</v>
      </c>
      <c r="W47" s="7">
        <f t="shared" si="18"/>
        <v>0.30642383106511123</v>
      </c>
      <c r="X47" s="66">
        <f t="shared" si="19"/>
        <v>565.45616787749918</v>
      </c>
      <c r="Y47" s="89">
        <f t="shared" si="20"/>
        <v>666.58151631647911</v>
      </c>
      <c r="Z47" s="67">
        <f t="shared" si="21"/>
        <v>767.70686475545881</v>
      </c>
      <c r="AA47" s="14"/>
    </row>
    <row r="48" spans="1:27">
      <c r="A48" s="4">
        <f t="shared" si="22"/>
        <v>2054</v>
      </c>
      <c r="B48" s="4">
        <f t="shared" si="11"/>
        <v>35</v>
      </c>
      <c r="C48" s="63">
        <f t="shared" si="12"/>
        <v>0</v>
      </c>
      <c r="D48" s="64"/>
      <c r="E48" s="65">
        <f t="shared" si="13"/>
        <v>0</v>
      </c>
      <c r="F48" s="63">
        <f t="shared" si="14"/>
        <v>1180</v>
      </c>
      <c r="G48" s="64">
        <f t="shared" si="24"/>
        <v>1475</v>
      </c>
      <c r="H48" s="65">
        <f t="shared" si="8"/>
        <v>1770</v>
      </c>
      <c r="I48" s="66">
        <f t="shared" si="15"/>
        <v>1180</v>
      </c>
      <c r="J48" s="89">
        <f t="shared" si="15"/>
        <v>1475</v>
      </c>
      <c r="K48" s="67">
        <f t="shared" si="15"/>
        <v>1770</v>
      </c>
      <c r="L48" s="68">
        <f t="shared" si="25"/>
        <v>55</v>
      </c>
      <c r="M48" s="68">
        <f>$M$14+'[1]Summary 40MLD'!R38/1000</f>
        <v>611.56156952044557</v>
      </c>
      <c r="N48" s="68">
        <f t="shared" ref="N48:O63" si="31">N47</f>
        <v>30</v>
      </c>
      <c r="O48" s="68">
        <f t="shared" si="31"/>
        <v>12.5</v>
      </c>
      <c r="P48" s="68">
        <f t="shared" si="27"/>
        <v>0</v>
      </c>
      <c r="Q48" s="66">
        <f t="shared" si="16"/>
        <v>673.60849104442332</v>
      </c>
      <c r="R48" s="70">
        <f t="shared" si="9"/>
        <v>709.06156952044557</v>
      </c>
      <c r="S48" s="67">
        <f t="shared" si="10"/>
        <v>744.51464799646783</v>
      </c>
      <c r="T48" s="66">
        <f t="shared" si="23"/>
        <v>1853.6084910444233</v>
      </c>
      <c r="U48" s="89">
        <f t="shared" si="17"/>
        <v>2184.0615695204456</v>
      </c>
      <c r="V48" s="67">
        <f t="shared" si="17"/>
        <v>2514.5146479964678</v>
      </c>
      <c r="W48" s="7">
        <f t="shared" si="18"/>
        <v>0.29594729675981379</v>
      </c>
      <c r="X48" s="66">
        <f t="shared" si="19"/>
        <v>548.57042217563458</v>
      </c>
      <c r="Y48" s="89">
        <f t="shared" si="20"/>
        <v>646.36711745657203</v>
      </c>
      <c r="Z48" s="67">
        <f t="shared" si="21"/>
        <v>744.16381273750937</v>
      </c>
      <c r="AA48" s="14"/>
    </row>
    <row r="49" spans="1:27">
      <c r="A49" s="4">
        <f t="shared" si="22"/>
        <v>2055</v>
      </c>
      <c r="B49" s="4">
        <f t="shared" si="11"/>
        <v>36</v>
      </c>
      <c r="C49" s="63">
        <f t="shared" si="12"/>
        <v>0</v>
      </c>
      <c r="D49" s="64"/>
      <c r="E49" s="65">
        <f t="shared" si="13"/>
        <v>0</v>
      </c>
      <c r="F49" s="63">
        <f t="shared" si="14"/>
        <v>3661.2715954843366</v>
      </c>
      <c r="G49" s="64">
        <f>$AC$9+P8+P6+T6+X6</f>
        <v>4576.5894943554204</v>
      </c>
      <c r="H49" s="65">
        <f t="shared" si="8"/>
        <v>5491.9073932265046</v>
      </c>
      <c r="I49" s="66">
        <f t="shared" si="15"/>
        <v>3661.2715954843366</v>
      </c>
      <c r="J49" s="89">
        <f t="shared" si="15"/>
        <v>4576.5894943554204</v>
      </c>
      <c r="K49" s="67">
        <f t="shared" si="15"/>
        <v>5491.9073932265046</v>
      </c>
      <c r="L49" s="68">
        <f t="shared" si="25"/>
        <v>55</v>
      </c>
      <c r="M49" s="68">
        <f>$M$14+'[1]Summary 40MLD'!R39/1000</f>
        <v>620.26519119629688</v>
      </c>
      <c r="N49" s="68">
        <f t="shared" si="31"/>
        <v>30</v>
      </c>
      <c r="O49" s="68">
        <f t="shared" si="31"/>
        <v>12.5</v>
      </c>
      <c r="P49" s="68">
        <f t="shared" si="27"/>
        <v>0</v>
      </c>
      <c r="Q49" s="66">
        <f t="shared" si="16"/>
        <v>681.87693163648203</v>
      </c>
      <c r="R49" s="70">
        <f t="shared" si="9"/>
        <v>717.76519119629688</v>
      </c>
      <c r="S49" s="67">
        <f t="shared" si="10"/>
        <v>753.65345075611174</v>
      </c>
      <c r="T49" s="66">
        <f t="shared" si="23"/>
        <v>4343.1485271208185</v>
      </c>
      <c r="U49" s="89">
        <f t="shared" si="17"/>
        <v>5294.354685551717</v>
      </c>
      <c r="V49" s="67">
        <f t="shared" si="17"/>
        <v>6245.5608439826165</v>
      </c>
      <c r="W49" s="7">
        <f t="shared" si="18"/>
        <v>0.28582895186383406</v>
      </c>
      <c r="X49" s="66">
        <f t="shared" si="19"/>
        <v>1241.3975912958981</v>
      </c>
      <c r="Y49" s="89">
        <f t="shared" si="20"/>
        <v>1513.279850566626</v>
      </c>
      <c r="Z49" s="67">
        <f t="shared" si="21"/>
        <v>1785.1621098373541</v>
      </c>
      <c r="AA49" s="14"/>
    </row>
    <row r="50" spans="1:27">
      <c r="A50" s="4">
        <f t="shared" si="22"/>
        <v>2056</v>
      </c>
      <c r="B50" s="4">
        <f t="shared" si="11"/>
        <v>37</v>
      </c>
      <c r="C50" s="63">
        <f t="shared" si="12"/>
        <v>0</v>
      </c>
      <c r="D50" s="64"/>
      <c r="E50" s="65">
        <f t="shared" si="13"/>
        <v>0</v>
      </c>
      <c r="F50" s="63">
        <f t="shared" si="14"/>
        <v>1180</v>
      </c>
      <c r="G50" s="64">
        <f>$AC$9+X8</f>
        <v>1475</v>
      </c>
      <c r="H50" s="65">
        <f t="shared" si="8"/>
        <v>1770</v>
      </c>
      <c r="I50" s="66">
        <f t="shared" si="15"/>
        <v>1180</v>
      </c>
      <c r="J50" s="89">
        <f t="shared" si="15"/>
        <v>1475</v>
      </c>
      <c r="K50" s="67">
        <f t="shared" si="15"/>
        <v>1770</v>
      </c>
      <c r="L50" s="68">
        <f t="shared" si="25"/>
        <v>55</v>
      </c>
      <c r="M50" s="68">
        <f>$M$14+'[1]Summary 40MLD'!R40/1000</f>
        <v>628.96881287214808</v>
      </c>
      <c r="N50" s="68">
        <f t="shared" si="31"/>
        <v>30</v>
      </c>
      <c r="O50" s="68">
        <f t="shared" si="31"/>
        <v>12.5</v>
      </c>
      <c r="P50" s="68">
        <f t="shared" si="27"/>
        <v>0</v>
      </c>
      <c r="Q50" s="66">
        <f t="shared" si="16"/>
        <v>690.14537222854062</v>
      </c>
      <c r="R50" s="70">
        <f t="shared" si="9"/>
        <v>726.46881287214808</v>
      </c>
      <c r="S50" s="67">
        <f t="shared" si="10"/>
        <v>762.79225351575553</v>
      </c>
      <c r="T50" s="66">
        <f t="shared" si="23"/>
        <v>1870.1453722285405</v>
      </c>
      <c r="U50" s="89">
        <f t="shared" si="17"/>
        <v>2201.4688128721482</v>
      </c>
      <c r="V50" s="67">
        <f t="shared" si="17"/>
        <v>2532.7922535157554</v>
      </c>
      <c r="W50" s="7">
        <f t="shared" si="18"/>
        <v>0.27605654999404483</v>
      </c>
      <c r="X50" s="66">
        <f t="shared" si="19"/>
        <v>516.26587944473965</v>
      </c>
      <c r="Y50" s="89">
        <f t="shared" si="20"/>
        <v>607.72988540097072</v>
      </c>
      <c r="Z50" s="67">
        <f t="shared" si="21"/>
        <v>699.19389135720155</v>
      </c>
      <c r="AA50" s="14"/>
    </row>
    <row r="51" spans="1:27">
      <c r="A51" s="4">
        <f t="shared" si="22"/>
        <v>2057</v>
      </c>
      <c r="B51" s="4">
        <f t="shared" si="11"/>
        <v>38</v>
      </c>
      <c r="C51" s="63">
        <f t="shared" si="12"/>
        <v>0</v>
      </c>
      <c r="D51" s="64"/>
      <c r="E51" s="65">
        <f t="shared" si="13"/>
        <v>0</v>
      </c>
      <c r="F51" s="63">
        <f t="shared" si="14"/>
        <v>1180</v>
      </c>
      <c r="G51" s="64">
        <f t="shared" si="24"/>
        <v>1475</v>
      </c>
      <c r="H51" s="65">
        <f t="shared" si="8"/>
        <v>1770</v>
      </c>
      <c r="I51" s="66">
        <f t="shared" si="15"/>
        <v>1180</v>
      </c>
      <c r="J51" s="89">
        <f t="shared" si="15"/>
        <v>1475</v>
      </c>
      <c r="K51" s="67">
        <f t="shared" si="15"/>
        <v>1770</v>
      </c>
      <c r="L51" s="68">
        <f t="shared" si="25"/>
        <v>55</v>
      </c>
      <c r="M51" s="68">
        <f>$M$14+'[1]Summary 40MLD'!R41/1000</f>
        <v>637.67243454799939</v>
      </c>
      <c r="N51" s="68">
        <f t="shared" si="31"/>
        <v>30</v>
      </c>
      <c r="O51" s="68">
        <f t="shared" si="31"/>
        <v>12.5</v>
      </c>
      <c r="P51" s="68">
        <f t="shared" si="27"/>
        <v>0</v>
      </c>
      <c r="Q51" s="66">
        <f t="shared" si="16"/>
        <v>698.41381282059933</v>
      </c>
      <c r="R51" s="70">
        <f t="shared" si="9"/>
        <v>735.17243454799939</v>
      </c>
      <c r="S51" s="67">
        <f t="shared" si="10"/>
        <v>771.93105627539944</v>
      </c>
      <c r="T51" s="66">
        <f t="shared" si="23"/>
        <v>1878.4138128205993</v>
      </c>
      <c r="U51" s="89">
        <f t="shared" si="17"/>
        <v>2210.1724345479993</v>
      </c>
      <c r="V51" s="67">
        <f t="shared" si="17"/>
        <v>2541.9310562753994</v>
      </c>
      <c r="W51" s="7">
        <f t="shared" si="18"/>
        <v>0.26661826346730227</v>
      </c>
      <c r="X51" s="66">
        <f t="shared" si="19"/>
        <v>500.81942884722235</v>
      </c>
      <c r="Y51" s="89">
        <f t="shared" si="20"/>
        <v>589.27233646248737</v>
      </c>
      <c r="Z51" s="67">
        <f t="shared" si="21"/>
        <v>677.72524407775245</v>
      </c>
      <c r="AA51" s="14"/>
    </row>
    <row r="52" spans="1:27">
      <c r="A52" s="4">
        <f t="shared" si="22"/>
        <v>2058</v>
      </c>
      <c r="B52" s="4">
        <f t="shared" si="11"/>
        <v>39</v>
      </c>
      <c r="C52" s="63">
        <f t="shared" si="12"/>
        <v>0</v>
      </c>
      <c r="D52" s="64"/>
      <c r="E52" s="65">
        <f t="shared" si="13"/>
        <v>0</v>
      </c>
      <c r="F52" s="63">
        <f t="shared" si="14"/>
        <v>1180</v>
      </c>
      <c r="G52" s="64">
        <f t="shared" si="24"/>
        <v>1475</v>
      </c>
      <c r="H52" s="65">
        <f t="shared" si="8"/>
        <v>1770</v>
      </c>
      <c r="I52" s="66">
        <f t="shared" si="15"/>
        <v>1180</v>
      </c>
      <c r="J52" s="89">
        <f t="shared" si="15"/>
        <v>1475</v>
      </c>
      <c r="K52" s="67">
        <f t="shared" si="15"/>
        <v>1770</v>
      </c>
      <c r="L52" s="68">
        <f t="shared" si="25"/>
        <v>55</v>
      </c>
      <c r="M52" s="68">
        <f>$M$14+'[1]Summary 40MLD'!R42/1000</f>
        <v>646.3760562238507</v>
      </c>
      <c r="N52" s="68">
        <f t="shared" si="31"/>
        <v>30</v>
      </c>
      <c r="O52" s="68">
        <f t="shared" si="31"/>
        <v>12.5</v>
      </c>
      <c r="P52" s="68">
        <f t="shared" si="27"/>
        <v>0</v>
      </c>
      <c r="Q52" s="66">
        <f t="shared" si="16"/>
        <v>706.68225341265816</v>
      </c>
      <c r="R52" s="70">
        <f t="shared" si="9"/>
        <v>743.8760562238507</v>
      </c>
      <c r="S52" s="67">
        <f t="shared" si="10"/>
        <v>781.06985903504324</v>
      </c>
      <c r="T52" s="66">
        <f t="shared" si="23"/>
        <v>1886.6822534126582</v>
      </c>
      <c r="U52" s="89">
        <f t="shared" si="17"/>
        <v>2218.8760562238508</v>
      </c>
      <c r="V52" s="67">
        <f t="shared" si="17"/>
        <v>2551.069859035043</v>
      </c>
      <c r="W52" s="7">
        <f t="shared" si="18"/>
        <v>0.25750266898522534</v>
      </c>
      <c r="X52" s="66">
        <f t="shared" si="19"/>
        <v>485.82571578081871</v>
      </c>
      <c r="Y52" s="89">
        <f t="shared" si="20"/>
        <v>571.36650662505247</v>
      </c>
      <c r="Z52" s="67">
        <f t="shared" si="21"/>
        <v>656.90729746928616</v>
      </c>
      <c r="AA52" s="14"/>
    </row>
    <row r="53" spans="1:27">
      <c r="A53" s="4">
        <f t="shared" si="22"/>
        <v>2059</v>
      </c>
      <c r="B53" s="4">
        <f t="shared" si="11"/>
        <v>40</v>
      </c>
      <c r="C53" s="63">
        <f t="shared" si="12"/>
        <v>0</v>
      </c>
      <c r="D53" s="64"/>
      <c r="E53" s="65">
        <f t="shared" si="13"/>
        <v>0</v>
      </c>
      <c r="F53" s="63">
        <f t="shared" si="14"/>
        <v>1180</v>
      </c>
      <c r="G53" s="64">
        <f t="shared" si="24"/>
        <v>1475</v>
      </c>
      <c r="H53" s="65">
        <f t="shared" si="8"/>
        <v>1770</v>
      </c>
      <c r="I53" s="66">
        <f t="shared" si="15"/>
        <v>1180</v>
      </c>
      <c r="J53" s="89">
        <f t="shared" si="15"/>
        <v>1475</v>
      </c>
      <c r="K53" s="67">
        <f t="shared" si="15"/>
        <v>1770</v>
      </c>
      <c r="L53" s="68">
        <f t="shared" si="25"/>
        <v>55</v>
      </c>
      <c r="M53" s="68">
        <f>$M$14+'[1]Summary 40MLD'!R43/1000</f>
        <v>655.07967789970201</v>
      </c>
      <c r="N53" s="68">
        <f t="shared" si="31"/>
        <v>30</v>
      </c>
      <c r="O53" s="68">
        <f t="shared" si="31"/>
        <v>12.5</v>
      </c>
      <c r="P53" s="68">
        <f t="shared" si="27"/>
        <v>0</v>
      </c>
      <c r="Q53" s="66">
        <f t="shared" si="16"/>
        <v>714.95069400471687</v>
      </c>
      <c r="R53" s="70">
        <f t="shared" si="9"/>
        <v>752.57967789970201</v>
      </c>
      <c r="S53" s="67">
        <f t="shared" si="10"/>
        <v>790.20866179468715</v>
      </c>
      <c r="T53" s="66">
        <f t="shared" si="23"/>
        <v>1894.9506940047168</v>
      </c>
      <c r="U53" s="89">
        <f t="shared" si="17"/>
        <v>2227.5796778997019</v>
      </c>
      <c r="V53" s="67">
        <f t="shared" si="17"/>
        <v>2560.208661794687</v>
      </c>
      <c r="W53" s="7">
        <f t="shared" si="18"/>
        <v>0.24869873380840765</v>
      </c>
      <c r="X53" s="66">
        <f t="shared" si="19"/>
        <v>471.27183822833638</v>
      </c>
      <c r="Y53" s="89">
        <f t="shared" si="20"/>
        <v>553.99624535099645</v>
      </c>
      <c r="Z53" s="67">
        <f t="shared" si="21"/>
        <v>636.7206524736564</v>
      </c>
      <c r="AA53" s="14"/>
    </row>
    <row r="54" spans="1:27">
      <c r="A54" s="4">
        <f t="shared" si="22"/>
        <v>2060</v>
      </c>
      <c r="B54" s="4">
        <f t="shared" si="11"/>
        <v>41</v>
      </c>
      <c r="C54" s="63">
        <f t="shared" si="12"/>
        <v>0</v>
      </c>
      <c r="D54" s="64"/>
      <c r="E54" s="65">
        <f t="shared" si="13"/>
        <v>0</v>
      </c>
      <c r="F54" s="63">
        <f t="shared" si="14"/>
        <v>12092.644359359027</v>
      </c>
      <c r="G54" s="64">
        <f>$AC$9+T4+T5+X4+X5+P8+P6</f>
        <v>15115.805449198782</v>
      </c>
      <c r="H54" s="65">
        <f t="shared" si="8"/>
        <v>18138.966539038538</v>
      </c>
      <c r="I54" s="66">
        <f t="shared" si="15"/>
        <v>12092.644359359027</v>
      </c>
      <c r="J54" s="89">
        <f t="shared" si="15"/>
        <v>15115.805449198782</v>
      </c>
      <c r="K54" s="67">
        <f t="shared" si="15"/>
        <v>18138.966539038538</v>
      </c>
      <c r="L54" s="68">
        <f t="shared" si="25"/>
        <v>55</v>
      </c>
      <c r="M54" s="68">
        <f>$M$14+'[1]Summary 40MLD'!R44/1000</f>
        <v>663.78329957555331</v>
      </c>
      <c r="N54" s="68">
        <f t="shared" si="31"/>
        <v>30</v>
      </c>
      <c r="O54" s="68">
        <f t="shared" si="31"/>
        <v>12.5</v>
      </c>
      <c r="P54" s="68">
        <f t="shared" si="27"/>
        <v>0</v>
      </c>
      <c r="Q54" s="66">
        <f t="shared" si="16"/>
        <v>723.21913459677558</v>
      </c>
      <c r="R54" s="70">
        <f t="shared" si="9"/>
        <v>761.28329957555331</v>
      </c>
      <c r="S54" s="67">
        <f t="shared" si="10"/>
        <v>799.34746455433105</v>
      </c>
      <c r="T54" s="66">
        <f t="shared" si="23"/>
        <v>12815.863493955801</v>
      </c>
      <c r="U54" s="89">
        <f t="shared" si="17"/>
        <v>15877.088748774335</v>
      </c>
      <c r="V54" s="67">
        <f t="shared" si="17"/>
        <v>18938.31400359287</v>
      </c>
      <c r="W54" s="7">
        <f t="shared" si="18"/>
        <v>0.24019580240332974</v>
      </c>
      <c r="X54" s="66">
        <f t="shared" si="19"/>
        <v>3078.3166154222549</v>
      </c>
      <c r="Y54" s="89">
        <f t="shared" si="20"/>
        <v>3813.6100718407301</v>
      </c>
      <c r="Z54" s="67">
        <f t="shared" si="21"/>
        <v>4548.9035282592058</v>
      </c>
      <c r="AA54" s="14"/>
    </row>
    <row r="55" spans="1:27">
      <c r="A55" s="4">
        <f t="shared" si="22"/>
        <v>2061</v>
      </c>
      <c r="B55" s="4">
        <f t="shared" si="11"/>
        <v>42</v>
      </c>
      <c r="C55" s="63">
        <f t="shared" si="12"/>
        <v>0</v>
      </c>
      <c r="D55" s="64"/>
      <c r="E55" s="65">
        <f t="shared" si="13"/>
        <v>0</v>
      </c>
      <c r="F55" s="63">
        <f t="shared" si="14"/>
        <v>1180</v>
      </c>
      <c r="G55" s="64">
        <f t="shared" si="24"/>
        <v>1475</v>
      </c>
      <c r="H55" s="65">
        <f t="shared" si="8"/>
        <v>1770</v>
      </c>
      <c r="I55" s="66">
        <f t="shared" si="15"/>
        <v>1180</v>
      </c>
      <c r="J55" s="89">
        <f t="shared" si="15"/>
        <v>1475</v>
      </c>
      <c r="K55" s="67">
        <f t="shared" si="15"/>
        <v>1770</v>
      </c>
      <c r="L55" s="68">
        <f t="shared" si="25"/>
        <v>55</v>
      </c>
      <c r="M55" s="68">
        <f>$M$14+'[1]Summary 40MLD'!R45/1000</f>
        <v>672.48692125140451</v>
      </c>
      <c r="N55" s="68">
        <f t="shared" si="31"/>
        <v>30</v>
      </c>
      <c r="O55" s="68">
        <f t="shared" si="31"/>
        <v>12.5</v>
      </c>
      <c r="P55" s="68">
        <f t="shared" si="27"/>
        <v>0</v>
      </c>
      <c r="Q55" s="66">
        <f t="shared" si="16"/>
        <v>731.48757518883428</v>
      </c>
      <c r="R55" s="70">
        <f t="shared" si="9"/>
        <v>769.98692125140451</v>
      </c>
      <c r="S55" s="67">
        <f t="shared" si="10"/>
        <v>808.48626731397474</v>
      </c>
      <c r="T55" s="66">
        <f t="shared" si="23"/>
        <v>1911.4875751888344</v>
      </c>
      <c r="U55" s="89">
        <f t="shared" si="17"/>
        <v>2244.9869212514045</v>
      </c>
      <c r="V55" s="67">
        <f t="shared" si="17"/>
        <v>2578.4862673139746</v>
      </c>
      <c r="W55" s="7">
        <f t="shared" si="18"/>
        <v>0.23198358354580814</v>
      </c>
      <c r="X55" s="66">
        <f t="shared" si="19"/>
        <v>443.43373759559319</v>
      </c>
      <c r="Y55" s="89">
        <f t="shared" si="20"/>
        <v>520.80011100537183</v>
      </c>
      <c r="Z55" s="67">
        <f t="shared" si="21"/>
        <v>598.16648441515042</v>
      </c>
      <c r="AA55" s="14"/>
    </row>
    <row r="56" spans="1:27">
      <c r="A56" s="4">
        <f t="shared" si="22"/>
        <v>2062</v>
      </c>
      <c r="B56" s="4">
        <f t="shared" si="11"/>
        <v>43</v>
      </c>
      <c r="C56" s="63">
        <f t="shared" si="12"/>
        <v>0</v>
      </c>
      <c r="D56" s="64"/>
      <c r="E56" s="65">
        <f t="shared" si="13"/>
        <v>0</v>
      </c>
      <c r="F56" s="63">
        <f t="shared" si="14"/>
        <v>1180</v>
      </c>
      <c r="G56" s="64">
        <f t="shared" si="24"/>
        <v>1475</v>
      </c>
      <c r="H56" s="65">
        <f t="shared" si="8"/>
        <v>1770</v>
      </c>
      <c r="I56" s="66">
        <f t="shared" si="15"/>
        <v>1180</v>
      </c>
      <c r="J56" s="89">
        <f t="shared" si="15"/>
        <v>1475</v>
      </c>
      <c r="K56" s="67">
        <f t="shared" si="15"/>
        <v>1770</v>
      </c>
      <c r="L56" s="68">
        <f t="shared" si="25"/>
        <v>55</v>
      </c>
      <c r="M56" s="68">
        <f>$M$14+'[1]Summary 40MLD'!R46/1000</f>
        <v>681.19054292725582</v>
      </c>
      <c r="N56" s="68">
        <f t="shared" si="31"/>
        <v>30</v>
      </c>
      <c r="O56" s="68">
        <f t="shared" si="31"/>
        <v>12.5</v>
      </c>
      <c r="P56" s="68">
        <f t="shared" si="27"/>
        <v>0</v>
      </c>
      <c r="Q56" s="66">
        <f t="shared" si="16"/>
        <v>739.75601578089299</v>
      </c>
      <c r="R56" s="70">
        <f t="shared" si="9"/>
        <v>778.69054292725582</v>
      </c>
      <c r="S56" s="67">
        <f t="shared" si="10"/>
        <v>817.62507007361864</v>
      </c>
      <c r="T56" s="66">
        <f t="shared" si="23"/>
        <v>1919.756015780893</v>
      </c>
      <c r="U56" s="89">
        <f t="shared" si="17"/>
        <v>2253.6905429272556</v>
      </c>
      <c r="V56" s="67">
        <f t="shared" si="17"/>
        <v>2587.6250700736186</v>
      </c>
      <c r="W56" s="7">
        <f t="shared" si="18"/>
        <v>0.2240521378653739</v>
      </c>
      <c r="X56" s="66">
        <f t="shared" si="19"/>
        <v>430.12543951562157</v>
      </c>
      <c r="Y56" s="89">
        <f t="shared" si="20"/>
        <v>504.94418422982682</v>
      </c>
      <c r="Z56" s="67">
        <f t="shared" si="21"/>
        <v>579.76292894403218</v>
      </c>
      <c r="AA56" s="14"/>
    </row>
    <row r="57" spans="1:27">
      <c r="A57" s="4">
        <f t="shared" si="22"/>
        <v>2063</v>
      </c>
      <c r="B57" s="4">
        <f t="shared" si="11"/>
        <v>44</v>
      </c>
      <c r="C57" s="63">
        <f t="shared" si="12"/>
        <v>0</v>
      </c>
      <c r="D57" s="64"/>
      <c r="E57" s="65">
        <f t="shared" si="13"/>
        <v>0</v>
      </c>
      <c r="F57" s="63">
        <f t="shared" si="14"/>
        <v>1180</v>
      </c>
      <c r="G57" s="64">
        <f t="shared" si="24"/>
        <v>1475</v>
      </c>
      <c r="H57" s="65">
        <f t="shared" si="8"/>
        <v>1770</v>
      </c>
      <c r="I57" s="66">
        <f t="shared" si="15"/>
        <v>1180</v>
      </c>
      <c r="J57" s="89">
        <f t="shared" si="15"/>
        <v>1475</v>
      </c>
      <c r="K57" s="67">
        <f t="shared" si="15"/>
        <v>1770</v>
      </c>
      <c r="L57" s="68">
        <f t="shared" si="25"/>
        <v>55</v>
      </c>
      <c r="M57" s="68">
        <f>$M$14+'[1]Summary 40MLD'!R47/1000</f>
        <v>689.89416460310713</v>
      </c>
      <c r="N57" s="68">
        <f t="shared" si="31"/>
        <v>30</v>
      </c>
      <c r="O57" s="68">
        <f t="shared" si="31"/>
        <v>12.5</v>
      </c>
      <c r="P57" s="68">
        <f t="shared" si="27"/>
        <v>0</v>
      </c>
      <c r="Q57" s="66">
        <f t="shared" si="16"/>
        <v>748.0244563729517</v>
      </c>
      <c r="R57" s="70">
        <f t="shared" si="9"/>
        <v>787.39416460310713</v>
      </c>
      <c r="S57" s="67">
        <f t="shared" si="10"/>
        <v>826.76387283326255</v>
      </c>
      <c r="T57" s="66">
        <f t="shared" si="23"/>
        <v>1928.0244563729516</v>
      </c>
      <c r="U57" s="89">
        <f t="shared" si="17"/>
        <v>2262.3941646031071</v>
      </c>
      <c r="V57" s="67">
        <f t="shared" si="17"/>
        <v>2596.7638728332627</v>
      </c>
      <c r="W57" s="7">
        <f t="shared" si="18"/>
        <v>0.21639186581550499</v>
      </c>
      <c r="X57" s="66">
        <f t="shared" si="19"/>
        <v>417.20880945246768</v>
      </c>
      <c r="Y57" s="89">
        <f t="shared" si="20"/>
        <v>489.56369448857708</v>
      </c>
      <c r="Z57" s="67">
        <f t="shared" si="21"/>
        <v>561.91857952468638</v>
      </c>
      <c r="AA57" s="14"/>
    </row>
    <row r="58" spans="1:27">
      <c r="A58" s="4">
        <f t="shared" si="22"/>
        <v>2064</v>
      </c>
      <c r="B58" s="4">
        <f t="shared" si="11"/>
        <v>45</v>
      </c>
      <c r="C58" s="63">
        <v>12000</v>
      </c>
      <c r="D58" s="64">
        <v>15000</v>
      </c>
      <c r="E58" s="65">
        <v>20000</v>
      </c>
      <c r="F58" s="63">
        <f t="shared" si="14"/>
        <v>1180</v>
      </c>
      <c r="G58" s="64">
        <f>$AC$9+X8</f>
        <v>1475</v>
      </c>
      <c r="H58" s="65">
        <f t="shared" si="8"/>
        <v>1770</v>
      </c>
      <c r="I58" s="66">
        <f t="shared" si="15"/>
        <v>13180</v>
      </c>
      <c r="J58" s="89">
        <f t="shared" si="15"/>
        <v>16475</v>
      </c>
      <c r="K58" s="67">
        <f t="shared" si="15"/>
        <v>21770</v>
      </c>
      <c r="L58" s="68">
        <f t="shared" si="25"/>
        <v>55</v>
      </c>
      <c r="M58" s="68">
        <f>$M$14+'[1]Summary 40MLD'!R48/1000</f>
        <v>698.59778627895844</v>
      </c>
      <c r="N58" s="68">
        <f>N57*1.5</f>
        <v>45</v>
      </c>
      <c r="O58" s="68">
        <f t="shared" si="31"/>
        <v>12.5</v>
      </c>
      <c r="P58" s="68">
        <f t="shared" si="27"/>
        <v>0</v>
      </c>
      <c r="Q58" s="66">
        <f t="shared" si="16"/>
        <v>770.54289696501053</v>
      </c>
      <c r="R58" s="70">
        <f t="shared" si="9"/>
        <v>811.09778627895844</v>
      </c>
      <c r="S58" s="67">
        <f t="shared" si="10"/>
        <v>851.65267559290635</v>
      </c>
      <c r="T58" s="66">
        <f t="shared" si="23"/>
        <v>13950.542896965011</v>
      </c>
      <c r="U58" s="89">
        <f t="shared" si="17"/>
        <v>17286.097786278959</v>
      </c>
      <c r="V58" s="67">
        <f t="shared" si="17"/>
        <v>22621.652675592908</v>
      </c>
      <c r="W58" s="7">
        <f t="shared" si="18"/>
        <v>0.20899349605515255</v>
      </c>
      <c r="X58" s="66">
        <f t="shared" si="19"/>
        <v>2915.5727319040934</v>
      </c>
      <c r="Y58" s="89">
        <f t="shared" si="20"/>
        <v>3612.6820095056728</v>
      </c>
      <c r="Z58" s="67">
        <f t="shared" si="21"/>
        <v>4727.7782792175576</v>
      </c>
      <c r="AA58" s="14" t="s">
        <v>119</v>
      </c>
    </row>
    <row r="59" spans="1:27">
      <c r="A59" s="4">
        <f t="shared" si="22"/>
        <v>2065</v>
      </c>
      <c r="B59" s="4">
        <f t="shared" si="11"/>
        <v>46</v>
      </c>
      <c r="C59" s="63">
        <f t="shared" si="12"/>
        <v>0</v>
      </c>
      <c r="D59" s="64"/>
      <c r="E59" s="65">
        <f t="shared" si="13"/>
        <v>0</v>
      </c>
      <c r="F59" s="63">
        <f t="shared" si="14"/>
        <v>1780</v>
      </c>
      <c r="G59" s="64">
        <f>$AC$9+P8</f>
        <v>2225</v>
      </c>
      <c r="H59" s="65">
        <f t="shared" si="8"/>
        <v>2670</v>
      </c>
      <c r="I59" s="66">
        <f t="shared" si="15"/>
        <v>1780</v>
      </c>
      <c r="J59" s="89">
        <f t="shared" si="15"/>
        <v>2225</v>
      </c>
      <c r="K59" s="67">
        <f t="shared" si="15"/>
        <v>2670</v>
      </c>
      <c r="L59" s="68">
        <f t="shared" si="25"/>
        <v>55</v>
      </c>
      <c r="M59" s="68">
        <f>$M$14*1.5+'[1]Summary 40MLD'!R49/1000</f>
        <v>727.30140795480975</v>
      </c>
      <c r="N59" s="68">
        <f t="shared" si="31"/>
        <v>45</v>
      </c>
      <c r="O59" s="68">
        <f>O58*1.5</f>
        <v>18.75</v>
      </c>
      <c r="P59" s="68">
        <f t="shared" si="27"/>
        <v>0</v>
      </c>
      <c r="Q59" s="66">
        <f t="shared" si="16"/>
        <v>803.74883755706924</v>
      </c>
      <c r="R59" s="70">
        <f t="shared" si="9"/>
        <v>846.05140795480975</v>
      </c>
      <c r="S59" s="67">
        <f t="shared" si="10"/>
        <v>888.35397835255026</v>
      </c>
      <c r="T59" s="66">
        <f t="shared" si="23"/>
        <v>2583.7488375570692</v>
      </c>
      <c r="U59" s="89">
        <f t="shared" si="17"/>
        <v>3071.0514079548097</v>
      </c>
      <c r="V59" s="67">
        <f t="shared" si="17"/>
        <v>3558.3539783525503</v>
      </c>
      <c r="W59" s="7">
        <f t="shared" si="18"/>
        <v>0.20184807422749909</v>
      </c>
      <c r="X59" s="66">
        <f t="shared" si="19"/>
        <v>521.52472714843384</v>
      </c>
      <c r="Y59" s="89">
        <f t="shared" si="20"/>
        <v>619.88581254932808</v>
      </c>
      <c r="Z59" s="67">
        <f t="shared" si="21"/>
        <v>718.24689795022221</v>
      </c>
      <c r="AA59" s="14"/>
    </row>
    <row r="60" spans="1:27">
      <c r="A60" s="4">
        <f t="shared" si="22"/>
        <v>2066</v>
      </c>
      <c r="B60" s="4">
        <f t="shared" si="11"/>
        <v>47</v>
      </c>
      <c r="C60" s="63">
        <f t="shared" si="12"/>
        <v>0</v>
      </c>
      <c r="D60" s="64"/>
      <c r="E60" s="65">
        <f t="shared" si="13"/>
        <v>0</v>
      </c>
      <c r="F60" s="63">
        <f t="shared" si="14"/>
        <v>1180</v>
      </c>
      <c r="G60" s="64">
        <f t="shared" si="24"/>
        <v>1475</v>
      </c>
      <c r="H60" s="65">
        <f t="shared" si="8"/>
        <v>1770</v>
      </c>
      <c r="I60" s="66">
        <f t="shared" si="15"/>
        <v>1180</v>
      </c>
      <c r="J60" s="89">
        <f t="shared" si="15"/>
        <v>1475</v>
      </c>
      <c r="K60" s="67">
        <f t="shared" si="15"/>
        <v>1770</v>
      </c>
      <c r="L60" s="68">
        <f t="shared" si="25"/>
        <v>55</v>
      </c>
      <c r="M60" s="68">
        <f>$M$14*1.5+'[1]Summary 40MLD'!R50/1000</f>
        <v>736.00502963066106</v>
      </c>
      <c r="N60" s="68">
        <f t="shared" si="31"/>
        <v>45</v>
      </c>
      <c r="O60" s="68">
        <f t="shared" si="31"/>
        <v>18.75</v>
      </c>
      <c r="P60" s="68">
        <f t="shared" si="27"/>
        <v>0</v>
      </c>
      <c r="Q60" s="66">
        <f t="shared" si="16"/>
        <v>812.01727814912795</v>
      </c>
      <c r="R60" s="70">
        <f t="shared" si="9"/>
        <v>854.75502963066106</v>
      </c>
      <c r="S60" s="67">
        <f t="shared" si="10"/>
        <v>897.49278111219417</v>
      </c>
      <c r="T60" s="66">
        <f t="shared" si="23"/>
        <v>1992.0172781491278</v>
      </c>
      <c r="U60" s="89">
        <f t="shared" si="17"/>
        <v>2329.7550296306608</v>
      </c>
      <c r="V60" s="67">
        <f t="shared" si="17"/>
        <v>2667.4927811121943</v>
      </c>
      <c r="W60" s="7">
        <f t="shared" si="18"/>
        <v>0.19494695212236729</v>
      </c>
      <c r="X60" s="66">
        <f t="shared" si="19"/>
        <v>388.33769695026643</v>
      </c>
      <c r="Y60" s="89">
        <f t="shared" si="20"/>
        <v>454.17864221825283</v>
      </c>
      <c r="Z60" s="67">
        <f t="shared" si="21"/>
        <v>520.01958748623929</v>
      </c>
      <c r="AA60" s="14"/>
    </row>
    <row r="61" spans="1:27">
      <c r="A61" s="4">
        <f t="shared" si="22"/>
        <v>2067</v>
      </c>
      <c r="B61" s="4">
        <f t="shared" si="11"/>
        <v>48</v>
      </c>
      <c r="C61" s="63">
        <f t="shared" si="12"/>
        <v>0</v>
      </c>
      <c r="D61" s="64"/>
      <c r="E61" s="65">
        <f t="shared" si="13"/>
        <v>0</v>
      </c>
      <c r="F61" s="63">
        <f t="shared" si="14"/>
        <v>1180</v>
      </c>
      <c r="G61" s="64">
        <f t="shared" si="24"/>
        <v>1475</v>
      </c>
      <c r="H61" s="65">
        <f t="shared" si="8"/>
        <v>1770</v>
      </c>
      <c r="I61" s="66">
        <f t="shared" si="15"/>
        <v>1180</v>
      </c>
      <c r="J61" s="89">
        <f t="shared" si="15"/>
        <v>1475</v>
      </c>
      <c r="K61" s="67">
        <f t="shared" si="15"/>
        <v>1770</v>
      </c>
      <c r="L61" s="68">
        <f t="shared" si="25"/>
        <v>55</v>
      </c>
      <c r="M61" s="68">
        <f>$M$14*1.5+'[1]Summary 40MLD'!R51/1000</f>
        <v>744.70865130651225</v>
      </c>
      <c r="N61" s="68">
        <f t="shared" si="31"/>
        <v>45</v>
      </c>
      <c r="O61" s="68">
        <f t="shared" si="31"/>
        <v>18.75</v>
      </c>
      <c r="P61" s="68">
        <f t="shared" si="27"/>
        <v>0</v>
      </c>
      <c r="Q61" s="66">
        <f t="shared" si="16"/>
        <v>820.28571874118666</v>
      </c>
      <c r="R61" s="70">
        <f t="shared" si="9"/>
        <v>863.45865130651225</v>
      </c>
      <c r="S61" s="67">
        <f t="shared" si="10"/>
        <v>906.63158387183785</v>
      </c>
      <c r="T61" s="66">
        <f t="shared" si="23"/>
        <v>2000.2857187411867</v>
      </c>
      <c r="U61" s="89">
        <f t="shared" si="17"/>
        <v>2338.4586513065124</v>
      </c>
      <c r="V61" s="67">
        <f t="shared" si="17"/>
        <v>2676.6315838718378</v>
      </c>
      <c r="W61" s="7">
        <f t="shared" si="18"/>
        <v>0.18828177720916289</v>
      </c>
      <c r="X61" s="66">
        <f t="shared" si="19"/>
        <v>376.61735005069835</v>
      </c>
      <c r="Y61" s="89">
        <f t="shared" si="20"/>
        <v>440.28915079813231</v>
      </c>
      <c r="Z61" s="67">
        <f t="shared" si="21"/>
        <v>503.96095154556616</v>
      </c>
      <c r="AA61" s="14"/>
    </row>
    <row r="62" spans="1:27">
      <c r="A62" s="4">
        <f t="shared" si="22"/>
        <v>2068</v>
      </c>
      <c r="B62" s="4">
        <f t="shared" si="11"/>
        <v>49</v>
      </c>
      <c r="C62" s="63">
        <f t="shared" si="12"/>
        <v>0</v>
      </c>
      <c r="D62" s="64"/>
      <c r="E62" s="65">
        <f t="shared" si="13"/>
        <v>0</v>
      </c>
      <c r="F62" s="63">
        <f t="shared" si="14"/>
        <v>1180</v>
      </c>
      <c r="G62" s="64">
        <f>$AC$9+X8</f>
        <v>1475</v>
      </c>
      <c r="H62" s="65">
        <f t="shared" si="8"/>
        <v>1770</v>
      </c>
      <c r="I62" s="66">
        <f t="shared" si="15"/>
        <v>1180</v>
      </c>
      <c r="J62" s="89">
        <f t="shared" si="15"/>
        <v>1475</v>
      </c>
      <c r="K62" s="67">
        <f t="shared" si="15"/>
        <v>1770</v>
      </c>
      <c r="L62" s="68">
        <f t="shared" si="25"/>
        <v>55</v>
      </c>
      <c r="M62" s="68">
        <f>$M$14*1.5+'[1]Summary 40MLD'!R52/1000</f>
        <v>753.41227298236356</v>
      </c>
      <c r="N62" s="68">
        <f t="shared" si="31"/>
        <v>45</v>
      </c>
      <c r="O62" s="68">
        <f t="shared" si="31"/>
        <v>18.75</v>
      </c>
      <c r="P62" s="68">
        <f t="shared" si="27"/>
        <v>0</v>
      </c>
      <c r="Q62" s="66">
        <f t="shared" si="16"/>
        <v>828.55415933324537</v>
      </c>
      <c r="R62" s="70">
        <f t="shared" si="9"/>
        <v>872.16227298236356</v>
      </c>
      <c r="S62" s="67">
        <f t="shared" si="10"/>
        <v>915.77038663148176</v>
      </c>
      <c r="T62" s="66">
        <f t="shared" si="23"/>
        <v>2008.5541593332455</v>
      </c>
      <c r="U62" s="89">
        <f t="shared" si="17"/>
        <v>2347.1622729823634</v>
      </c>
      <c r="V62" s="67">
        <f t="shared" si="17"/>
        <v>2685.7703866314819</v>
      </c>
      <c r="W62" s="7">
        <f t="shared" si="18"/>
        <v>0.1818444825276829</v>
      </c>
      <c r="X62" s="66">
        <f t="shared" si="19"/>
        <v>365.24449173277918</v>
      </c>
      <c r="Y62" s="89">
        <f t="shared" si="20"/>
        <v>426.81850893897786</v>
      </c>
      <c r="Z62" s="67">
        <f t="shared" si="21"/>
        <v>488.39252614517665</v>
      </c>
      <c r="AA62" s="14"/>
    </row>
    <row r="63" spans="1:27">
      <c r="A63" s="4">
        <f t="shared" si="22"/>
        <v>2069</v>
      </c>
      <c r="B63" s="4">
        <f t="shared" si="11"/>
        <v>50</v>
      </c>
      <c r="C63" s="63">
        <f t="shared" si="12"/>
        <v>0</v>
      </c>
      <c r="D63" s="64"/>
      <c r="E63" s="65">
        <f t="shared" si="13"/>
        <v>0</v>
      </c>
      <c r="F63" s="63">
        <f t="shared" si="14"/>
        <v>1180</v>
      </c>
      <c r="G63" s="64">
        <f t="shared" si="24"/>
        <v>1475</v>
      </c>
      <c r="H63" s="65">
        <f t="shared" si="8"/>
        <v>1770</v>
      </c>
      <c r="I63" s="66">
        <f t="shared" si="15"/>
        <v>1180</v>
      </c>
      <c r="J63" s="89">
        <f t="shared" si="15"/>
        <v>1475</v>
      </c>
      <c r="K63" s="67">
        <f t="shared" si="15"/>
        <v>1770</v>
      </c>
      <c r="L63" s="68">
        <f t="shared" si="25"/>
        <v>55</v>
      </c>
      <c r="M63" s="68">
        <f>$M$14*1.5+'[1]Summary 40MLD'!R53/1000</f>
        <v>762.11589465821487</v>
      </c>
      <c r="N63" s="68">
        <f t="shared" si="31"/>
        <v>45</v>
      </c>
      <c r="O63" s="68">
        <f t="shared" si="31"/>
        <v>18.75</v>
      </c>
      <c r="P63" s="68">
        <f t="shared" si="27"/>
        <v>0</v>
      </c>
      <c r="Q63" s="66">
        <f t="shared" si="16"/>
        <v>836.82259992530408</v>
      </c>
      <c r="R63" s="70">
        <f t="shared" si="9"/>
        <v>880.86589465821487</v>
      </c>
      <c r="S63" s="67">
        <f t="shared" si="10"/>
        <v>924.90918939112566</v>
      </c>
      <c r="T63" s="66">
        <f t="shared" si="23"/>
        <v>2016.8225999253041</v>
      </c>
      <c r="U63" s="89">
        <f t="shared" si="17"/>
        <v>2355.865894658215</v>
      </c>
      <c r="V63" s="67">
        <f t="shared" si="17"/>
        <v>2694.9091893911254</v>
      </c>
      <c r="W63" s="7">
        <f t="shared" si="18"/>
        <v>0.17562727692455368</v>
      </c>
      <c r="X63" s="66">
        <f t="shared" si="19"/>
        <v>354.20906126477973</v>
      </c>
      <c r="Y63" s="89">
        <f t="shared" si="20"/>
        <v>413.75431187824972</v>
      </c>
      <c r="Z63" s="67">
        <f t="shared" si="21"/>
        <v>473.29956249171966</v>
      </c>
      <c r="AA63" s="14" t="s">
        <v>64</v>
      </c>
    </row>
    <row r="64" spans="1:27">
      <c r="A64" s="4">
        <f t="shared" si="22"/>
        <v>2070</v>
      </c>
      <c r="B64" s="4">
        <f t="shared" si="11"/>
        <v>51</v>
      </c>
      <c r="C64" s="63">
        <f t="shared" si="12"/>
        <v>0</v>
      </c>
      <c r="D64" s="64"/>
      <c r="E64" s="65">
        <f t="shared" si="13"/>
        <v>0</v>
      </c>
      <c r="F64" s="63">
        <f t="shared" si="14"/>
        <v>7261.2715954843361</v>
      </c>
      <c r="G64" s="64">
        <f>$AC$9+T6+X6+P6+P8+P4+P5</f>
        <v>9076.5894943554194</v>
      </c>
      <c r="H64" s="65">
        <f t="shared" si="8"/>
        <v>10891.907393226504</v>
      </c>
      <c r="I64" s="66">
        <f t="shared" si="15"/>
        <v>7261.2715954843361</v>
      </c>
      <c r="J64" s="89">
        <f t="shared" si="15"/>
        <v>9076.5894943554194</v>
      </c>
      <c r="K64" s="67">
        <f t="shared" si="15"/>
        <v>10891.907393226504</v>
      </c>
      <c r="L64" s="68">
        <f t="shared" si="25"/>
        <v>55</v>
      </c>
      <c r="M64" s="68">
        <f>$M$14*1.5+'[1]Summary 40MLD'!R54/1000</f>
        <v>770.81951633406618</v>
      </c>
      <c r="N64" s="68">
        <f t="shared" ref="N64:O73" si="32">N63</f>
        <v>45</v>
      </c>
      <c r="O64" s="68">
        <f t="shared" si="32"/>
        <v>18.75</v>
      </c>
      <c r="P64" s="68">
        <f t="shared" si="27"/>
        <v>0</v>
      </c>
      <c r="Q64" s="66">
        <f t="shared" si="16"/>
        <v>845.09104051736279</v>
      </c>
      <c r="R64" s="70">
        <f t="shared" si="9"/>
        <v>889.56951633406618</v>
      </c>
      <c r="S64" s="67">
        <f t="shared" si="10"/>
        <v>934.04799215076957</v>
      </c>
      <c r="T64" s="66">
        <f t="shared" si="23"/>
        <v>8106.3626360016988</v>
      </c>
      <c r="U64" s="89">
        <f t="shared" si="17"/>
        <v>9966.1590106894855</v>
      </c>
      <c r="V64" s="67">
        <f t="shared" si="17"/>
        <v>11825.955385377274</v>
      </c>
      <c r="W64" s="7">
        <f t="shared" si="18"/>
        <v>0.16962263562348243</v>
      </c>
      <c r="X64" s="66">
        <f t="shared" si="19"/>
        <v>1375.0225956383288</v>
      </c>
      <c r="Y64" s="89">
        <f t="shared" si="20"/>
        <v>1690.4861584358687</v>
      </c>
      <c r="Z64" s="67">
        <f t="shared" si="21"/>
        <v>2005.949721233409</v>
      </c>
      <c r="AA64" s="14"/>
    </row>
    <row r="65" spans="1:27">
      <c r="A65" s="4">
        <f t="shared" si="22"/>
        <v>2071</v>
      </c>
      <c r="B65" s="4">
        <f t="shared" si="11"/>
        <v>52</v>
      </c>
      <c r="C65" s="63">
        <f t="shared" si="12"/>
        <v>0</v>
      </c>
      <c r="D65" s="64"/>
      <c r="E65" s="65">
        <f t="shared" si="13"/>
        <v>0</v>
      </c>
      <c r="F65" s="63">
        <f t="shared" si="14"/>
        <v>1180</v>
      </c>
      <c r="G65" s="64">
        <f t="shared" si="24"/>
        <v>1475</v>
      </c>
      <c r="H65" s="65">
        <f t="shared" si="8"/>
        <v>1770</v>
      </c>
      <c r="I65" s="66">
        <f t="shared" si="15"/>
        <v>1180</v>
      </c>
      <c r="J65" s="89">
        <f t="shared" si="15"/>
        <v>1475</v>
      </c>
      <c r="K65" s="67">
        <f t="shared" si="15"/>
        <v>1770</v>
      </c>
      <c r="L65" s="68">
        <f t="shared" si="25"/>
        <v>55</v>
      </c>
      <c r="M65" s="68">
        <f>$M$14*1.5+'[1]Summary 40MLD'!R55/1000</f>
        <v>779.52313800991749</v>
      </c>
      <c r="N65" s="68">
        <f t="shared" si="32"/>
        <v>45</v>
      </c>
      <c r="O65" s="68">
        <f t="shared" si="32"/>
        <v>18.75</v>
      </c>
      <c r="P65" s="68">
        <f t="shared" si="27"/>
        <v>0</v>
      </c>
      <c r="Q65" s="66">
        <f t="shared" si="16"/>
        <v>853.35948110942161</v>
      </c>
      <c r="R65" s="70">
        <f t="shared" si="9"/>
        <v>898.27313800991749</v>
      </c>
      <c r="S65" s="67">
        <f t="shared" si="10"/>
        <v>943.18679491041337</v>
      </c>
      <c r="T65" s="66">
        <f t="shared" si="23"/>
        <v>2033.3594811094217</v>
      </c>
      <c r="U65" s="89">
        <f t="shared" si="17"/>
        <v>2373.2731380099176</v>
      </c>
      <c r="V65" s="67">
        <f t="shared" si="17"/>
        <v>2713.1867949104135</v>
      </c>
      <c r="W65" s="7">
        <f t="shared" si="18"/>
        <v>0.16382329111790842</v>
      </c>
      <c r="X65" s="66">
        <f t="shared" si="19"/>
        <v>333.11164222114797</v>
      </c>
      <c r="Y65" s="89">
        <f t="shared" si="20"/>
        <v>388.79741619051077</v>
      </c>
      <c r="Z65" s="67">
        <f t="shared" si="21"/>
        <v>444.48319015987352</v>
      </c>
      <c r="AA65" s="14"/>
    </row>
    <row r="66" spans="1:27">
      <c r="A66" s="4">
        <f t="shared" si="22"/>
        <v>2072</v>
      </c>
      <c r="B66" s="4">
        <f t="shared" si="11"/>
        <v>53</v>
      </c>
      <c r="C66" s="63">
        <f t="shared" si="12"/>
        <v>0</v>
      </c>
      <c r="D66" s="64"/>
      <c r="E66" s="65">
        <f t="shared" si="13"/>
        <v>0</v>
      </c>
      <c r="F66" s="63">
        <f t="shared" si="14"/>
        <v>1180</v>
      </c>
      <c r="G66" s="64">
        <f>$AC$9+X8</f>
        <v>1475</v>
      </c>
      <c r="H66" s="65">
        <f t="shared" si="8"/>
        <v>1770</v>
      </c>
      <c r="I66" s="66">
        <f t="shared" si="15"/>
        <v>1180</v>
      </c>
      <c r="J66" s="89">
        <f t="shared" si="15"/>
        <v>1475</v>
      </c>
      <c r="K66" s="67">
        <f t="shared" si="15"/>
        <v>1770</v>
      </c>
      <c r="L66" s="68">
        <f t="shared" si="25"/>
        <v>55</v>
      </c>
      <c r="M66" s="68">
        <f>$M$14*1.5+'[1]Summary 40MLD'!R56/1000</f>
        <v>788.2267596857688</v>
      </c>
      <c r="N66" s="68">
        <f t="shared" si="32"/>
        <v>45</v>
      </c>
      <c r="O66" s="68">
        <f t="shared" si="32"/>
        <v>18.75</v>
      </c>
      <c r="P66" s="68">
        <f t="shared" si="27"/>
        <v>0</v>
      </c>
      <c r="Q66" s="66">
        <f t="shared" si="16"/>
        <v>861.62792170148032</v>
      </c>
      <c r="R66" s="70">
        <f t="shared" si="9"/>
        <v>906.9767596857688</v>
      </c>
      <c r="S66" s="67">
        <f t="shared" si="10"/>
        <v>952.32559767005728</v>
      </c>
      <c r="T66" s="66">
        <f t="shared" si="23"/>
        <v>2041.6279217014803</v>
      </c>
      <c r="U66" s="89">
        <f t="shared" si="17"/>
        <v>2381.9767596857687</v>
      </c>
      <c r="V66" s="67">
        <f t="shared" si="17"/>
        <v>2722.3255976700575</v>
      </c>
      <c r="W66" s="7">
        <f t="shared" si="18"/>
        <v>0.15822222437503228</v>
      </c>
      <c r="X66" s="66">
        <f t="shared" si="19"/>
        <v>323.03091111778247</v>
      </c>
      <c r="Y66" s="89">
        <f t="shared" si="20"/>
        <v>376.88166132711405</v>
      </c>
      <c r="Z66" s="67">
        <f t="shared" si="21"/>
        <v>430.73241153644568</v>
      </c>
      <c r="AA66" s="14"/>
    </row>
    <row r="67" spans="1:27">
      <c r="A67" s="4">
        <f t="shared" si="22"/>
        <v>2073</v>
      </c>
      <c r="B67" s="4">
        <f t="shared" si="11"/>
        <v>54</v>
      </c>
      <c r="C67" s="63">
        <f t="shared" si="12"/>
        <v>0</v>
      </c>
      <c r="D67" s="64"/>
      <c r="E67" s="65">
        <f t="shared" si="13"/>
        <v>0</v>
      </c>
      <c r="F67" s="63">
        <f t="shared" si="14"/>
        <v>1180</v>
      </c>
      <c r="G67" s="64">
        <f t="shared" si="24"/>
        <v>1475</v>
      </c>
      <c r="H67" s="65">
        <f t="shared" si="8"/>
        <v>1770</v>
      </c>
      <c r="I67" s="66">
        <f t="shared" si="15"/>
        <v>1180</v>
      </c>
      <c r="J67" s="89">
        <f t="shared" si="15"/>
        <v>1475</v>
      </c>
      <c r="K67" s="67">
        <f t="shared" si="15"/>
        <v>1770</v>
      </c>
      <c r="L67" s="68">
        <f t="shared" si="25"/>
        <v>55</v>
      </c>
      <c r="M67" s="68">
        <f>$M$14*1.5+'[1]Summary 40MLD'!R57/1000</f>
        <v>796.93038136161999</v>
      </c>
      <c r="N67" s="68">
        <f t="shared" si="32"/>
        <v>45</v>
      </c>
      <c r="O67" s="68">
        <f t="shared" si="32"/>
        <v>18.75</v>
      </c>
      <c r="P67" s="68">
        <f t="shared" si="27"/>
        <v>0</v>
      </c>
      <c r="Q67" s="66">
        <f t="shared" si="16"/>
        <v>869.89636229353891</v>
      </c>
      <c r="R67" s="70">
        <f t="shared" si="9"/>
        <v>915.68038136161999</v>
      </c>
      <c r="S67" s="67">
        <f t="shared" si="10"/>
        <v>961.46440042970107</v>
      </c>
      <c r="T67" s="66">
        <f t="shared" si="23"/>
        <v>2049.8963622935389</v>
      </c>
      <c r="U67" s="89">
        <f t="shared" si="17"/>
        <v>2390.6803813616198</v>
      </c>
      <c r="V67" s="67">
        <f t="shared" si="17"/>
        <v>2731.4644004297011</v>
      </c>
      <c r="W67" s="7">
        <f t="shared" si="18"/>
        <v>0.15281265634057586</v>
      </c>
      <c r="X67" s="66">
        <f t="shared" si="19"/>
        <v>313.25010834495913</v>
      </c>
      <c r="Y67" s="89">
        <f t="shared" si="20"/>
        <v>365.32621953717006</v>
      </c>
      <c r="Z67" s="67">
        <f t="shared" si="21"/>
        <v>417.40233072938099</v>
      </c>
      <c r="AA67" s="14"/>
    </row>
    <row r="68" spans="1:27">
      <c r="A68" s="4">
        <f t="shared" si="22"/>
        <v>2074</v>
      </c>
      <c r="B68" s="4">
        <f t="shared" si="11"/>
        <v>55</v>
      </c>
      <c r="C68" s="63">
        <f t="shared" si="12"/>
        <v>0</v>
      </c>
      <c r="D68" s="64"/>
      <c r="E68" s="65">
        <f t="shared" si="13"/>
        <v>0</v>
      </c>
      <c r="F68" s="63">
        <f t="shared" si="14"/>
        <v>1180</v>
      </c>
      <c r="G68" s="64">
        <f t="shared" si="24"/>
        <v>1475</v>
      </c>
      <c r="H68" s="65">
        <f t="shared" si="8"/>
        <v>1770</v>
      </c>
      <c r="I68" s="66">
        <f t="shared" si="15"/>
        <v>1180</v>
      </c>
      <c r="J68" s="89">
        <f t="shared" si="15"/>
        <v>1475</v>
      </c>
      <c r="K68" s="67">
        <f t="shared" si="15"/>
        <v>1770</v>
      </c>
      <c r="L68" s="68">
        <f t="shared" si="25"/>
        <v>55</v>
      </c>
      <c r="M68" s="68">
        <f>$M$14*1.5+'[1]Summary 40MLD'!R58/1000</f>
        <v>805.6340030374713</v>
      </c>
      <c r="N68" s="68">
        <f t="shared" si="32"/>
        <v>45</v>
      </c>
      <c r="O68" s="68">
        <f t="shared" si="32"/>
        <v>18.75</v>
      </c>
      <c r="P68" s="68">
        <f t="shared" si="27"/>
        <v>0</v>
      </c>
      <c r="Q68" s="66">
        <f t="shared" si="16"/>
        <v>878.16480288559774</v>
      </c>
      <c r="R68" s="70">
        <f t="shared" si="9"/>
        <v>924.3840030374713</v>
      </c>
      <c r="S68" s="67">
        <f t="shared" si="10"/>
        <v>970.60320318934487</v>
      </c>
      <c r="T68" s="66">
        <f t="shared" si="23"/>
        <v>2058.164802885598</v>
      </c>
      <c r="U68" s="89">
        <f t="shared" si="17"/>
        <v>2399.3840030374713</v>
      </c>
      <c r="V68" s="67">
        <f t="shared" si="17"/>
        <v>2740.6032031893446</v>
      </c>
      <c r="W68" s="7">
        <f t="shared" si="18"/>
        <v>0.14758803973399254</v>
      </c>
      <c r="X68" s="66">
        <f t="shared" si="19"/>
        <v>303.76050870738453</v>
      </c>
      <c r="Y68" s="89">
        <f t="shared" si="20"/>
        <v>354.12038157740039</v>
      </c>
      <c r="Z68" s="67">
        <f t="shared" si="21"/>
        <v>404.4802544474162</v>
      </c>
      <c r="AA68" s="14"/>
    </row>
    <row r="69" spans="1:27">
      <c r="A69" s="4">
        <f t="shared" si="22"/>
        <v>2075</v>
      </c>
      <c r="B69" s="4">
        <f t="shared" si="11"/>
        <v>56</v>
      </c>
      <c r="C69" s="63">
        <f t="shared" si="12"/>
        <v>0</v>
      </c>
      <c r="D69" s="64"/>
      <c r="E69" s="65">
        <f t="shared" si="13"/>
        <v>0</v>
      </c>
      <c r="F69" s="63">
        <f t="shared" si="14"/>
        <v>1780</v>
      </c>
      <c r="G69" s="64">
        <f>$AC$9+P8</f>
        <v>2225</v>
      </c>
      <c r="H69" s="65">
        <f t="shared" si="8"/>
        <v>2670</v>
      </c>
      <c r="I69" s="66">
        <f t="shared" si="15"/>
        <v>1780</v>
      </c>
      <c r="J69" s="89">
        <f t="shared" si="15"/>
        <v>2225</v>
      </c>
      <c r="K69" s="67">
        <f t="shared" si="15"/>
        <v>2670</v>
      </c>
      <c r="L69" s="68">
        <f t="shared" si="25"/>
        <v>55</v>
      </c>
      <c r="M69" s="68">
        <f>$M$14*1.5+'[1]Summary 40MLD'!R59/1000</f>
        <v>814.33762471332261</v>
      </c>
      <c r="N69" s="68">
        <f t="shared" si="32"/>
        <v>45</v>
      </c>
      <c r="O69" s="68">
        <f t="shared" si="32"/>
        <v>18.75</v>
      </c>
      <c r="P69" s="68">
        <f t="shared" si="27"/>
        <v>0</v>
      </c>
      <c r="Q69" s="66">
        <f t="shared" si="16"/>
        <v>886.43324347765645</v>
      </c>
      <c r="R69" s="70">
        <f t="shared" si="9"/>
        <v>933.08762471332261</v>
      </c>
      <c r="S69" s="67">
        <f t="shared" si="10"/>
        <v>979.74200594898878</v>
      </c>
      <c r="T69" s="66">
        <f t="shared" si="23"/>
        <v>2666.4332434776566</v>
      </c>
      <c r="U69" s="89">
        <f t="shared" si="17"/>
        <v>3158.0876247133228</v>
      </c>
      <c r="V69" s="67">
        <f t="shared" si="17"/>
        <v>3649.7420059489887</v>
      </c>
      <c r="W69" s="7">
        <f t="shared" si="18"/>
        <v>0.14254205112419596</v>
      </c>
      <c r="X69" s="66">
        <f t="shared" si="19"/>
        <v>380.0788637110478</v>
      </c>
      <c r="Y69" s="89">
        <f t="shared" si="20"/>
        <v>450.16028765657705</v>
      </c>
      <c r="Z69" s="67">
        <f t="shared" si="21"/>
        <v>520.24171160210631</v>
      </c>
      <c r="AA69" s="14"/>
    </row>
    <row r="70" spans="1:27">
      <c r="A70" s="4">
        <f t="shared" si="22"/>
        <v>2076</v>
      </c>
      <c r="B70" s="4">
        <f t="shared" si="11"/>
        <v>57</v>
      </c>
      <c r="C70" s="63">
        <f t="shared" si="12"/>
        <v>0</v>
      </c>
      <c r="D70" s="64"/>
      <c r="E70" s="65">
        <f t="shared" si="13"/>
        <v>0</v>
      </c>
      <c r="F70" s="63">
        <f t="shared" si="14"/>
        <v>1180</v>
      </c>
      <c r="G70" s="64">
        <f>$AC$9+X8</f>
        <v>1475</v>
      </c>
      <c r="H70" s="65">
        <f t="shared" si="8"/>
        <v>1770</v>
      </c>
      <c r="I70" s="66">
        <f t="shared" si="15"/>
        <v>1180</v>
      </c>
      <c r="J70" s="89">
        <f t="shared" si="15"/>
        <v>1475</v>
      </c>
      <c r="K70" s="67">
        <f t="shared" si="15"/>
        <v>1770</v>
      </c>
      <c r="L70" s="68">
        <f t="shared" si="25"/>
        <v>55</v>
      </c>
      <c r="M70" s="68">
        <f>$M$14*1.5+'[1]Summary 40MLD'!R60/1000</f>
        <v>823.04124638917392</v>
      </c>
      <c r="N70" s="68">
        <f t="shared" si="32"/>
        <v>45</v>
      </c>
      <c r="O70" s="68">
        <f t="shared" si="32"/>
        <v>18.75</v>
      </c>
      <c r="P70" s="68">
        <f t="shared" si="27"/>
        <v>0</v>
      </c>
      <c r="Q70" s="66">
        <f t="shared" si="16"/>
        <v>894.70168406971516</v>
      </c>
      <c r="R70" s="70">
        <f t="shared" si="9"/>
        <v>941.79124638917392</v>
      </c>
      <c r="S70" s="67">
        <f t="shared" si="10"/>
        <v>988.88080870863269</v>
      </c>
      <c r="T70" s="66">
        <f t="shared" si="23"/>
        <v>2074.7016840697152</v>
      </c>
      <c r="U70" s="89">
        <f t="shared" si="17"/>
        <v>2416.7912463891739</v>
      </c>
      <c r="V70" s="67">
        <f t="shared" si="17"/>
        <v>2758.8808087086327</v>
      </c>
      <c r="W70" s="7">
        <f t="shared" si="18"/>
        <v>0.13766858327621784</v>
      </c>
      <c r="X70" s="66">
        <f t="shared" si="19"/>
        <v>285.62124156666096</v>
      </c>
      <c r="Y70" s="89">
        <f t="shared" si="20"/>
        <v>332.71622696476231</v>
      </c>
      <c r="Z70" s="67">
        <f t="shared" si="21"/>
        <v>379.81121236286361</v>
      </c>
      <c r="AA70" s="14"/>
    </row>
    <row r="71" spans="1:27">
      <c r="A71" s="4">
        <f t="shared" si="22"/>
        <v>2077</v>
      </c>
      <c r="B71" s="4">
        <f t="shared" si="11"/>
        <v>58</v>
      </c>
      <c r="C71" s="63">
        <f t="shared" si="12"/>
        <v>0</v>
      </c>
      <c r="D71" s="64"/>
      <c r="E71" s="65">
        <f t="shared" si="13"/>
        <v>0</v>
      </c>
      <c r="F71" s="63">
        <f t="shared" si="14"/>
        <v>1180</v>
      </c>
      <c r="G71" s="64">
        <f t="shared" si="24"/>
        <v>1475</v>
      </c>
      <c r="H71" s="65">
        <f t="shared" si="8"/>
        <v>1770</v>
      </c>
      <c r="I71" s="66">
        <f t="shared" si="15"/>
        <v>1180</v>
      </c>
      <c r="J71" s="89">
        <f t="shared" si="15"/>
        <v>1475</v>
      </c>
      <c r="K71" s="67">
        <f t="shared" si="15"/>
        <v>1770</v>
      </c>
      <c r="L71" s="68">
        <f t="shared" si="25"/>
        <v>55</v>
      </c>
      <c r="M71" s="68">
        <f>$M$14*1.5+'[1]Summary 40MLD'!R61/1000</f>
        <v>831.74486806502523</v>
      </c>
      <c r="N71" s="68">
        <f t="shared" si="32"/>
        <v>45</v>
      </c>
      <c r="O71" s="68">
        <f t="shared" si="32"/>
        <v>18.75</v>
      </c>
      <c r="P71" s="68">
        <f t="shared" si="27"/>
        <v>0</v>
      </c>
      <c r="Q71" s="66">
        <f t="shared" si="16"/>
        <v>902.97012466177398</v>
      </c>
      <c r="R71" s="70">
        <f t="shared" si="9"/>
        <v>950.49486806502523</v>
      </c>
      <c r="S71" s="67">
        <f t="shared" si="10"/>
        <v>998.01961146827648</v>
      </c>
      <c r="T71" s="66">
        <f t="shared" si="23"/>
        <v>2082.9701246617742</v>
      </c>
      <c r="U71" s="89">
        <f t="shared" si="17"/>
        <v>2425.494868065025</v>
      </c>
      <c r="V71" s="67">
        <f t="shared" si="17"/>
        <v>2768.0196114682767</v>
      </c>
      <c r="W71" s="7">
        <f t="shared" si="18"/>
        <v>0.13296173775953046</v>
      </c>
      <c r="X71" s="66">
        <f t="shared" si="19"/>
        <v>276.9553274762153</v>
      </c>
      <c r="Y71" s="89">
        <f t="shared" si="20"/>
        <v>322.49801258474878</v>
      </c>
      <c r="Z71" s="67">
        <f t="shared" si="21"/>
        <v>368.04069769328243</v>
      </c>
      <c r="AA71" s="14"/>
    </row>
    <row r="72" spans="1:27">
      <c r="A72" s="4">
        <f t="shared" si="22"/>
        <v>2078</v>
      </c>
      <c r="B72" s="4">
        <f t="shared" si="11"/>
        <v>59</v>
      </c>
      <c r="C72" s="63">
        <f t="shared" si="12"/>
        <v>0</v>
      </c>
      <c r="D72" s="64"/>
      <c r="E72" s="65">
        <f t="shared" si="13"/>
        <v>0</v>
      </c>
      <c r="F72" s="63">
        <f t="shared" si="14"/>
        <v>1180</v>
      </c>
      <c r="G72" s="64">
        <f t="shared" si="24"/>
        <v>1475</v>
      </c>
      <c r="H72" s="65">
        <f t="shared" si="8"/>
        <v>1770</v>
      </c>
      <c r="I72" s="66">
        <f t="shared" si="15"/>
        <v>1180</v>
      </c>
      <c r="J72" s="89">
        <f t="shared" si="15"/>
        <v>1475</v>
      </c>
      <c r="K72" s="67">
        <f t="shared" si="15"/>
        <v>1770</v>
      </c>
      <c r="L72" s="68">
        <f t="shared" si="25"/>
        <v>55</v>
      </c>
      <c r="M72" s="68">
        <f>$M$14*1.5+'[1]Summary 40MLD'!R62/1000</f>
        <v>840.44848974087643</v>
      </c>
      <c r="N72" s="68">
        <f t="shared" si="32"/>
        <v>45</v>
      </c>
      <c r="O72" s="68">
        <f t="shared" si="32"/>
        <v>18.75</v>
      </c>
      <c r="P72" s="68">
        <f t="shared" si="27"/>
        <v>0</v>
      </c>
      <c r="Q72" s="66">
        <f t="shared" si="16"/>
        <v>911.23856525383258</v>
      </c>
      <c r="R72" s="70">
        <f t="shared" si="9"/>
        <v>959.19848974087643</v>
      </c>
      <c r="S72" s="67">
        <f t="shared" si="10"/>
        <v>1007.1584142279203</v>
      </c>
      <c r="T72" s="66">
        <f t="shared" si="23"/>
        <v>2091.2385652538323</v>
      </c>
      <c r="U72" s="89">
        <f t="shared" si="17"/>
        <v>2434.1984897408765</v>
      </c>
      <c r="V72" s="67">
        <f t="shared" si="17"/>
        <v>2777.1584142279203</v>
      </c>
      <c r="W72" s="7">
        <f t="shared" si="18"/>
        <v>0.12841581780908873</v>
      </c>
      <c r="X72" s="66">
        <f t="shared" si="19"/>
        <v>268.54811059097625</v>
      </c>
      <c r="Y72" s="89">
        <f t="shared" si="20"/>
        <v>312.58958976972332</v>
      </c>
      <c r="Z72" s="67">
        <f t="shared" si="21"/>
        <v>356.63106894847039</v>
      </c>
      <c r="AA72" s="90" t="s">
        <v>65</v>
      </c>
    </row>
    <row r="73" spans="1:27">
      <c r="A73" s="26">
        <f t="shared" si="22"/>
        <v>2079</v>
      </c>
      <c r="B73" s="26">
        <f t="shared" si="11"/>
        <v>60</v>
      </c>
      <c r="C73" s="63">
        <f t="shared" si="12"/>
        <v>0</v>
      </c>
      <c r="D73" s="72"/>
      <c r="E73" s="65">
        <f t="shared" si="13"/>
        <v>0</v>
      </c>
      <c r="F73" s="63">
        <f t="shared" si="14"/>
        <v>1180</v>
      </c>
      <c r="G73" s="64">
        <f t="shared" si="24"/>
        <v>1475</v>
      </c>
      <c r="H73" s="65">
        <f t="shared" si="8"/>
        <v>1770</v>
      </c>
      <c r="I73" s="73">
        <f t="shared" si="15"/>
        <v>1180</v>
      </c>
      <c r="J73" s="91">
        <f t="shared" si="15"/>
        <v>1475</v>
      </c>
      <c r="K73" s="74">
        <f t="shared" si="15"/>
        <v>1770</v>
      </c>
      <c r="L73" s="68">
        <f t="shared" si="25"/>
        <v>55</v>
      </c>
      <c r="M73" s="68">
        <f>$M$14*1.5+'[1]Summary 40MLD'!R63/1000</f>
        <v>849.15211141672773</v>
      </c>
      <c r="N73" s="68">
        <f t="shared" si="32"/>
        <v>45</v>
      </c>
      <c r="O73" s="68">
        <f t="shared" si="32"/>
        <v>18.75</v>
      </c>
      <c r="P73" s="68">
        <f t="shared" si="27"/>
        <v>0</v>
      </c>
      <c r="Q73" s="66">
        <f t="shared" si="16"/>
        <v>919.50700584589129</v>
      </c>
      <c r="R73" s="70">
        <f t="shared" si="9"/>
        <v>967.90211141672773</v>
      </c>
      <c r="S73" s="67">
        <f t="shared" si="10"/>
        <v>1016.2972169875642</v>
      </c>
      <c r="T73" s="66">
        <f t="shared" si="23"/>
        <v>2099.5070058458914</v>
      </c>
      <c r="U73" s="89">
        <f t="shared" si="17"/>
        <v>2442.9021114167276</v>
      </c>
      <c r="V73" s="67">
        <f t="shared" si="17"/>
        <v>2786.2972169875643</v>
      </c>
      <c r="W73" s="7">
        <f t="shared" si="18"/>
        <v>0.12402532143045074</v>
      </c>
      <c r="X73" s="73">
        <f t="shared" si="19"/>
        <v>260.39203124551989</v>
      </c>
      <c r="Y73" s="91">
        <f t="shared" si="20"/>
        <v>302.9817195915864</v>
      </c>
      <c r="Z73" s="74">
        <f t="shared" si="21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3">SUM(C13:C73)</f>
        <v>59906.684830662605</v>
      </c>
      <c r="D74" s="75">
        <f t="shared" si="33"/>
        <v>68229.649811847339</v>
      </c>
      <c r="E74" s="93">
        <f t="shared" si="33"/>
        <v>78552.614793032073</v>
      </c>
      <c r="F74" s="92">
        <f t="shared" si="33"/>
        <v>101224.45914581203</v>
      </c>
      <c r="G74" s="75">
        <f t="shared" si="33"/>
        <v>126530.57393226503</v>
      </c>
      <c r="H74" s="76">
        <f t="shared" si="33"/>
        <v>151836.68871871804</v>
      </c>
      <c r="I74" s="77">
        <f t="shared" si="33"/>
        <v>161131.14397647465</v>
      </c>
      <c r="J74" s="78">
        <f t="shared" si="33"/>
        <v>194760.22374411239</v>
      </c>
      <c r="K74" s="79">
        <f t="shared" si="33"/>
        <v>230389.30351175016</v>
      </c>
      <c r="L74" s="80">
        <f t="shared" si="33"/>
        <v>3325</v>
      </c>
      <c r="M74" s="80">
        <f t="shared" si="33"/>
        <v>33767.32589499389</v>
      </c>
      <c r="N74" s="80">
        <f t="shared" si="33"/>
        <v>2090</v>
      </c>
      <c r="O74" s="80">
        <f t="shared" si="33"/>
        <v>881.25</v>
      </c>
      <c r="P74" s="80">
        <f t="shared" si="33"/>
        <v>0</v>
      </c>
      <c r="Q74" s="77">
        <f t="shared" si="33"/>
        <v>38060.397100244205</v>
      </c>
      <c r="R74" s="78">
        <f t="shared" si="33"/>
        <v>40063.575894993897</v>
      </c>
      <c r="S74" s="79">
        <f t="shared" si="33"/>
        <v>42066.75468974359</v>
      </c>
      <c r="T74" s="77">
        <f>SUM(T13:T73)</f>
        <v>199191.54107671883</v>
      </c>
      <c r="U74" s="78">
        <f>SUM(U13:U73)</f>
        <v>234823.79963910629</v>
      </c>
      <c r="V74" s="79">
        <f>SUM(V13:V73)</f>
        <v>272456.05820149375</v>
      </c>
      <c r="W74" s="81"/>
      <c r="X74" s="77">
        <f>SUM(X13:X73)</f>
        <v>88366.391309325889</v>
      </c>
      <c r="Y74" s="78">
        <f t="shared" ref="Y74:Z74" si="34">SUM(Y13:Y73)</f>
        <v>103103.0032762021</v>
      </c>
      <c r="Z74" s="79">
        <f t="shared" si="34"/>
        <v>118257.60223518866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A1:AC1"/>
    <mergeCell ref="A1:B1"/>
    <mergeCell ref="C1:K1"/>
    <mergeCell ref="O1:Q1"/>
    <mergeCell ref="S1:U1"/>
    <mergeCell ref="W1:Y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L82"/>
  <sheetViews>
    <sheetView zoomScale="85" zoomScaleNormal="80" workbookViewId="0">
      <pane xSplit="2" ySplit="12" topLeftCell="D13" activePane="bottomRight" state="frozen"/>
      <selection pane="topRight" activeCell="O65" sqref="O65"/>
      <selection pane="bottomLeft" activeCell="O65" sqref="O65"/>
      <selection pane="bottomRight" activeCell="G68" sqref="G68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102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123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106</v>
      </c>
      <c r="Q2" s="8" t="s">
        <v>14</v>
      </c>
      <c r="S2" s="8" t="s">
        <v>11</v>
      </c>
      <c r="T2" s="8" t="s">
        <v>106</v>
      </c>
      <c r="U2" s="8" t="s">
        <v>74</v>
      </c>
      <c r="W2" s="8" t="s">
        <v>11</v>
      </c>
      <c r="X2" s="8" t="s">
        <v>106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>
        <v>1</v>
      </c>
      <c r="P3" s="164">
        <f>$P$9*O3</f>
        <v>500</v>
      </c>
      <c r="Q3" s="97">
        <v>30</v>
      </c>
      <c r="S3" s="105">
        <v>0.7</v>
      </c>
      <c r="T3" s="12">
        <f>S3*T9</f>
        <v>10846.254868293137</v>
      </c>
      <c r="U3" s="97">
        <v>0</v>
      </c>
      <c r="W3" s="105">
        <v>0.56000000000000005</v>
      </c>
      <c r="X3" s="97">
        <f t="shared" ref="X3:X8" si="0">W3*$X$9</f>
        <v>12731.6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81186.884801616368</v>
      </c>
      <c r="E4" s="57">
        <f>Y74</f>
        <v>94835.812060460754</v>
      </c>
      <c r="F4" s="58">
        <f>Z74</f>
        <v>108902.72631141542</v>
      </c>
      <c r="M4" s="8" t="s">
        <v>21</v>
      </c>
      <c r="N4" s="100">
        <v>25</v>
      </c>
      <c r="O4" s="112">
        <v>0</v>
      </c>
      <c r="P4" s="164">
        <f t="shared" ref="P4:P8" si="1">$P$9*O4</f>
        <v>0</v>
      </c>
      <c r="Q4" s="97">
        <f>(P4/N4)</f>
        <v>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0.27</v>
      </c>
      <c r="X4" s="97">
        <f t="shared" si="0"/>
        <v>6138.4500000000007</v>
      </c>
      <c r="Y4" s="97">
        <f>(X4/N4)</f>
        <v>245.53800000000004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>
        <v>0</v>
      </c>
      <c r="P5" s="164">
        <f t="shared" si="1"/>
        <v>0</v>
      </c>
      <c r="Q5" s="97">
        <f t="shared" ref="Q5:Q8" si="2">(P5/N5)</f>
        <v>0</v>
      </c>
      <c r="S5" s="105">
        <v>0.13</v>
      </c>
      <c r="T5" s="97">
        <f>S5*$T$9</f>
        <v>2014.3044755401543</v>
      </c>
      <c r="U5" s="97">
        <f t="shared" ref="U5:U8" si="3">(T5/N5)</f>
        <v>80.572179021606175</v>
      </c>
      <c r="W5" s="105">
        <v>0.08</v>
      </c>
      <c r="X5" s="97">
        <f t="shared" si="0"/>
        <v>1818.8</v>
      </c>
      <c r="Y5" s="97">
        <f>(X5/N5)</f>
        <v>72.751999999999995</v>
      </c>
      <c r="AA5" s="105">
        <f>'Base Costs'!Q5</f>
        <v>0.15</v>
      </c>
      <c r="AB5" s="97">
        <f>'Base Costs'!R5</f>
        <v>7500</v>
      </c>
      <c r="AC5" s="97">
        <f t="shared" ref="AC5:AC8" si="4">(AB5/N5)</f>
        <v>300</v>
      </c>
    </row>
    <row r="6" spans="1:38" ht="12.75" customHeight="1">
      <c r="A6" s="181" t="s">
        <v>92</v>
      </c>
      <c r="B6" s="182"/>
      <c r="I6" s="30">
        <f>SUM(I13:I17)</f>
        <v>22441.342415331303</v>
      </c>
      <c r="J6" s="84">
        <f t="shared" ref="J6:K6" si="5">SUM(J13:J17)</f>
        <v>25599.82490592367</v>
      </c>
      <c r="K6" s="31">
        <f t="shared" si="5"/>
        <v>28758.307396516037</v>
      </c>
      <c r="M6" s="8" t="s">
        <v>24</v>
      </c>
      <c r="N6" s="100">
        <v>10</v>
      </c>
      <c r="O6" s="112">
        <v>0</v>
      </c>
      <c r="P6" s="164">
        <f t="shared" si="1"/>
        <v>0</v>
      </c>
      <c r="Q6" s="97">
        <f t="shared" si="2"/>
        <v>0</v>
      </c>
      <c r="S6" s="105">
        <v>0.03</v>
      </c>
      <c r="T6" s="97">
        <f>S6*$T$9</f>
        <v>464.83949435542013</v>
      </c>
      <c r="U6" s="97">
        <f t="shared" si="3"/>
        <v>46.483949435542016</v>
      </c>
      <c r="W6" s="105">
        <v>0.05</v>
      </c>
      <c r="X6" s="97">
        <f t="shared" si="0"/>
        <v>1136.75</v>
      </c>
      <c r="Y6" s="97">
        <f>(X6/N6)</f>
        <v>113.675</v>
      </c>
      <c r="AA6" s="105">
        <f>'Base Costs'!Q6</f>
        <v>0.05</v>
      </c>
      <c r="AB6" s="97">
        <f>'Base Costs'!R6</f>
        <v>2500</v>
      </c>
      <c r="AC6" s="97">
        <f t="shared" si="4"/>
        <v>250</v>
      </c>
    </row>
    <row r="7" spans="1:38" ht="18.75" customHeight="1">
      <c r="A7" s="181" t="s">
        <v>93</v>
      </c>
      <c r="B7" s="182"/>
      <c r="C7" s="59">
        <f>SUM(C13:C73)</f>
        <v>46856.684830662605</v>
      </c>
      <c r="D7" s="60">
        <f t="shared" ref="D7:E7" si="6">SUM(D13:D73)</f>
        <v>53729.649811847339</v>
      </c>
      <c r="E7" s="61">
        <f t="shared" si="6"/>
        <v>62602.614793032073</v>
      </c>
      <c r="M7" s="8" t="s">
        <v>25</v>
      </c>
      <c r="N7" s="101">
        <v>10000</v>
      </c>
      <c r="O7" s="112">
        <v>0</v>
      </c>
      <c r="P7" s="164">
        <f t="shared" si="1"/>
        <v>0</v>
      </c>
      <c r="Q7" s="97">
        <f t="shared" si="2"/>
        <v>0</v>
      </c>
      <c r="S7" s="105">
        <v>0</v>
      </c>
      <c r="T7" s="97">
        <f>S7*$T$9</f>
        <v>0</v>
      </c>
      <c r="U7" s="97">
        <f t="shared" si="3"/>
        <v>0</v>
      </c>
      <c r="W7" s="105">
        <v>0.04</v>
      </c>
      <c r="X7" s="97">
        <f t="shared" si="0"/>
        <v>909.4</v>
      </c>
      <c r="Y7" s="97">
        <f>(X7/N7)</f>
        <v>9.0939999999999993E-2</v>
      </c>
      <c r="AA7" s="105">
        <f>'Base Costs'!Q7</f>
        <v>0</v>
      </c>
      <c r="AB7" s="97">
        <f>'Base Costs'!R7</f>
        <v>0</v>
      </c>
      <c r="AC7" s="97">
        <f t="shared" si="4"/>
        <v>0</v>
      </c>
    </row>
    <row r="8" spans="1:38" ht="26.25" customHeight="1">
      <c r="A8" s="181" t="s">
        <v>94</v>
      </c>
      <c r="B8" s="182"/>
      <c r="F8" s="59">
        <f>SUM(F13:F73)</f>
        <v>95418.375100655379</v>
      </c>
      <c r="G8" s="59">
        <f t="shared" ref="G8:H8" si="7">SUM(G13:G73)</f>
        <v>119272.96887581924</v>
      </c>
      <c r="H8" s="59">
        <f t="shared" si="7"/>
        <v>143127.56265098308</v>
      </c>
      <c r="M8" s="8" t="s">
        <v>26</v>
      </c>
      <c r="N8" s="101">
        <v>5</v>
      </c>
      <c r="O8" s="112">
        <v>0</v>
      </c>
      <c r="P8" s="164">
        <f t="shared" si="1"/>
        <v>0</v>
      </c>
      <c r="Q8" s="97">
        <f t="shared" si="2"/>
        <v>0</v>
      </c>
      <c r="S8" s="105">
        <v>0</v>
      </c>
      <c r="T8" s="97">
        <f>S8*$T$9</f>
        <v>0</v>
      </c>
      <c r="U8" s="97">
        <f t="shared" si="3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4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64">
        <v>500</v>
      </c>
      <c r="Q9" s="164">
        <f>SUM(Q3:Q8)</f>
        <v>30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v>22735</v>
      </c>
      <c r="Y9" s="98">
        <f>SUM(Y3:Y8)</f>
        <v>432.05594000000002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225</v>
      </c>
      <c r="D13" s="27">
        <f>P9/2</f>
        <v>250</v>
      </c>
      <c r="E13" s="65">
        <f>D13*(1+$E$11)</f>
        <v>275</v>
      </c>
      <c r="F13" s="63">
        <f>G13*(1+$F$11)</f>
        <v>624</v>
      </c>
      <c r="G13" s="64">
        <v>780</v>
      </c>
      <c r="H13" s="65">
        <f t="shared" ref="H13:H73" si="8">G13*(1+$H$11)</f>
        <v>936</v>
      </c>
      <c r="I13" s="66">
        <f>F13+C13</f>
        <v>849</v>
      </c>
      <c r="J13" s="89">
        <f>G13+D13</f>
        <v>1030</v>
      </c>
      <c r="K13" s="67">
        <f>H13+E13</f>
        <v>1211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9">SUM(L13:P13)</f>
        <v>145</v>
      </c>
      <c r="S13" s="67">
        <f t="shared" ref="S13:S73" si="10">R13*(1+$S$11)</f>
        <v>152.25</v>
      </c>
      <c r="T13" s="66">
        <f>Q13+I13</f>
        <v>986.75</v>
      </c>
      <c r="U13" s="89">
        <f>R13+J13</f>
        <v>1175</v>
      </c>
      <c r="V13" s="67">
        <f>S13+K13</f>
        <v>1363.25</v>
      </c>
      <c r="W13" s="5">
        <v>1</v>
      </c>
      <c r="X13" s="69">
        <f>W13*T13</f>
        <v>986.75</v>
      </c>
      <c r="Y13" s="89">
        <f>W13*U13</f>
        <v>1175</v>
      </c>
      <c r="Z13" s="67">
        <f>W13*V13</f>
        <v>1363.25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11">(B13+1)</f>
        <v>1</v>
      </c>
      <c r="C14" s="63">
        <f t="shared" ref="C14:C73" si="12">D14*(1+$C$11)</f>
        <v>225</v>
      </c>
      <c r="D14" s="27">
        <f>P9/2</f>
        <v>250</v>
      </c>
      <c r="E14" s="65">
        <f t="shared" ref="E14:E73" si="13">D14*(1+$E$11)</f>
        <v>275</v>
      </c>
      <c r="F14" s="63">
        <f t="shared" ref="F14:F73" si="14">G14*(1+$F$11)</f>
        <v>624</v>
      </c>
      <c r="G14" s="64">
        <v>780</v>
      </c>
      <c r="H14" s="65">
        <f t="shared" si="8"/>
        <v>936</v>
      </c>
      <c r="I14" s="66">
        <f t="shared" ref="I14:K73" si="15">F14+C14</f>
        <v>849</v>
      </c>
      <c r="J14" s="89">
        <f t="shared" si="15"/>
        <v>1030</v>
      </c>
      <c r="K14" s="67">
        <f t="shared" si="15"/>
        <v>1211</v>
      </c>
      <c r="L14" s="68">
        <f>'Base Costs'!L14</f>
        <v>40</v>
      </c>
      <c r="M14" s="68">
        <f>'Base Costs'!$M$14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6">R14*(1+$Q$11)</f>
        <v>137.75</v>
      </c>
      <c r="R14" s="70">
        <f t="shared" si="9"/>
        <v>145</v>
      </c>
      <c r="S14" s="67">
        <f t="shared" si="10"/>
        <v>152.25</v>
      </c>
      <c r="T14" s="66">
        <f>Q14+I14</f>
        <v>986.75</v>
      </c>
      <c r="U14" s="89">
        <f t="shared" ref="U14:V73" si="17">R14+J14</f>
        <v>1175</v>
      </c>
      <c r="V14" s="67">
        <f t="shared" si="17"/>
        <v>1363.25</v>
      </c>
      <c r="W14" s="6">
        <f t="shared" ref="W14:W73" si="18">(1/(1+$C$3))^B14</f>
        <v>0.96581031485416258</v>
      </c>
      <c r="X14" s="66">
        <f t="shared" ref="X14:X73" si="19">W14*T14</f>
        <v>953.01332818234494</v>
      </c>
      <c r="Y14" s="89">
        <f t="shared" ref="Y14:Y73" si="20">W14*U14</f>
        <v>1134.8271199536409</v>
      </c>
      <c r="Z14" s="67">
        <f t="shared" ref="Z14:Z73" si="21">W14*V14</f>
        <v>1316.640911724937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2">A14+1</f>
        <v>2021</v>
      </c>
      <c r="B15" s="4">
        <f t="shared" si="11"/>
        <v>2</v>
      </c>
      <c r="C15" s="63">
        <f t="shared" si="12"/>
        <v>0</v>
      </c>
      <c r="D15" s="64"/>
      <c r="E15" s="65">
        <f t="shared" si="13"/>
        <v>0</v>
      </c>
      <c r="F15" s="63">
        <f t="shared" si="14"/>
        <v>1180</v>
      </c>
      <c r="G15" s="64">
        <f>$AC$9</f>
        <v>1475</v>
      </c>
      <c r="H15" s="65">
        <f t="shared" si="8"/>
        <v>1770</v>
      </c>
      <c r="I15" s="66">
        <f t="shared" si="15"/>
        <v>1180</v>
      </c>
      <c r="J15" s="89">
        <f t="shared" si="15"/>
        <v>1475</v>
      </c>
      <c r="K15" s="67">
        <f t="shared" si="15"/>
        <v>1770</v>
      </c>
      <c r="L15" s="68">
        <v>55</v>
      </c>
      <c r="M15" s="68">
        <f>'Base Costs'!$M$14</f>
        <v>40</v>
      </c>
      <c r="N15" s="68">
        <v>30</v>
      </c>
      <c r="O15" s="68">
        <f>O14*0.5</f>
        <v>12.5</v>
      </c>
      <c r="P15" s="68">
        <v>0</v>
      </c>
      <c r="Q15" s="66">
        <f t="shared" si="16"/>
        <v>130.625</v>
      </c>
      <c r="R15" s="70">
        <f t="shared" si="9"/>
        <v>137.5</v>
      </c>
      <c r="S15" s="67">
        <f t="shared" si="10"/>
        <v>144.375</v>
      </c>
      <c r="T15" s="66">
        <f t="shared" ref="T15:T73" si="23">Q15+I15</f>
        <v>1310.625</v>
      </c>
      <c r="U15" s="89">
        <f t="shared" si="17"/>
        <v>1612.5</v>
      </c>
      <c r="V15" s="67">
        <f t="shared" si="17"/>
        <v>1914.375</v>
      </c>
      <c r="W15" s="6">
        <f t="shared" si="18"/>
        <v>0.93278956427869664</v>
      </c>
      <c r="X15" s="66">
        <f t="shared" si="19"/>
        <v>1222.5373226827667</v>
      </c>
      <c r="Y15" s="89">
        <f t="shared" si="20"/>
        <v>1504.1231723993983</v>
      </c>
      <c r="Z15" s="67">
        <f t="shared" si="21"/>
        <v>1785.7090221160299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2"/>
        <v>2022</v>
      </c>
      <c r="B16" s="4">
        <f t="shared" si="11"/>
        <v>3</v>
      </c>
      <c r="C16" s="63">
        <f t="shared" si="12"/>
        <v>0</v>
      </c>
      <c r="D16" s="64"/>
      <c r="E16" s="65">
        <f t="shared" si="13"/>
        <v>0</v>
      </c>
      <c r="F16" s="63">
        <f t="shared" si="14"/>
        <v>1180</v>
      </c>
      <c r="G16" s="64">
        <f t="shared" ref="G16:G73" si="24">$AC$9</f>
        <v>1475</v>
      </c>
      <c r="H16" s="65">
        <f t="shared" si="8"/>
        <v>1770</v>
      </c>
      <c r="I16" s="66">
        <f t="shared" si="15"/>
        <v>1180</v>
      </c>
      <c r="J16" s="89">
        <f t="shared" si="15"/>
        <v>1475</v>
      </c>
      <c r="K16" s="67">
        <f t="shared" si="15"/>
        <v>1770</v>
      </c>
      <c r="L16" s="68">
        <f t="shared" ref="L16:L73" si="25">L15</f>
        <v>55</v>
      </c>
      <c r="M16" s="68">
        <f>'Base Costs'!$M$14</f>
        <v>40</v>
      </c>
      <c r="N16" s="68">
        <f t="shared" ref="N16:O31" si="26">N15</f>
        <v>30</v>
      </c>
      <c r="O16" s="68">
        <f>O15</f>
        <v>12.5</v>
      </c>
      <c r="P16" s="68">
        <f t="shared" ref="P16:P73" si="27">P15</f>
        <v>0</v>
      </c>
      <c r="Q16" s="66">
        <f t="shared" si="16"/>
        <v>130.625</v>
      </c>
      <c r="R16" s="70">
        <f t="shared" si="9"/>
        <v>137.5</v>
      </c>
      <c r="S16" s="67">
        <f t="shared" si="10"/>
        <v>144.375</v>
      </c>
      <c r="T16" s="66">
        <f t="shared" si="23"/>
        <v>1310.625</v>
      </c>
      <c r="U16" s="89">
        <f t="shared" si="17"/>
        <v>1612.5</v>
      </c>
      <c r="V16" s="67">
        <f t="shared" si="17"/>
        <v>1914.375</v>
      </c>
      <c r="W16" s="6">
        <f t="shared" si="18"/>
        <v>0.90089778276868515</v>
      </c>
      <c r="X16" s="66">
        <f t="shared" si="19"/>
        <v>1180.7391565412079</v>
      </c>
      <c r="Y16" s="89">
        <f t="shared" si="20"/>
        <v>1452.6976747145047</v>
      </c>
      <c r="Z16" s="67">
        <f t="shared" si="21"/>
        <v>1724.6561928878016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8">AG16*$AH$22</f>
        <v>2693.3846153846148</v>
      </c>
      <c r="AK16" s="115">
        <f t="shared" ref="AK16:AK21" si="29">AL16/$AL$22</f>
        <v>0.55548301720335247</v>
      </c>
      <c r="AL16" s="97">
        <f>AH16+AG28</f>
        <v>4843.3846153846152</v>
      </c>
    </row>
    <row r="17" spans="1:38">
      <c r="A17" s="4">
        <f t="shared" si="22"/>
        <v>2023</v>
      </c>
      <c r="B17" s="4">
        <f t="shared" si="11"/>
        <v>4</v>
      </c>
      <c r="C17" s="63">
        <f t="shared" si="12"/>
        <v>17203.342415331303</v>
      </c>
      <c r="D17" s="64">
        <f>($T$9+$X$9)/2</f>
        <v>19114.82490592367</v>
      </c>
      <c r="E17" s="65">
        <f t="shared" si="13"/>
        <v>21026.307396516037</v>
      </c>
      <c r="F17" s="63">
        <f t="shared" si="14"/>
        <v>1180</v>
      </c>
      <c r="G17" s="64">
        <f t="shared" si="24"/>
        <v>1475</v>
      </c>
      <c r="H17" s="65">
        <f t="shared" si="8"/>
        <v>1770</v>
      </c>
      <c r="I17" s="66">
        <f t="shared" si="15"/>
        <v>18383.342415331303</v>
      </c>
      <c r="J17" s="89">
        <f t="shared" si="15"/>
        <v>20589.82490592367</v>
      </c>
      <c r="K17" s="67">
        <f t="shared" si="15"/>
        <v>22796.307396516037</v>
      </c>
      <c r="L17" s="68">
        <f t="shared" si="25"/>
        <v>55</v>
      </c>
      <c r="M17" s="68">
        <f>'Base Costs'!$M$14</f>
        <v>40</v>
      </c>
      <c r="N17" s="68">
        <f t="shared" si="26"/>
        <v>30</v>
      </c>
      <c r="O17" s="68">
        <f t="shared" si="26"/>
        <v>12.5</v>
      </c>
      <c r="P17" s="68">
        <f t="shared" si="27"/>
        <v>0</v>
      </c>
      <c r="Q17" s="66">
        <f t="shared" si="16"/>
        <v>130.625</v>
      </c>
      <c r="R17" s="70">
        <f t="shared" si="9"/>
        <v>137.5</v>
      </c>
      <c r="S17" s="67">
        <f t="shared" si="10"/>
        <v>144.375</v>
      </c>
      <c r="T17" s="66">
        <f t="shared" si="23"/>
        <v>18513.967415331303</v>
      </c>
      <c r="U17" s="89">
        <f t="shared" si="17"/>
        <v>20727.32490592367</v>
      </c>
      <c r="V17" s="67">
        <f t="shared" si="17"/>
        <v>22940.682396516037</v>
      </c>
      <c r="W17" s="6">
        <f t="shared" si="18"/>
        <v>0.87009637122724071</v>
      </c>
      <c r="X17" s="66">
        <f t="shared" si="19"/>
        <v>16108.935865099143</v>
      </c>
      <c r="Y17" s="89">
        <f t="shared" si="20"/>
        <v>18034.770185892194</v>
      </c>
      <c r="Z17" s="67">
        <f t="shared" si="21"/>
        <v>19960.604506685242</v>
      </c>
      <c r="AA17" s="14"/>
      <c r="AC17" s="105">
        <v>0.36</v>
      </c>
      <c r="AD17" s="97">
        <v>4392</v>
      </c>
      <c r="AG17" s="105">
        <v>0.36</v>
      </c>
      <c r="AH17" s="97">
        <f t="shared" si="28"/>
        <v>2364.9230769230767</v>
      </c>
      <c r="AK17" s="115">
        <f t="shared" si="29"/>
        <v>0.27123070136744593</v>
      </c>
      <c r="AL17" s="97">
        <f>AH17</f>
        <v>2364.9230769230767</v>
      </c>
    </row>
    <row r="18" spans="1:38">
      <c r="A18" s="4">
        <f t="shared" si="22"/>
        <v>2024</v>
      </c>
      <c r="B18" s="4">
        <f t="shared" si="11"/>
        <v>5</v>
      </c>
      <c r="C18" s="63">
        <f t="shared" si="12"/>
        <v>17203.342415331303</v>
      </c>
      <c r="D18" s="64">
        <f>($T$9+$X$9)/2</f>
        <v>19114.82490592367</v>
      </c>
      <c r="E18" s="65">
        <f t="shared" si="13"/>
        <v>21026.307396516037</v>
      </c>
      <c r="F18" s="63">
        <f t="shared" si="14"/>
        <v>1180</v>
      </c>
      <c r="G18" s="64">
        <f>$AC$9+X8</f>
        <v>1475</v>
      </c>
      <c r="H18" s="65">
        <f t="shared" si="8"/>
        <v>1770</v>
      </c>
      <c r="I18" s="66">
        <f t="shared" si="15"/>
        <v>18383.342415331303</v>
      </c>
      <c r="J18" s="89">
        <f t="shared" si="15"/>
        <v>20589.82490592367</v>
      </c>
      <c r="K18" s="67">
        <f t="shared" si="15"/>
        <v>22796.307396516037</v>
      </c>
      <c r="L18" s="68">
        <f t="shared" si="25"/>
        <v>55</v>
      </c>
      <c r="M18" s="68">
        <f>$M$14+'[1]Summary 40MLD'!R8/1000</f>
        <v>316.0747916778588</v>
      </c>
      <c r="N18" s="68">
        <f t="shared" si="26"/>
        <v>30</v>
      </c>
      <c r="O18" s="68">
        <f t="shared" si="26"/>
        <v>12.5</v>
      </c>
      <c r="P18" s="68">
        <f t="shared" si="27"/>
        <v>0</v>
      </c>
      <c r="Q18" s="66">
        <f t="shared" si="16"/>
        <v>392.89605209396586</v>
      </c>
      <c r="R18" s="70">
        <f t="shared" si="9"/>
        <v>413.5747916778588</v>
      </c>
      <c r="S18" s="67">
        <f t="shared" si="10"/>
        <v>434.25353126175173</v>
      </c>
      <c r="T18" s="66">
        <f t="shared" si="23"/>
        <v>18776.238467425268</v>
      </c>
      <c r="U18" s="89">
        <f t="shared" si="17"/>
        <v>21003.39969760153</v>
      </c>
      <c r="V18" s="67">
        <f t="shared" si="17"/>
        <v>23230.560927777788</v>
      </c>
      <c r="W18" s="6">
        <f t="shared" si="18"/>
        <v>0.84034805024844572</v>
      </c>
      <c r="X18" s="66">
        <f t="shared" si="19"/>
        <v>15778.575387100689</v>
      </c>
      <c r="Y18" s="89">
        <f t="shared" si="20"/>
        <v>17650.16598446824</v>
      </c>
      <c r="Z18" s="67">
        <f t="shared" si="21"/>
        <v>19521.756581835787</v>
      </c>
      <c r="AA18" s="14"/>
      <c r="AC18" s="105">
        <v>0.1</v>
      </c>
      <c r="AD18" s="97">
        <v>1220</v>
      </c>
      <c r="AG18" s="105">
        <v>0.1</v>
      </c>
      <c r="AH18" s="97">
        <f t="shared" si="28"/>
        <v>656.92307692307691</v>
      </c>
      <c r="AK18" s="115">
        <f t="shared" si="29"/>
        <v>7.5341861490957202E-2</v>
      </c>
      <c r="AL18" s="97">
        <f>AH18</f>
        <v>656.92307692307691</v>
      </c>
    </row>
    <row r="19" spans="1:38">
      <c r="A19" s="4">
        <f t="shared" si="22"/>
        <v>2025</v>
      </c>
      <c r="B19" s="4">
        <f t="shared" si="11"/>
        <v>6</v>
      </c>
      <c r="C19" s="63">
        <f t="shared" si="12"/>
        <v>0</v>
      </c>
      <c r="D19" s="64"/>
      <c r="E19" s="65">
        <f t="shared" si="13"/>
        <v>0</v>
      </c>
      <c r="F19" s="63">
        <f t="shared" si="14"/>
        <v>1180</v>
      </c>
      <c r="G19" s="64">
        <f>$AC$9+P8</f>
        <v>1475</v>
      </c>
      <c r="H19" s="65">
        <f t="shared" si="8"/>
        <v>1770</v>
      </c>
      <c r="I19" s="66">
        <f t="shared" si="15"/>
        <v>1180</v>
      </c>
      <c r="J19" s="89">
        <f t="shared" si="15"/>
        <v>1475</v>
      </c>
      <c r="K19" s="67">
        <f t="shared" si="15"/>
        <v>1770</v>
      </c>
      <c r="L19" s="68">
        <f t="shared" si="25"/>
        <v>55</v>
      </c>
      <c r="M19" s="68">
        <f>$M$14+'[1]Summary 40MLD'!R9/1000</f>
        <v>326.23258389956914</v>
      </c>
      <c r="N19" s="68">
        <f t="shared" si="26"/>
        <v>30</v>
      </c>
      <c r="O19" s="68">
        <f t="shared" si="26"/>
        <v>12.5</v>
      </c>
      <c r="P19" s="68">
        <f t="shared" si="27"/>
        <v>0</v>
      </c>
      <c r="Q19" s="66">
        <f t="shared" si="16"/>
        <v>402.54595470459066</v>
      </c>
      <c r="R19" s="70">
        <f t="shared" si="9"/>
        <v>423.73258389956914</v>
      </c>
      <c r="S19" s="67">
        <f t="shared" si="10"/>
        <v>444.91921309454762</v>
      </c>
      <c r="T19" s="66">
        <f t="shared" si="23"/>
        <v>1582.5459547045907</v>
      </c>
      <c r="U19" s="89">
        <f t="shared" si="17"/>
        <v>1898.7325838995691</v>
      </c>
      <c r="V19" s="67">
        <f t="shared" si="17"/>
        <v>2214.9192130945476</v>
      </c>
      <c r="W19" s="6">
        <f t="shared" si="18"/>
        <v>0.81161681499753291</v>
      </c>
      <c r="X19" s="66">
        <f t="shared" si="19"/>
        <v>1284.42090734457</v>
      </c>
      <c r="Y19" s="89">
        <f t="shared" si="20"/>
        <v>1541.0432922766042</v>
      </c>
      <c r="Z19" s="67">
        <f t="shared" si="21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8"/>
        <v>459.84615384615387</v>
      </c>
      <c r="AK19" s="115">
        <f t="shared" si="29"/>
        <v>5.2739303043670048E-2</v>
      </c>
      <c r="AL19" s="97">
        <f>AH19</f>
        <v>459.84615384615387</v>
      </c>
    </row>
    <row r="20" spans="1:38">
      <c r="A20" s="4">
        <f t="shared" si="22"/>
        <v>2026</v>
      </c>
      <c r="B20" s="4">
        <f t="shared" si="11"/>
        <v>7</v>
      </c>
      <c r="C20" s="63">
        <f t="shared" si="12"/>
        <v>0</v>
      </c>
      <c r="D20" s="64"/>
      <c r="E20" s="65">
        <f t="shared" si="13"/>
        <v>0</v>
      </c>
      <c r="F20" s="63">
        <f t="shared" si="14"/>
        <v>1180</v>
      </c>
      <c r="G20" s="64">
        <f t="shared" si="24"/>
        <v>1475</v>
      </c>
      <c r="H20" s="65">
        <f t="shared" si="8"/>
        <v>1770</v>
      </c>
      <c r="I20" s="66">
        <f t="shared" si="15"/>
        <v>1180</v>
      </c>
      <c r="J20" s="89">
        <f t="shared" si="15"/>
        <v>1475</v>
      </c>
      <c r="K20" s="67">
        <f t="shared" si="15"/>
        <v>1770</v>
      </c>
      <c r="L20" s="68">
        <f t="shared" si="25"/>
        <v>55</v>
      </c>
      <c r="M20" s="68">
        <f>$M$14+'[1]Summary 40MLD'!R10/1000</f>
        <v>330.97372987921659</v>
      </c>
      <c r="N20" s="68">
        <f t="shared" si="26"/>
        <v>30</v>
      </c>
      <c r="O20" s="68">
        <f t="shared" si="26"/>
        <v>12.5</v>
      </c>
      <c r="P20" s="68">
        <f t="shared" si="27"/>
        <v>0</v>
      </c>
      <c r="Q20" s="66">
        <f t="shared" si="16"/>
        <v>407.05004338525572</v>
      </c>
      <c r="R20" s="70">
        <f t="shared" si="9"/>
        <v>428.47372987921659</v>
      </c>
      <c r="S20" s="67">
        <f t="shared" si="10"/>
        <v>449.89741637317746</v>
      </c>
      <c r="T20" s="66">
        <f t="shared" si="23"/>
        <v>1587.0500433852558</v>
      </c>
      <c r="U20" s="89">
        <f t="shared" si="17"/>
        <v>1903.4737298792165</v>
      </c>
      <c r="V20" s="67">
        <f t="shared" si="17"/>
        <v>2219.8974163731773</v>
      </c>
      <c r="W20" s="6">
        <f t="shared" si="18"/>
        <v>0.78386789163369996</v>
      </c>
      <c r="X20" s="66">
        <f t="shared" si="19"/>
        <v>1244.0375714255724</v>
      </c>
      <c r="Y20" s="89">
        <f t="shared" si="20"/>
        <v>1492.0719394205564</v>
      </c>
      <c r="Z20" s="67">
        <f t="shared" si="21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8"/>
        <v>0</v>
      </c>
      <c r="AK20" s="115">
        <f t="shared" si="29"/>
        <v>0</v>
      </c>
      <c r="AL20" s="97">
        <f>AH20</f>
        <v>0</v>
      </c>
    </row>
    <row r="21" spans="1:38">
      <c r="A21" s="4">
        <f t="shared" si="22"/>
        <v>2027</v>
      </c>
      <c r="B21" s="4">
        <f t="shared" si="11"/>
        <v>8</v>
      </c>
      <c r="C21" s="63">
        <f t="shared" si="12"/>
        <v>0</v>
      </c>
      <c r="D21" s="64"/>
      <c r="E21" s="65">
        <f t="shared" si="13"/>
        <v>0</v>
      </c>
      <c r="F21" s="63">
        <f t="shared" si="14"/>
        <v>1180</v>
      </c>
      <c r="G21" s="64">
        <f t="shared" si="24"/>
        <v>1475</v>
      </c>
      <c r="H21" s="65">
        <f t="shared" si="8"/>
        <v>1770</v>
      </c>
      <c r="I21" s="66">
        <f t="shared" si="15"/>
        <v>1180</v>
      </c>
      <c r="J21" s="89">
        <f t="shared" si="15"/>
        <v>1475</v>
      </c>
      <c r="K21" s="67">
        <f t="shared" si="15"/>
        <v>1770</v>
      </c>
      <c r="L21" s="68">
        <f t="shared" si="25"/>
        <v>55</v>
      </c>
      <c r="M21" s="68">
        <f>$M$14+'[1]Summary 40MLD'!R11/1000</f>
        <v>336.42671869662865</v>
      </c>
      <c r="N21" s="68">
        <f t="shared" si="26"/>
        <v>30</v>
      </c>
      <c r="O21" s="68">
        <f t="shared" si="26"/>
        <v>12.5</v>
      </c>
      <c r="P21" s="68">
        <f t="shared" si="27"/>
        <v>0</v>
      </c>
      <c r="Q21" s="66">
        <f t="shared" si="16"/>
        <v>412.23038276179722</v>
      </c>
      <c r="R21" s="70">
        <f t="shared" si="9"/>
        <v>433.92671869662865</v>
      </c>
      <c r="S21" s="67">
        <f t="shared" si="10"/>
        <v>455.62305463146009</v>
      </c>
      <c r="T21" s="66">
        <f t="shared" si="23"/>
        <v>1592.2303827617973</v>
      </c>
      <c r="U21" s="89">
        <f t="shared" si="17"/>
        <v>1908.9267186966285</v>
      </c>
      <c r="V21" s="67">
        <f t="shared" si="17"/>
        <v>2225.62305463146</v>
      </c>
      <c r="W21" s="6">
        <f t="shared" si="18"/>
        <v>0.75706769522281225</v>
      </c>
      <c r="X21" s="66">
        <f t="shared" si="19"/>
        <v>1205.4261861412101</v>
      </c>
      <c r="Y21" s="89">
        <f t="shared" si="20"/>
        <v>1445.1867512729023</v>
      </c>
      <c r="Z21" s="67">
        <f t="shared" si="21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8"/>
        <v>328.46153846153845</v>
      </c>
      <c r="AK21" s="115">
        <f t="shared" si="29"/>
        <v>3.7670930745478601E-2</v>
      </c>
      <c r="AL21" s="97">
        <f>AH21</f>
        <v>328.46153846153845</v>
      </c>
    </row>
    <row r="22" spans="1:38" ht="13.15">
      <c r="A22" s="4">
        <f t="shared" si="22"/>
        <v>2028</v>
      </c>
      <c r="B22" s="4">
        <f t="shared" si="11"/>
        <v>9</v>
      </c>
      <c r="C22" s="63">
        <f t="shared" si="12"/>
        <v>0</v>
      </c>
      <c r="D22" s="64"/>
      <c r="E22" s="65">
        <f t="shared" si="13"/>
        <v>0</v>
      </c>
      <c r="F22" s="63">
        <f t="shared" si="14"/>
        <v>1180</v>
      </c>
      <c r="G22" s="64">
        <f>$AC$9+X8</f>
        <v>1475</v>
      </c>
      <c r="H22" s="65">
        <f t="shared" si="8"/>
        <v>1770</v>
      </c>
      <c r="I22" s="66">
        <f t="shared" si="15"/>
        <v>1180</v>
      </c>
      <c r="J22" s="89">
        <f t="shared" si="15"/>
        <v>1475</v>
      </c>
      <c r="K22" s="67">
        <f t="shared" si="15"/>
        <v>1770</v>
      </c>
      <c r="L22" s="68">
        <f t="shared" si="25"/>
        <v>55</v>
      </c>
      <c r="M22" s="68">
        <f>$M$14+'[1]Summary 40MLD'!R12/1000</f>
        <v>344.07809776603415</v>
      </c>
      <c r="N22" s="68">
        <f t="shared" si="26"/>
        <v>30</v>
      </c>
      <c r="O22" s="68">
        <f t="shared" si="26"/>
        <v>12.5</v>
      </c>
      <c r="P22" s="68">
        <f t="shared" si="27"/>
        <v>0</v>
      </c>
      <c r="Q22" s="66">
        <f t="shared" si="16"/>
        <v>419.49919287773241</v>
      </c>
      <c r="R22" s="70">
        <f t="shared" si="9"/>
        <v>441.57809776603415</v>
      </c>
      <c r="S22" s="67">
        <f t="shared" si="10"/>
        <v>463.65700265433588</v>
      </c>
      <c r="T22" s="66">
        <f t="shared" si="23"/>
        <v>1599.4991928777324</v>
      </c>
      <c r="U22" s="89">
        <f t="shared" si="17"/>
        <v>1916.5780977660343</v>
      </c>
      <c r="V22" s="67">
        <f t="shared" si="17"/>
        <v>2233.6570026543359</v>
      </c>
      <c r="W22" s="6">
        <f t="shared" si="18"/>
        <v>0.73118378908905945</v>
      </c>
      <c r="X22" s="66">
        <f t="shared" si="19"/>
        <v>1169.5278804932327</v>
      </c>
      <c r="Y22" s="89">
        <f t="shared" si="20"/>
        <v>1401.3708356096708</v>
      </c>
      <c r="Z22" s="67">
        <f t="shared" si="21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2"/>
        <v>2029</v>
      </c>
      <c r="B23" s="4">
        <f t="shared" si="11"/>
        <v>10</v>
      </c>
      <c r="C23" s="63">
        <f t="shared" si="12"/>
        <v>0</v>
      </c>
      <c r="D23" s="64"/>
      <c r="E23" s="65">
        <f t="shared" si="13"/>
        <v>0</v>
      </c>
      <c r="F23" s="63">
        <f t="shared" si="14"/>
        <v>2461.2715954843366</v>
      </c>
      <c r="G23" s="64">
        <f>$AC$9+$P$4+$P$5+$P$8+$X$6+$T$6</f>
        <v>3076.5894943554204</v>
      </c>
      <c r="H23" s="65">
        <f t="shared" si="8"/>
        <v>3691.9073932265042</v>
      </c>
      <c r="I23" s="66">
        <f t="shared" si="15"/>
        <v>2461.2715954843366</v>
      </c>
      <c r="J23" s="89">
        <f t="shared" si="15"/>
        <v>3076.5894943554204</v>
      </c>
      <c r="K23" s="67">
        <f t="shared" si="15"/>
        <v>3691.9073932265042</v>
      </c>
      <c r="L23" s="68">
        <f t="shared" si="25"/>
        <v>55</v>
      </c>
      <c r="M23" s="68">
        <f>$M$14+'[1]Summary 40MLD'!R13/1000</f>
        <v>358.31074175170977</v>
      </c>
      <c r="N23" s="68">
        <f t="shared" si="26"/>
        <v>30</v>
      </c>
      <c r="O23" s="68">
        <f t="shared" si="26"/>
        <v>12.5</v>
      </c>
      <c r="P23" s="68">
        <f t="shared" si="27"/>
        <v>0</v>
      </c>
      <c r="Q23" s="66">
        <f t="shared" si="16"/>
        <v>433.02020466412426</v>
      </c>
      <c r="R23" s="70">
        <f t="shared" si="9"/>
        <v>455.81074175170977</v>
      </c>
      <c r="S23" s="67">
        <f t="shared" si="10"/>
        <v>478.60127883929528</v>
      </c>
      <c r="T23" s="66">
        <f t="shared" si="23"/>
        <v>2894.2918001484609</v>
      </c>
      <c r="U23" s="89">
        <f t="shared" si="17"/>
        <v>3532.4002361071302</v>
      </c>
      <c r="V23" s="67">
        <f t="shared" si="17"/>
        <v>4170.5086720657991</v>
      </c>
      <c r="W23" s="6">
        <f t="shared" si="18"/>
        <v>0.70618484555636418</v>
      </c>
      <c r="X23" s="66">
        <f t="shared" si="19"/>
        <v>2043.9050078828921</v>
      </c>
      <c r="Y23" s="89">
        <f t="shared" si="20"/>
        <v>2494.5275151785781</v>
      </c>
      <c r="Z23" s="67">
        <f t="shared" si="21"/>
        <v>2945.150022474264</v>
      </c>
      <c r="AA23" s="14"/>
    </row>
    <row r="24" spans="1:38">
      <c r="A24" s="4">
        <f t="shared" si="22"/>
        <v>2030</v>
      </c>
      <c r="B24" s="4">
        <f t="shared" si="11"/>
        <v>11</v>
      </c>
      <c r="C24" s="63">
        <f t="shared" si="12"/>
        <v>0</v>
      </c>
      <c r="D24" s="64"/>
      <c r="E24" s="65">
        <f t="shared" si="13"/>
        <v>0</v>
      </c>
      <c r="F24" s="63">
        <f t="shared" si="14"/>
        <v>1180</v>
      </c>
      <c r="G24" s="64">
        <f>$AC$9+P6+P8</f>
        <v>1475</v>
      </c>
      <c r="H24" s="65">
        <f t="shared" si="8"/>
        <v>1770</v>
      </c>
      <c r="I24" s="66">
        <f t="shared" si="15"/>
        <v>1180</v>
      </c>
      <c r="J24" s="89">
        <f t="shared" si="15"/>
        <v>1475</v>
      </c>
      <c r="K24" s="67">
        <f t="shared" si="15"/>
        <v>1770</v>
      </c>
      <c r="L24" s="68">
        <f t="shared" si="25"/>
        <v>55</v>
      </c>
      <c r="M24" s="68">
        <f>$M$14+'[1]Summary 40MLD'!R14/1000</f>
        <v>368.40388078689898</v>
      </c>
      <c r="N24" s="68">
        <f t="shared" si="26"/>
        <v>30</v>
      </c>
      <c r="O24" s="68">
        <f t="shared" si="26"/>
        <v>12.5</v>
      </c>
      <c r="P24" s="68">
        <f t="shared" si="27"/>
        <v>0</v>
      </c>
      <c r="Q24" s="66">
        <f t="shared" si="16"/>
        <v>442.60868674755403</v>
      </c>
      <c r="R24" s="70">
        <f t="shared" si="9"/>
        <v>465.90388078689898</v>
      </c>
      <c r="S24" s="67">
        <f t="shared" si="10"/>
        <v>489.19907482624393</v>
      </c>
      <c r="T24" s="66">
        <f t="shared" si="23"/>
        <v>1622.608686747554</v>
      </c>
      <c r="U24" s="89">
        <f t="shared" si="17"/>
        <v>1940.903880786899</v>
      </c>
      <c r="V24" s="67">
        <f t="shared" si="17"/>
        <v>2259.1990748262438</v>
      </c>
      <c r="W24" s="6">
        <f t="shared" si="18"/>
        <v>0.68204060803203026</v>
      </c>
      <c r="X24" s="66">
        <f t="shared" si="19"/>
        <v>1106.6850153073558</v>
      </c>
      <c r="Y24" s="89">
        <f t="shared" si="20"/>
        <v>1323.7752629836239</v>
      </c>
      <c r="Z24" s="67">
        <f t="shared" si="21"/>
        <v>1540.8655106598915</v>
      </c>
      <c r="AA24" s="14"/>
      <c r="AC24" t="s">
        <v>86</v>
      </c>
    </row>
    <row r="25" spans="1:38">
      <c r="A25" s="4">
        <f t="shared" si="22"/>
        <v>2031</v>
      </c>
      <c r="B25" s="4">
        <f t="shared" si="11"/>
        <v>12</v>
      </c>
      <c r="C25" s="63">
        <f t="shared" si="12"/>
        <v>0</v>
      </c>
      <c r="D25" s="64"/>
      <c r="E25" s="65">
        <f t="shared" si="13"/>
        <v>0</v>
      </c>
      <c r="F25" s="63">
        <f>G25*(1+$F$11)</f>
        <v>1180</v>
      </c>
      <c r="G25" s="64">
        <f t="shared" si="24"/>
        <v>1475</v>
      </c>
      <c r="H25" s="65">
        <f t="shared" si="8"/>
        <v>1770</v>
      </c>
      <c r="I25" s="66">
        <f t="shared" si="15"/>
        <v>1180</v>
      </c>
      <c r="J25" s="89">
        <f t="shared" si="15"/>
        <v>1475</v>
      </c>
      <c r="K25" s="67">
        <f t="shared" si="15"/>
        <v>1770</v>
      </c>
      <c r="L25" s="68">
        <f t="shared" si="25"/>
        <v>55</v>
      </c>
      <c r="M25" s="68">
        <f>$M$14+'[1]Summary 40MLD'!R15/1000</f>
        <v>378.92006329236165</v>
      </c>
      <c r="N25" s="68">
        <f t="shared" si="26"/>
        <v>30</v>
      </c>
      <c r="O25" s="68">
        <f t="shared" si="26"/>
        <v>12.5</v>
      </c>
      <c r="P25" s="68">
        <f t="shared" si="27"/>
        <v>0</v>
      </c>
      <c r="Q25" s="66">
        <f t="shared" si="16"/>
        <v>452.59906012774354</v>
      </c>
      <c r="R25" s="70">
        <f t="shared" si="9"/>
        <v>476.42006329236165</v>
      </c>
      <c r="S25" s="67">
        <f t="shared" si="10"/>
        <v>500.24106645697975</v>
      </c>
      <c r="T25" s="66">
        <f t="shared" si="23"/>
        <v>1632.5990601277435</v>
      </c>
      <c r="U25" s="89">
        <f t="shared" si="17"/>
        <v>1951.4200632923616</v>
      </c>
      <c r="V25" s="67">
        <f t="shared" si="17"/>
        <v>2270.2410664569798</v>
      </c>
      <c r="W25" s="6">
        <f t="shared" si="18"/>
        <v>0.65872185438673958</v>
      </c>
      <c r="X25" s="66">
        <f t="shared" si="19"/>
        <v>1075.4286803573955</v>
      </c>
      <c r="Y25" s="89">
        <f t="shared" si="20"/>
        <v>1285.4430427794332</v>
      </c>
      <c r="Z25" s="67">
        <f t="shared" si="21"/>
        <v>1495.4574052014709</v>
      </c>
      <c r="AA25" s="14"/>
      <c r="AC25" t="s">
        <v>83</v>
      </c>
      <c r="AG25">
        <v>700</v>
      </c>
    </row>
    <row r="26" spans="1:38">
      <c r="A26" s="4">
        <f t="shared" si="22"/>
        <v>2032</v>
      </c>
      <c r="B26" s="4">
        <f t="shared" si="11"/>
        <v>13</v>
      </c>
      <c r="C26" s="63">
        <f t="shared" si="12"/>
        <v>0</v>
      </c>
      <c r="D26" s="64"/>
      <c r="E26" s="65">
        <f t="shared" si="13"/>
        <v>0</v>
      </c>
      <c r="F26" s="63">
        <f t="shared" si="14"/>
        <v>1180</v>
      </c>
      <c r="G26" s="64">
        <f>$AC$9+X8</f>
        <v>1475</v>
      </c>
      <c r="H26" s="65">
        <f t="shared" si="8"/>
        <v>1770</v>
      </c>
      <c r="I26" s="66">
        <f t="shared" si="15"/>
        <v>1180</v>
      </c>
      <c r="J26" s="89">
        <f t="shared" si="15"/>
        <v>1475</v>
      </c>
      <c r="K26" s="67">
        <f t="shared" si="15"/>
        <v>1770</v>
      </c>
      <c r="L26" s="68">
        <f t="shared" si="25"/>
        <v>55</v>
      </c>
      <c r="M26" s="68">
        <f>$M$14+'[1]Summary 40MLD'!R16/1000</f>
        <v>386.06526709799408</v>
      </c>
      <c r="N26" s="68">
        <f t="shared" si="26"/>
        <v>30</v>
      </c>
      <c r="O26" s="68">
        <f t="shared" si="26"/>
        <v>12.5</v>
      </c>
      <c r="P26" s="68">
        <f t="shared" si="27"/>
        <v>0</v>
      </c>
      <c r="Q26" s="66">
        <f t="shared" si="16"/>
        <v>459.38700374309434</v>
      </c>
      <c r="R26" s="70">
        <f t="shared" si="9"/>
        <v>483.56526709799408</v>
      </c>
      <c r="S26" s="67">
        <f t="shared" si="10"/>
        <v>507.74353045289382</v>
      </c>
      <c r="T26" s="66">
        <f t="shared" si="23"/>
        <v>1639.3870037430943</v>
      </c>
      <c r="U26" s="89">
        <f t="shared" si="17"/>
        <v>1958.5652670979941</v>
      </c>
      <c r="V26" s="67">
        <f t="shared" si="17"/>
        <v>2277.743530452894</v>
      </c>
      <c r="W26" s="6">
        <f t="shared" si="18"/>
        <v>0.63620036158657478</v>
      </c>
      <c r="X26" s="66">
        <f t="shared" si="19"/>
        <v>1042.9786045616879</v>
      </c>
      <c r="Y26" s="89">
        <f t="shared" si="20"/>
        <v>1246.0399311186502</v>
      </c>
      <c r="Z26" s="67">
        <f t="shared" si="21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2"/>
        <v>2033</v>
      </c>
      <c r="B27" s="4">
        <f t="shared" si="11"/>
        <v>14</v>
      </c>
      <c r="C27" s="63">
        <f t="shared" si="12"/>
        <v>0</v>
      </c>
      <c r="D27" s="64"/>
      <c r="E27" s="65">
        <f t="shared" si="13"/>
        <v>0</v>
      </c>
      <c r="F27" s="63">
        <f t="shared" si="14"/>
        <v>1180</v>
      </c>
      <c r="G27" s="64">
        <f t="shared" si="24"/>
        <v>1475</v>
      </c>
      <c r="H27" s="65">
        <f t="shared" si="8"/>
        <v>1770</v>
      </c>
      <c r="I27" s="66">
        <f t="shared" si="15"/>
        <v>1180</v>
      </c>
      <c r="J27" s="89">
        <f t="shared" si="15"/>
        <v>1475</v>
      </c>
      <c r="K27" s="67">
        <f t="shared" si="15"/>
        <v>1770</v>
      </c>
      <c r="L27" s="68">
        <f t="shared" si="25"/>
        <v>55</v>
      </c>
      <c r="M27" s="68">
        <f>$M$14+'[1]Summary 40MLD'!R17/1000</f>
        <v>395.18188690263975</v>
      </c>
      <c r="N27" s="68">
        <f t="shared" si="26"/>
        <v>30</v>
      </c>
      <c r="O27" s="68">
        <f t="shared" si="26"/>
        <v>12.5</v>
      </c>
      <c r="P27" s="68">
        <f t="shared" si="27"/>
        <v>0</v>
      </c>
      <c r="Q27" s="66">
        <f t="shared" si="16"/>
        <v>468.04779255750776</v>
      </c>
      <c r="R27" s="70">
        <f t="shared" si="9"/>
        <v>492.68188690263975</v>
      </c>
      <c r="S27" s="67">
        <f t="shared" si="10"/>
        <v>517.31598124777179</v>
      </c>
      <c r="T27" s="66">
        <f t="shared" si="23"/>
        <v>1648.0477925575078</v>
      </c>
      <c r="U27" s="89">
        <f t="shared" si="17"/>
        <v>1967.6818869026397</v>
      </c>
      <c r="V27" s="67">
        <f t="shared" si="17"/>
        <v>2287.3159812477716</v>
      </c>
      <c r="W27" s="6">
        <f t="shared" si="18"/>
        <v>0.61444887153426186</v>
      </c>
      <c r="X27" s="66">
        <f t="shared" si="19"/>
        <v>1012.641106371492</v>
      </c>
      <c r="Y27" s="89">
        <f t="shared" si="20"/>
        <v>1209.0399149457339</v>
      </c>
      <c r="Z27" s="67">
        <f t="shared" si="21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2"/>
        <v>2034</v>
      </c>
      <c r="B28" s="4">
        <f t="shared" si="11"/>
        <v>15</v>
      </c>
      <c r="C28" s="63">
        <f t="shared" si="12"/>
        <v>0</v>
      </c>
      <c r="D28" s="64"/>
      <c r="E28" s="65">
        <f t="shared" si="13"/>
        <v>0</v>
      </c>
      <c r="F28" s="63">
        <f t="shared" si="14"/>
        <v>1180</v>
      </c>
      <c r="G28" s="64">
        <f t="shared" si="24"/>
        <v>1475</v>
      </c>
      <c r="H28" s="65">
        <f t="shared" si="8"/>
        <v>1770</v>
      </c>
      <c r="I28" s="66">
        <f t="shared" si="15"/>
        <v>1180</v>
      </c>
      <c r="J28" s="89">
        <f t="shared" si="15"/>
        <v>1475</v>
      </c>
      <c r="K28" s="67">
        <f t="shared" si="15"/>
        <v>1770</v>
      </c>
      <c r="L28" s="68">
        <f t="shared" si="25"/>
        <v>55</v>
      </c>
      <c r="M28" s="68">
        <f>$M$14+'[1]Summary 40MLD'!R18/1000</f>
        <v>403.01537403156146</v>
      </c>
      <c r="N28" s="68">
        <f t="shared" si="26"/>
        <v>30</v>
      </c>
      <c r="O28" s="68">
        <f t="shared" si="26"/>
        <v>12.5</v>
      </c>
      <c r="P28" s="68">
        <f t="shared" si="27"/>
        <v>0</v>
      </c>
      <c r="Q28" s="66">
        <f t="shared" si="16"/>
        <v>475.48960532998336</v>
      </c>
      <c r="R28" s="70">
        <f t="shared" si="9"/>
        <v>500.51537403156146</v>
      </c>
      <c r="S28" s="67">
        <f t="shared" si="10"/>
        <v>525.54114273313951</v>
      </c>
      <c r="T28" s="66">
        <f t="shared" si="23"/>
        <v>1655.4896053299833</v>
      </c>
      <c r="U28" s="89">
        <f t="shared" si="17"/>
        <v>1975.5153740315614</v>
      </c>
      <c r="V28" s="67">
        <f t="shared" si="17"/>
        <v>2295.5411427331396</v>
      </c>
      <c r="W28" s="6">
        <f t="shared" si="18"/>
        <v>0.5934410580782904</v>
      </c>
      <c r="X28" s="66">
        <f t="shared" si="19"/>
        <v>982.43550302463666</v>
      </c>
      <c r="Y28" s="89">
        <f t="shared" si="20"/>
        <v>1172.3519338152194</v>
      </c>
      <c r="Z28" s="67">
        <f t="shared" si="21"/>
        <v>1362.2683646058022</v>
      </c>
      <c r="AA28" s="14"/>
      <c r="AG28">
        <f>SUM(AG25:AG27)</f>
        <v>2150</v>
      </c>
    </row>
    <row r="29" spans="1:38">
      <c r="A29" s="4">
        <f t="shared" si="22"/>
        <v>2035</v>
      </c>
      <c r="B29" s="4">
        <f t="shared" si="11"/>
        <v>16</v>
      </c>
      <c r="C29" s="63">
        <f t="shared" si="12"/>
        <v>0</v>
      </c>
      <c r="D29" s="64"/>
      <c r="E29" s="65">
        <f t="shared" si="13"/>
        <v>0</v>
      </c>
      <c r="F29" s="63">
        <f t="shared" si="14"/>
        <v>1180</v>
      </c>
      <c r="G29" s="64">
        <f>$AC$9+P8</f>
        <v>1475</v>
      </c>
      <c r="H29" s="65">
        <f t="shared" si="8"/>
        <v>1770</v>
      </c>
      <c r="I29" s="66">
        <f t="shared" si="15"/>
        <v>1180</v>
      </c>
      <c r="J29" s="89">
        <f t="shared" si="15"/>
        <v>1475</v>
      </c>
      <c r="K29" s="67">
        <f t="shared" si="15"/>
        <v>1770</v>
      </c>
      <c r="L29" s="68">
        <f t="shared" si="25"/>
        <v>55</v>
      </c>
      <c r="M29" s="68">
        <f>$M$14+'[1]Summary 40MLD'!R19/1000</f>
        <v>410.78669209169692</v>
      </c>
      <c r="N29" s="68">
        <f t="shared" si="26"/>
        <v>30</v>
      </c>
      <c r="O29" s="68">
        <f t="shared" si="26"/>
        <v>12.5</v>
      </c>
      <c r="P29" s="68">
        <f t="shared" si="27"/>
        <v>0</v>
      </c>
      <c r="Q29" s="66">
        <f t="shared" si="16"/>
        <v>482.87235748711203</v>
      </c>
      <c r="R29" s="70">
        <f t="shared" si="9"/>
        <v>508.28669209169692</v>
      </c>
      <c r="S29" s="67">
        <f t="shared" si="10"/>
        <v>533.70102669628182</v>
      </c>
      <c r="T29" s="66">
        <f t="shared" si="23"/>
        <v>1662.8723574871119</v>
      </c>
      <c r="U29" s="89">
        <f t="shared" si="17"/>
        <v>1983.286692091697</v>
      </c>
      <c r="V29" s="67">
        <f t="shared" si="17"/>
        <v>2303.7010266962816</v>
      </c>
      <c r="W29" s="6">
        <f t="shared" si="18"/>
        <v>0.57315149514998098</v>
      </c>
      <c r="X29" s="66">
        <f t="shared" si="19"/>
        <v>953.07777793731191</v>
      </c>
      <c r="Y29" s="89">
        <f t="shared" si="20"/>
        <v>1136.723732883416</v>
      </c>
      <c r="Z29" s="67">
        <f t="shared" si="21"/>
        <v>1320.36968782952</v>
      </c>
      <c r="AA29" s="14"/>
    </row>
    <row r="30" spans="1:38">
      <c r="A30" s="4">
        <f t="shared" si="22"/>
        <v>2036</v>
      </c>
      <c r="B30" s="4">
        <f t="shared" si="11"/>
        <v>17</v>
      </c>
      <c r="C30" s="63">
        <f t="shared" si="12"/>
        <v>0</v>
      </c>
      <c r="D30" s="64"/>
      <c r="E30" s="65">
        <f t="shared" si="13"/>
        <v>0</v>
      </c>
      <c r="F30" s="63">
        <f t="shared" si="14"/>
        <v>1180</v>
      </c>
      <c r="G30" s="64">
        <f>$AC$9+X8</f>
        <v>1475</v>
      </c>
      <c r="H30" s="65">
        <f t="shared" si="8"/>
        <v>1770</v>
      </c>
      <c r="I30" s="66">
        <f t="shared" si="15"/>
        <v>1180</v>
      </c>
      <c r="J30" s="89">
        <f t="shared" si="15"/>
        <v>1475</v>
      </c>
      <c r="K30" s="67">
        <f t="shared" si="15"/>
        <v>1770</v>
      </c>
      <c r="L30" s="68">
        <f t="shared" si="25"/>
        <v>55</v>
      </c>
      <c r="M30" s="68">
        <f>$M$14+'[1]Summary 40MLD'!R20/1000</f>
        <v>426.79445308876024</v>
      </c>
      <c r="N30" s="68">
        <f t="shared" si="26"/>
        <v>30</v>
      </c>
      <c r="O30" s="68">
        <f t="shared" si="26"/>
        <v>12.5</v>
      </c>
      <c r="P30" s="68">
        <f t="shared" si="27"/>
        <v>0</v>
      </c>
      <c r="Q30" s="66">
        <f t="shared" si="16"/>
        <v>498.07973043432224</v>
      </c>
      <c r="R30" s="70">
        <f t="shared" si="9"/>
        <v>524.29445308876029</v>
      </c>
      <c r="S30" s="67">
        <f t="shared" si="10"/>
        <v>550.50917574319828</v>
      </c>
      <c r="T30" s="66">
        <f t="shared" si="23"/>
        <v>1678.0797304343223</v>
      </c>
      <c r="U30" s="89">
        <f t="shared" si="17"/>
        <v>1999.2944530887603</v>
      </c>
      <c r="V30" s="67">
        <f t="shared" si="17"/>
        <v>2320.5091757431983</v>
      </c>
      <c r="W30" s="6">
        <f t="shared" si="18"/>
        <v>0.55355562598993713</v>
      </c>
      <c r="X30" s="66">
        <f t="shared" si="19"/>
        <v>928.91047564159624</v>
      </c>
      <c r="Y30" s="89">
        <f t="shared" si="20"/>
        <v>1106.7206925177577</v>
      </c>
      <c r="Z30" s="67">
        <f t="shared" si="21"/>
        <v>1284.530909393919</v>
      </c>
      <c r="AA30" s="14"/>
    </row>
    <row r="31" spans="1:38">
      <c r="A31" s="4">
        <f t="shared" si="22"/>
        <v>2037</v>
      </c>
      <c r="B31" s="4">
        <f t="shared" si="11"/>
        <v>18</v>
      </c>
      <c r="C31" s="63">
        <f t="shared" si="12"/>
        <v>0</v>
      </c>
      <c r="D31" s="27"/>
      <c r="E31" s="65">
        <f t="shared" si="13"/>
        <v>0</v>
      </c>
      <c r="F31" s="63">
        <f t="shared" si="14"/>
        <v>1180</v>
      </c>
      <c r="G31" s="64">
        <f t="shared" si="24"/>
        <v>1475</v>
      </c>
      <c r="H31" s="65">
        <f t="shared" si="8"/>
        <v>1770</v>
      </c>
      <c r="I31" s="66">
        <f t="shared" si="15"/>
        <v>1180</v>
      </c>
      <c r="J31" s="89">
        <f t="shared" si="15"/>
        <v>1475</v>
      </c>
      <c r="K31" s="67">
        <f t="shared" si="15"/>
        <v>1770</v>
      </c>
      <c r="L31" s="68">
        <f t="shared" si="25"/>
        <v>55</v>
      </c>
      <c r="M31" s="68">
        <f>$M$14+'[1]Summary 40MLD'!R21/1000</f>
        <v>442.28456849312823</v>
      </c>
      <c r="N31" s="68">
        <f t="shared" si="26"/>
        <v>30</v>
      </c>
      <c r="O31" s="68">
        <f t="shared" si="26"/>
        <v>12.5</v>
      </c>
      <c r="P31" s="68">
        <f t="shared" si="27"/>
        <v>0</v>
      </c>
      <c r="Q31" s="66">
        <f t="shared" si="16"/>
        <v>512.79534006847189</v>
      </c>
      <c r="R31" s="70">
        <f t="shared" si="9"/>
        <v>539.78456849312829</v>
      </c>
      <c r="S31" s="67">
        <f t="shared" si="10"/>
        <v>566.77379691778469</v>
      </c>
      <c r="T31" s="66">
        <f t="shared" si="23"/>
        <v>1692.7953400684719</v>
      </c>
      <c r="U31" s="89">
        <f t="shared" si="17"/>
        <v>2014.7845684931283</v>
      </c>
      <c r="V31" s="67">
        <f t="shared" si="17"/>
        <v>2336.7737969177847</v>
      </c>
      <c r="W31" s="6">
        <f t="shared" si="18"/>
        <v>0.53462973342663422</v>
      </c>
      <c r="X31" s="66">
        <f t="shared" si="19"/>
        <v>905.0187214066558</v>
      </c>
      <c r="Y31" s="89">
        <f t="shared" si="20"/>
        <v>1077.1637367655774</v>
      </c>
      <c r="Z31" s="67">
        <f t="shared" si="21"/>
        <v>1249.3087521244991</v>
      </c>
      <c r="AA31" s="14"/>
    </row>
    <row r="32" spans="1:38">
      <c r="A32" s="4">
        <f t="shared" si="22"/>
        <v>2038</v>
      </c>
      <c r="B32" s="4">
        <f t="shared" si="11"/>
        <v>19</v>
      </c>
      <c r="C32" s="63">
        <f t="shared" si="12"/>
        <v>0</v>
      </c>
      <c r="D32" s="27"/>
      <c r="E32" s="65">
        <f t="shared" si="13"/>
        <v>0</v>
      </c>
      <c r="F32" s="63">
        <f t="shared" si="14"/>
        <v>1180</v>
      </c>
      <c r="G32" s="64">
        <f t="shared" si="24"/>
        <v>1475</v>
      </c>
      <c r="H32" s="65">
        <f t="shared" si="8"/>
        <v>1770</v>
      </c>
      <c r="I32" s="66">
        <f t="shared" si="15"/>
        <v>1180</v>
      </c>
      <c r="J32" s="89">
        <f t="shared" si="15"/>
        <v>1475</v>
      </c>
      <c r="K32" s="67">
        <f t="shared" si="15"/>
        <v>1770</v>
      </c>
      <c r="L32" s="68">
        <f t="shared" si="25"/>
        <v>55</v>
      </c>
      <c r="M32" s="68">
        <f>$M$14+'[1]Summary 40MLD'!R22/1000</f>
        <v>454.49530981036185</v>
      </c>
      <c r="N32" s="68">
        <f t="shared" ref="N32:O47" si="30">N31</f>
        <v>30</v>
      </c>
      <c r="O32" s="68">
        <f t="shared" si="30"/>
        <v>12.5</v>
      </c>
      <c r="P32" s="68">
        <f t="shared" si="27"/>
        <v>0</v>
      </c>
      <c r="Q32" s="66">
        <f t="shared" si="16"/>
        <v>524.39554431984368</v>
      </c>
      <c r="R32" s="70">
        <f t="shared" si="9"/>
        <v>551.99530981036185</v>
      </c>
      <c r="S32" s="67">
        <f t="shared" si="10"/>
        <v>579.59507530088001</v>
      </c>
      <c r="T32" s="66">
        <f t="shared" si="23"/>
        <v>1704.3955443198438</v>
      </c>
      <c r="U32" s="89">
        <f t="shared" si="17"/>
        <v>2026.995309810362</v>
      </c>
      <c r="V32" s="67">
        <f t="shared" si="17"/>
        <v>2349.5950753008801</v>
      </c>
      <c r="W32" s="6">
        <f t="shared" si="18"/>
        <v>0.51635091117117471</v>
      </c>
      <c r="X32" s="66">
        <f t="shared" si="19"/>
        <v>880.06619230564161</v>
      </c>
      <c r="Y32" s="89">
        <f t="shared" si="20"/>
        <v>1046.640875160278</v>
      </c>
      <c r="Z32" s="67">
        <f t="shared" si="21"/>
        <v>1213.2155580149142</v>
      </c>
      <c r="AA32" s="14"/>
    </row>
    <row r="33" spans="1:27">
      <c r="A33" s="4">
        <f t="shared" si="22"/>
        <v>2039</v>
      </c>
      <c r="B33" s="4">
        <f t="shared" si="11"/>
        <v>20</v>
      </c>
      <c r="C33" s="63">
        <f t="shared" si="12"/>
        <v>0</v>
      </c>
      <c r="D33" s="64"/>
      <c r="E33" s="65">
        <f t="shared" si="13"/>
        <v>0</v>
      </c>
      <c r="F33" s="63">
        <f t="shared" si="14"/>
        <v>1180</v>
      </c>
      <c r="G33" s="64">
        <f t="shared" si="24"/>
        <v>1475</v>
      </c>
      <c r="H33" s="65">
        <f t="shared" si="8"/>
        <v>1770</v>
      </c>
      <c r="I33" s="66">
        <f t="shared" si="15"/>
        <v>1180</v>
      </c>
      <c r="J33" s="89">
        <f t="shared" si="15"/>
        <v>1475</v>
      </c>
      <c r="K33" s="67">
        <f t="shared" si="15"/>
        <v>1770</v>
      </c>
      <c r="L33" s="68">
        <f t="shared" si="25"/>
        <v>55</v>
      </c>
      <c r="M33" s="68">
        <f>$M$14+'[1]Summary 40MLD'!R23/1000</f>
        <v>468.91011753151565</v>
      </c>
      <c r="N33" s="68">
        <f t="shared" si="30"/>
        <v>30</v>
      </c>
      <c r="O33" s="68">
        <f t="shared" si="30"/>
        <v>12.5</v>
      </c>
      <c r="P33" s="68">
        <f t="shared" si="27"/>
        <v>0</v>
      </c>
      <c r="Q33" s="66">
        <f t="shared" si="16"/>
        <v>538.08961165493986</v>
      </c>
      <c r="R33" s="70">
        <f t="shared" si="9"/>
        <v>566.41011753151565</v>
      </c>
      <c r="S33" s="67">
        <f t="shared" si="10"/>
        <v>594.73062340809145</v>
      </c>
      <c r="T33" s="66">
        <f t="shared" si="23"/>
        <v>1718.0896116549397</v>
      </c>
      <c r="U33" s="89">
        <f t="shared" si="17"/>
        <v>2041.4101175315157</v>
      </c>
      <c r="V33" s="67">
        <f t="shared" si="17"/>
        <v>2364.7306234080916</v>
      </c>
      <c r="W33" s="6">
        <f t="shared" si="18"/>
        <v>0.49869703609346588</v>
      </c>
      <c r="X33" s="66">
        <f t="shared" si="19"/>
        <v>856.80619707529229</v>
      </c>
      <c r="Y33" s="89">
        <f t="shared" si="20"/>
        <v>1018.0451750641807</v>
      </c>
      <c r="Z33" s="67">
        <f t="shared" si="21"/>
        <v>1179.2841530530691</v>
      </c>
      <c r="AA33" s="14"/>
    </row>
    <row r="34" spans="1:27">
      <c r="A34" s="4">
        <f t="shared" si="22"/>
        <v>2040</v>
      </c>
      <c r="B34" s="4">
        <f t="shared" si="11"/>
        <v>21</v>
      </c>
      <c r="C34" s="63">
        <f t="shared" si="12"/>
        <v>0</v>
      </c>
      <c r="D34" s="64"/>
      <c r="E34" s="65">
        <f t="shared" si="13"/>
        <v>0</v>
      </c>
      <c r="F34" s="63">
        <f t="shared" si="14"/>
        <v>1180</v>
      </c>
      <c r="G34" s="64">
        <f>$AC$9+P6+P8</f>
        <v>1475</v>
      </c>
      <c r="H34" s="65">
        <f t="shared" si="8"/>
        <v>1770</v>
      </c>
      <c r="I34" s="66">
        <f t="shared" si="15"/>
        <v>1180</v>
      </c>
      <c r="J34" s="89">
        <f t="shared" si="15"/>
        <v>1475</v>
      </c>
      <c r="K34" s="67">
        <f t="shared" si="15"/>
        <v>1770</v>
      </c>
      <c r="L34" s="68">
        <f t="shared" si="25"/>
        <v>55</v>
      </c>
      <c r="M34" s="68">
        <f>$M$14+'[1]Summary 40MLD'!R24/1000</f>
        <v>483.56425355965922</v>
      </c>
      <c r="N34" s="68">
        <f t="shared" si="30"/>
        <v>30</v>
      </c>
      <c r="O34" s="68">
        <f t="shared" si="30"/>
        <v>12.5</v>
      </c>
      <c r="P34" s="68">
        <f t="shared" si="27"/>
        <v>0</v>
      </c>
      <c r="Q34" s="66">
        <f t="shared" si="16"/>
        <v>552.01104088167619</v>
      </c>
      <c r="R34" s="70">
        <f t="shared" si="9"/>
        <v>581.06425355965916</v>
      </c>
      <c r="S34" s="67">
        <f t="shared" si="10"/>
        <v>610.11746623764213</v>
      </c>
      <c r="T34" s="66">
        <f t="shared" si="23"/>
        <v>1732.0110408816763</v>
      </c>
      <c r="U34" s="89">
        <f t="shared" si="17"/>
        <v>2056.0642535596589</v>
      </c>
      <c r="V34" s="67">
        <f t="shared" si="17"/>
        <v>2380.117466237642</v>
      </c>
      <c r="W34" s="6">
        <f t="shared" si="18"/>
        <v>0.48164674144626801</v>
      </c>
      <c r="X34" s="66">
        <f t="shared" si="19"/>
        <v>834.21747398961827</v>
      </c>
      <c r="Y34" s="89">
        <f t="shared" si="20"/>
        <v>990.29664793116308</v>
      </c>
      <c r="Z34" s="67">
        <f t="shared" si="21"/>
        <v>1146.375821872708</v>
      </c>
      <c r="AA34" s="14"/>
    </row>
    <row r="35" spans="1:27">
      <c r="A35" s="4">
        <f t="shared" si="22"/>
        <v>2041</v>
      </c>
      <c r="B35" s="4">
        <f t="shared" si="11"/>
        <v>22</v>
      </c>
      <c r="C35" s="63">
        <f t="shared" si="12"/>
        <v>0</v>
      </c>
      <c r="D35" s="64"/>
      <c r="E35" s="65">
        <f t="shared" si="13"/>
        <v>0</v>
      </c>
      <c r="F35" s="63">
        <f t="shared" si="14"/>
        <v>1180</v>
      </c>
      <c r="G35" s="64">
        <f t="shared" si="24"/>
        <v>1475</v>
      </c>
      <c r="H35" s="65">
        <f t="shared" si="8"/>
        <v>1770</v>
      </c>
      <c r="I35" s="66">
        <f t="shared" si="15"/>
        <v>1180</v>
      </c>
      <c r="J35" s="89">
        <f t="shared" si="15"/>
        <v>1475</v>
      </c>
      <c r="K35" s="67">
        <f t="shared" si="15"/>
        <v>1770</v>
      </c>
      <c r="L35" s="68">
        <f t="shared" si="25"/>
        <v>55</v>
      </c>
      <c r="M35" s="68">
        <f>$M$14+'[1]Summary 40MLD'!R25/1000</f>
        <v>498.41448773437878</v>
      </c>
      <c r="N35" s="68">
        <f t="shared" si="30"/>
        <v>30</v>
      </c>
      <c r="O35" s="68">
        <f t="shared" si="30"/>
        <v>12.5</v>
      </c>
      <c r="P35" s="68">
        <f t="shared" si="27"/>
        <v>0</v>
      </c>
      <c r="Q35" s="66">
        <f t="shared" si="16"/>
        <v>566.11876334765986</v>
      </c>
      <c r="R35" s="70">
        <f t="shared" si="9"/>
        <v>595.91448773437878</v>
      </c>
      <c r="S35" s="67">
        <f t="shared" si="10"/>
        <v>625.7102121210977</v>
      </c>
      <c r="T35" s="66">
        <f t="shared" si="23"/>
        <v>1746.1187633476598</v>
      </c>
      <c r="U35" s="89">
        <f t="shared" si="17"/>
        <v>2070.9144877343788</v>
      </c>
      <c r="V35" s="67">
        <f t="shared" si="17"/>
        <v>2395.7102121210978</v>
      </c>
      <c r="W35" s="6">
        <f t="shared" si="18"/>
        <v>0.46517939100470151</v>
      </c>
      <c r="X35" s="66">
        <f t="shared" si="19"/>
        <v>812.25846295594692</v>
      </c>
      <c r="Y35" s="89">
        <f t="shared" si="20"/>
        <v>963.34674022709169</v>
      </c>
      <c r="Z35" s="67">
        <f t="shared" si="21"/>
        <v>1114.4350174982367</v>
      </c>
      <c r="AA35" s="14"/>
    </row>
    <row r="36" spans="1:27">
      <c r="A36" s="4">
        <f t="shared" si="22"/>
        <v>2042</v>
      </c>
      <c r="B36" s="4">
        <f t="shared" si="11"/>
        <v>23</v>
      </c>
      <c r="C36" s="63">
        <f t="shared" si="12"/>
        <v>0</v>
      </c>
      <c r="D36" s="64"/>
      <c r="E36" s="65">
        <f t="shared" si="13"/>
        <v>0</v>
      </c>
      <c r="F36" s="63">
        <f t="shared" si="14"/>
        <v>1180</v>
      </c>
      <c r="G36" s="64">
        <f t="shared" si="24"/>
        <v>1475</v>
      </c>
      <c r="H36" s="65">
        <f t="shared" si="8"/>
        <v>1770</v>
      </c>
      <c r="I36" s="66">
        <f t="shared" si="15"/>
        <v>1180</v>
      </c>
      <c r="J36" s="89">
        <f t="shared" si="15"/>
        <v>1475</v>
      </c>
      <c r="K36" s="67">
        <f t="shared" si="15"/>
        <v>1770</v>
      </c>
      <c r="L36" s="68">
        <f t="shared" si="25"/>
        <v>55</v>
      </c>
      <c r="M36" s="68">
        <f>$M$14+'[1]Summary 40MLD'!R26/1000</f>
        <v>507.11810941023009</v>
      </c>
      <c r="N36" s="68">
        <f t="shared" si="30"/>
        <v>30</v>
      </c>
      <c r="O36" s="68">
        <f t="shared" si="30"/>
        <v>12.5</v>
      </c>
      <c r="P36" s="68">
        <f t="shared" si="27"/>
        <v>0</v>
      </c>
      <c r="Q36" s="66">
        <f t="shared" si="16"/>
        <v>574.38720393971857</v>
      </c>
      <c r="R36" s="70">
        <f t="shared" si="9"/>
        <v>604.61810941023009</v>
      </c>
      <c r="S36" s="67">
        <f t="shared" si="10"/>
        <v>634.84901488074161</v>
      </c>
      <c r="T36" s="66">
        <f t="shared" si="23"/>
        <v>1754.3872039397186</v>
      </c>
      <c r="U36" s="89">
        <f t="shared" si="17"/>
        <v>2079.6181094102303</v>
      </c>
      <c r="V36" s="67">
        <f t="shared" si="17"/>
        <v>2404.8490148807414</v>
      </c>
      <c r="W36" s="6">
        <f t="shared" si="18"/>
        <v>0.44927505408991841</v>
      </c>
      <c r="X36" s="66">
        <f t="shared" si="19"/>
        <v>788.20240594467782</v>
      </c>
      <c r="Y36" s="89">
        <f t="shared" si="20"/>
        <v>934.32053859165512</v>
      </c>
      <c r="Z36" s="67">
        <f t="shared" si="21"/>
        <v>1080.4386712386322</v>
      </c>
      <c r="AA36" s="14"/>
    </row>
    <row r="37" spans="1:27">
      <c r="A37" s="4">
        <f t="shared" si="22"/>
        <v>2043</v>
      </c>
      <c r="B37" s="4">
        <f t="shared" si="11"/>
        <v>24</v>
      </c>
      <c r="C37" s="63">
        <f t="shared" si="12"/>
        <v>0</v>
      </c>
      <c r="D37" s="64"/>
      <c r="E37" s="65">
        <f t="shared" si="13"/>
        <v>0</v>
      </c>
      <c r="F37" s="63">
        <f t="shared" si="14"/>
        <v>1180</v>
      </c>
      <c r="G37" s="64">
        <f t="shared" si="24"/>
        <v>1475</v>
      </c>
      <c r="H37" s="65">
        <f t="shared" si="8"/>
        <v>1770</v>
      </c>
      <c r="I37" s="66">
        <f t="shared" si="15"/>
        <v>1180</v>
      </c>
      <c r="J37" s="89">
        <f t="shared" si="15"/>
        <v>1475</v>
      </c>
      <c r="K37" s="67">
        <f t="shared" si="15"/>
        <v>1770</v>
      </c>
      <c r="L37" s="68">
        <f t="shared" si="25"/>
        <v>55</v>
      </c>
      <c r="M37" s="68">
        <f>$M$14+'[1]Summary 40MLD'!R27/1000</f>
        <v>515.8217310860814</v>
      </c>
      <c r="N37" s="68">
        <f t="shared" si="30"/>
        <v>30</v>
      </c>
      <c r="O37" s="68">
        <f t="shared" si="30"/>
        <v>12.5</v>
      </c>
      <c r="P37" s="68">
        <f t="shared" si="27"/>
        <v>0</v>
      </c>
      <c r="Q37" s="66">
        <f t="shared" si="16"/>
        <v>582.65564453177728</v>
      </c>
      <c r="R37" s="70">
        <f t="shared" si="9"/>
        <v>613.3217310860814</v>
      </c>
      <c r="S37" s="67">
        <f t="shared" si="10"/>
        <v>643.98781764038552</v>
      </c>
      <c r="T37" s="66">
        <f t="shared" si="23"/>
        <v>1762.6556445317774</v>
      </c>
      <c r="U37" s="89">
        <f t="shared" si="17"/>
        <v>2088.3217310860814</v>
      </c>
      <c r="V37" s="67">
        <f t="shared" si="17"/>
        <v>2413.9878176403854</v>
      </c>
      <c r="W37" s="6">
        <f t="shared" si="18"/>
        <v>0.43391448144670497</v>
      </c>
      <c r="X37" s="66">
        <f t="shared" si="19"/>
        <v>764.84180996611371</v>
      </c>
      <c r="Y37" s="89">
        <f t="shared" si="20"/>
        <v>906.15304103810229</v>
      </c>
      <c r="Z37" s="67">
        <f t="shared" si="21"/>
        <v>1047.4642721100909</v>
      </c>
      <c r="AA37" s="14"/>
    </row>
    <row r="38" spans="1:27">
      <c r="A38" s="4">
        <f t="shared" si="22"/>
        <v>2044</v>
      </c>
      <c r="B38" s="4">
        <f t="shared" si="11"/>
        <v>25</v>
      </c>
      <c r="C38" s="63">
        <f t="shared" si="12"/>
        <v>0</v>
      </c>
      <c r="D38" s="64"/>
      <c r="E38" s="65">
        <f t="shared" si="13"/>
        <v>0</v>
      </c>
      <c r="F38" s="63">
        <f t="shared" si="14"/>
        <v>1180</v>
      </c>
      <c r="G38" s="64">
        <f>$AC$9+X8</f>
        <v>1475</v>
      </c>
      <c r="H38" s="65">
        <f t="shared" si="8"/>
        <v>1770</v>
      </c>
      <c r="I38" s="66">
        <f t="shared" si="15"/>
        <v>1180</v>
      </c>
      <c r="J38" s="89">
        <f t="shared" si="15"/>
        <v>1475</v>
      </c>
      <c r="K38" s="67">
        <f t="shared" si="15"/>
        <v>1770</v>
      </c>
      <c r="L38" s="68">
        <f t="shared" si="25"/>
        <v>55</v>
      </c>
      <c r="M38" s="68">
        <f>$M$14+'[1]Summary 40MLD'!R28/1000</f>
        <v>524.52535276193271</v>
      </c>
      <c r="N38" s="68">
        <f t="shared" si="30"/>
        <v>30</v>
      </c>
      <c r="O38" s="68">
        <f t="shared" si="30"/>
        <v>12.5</v>
      </c>
      <c r="P38" s="68">
        <f t="shared" si="27"/>
        <v>0</v>
      </c>
      <c r="Q38" s="66">
        <f t="shared" si="16"/>
        <v>590.92408512383599</v>
      </c>
      <c r="R38" s="70">
        <f t="shared" si="9"/>
        <v>622.02535276193271</v>
      </c>
      <c r="S38" s="67">
        <f t="shared" si="10"/>
        <v>653.12662040002942</v>
      </c>
      <c r="T38" s="66">
        <f t="shared" si="23"/>
        <v>1770.924085123836</v>
      </c>
      <c r="U38" s="89">
        <f t="shared" si="17"/>
        <v>2097.0253527619325</v>
      </c>
      <c r="V38" s="67">
        <f t="shared" si="17"/>
        <v>2423.1266204000294</v>
      </c>
      <c r="W38" s="7">
        <f t="shared" si="18"/>
        <v>0.41907908194582277</v>
      </c>
      <c r="X38" s="66">
        <f t="shared" si="19"/>
        <v>742.15723978944334</v>
      </c>
      <c r="Y38" s="89">
        <f t="shared" si="20"/>
        <v>878.81945965258581</v>
      </c>
      <c r="Z38" s="67">
        <f t="shared" si="21"/>
        <v>1015.4816795157285</v>
      </c>
      <c r="AA38" s="14"/>
    </row>
    <row r="39" spans="1:27">
      <c r="A39" s="4">
        <f t="shared" si="22"/>
        <v>2045</v>
      </c>
      <c r="B39" s="4">
        <f t="shared" si="11"/>
        <v>26</v>
      </c>
      <c r="C39" s="63">
        <f t="shared" si="12"/>
        <v>0</v>
      </c>
      <c r="D39" s="64"/>
      <c r="E39" s="65">
        <f t="shared" si="13"/>
        <v>0</v>
      </c>
      <c r="F39" s="63">
        <f t="shared" si="14"/>
        <v>2461.2715954843366</v>
      </c>
      <c r="G39" s="64">
        <f>$AC$9+$P$4+$P$5+$P$8+$X$6+$T$6</f>
        <v>3076.5894943554204</v>
      </c>
      <c r="H39" s="65">
        <f t="shared" si="8"/>
        <v>3691.9073932265042</v>
      </c>
      <c r="I39" s="66">
        <f t="shared" si="15"/>
        <v>2461.2715954843366</v>
      </c>
      <c r="J39" s="89">
        <f t="shared" si="15"/>
        <v>3076.5894943554204</v>
      </c>
      <c r="K39" s="67">
        <f t="shared" si="15"/>
        <v>3691.9073932265042</v>
      </c>
      <c r="L39" s="68">
        <f t="shared" si="25"/>
        <v>55</v>
      </c>
      <c r="M39" s="68">
        <f>$M$14+'[1]Summary 40MLD'!R29/1000</f>
        <v>533.22897443778402</v>
      </c>
      <c r="N39" s="68">
        <f t="shared" si="30"/>
        <v>30</v>
      </c>
      <c r="O39" s="68">
        <f t="shared" si="30"/>
        <v>12.5</v>
      </c>
      <c r="P39" s="68">
        <f t="shared" si="27"/>
        <v>0</v>
      </c>
      <c r="Q39" s="66">
        <f t="shared" si="16"/>
        <v>599.19252571589482</v>
      </c>
      <c r="R39" s="70">
        <f t="shared" si="9"/>
        <v>630.72897443778402</v>
      </c>
      <c r="S39" s="67">
        <f t="shared" si="10"/>
        <v>662.26542315967322</v>
      </c>
      <c r="T39" s="66">
        <f t="shared" si="23"/>
        <v>3060.4641212002316</v>
      </c>
      <c r="U39" s="89">
        <f t="shared" si="17"/>
        <v>3707.3184687932044</v>
      </c>
      <c r="V39" s="67">
        <f t="shared" si="17"/>
        <v>4354.1728163861771</v>
      </c>
      <c r="W39" s="7">
        <f t="shared" si="18"/>
        <v>0.40475090008288855</v>
      </c>
      <c r="X39" s="66">
        <f t="shared" si="19"/>
        <v>1238.7256077271802</v>
      </c>
      <c r="Y39" s="89">
        <f t="shared" si="20"/>
        <v>1500.5404871379656</v>
      </c>
      <c r="Z39" s="67">
        <f t="shared" si="21"/>
        <v>1762.3553665487511</v>
      </c>
      <c r="AA39" s="14"/>
    </row>
    <row r="40" spans="1:27">
      <c r="A40" s="4">
        <f t="shared" si="22"/>
        <v>2046</v>
      </c>
      <c r="B40" s="4">
        <f t="shared" si="11"/>
        <v>27</v>
      </c>
      <c r="C40" s="63">
        <f t="shared" si="12"/>
        <v>0</v>
      </c>
      <c r="D40" s="64"/>
      <c r="E40" s="65">
        <f t="shared" si="13"/>
        <v>0</v>
      </c>
      <c r="F40" s="63">
        <f>G40*(1+$F$11)</f>
        <v>1180</v>
      </c>
      <c r="G40" s="64">
        <f t="shared" si="24"/>
        <v>1475</v>
      </c>
      <c r="H40" s="65">
        <f t="shared" si="8"/>
        <v>1770</v>
      </c>
      <c r="I40" s="66">
        <f t="shared" si="15"/>
        <v>1180</v>
      </c>
      <c r="J40" s="89">
        <f t="shared" si="15"/>
        <v>1475</v>
      </c>
      <c r="K40" s="67">
        <f t="shared" si="15"/>
        <v>1770</v>
      </c>
      <c r="L40" s="68">
        <f t="shared" si="25"/>
        <v>55</v>
      </c>
      <c r="M40" s="68">
        <f>$M$14+'[1]Summary 40MLD'!R30/1000</f>
        <v>541.93259611363521</v>
      </c>
      <c r="N40" s="68">
        <f t="shared" si="30"/>
        <v>30</v>
      </c>
      <c r="O40" s="68">
        <f t="shared" si="30"/>
        <v>12.5</v>
      </c>
      <c r="P40" s="68">
        <f t="shared" si="27"/>
        <v>0</v>
      </c>
      <c r="Q40" s="66">
        <f t="shared" si="16"/>
        <v>607.46096630795341</v>
      </c>
      <c r="R40" s="70">
        <f t="shared" si="9"/>
        <v>639.43259611363521</v>
      </c>
      <c r="S40" s="67">
        <f t="shared" si="10"/>
        <v>671.40422591931701</v>
      </c>
      <c r="T40" s="66">
        <f t="shared" si="23"/>
        <v>1787.4609663079534</v>
      </c>
      <c r="U40" s="89">
        <f t="shared" si="17"/>
        <v>2114.4325961136351</v>
      </c>
      <c r="V40" s="67">
        <f t="shared" si="17"/>
        <v>2441.404225919317</v>
      </c>
      <c r="W40" s="7">
        <f t="shared" si="18"/>
        <v>0.39091259424656027</v>
      </c>
      <c r="X40" s="66">
        <f t="shared" si="19"/>
        <v>698.74100345390559</v>
      </c>
      <c r="Y40" s="89">
        <f t="shared" si="20"/>
        <v>826.55833150627052</v>
      </c>
      <c r="Z40" s="67">
        <f t="shared" si="21"/>
        <v>954.37565955863556</v>
      </c>
      <c r="AA40" s="90" t="s">
        <v>62</v>
      </c>
    </row>
    <row r="41" spans="1:27">
      <c r="A41" s="4">
        <f t="shared" si="22"/>
        <v>2047</v>
      </c>
      <c r="B41" s="4">
        <f t="shared" si="11"/>
        <v>28</v>
      </c>
      <c r="C41" s="63">
        <f t="shared" si="12"/>
        <v>0</v>
      </c>
      <c r="D41" s="64"/>
      <c r="E41" s="65">
        <f t="shared" si="13"/>
        <v>0</v>
      </c>
      <c r="F41" s="63">
        <f t="shared" si="14"/>
        <v>1180</v>
      </c>
      <c r="G41" s="64">
        <f t="shared" si="24"/>
        <v>1475</v>
      </c>
      <c r="H41" s="65">
        <f t="shared" si="8"/>
        <v>1770</v>
      </c>
      <c r="I41" s="66">
        <f t="shared" si="15"/>
        <v>1180</v>
      </c>
      <c r="J41" s="89">
        <f t="shared" si="15"/>
        <v>1475</v>
      </c>
      <c r="K41" s="67">
        <f t="shared" si="15"/>
        <v>1770</v>
      </c>
      <c r="L41" s="68">
        <f t="shared" si="25"/>
        <v>55</v>
      </c>
      <c r="M41" s="68">
        <f>$M$14+'[1]Summary 40MLD'!R31/1000</f>
        <v>550.63621778948652</v>
      </c>
      <c r="N41" s="68">
        <f t="shared" si="30"/>
        <v>30</v>
      </c>
      <c r="O41" s="68">
        <f t="shared" si="30"/>
        <v>12.5</v>
      </c>
      <c r="P41" s="68">
        <f t="shared" si="27"/>
        <v>0</v>
      </c>
      <c r="Q41" s="66">
        <f t="shared" si="16"/>
        <v>615.72940690001212</v>
      </c>
      <c r="R41" s="70">
        <f t="shared" si="9"/>
        <v>648.13621778948652</v>
      </c>
      <c r="S41" s="67">
        <f t="shared" si="10"/>
        <v>680.54302867896092</v>
      </c>
      <c r="T41" s="66">
        <f t="shared" si="23"/>
        <v>1795.7294069000122</v>
      </c>
      <c r="U41" s="89">
        <f t="shared" si="17"/>
        <v>2123.1362177894866</v>
      </c>
      <c r="V41" s="67">
        <f t="shared" si="17"/>
        <v>2450.543028678961</v>
      </c>
      <c r="W41" s="7">
        <f t="shared" si="18"/>
        <v>0.37754741572972783</v>
      </c>
      <c r="X41" s="66">
        <f t="shared" si="19"/>
        <v>677.97299692497654</v>
      </c>
      <c r="Y41" s="89">
        <f t="shared" si="20"/>
        <v>801.5845922686093</v>
      </c>
      <c r="Z41" s="67">
        <f t="shared" si="21"/>
        <v>925.19618761224206</v>
      </c>
      <c r="AA41" s="14"/>
    </row>
    <row r="42" spans="1:27">
      <c r="A42" s="4">
        <f t="shared" si="22"/>
        <v>2048</v>
      </c>
      <c r="B42" s="4">
        <f t="shared" si="11"/>
        <v>29</v>
      </c>
      <c r="C42" s="63">
        <f t="shared" si="12"/>
        <v>0</v>
      </c>
      <c r="D42" s="64"/>
      <c r="E42" s="65">
        <f t="shared" si="13"/>
        <v>0</v>
      </c>
      <c r="F42" s="63">
        <f t="shared" si="14"/>
        <v>1180</v>
      </c>
      <c r="G42" s="64">
        <f>$AC$9+X8</f>
        <v>1475</v>
      </c>
      <c r="H42" s="65">
        <f t="shared" si="8"/>
        <v>1770</v>
      </c>
      <c r="I42" s="66">
        <f t="shared" si="15"/>
        <v>1180</v>
      </c>
      <c r="J42" s="89">
        <f t="shared" si="15"/>
        <v>1475</v>
      </c>
      <c r="K42" s="67">
        <f t="shared" si="15"/>
        <v>1770</v>
      </c>
      <c r="L42" s="68">
        <f t="shared" si="25"/>
        <v>55</v>
      </c>
      <c r="M42" s="68">
        <f>$M$14+'[1]Summary 40MLD'!R32/1000</f>
        <v>559.33983946533783</v>
      </c>
      <c r="N42" s="68">
        <f t="shared" si="30"/>
        <v>30</v>
      </c>
      <c r="O42" s="68">
        <f t="shared" si="30"/>
        <v>12.5</v>
      </c>
      <c r="P42" s="68">
        <f t="shared" si="27"/>
        <v>0</v>
      </c>
      <c r="Q42" s="66">
        <f t="shared" si="16"/>
        <v>623.99784749207095</v>
      </c>
      <c r="R42" s="70">
        <f t="shared" si="9"/>
        <v>656.83983946533783</v>
      </c>
      <c r="S42" s="67">
        <f t="shared" si="10"/>
        <v>689.68183143860472</v>
      </c>
      <c r="T42" s="66">
        <f t="shared" si="23"/>
        <v>1803.9978474920708</v>
      </c>
      <c r="U42" s="89">
        <f t="shared" si="17"/>
        <v>2131.8398394653377</v>
      </c>
      <c r="V42" s="67">
        <f t="shared" si="17"/>
        <v>2459.6818314386046</v>
      </c>
      <c r="W42" s="7">
        <f t="shared" si="18"/>
        <v>0.36463918845830384</v>
      </c>
      <c r="X42" s="66">
        <f t="shared" si="19"/>
        <v>657.80831109003566</v>
      </c>
      <c r="Y42" s="89">
        <f t="shared" si="20"/>
        <v>777.35234898572151</v>
      </c>
      <c r="Z42" s="67">
        <f t="shared" si="21"/>
        <v>896.89638688140724</v>
      </c>
      <c r="AA42" s="14"/>
    </row>
    <row r="43" spans="1:27">
      <c r="A43" s="4">
        <f t="shared" si="22"/>
        <v>2049</v>
      </c>
      <c r="B43" s="4">
        <f t="shared" si="11"/>
        <v>30</v>
      </c>
      <c r="C43" s="63">
        <f t="shared" si="12"/>
        <v>0</v>
      </c>
      <c r="D43" s="64"/>
      <c r="E43" s="65">
        <f t="shared" si="13"/>
        <v>0</v>
      </c>
      <c r="F43" s="63">
        <f t="shared" si="14"/>
        <v>10892.644359359027</v>
      </c>
      <c r="G43" s="64">
        <f>$AC$9+$T$4+$T$5+$X$4+$X$5+$P$8+$P$6</f>
        <v>13615.805449198782</v>
      </c>
      <c r="H43" s="65">
        <f t="shared" si="8"/>
        <v>16338.966539038538</v>
      </c>
      <c r="I43" s="66">
        <f t="shared" si="15"/>
        <v>10892.644359359027</v>
      </c>
      <c r="J43" s="89">
        <f t="shared" si="15"/>
        <v>13615.805449198782</v>
      </c>
      <c r="K43" s="67">
        <f t="shared" si="15"/>
        <v>16338.966539038538</v>
      </c>
      <c r="L43" s="68">
        <f t="shared" si="25"/>
        <v>55</v>
      </c>
      <c r="M43" s="68">
        <f>$M$14+'[1]Summary 40MLD'!R33/1000</f>
        <v>568.04346114118914</v>
      </c>
      <c r="N43" s="68">
        <f t="shared" si="30"/>
        <v>30</v>
      </c>
      <c r="O43" s="68">
        <f t="shared" si="30"/>
        <v>12.5</v>
      </c>
      <c r="P43" s="68">
        <f t="shared" si="27"/>
        <v>0</v>
      </c>
      <c r="Q43" s="66">
        <f t="shared" si="16"/>
        <v>632.26628808412966</v>
      </c>
      <c r="R43" s="70">
        <f t="shared" si="9"/>
        <v>665.54346114118914</v>
      </c>
      <c r="S43" s="67">
        <f t="shared" si="10"/>
        <v>698.82063419824863</v>
      </c>
      <c r="T43" s="66">
        <f t="shared" si="23"/>
        <v>11524.910647443156</v>
      </c>
      <c r="U43" s="89">
        <f t="shared" si="17"/>
        <v>14281.348910339972</v>
      </c>
      <c r="V43" s="67">
        <f t="shared" si="17"/>
        <v>17037.787173236786</v>
      </c>
      <c r="W43" s="7">
        <f t="shared" si="18"/>
        <v>0.35217228941308076</v>
      </c>
      <c r="X43" s="66">
        <f t="shared" si="19"/>
        <v>4058.754167991247</v>
      </c>
      <c r="Y43" s="89">
        <f t="shared" si="20"/>
        <v>5029.4953416614344</v>
      </c>
      <c r="Z43" s="67">
        <f t="shared" si="21"/>
        <v>6000.2365153316205</v>
      </c>
      <c r="AA43" s="14"/>
    </row>
    <row r="44" spans="1:27">
      <c r="A44" s="4">
        <f t="shared" si="22"/>
        <v>2050</v>
      </c>
      <c r="B44" s="4">
        <f t="shared" si="11"/>
        <v>31</v>
      </c>
      <c r="C44" s="63">
        <f t="shared" si="12"/>
        <v>0</v>
      </c>
      <c r="D44" s="64"/>
      <c r="E44" s="65">
        <f t="shared" si="13"/>
        <v>0</v>
      </c>
      <c r="F44" s="63">
        <f t="shared" si="14"/>
        <v>1180</v>
      </c>
      <c r="G44" s="64">
        <f>$AC$9+P8</f>
        <v>1475</v>
      </c>
      <c r="H44" s="65">
        <f t="shared" si="8"/>
        <v>1770</v>
      </c>
      <c r="I44" s="66">
        <f t="shared" si="15"/>
        <v>1180</v>
      </c>
      <c r="J44" s="89">
        <f t="shared" si="15"/>
        <v>1475</v>
      </c>
      <c r="K44" s="67">
        <f t="shared" si="15"/>
        <v>1770</v>
      </c>
      <c r="L44" s="68">
        <f t="shared" si="25"/>
        <v>55</v>
      </c>
      <c r="M44" s="68">
        <f>$M$14+'[1]Summary 40MLD'!R34/1000</f>
        <v>576.74708281704034</v>
      </c>
      <c r="N44" s="68">
        <f t="shared" si="30"/>
        <v>30</v>
      </c>
      <c r="O44" s="68">
        <f t="shared" si="30"/>
        <v>12.5</v>
      </c>
      <c r="P44" s="68">
        <f t="shared" si="27"/>
        <v>0</v>
      </c>
      <c r="Q44" s="66">
        <f t="shared" si="16"/>
        <v>640.53472867618825</v>
      </c>
      <c r="R44" s="70">
        <f t="shared" si="9"/>
        <v>674.24708281704034</v>
      </c>
      <c r="S44" s="67">
        <f t="shared" si="10"/>
        <v>707.95943695789242</v>
      </c>
      <c r="T44" s="66">
        <f t="shared" si="23"/>
        <v>1820.5347286761883</v>
      </c>
      <c r="U44" s="89">
        <f t="shared" si="17"/>
        <v>2149.2470828170403</v>
      </c>
      <c r="V44" s="67">
        <f t="shared" si="17"/>
        <v>2477.9594369578926</v>
      </c>
      <c r="W44" s="7">
        <f t="shared" si="18"/>
        <v>0.34013162972095884</v>
      </c>
      <c r="X44" s="66">
        <f t="shared" si="19"/>
        <v>619.22144422823555</v>
      </c>
      <c r="Y44" s="89">
        <f t="shared" si="20"/>
        <v>731.02691295157649</v>
      </c>
      <c r="Z44" s="67">
        <f t="shared" si="21"/>
        <v>842.83238167491754</v>
      </c>
      <c r="AA44" s="90" t="s">
        <v>63</v>
      </c>
    </row>
    <row r="45" spans="1:27">
      <c r="A45" s="4">
        <f t="shared" si="22"/>
        <v>2051</v>
      </c>
      <c r="B45" s="4">
        <f t="shared" si="11"/>
        <v>32</v>
      </c>
      <c r="C45" s="63">
        <f t="shared" si="12"/>
        <v>0</v>
      </c>
      <c r="D45" s="64"/>
      <c r="E45" s="65">
        <f t="shared" si="13"/>
        <v>0</v>
      </c>
      <c r="F45" s="63">
        <f t="shared" si="14"/>
        <v>1180</v>
      </c>
      <c r="G45" s="64">
        <f t="shared" si="24"/>
        <v>1475</v>
      </c>
      <c r="H45" s="65">
        <f t="shared" si="8"/>
        <v>1770</v>
      </c>
      <c r="I45" s="66">
        <f t="shared" si="15"/>
        <v>1180</v>
      </c>
      <c r="J45" s="89">
        <f t="shared" si="15"/>
        <v>1475</v>
      </c>
      <c r="K45" s="67">
        <f t="shared" si="15"/>
        <v>1770</v>
      </c>
      <c r="L45" s="68">
        <f t="shared" si="25"/>
        <v>55</v>
      </c>
      <c r="M45" s="68">
        <f>$M$14+'[1]Summary 40MLD'!R35/1000</f>
        <v>585.45070449289165</v>
      </c>
      <c r="N45" s="68">
        <f t="shared" si="30"/>
        <v>30</v>
      </c>
      <c r="O45" s="68">
        <f t="shared" si="30"/>
        <v>12.5</v>
      </c>
      <c r="P45" s="68">
        <f t="shared" si="27"/>
        <v>0</v>
      </c>
      <c r="Q45" s="66">
        <f t="shared" si="16"/>
        <v>648.80316926824707</v>
      </c>
      <c r="R45" s="70">
        <f t="shared" si="9"/>
        <v>682.95070449289165</v>
      </c>
      <c r="S45" s="67">
        <f t="shared" si="10"/>
        <v>717.09823971753622</v>
      </c>
      <c r="T45" s="66">
        <f t="shared" si="23"/>
        <v>1828.8031692682471</v>
      </c>
      <c r="U45" s="89">
        <f t="shared" si="17"/>
        <v>2157.9507044928914</v>
      </c>
      <c r="V45" s="67">
        <f t="shared" si="17"/>
        <v>2487.0982397175362</v>
      </c>
      <c r="W45" s="7">
        <f t="shared" si="18"/>
        <v>0.3285026363926587</v>
      </c>
      <c r="X45" s="66">
        <f t="shared" si="19"/>
        <v>600.7666625478688</v>
      </c>
      <c r="Y45" s="89">
        <f t="shared" si="20"/>
        <v>708.89249563131</v>
      </c>
      <c r="Z45" s="67">
        <f t="shared" si="21"/>
        <v>817.01832871475131</v>
      </c>
      <c r="AA45" s="14"/>
    </row>
    <row r="46" spans="1:27">
      <c r="A46" s="4">
        <f t="shared" si="22"/>
        <v>2052</v>
      </c>
      <c r="B46" s="4">
        <f t="shared" si="11"/>
        <v>33</v>
      </c>
      <c r="C46" s="63">
        <f t="shared" si="12"/>
        <v>0</v>
      </c>
      <c r="D46" s="64"/>
      <c r="E46" s="65">
        <f t="shared" si="13"/>
        <v>0</v>
      </c>
      <c r="F46" s="63">
        <f t="shared" si="14"/>
        <v>1180</v>
      </c>
      <c r="G46" s="64">
        <f>$AC$9+X8</f>
        <v>1475</v>
      </c>
      <c r="H46" s="65">
        <f t="shared" si="8"/>
        <v>1770</v>
      </c>
      <c r="I46" s="66">
        <f t="shared" si="15"/>
        <v>1180</v>
      </c>
      <c r="J46" s="89">
        <f t="shared" si="15"/>
        <v>1475</v>
      </c>
      <c r="K46" s="67">
        <f t="shared" si="15"/>
        <v>1770</v>
      </c>
      <c r="L46" s="68">
        <f t="shared" si="25"/>
        <v>55</v>
      </c>
      <c r="M46" s="68">
        <f>$M$14+'[1]Summary 40MLD'!R36/1000</f>
        <v>594.15432616874295</v>
      </c>
      <c r="N46" s="68">
        <f t="shared" si="30"/>
        <v>30</v>
      </c>
      <c r="O46" s="68">
        <f t="shared" si="30"/>
        <v>12.5</v>
      </c>
      <c r="P46" s="68">
        <f t="shared" si="27"/>
        <v>0</v>
      </c>
      <c r="Q46" s="66">
        <f t="shared" si="16"/>
        <v>657.07160986030578</v>
      </c>
      <c r="R46" s="70">
        <f t="shared" si="9"/>
        <v>691.65432616874295</v>
      </c>
      <c r="S46" s="67">
        <f t="shared" si="10"/>
        <v>726.23704247718013</v>
      </c>
      <c r="T46" s="66">
        <f t="shared" si="23"/>
        <v>1837.0716098603057</v>
      </c>
      <c r="U46" s="89">
        <f t="shared" si="17"/>
        <v>2166.654326168743</v>
      </c>
      <c r="V46" s="67">
        <f t="shared" si="17"/>
        <v>2496.2370424771802</v>
      </c>
      <c r="W46" s="7">
        <f t="shared" si="18"/>
        <v>0.31727123468481616</v>
      </c>
      <c r="X46" s="66">
        <f t="shared" si="19"/>
        <v>582.8499778648021</v>
      </c>
      <c r="Y46" s="89">
        <f t="shared" si="20"/>
        <v>687.41709319875542</v>
      </c>
      <c r="Z46" s="67">
        <f t="shared" si="21"/>
        <v>791.98420853270886</v>
      </c>
      <c r="AA46" s="14"/>
    </row>
    <row r="47" spans="1:27">
      <c r="A47" s="4">
        <f t="shared" si="22"/>
        <v>2053</v>
      </c>
      <c r="B47" s="4">
        <f t="shared" si="11"/>
        <v>34</v>
      </c>
      <c r="C47" s="63">
        <f t="shared" si="12"/>
        <v>0</v>
      </c>
      <c r="D47" s="64"/>
      <c r="E47" s="65">
        <f t="shared" si="13"/>
        <v>0</v>
      </c>
      <c r="F47" s="63">
        <f t="shared" si="14"/>
        <v>1180</v>
      </c>
      <c r="G47" s="64">
        <f t="shared" si="24"/>
        <v>1475</v>
      </c>
      <c r="H47" s="65">
        <f t="shared" si="8"/>
        <v>1770</v>
      </c>
      <c r="I47" s="66">
        <f t="shared" si="15"/>
        <v>1180</v>
      </c>
      <c r="J47" s="89">
        <f t="shared" si="15"/>
        <v>1475</v>
      </c>
      <c r="K47" s="67">
        <f t="shared" si="15"/>
        <v>1770</v>
      </c>
      <c r="L47" s="68">
        <f t="shared" si="25"/>
        <v>55</v>
      </c>
      <c r="M47" s="68">
        <f>$M$14+'[1]Summary 40MLD'!R37/1000</f>
        <v>602.85794784459426</v>
      </c>
      <c r="N47" s="68">
        <f t="shared" si="30"/>
        <v>30</v>
      </c>
      <c r="O47" s="68">
        <f t="shared" si="30"/>
        <v>12.5</v>
      </c>
      <c r="P47" s="68">
        <f t="shared" si="27"/>
        <v>0</v>
      </c>
      <c r="Q47" s="66">
        <f t="shared" si="16"/>
        <v>665.34005045236449</v>
      </c>
      <c r="R47" s="70">
        <f t="shared" si="9"/>
        <v>700.35794784459426</v>
      </c>
      <c r="S47" s="67">
        <f t="shared" si="10"/>
        <v>735.37584523682403</v>
      </c>
      <c r="T47" s="66">
        <f t="shared" si="23"/>
        <v>1845.3400504523645</v>
      </c>
      <c r="U47" s="89">
        <f t="shared" si="17"/>
        <v>2175.3579478445945</v>
      </c>
      <c r="V47" s="67">
        <f t="shared" si="17"/>
        <v>2505.3758452368238</v>
      </c>
      <c r="W47" s="7">
        <f t="shared" si="18"/>
        <v>0.30642383106511123</v>
      </c>
      <c r="X47" s="66">
        <f t="shared" si="19"/>
        <v>565.45616787749918</v>
      </c>
      <c r="Y47" s="89">
        <f t="shared" si="20"/>
        <v>666.58151631647911</v>
      </c>
      <c r="Z47" s="67">
        <f t="shared" si="21"/>
        <v>767.70686475545881</v>
      </c>
      <c r="AA47" s="14"/>
    </row>
    <row r="48" spans="1:27">
      <c r="A48" s="4">
        <f t="shared" si="22"/>
        <v>2054</v>
      </c>
      <c r="B48" s="4">
        <f t="shared" si="11"/>
        <v>35</v>
      </c>
      <c r="C48" s="63">
        <f t="shared" si="12"/>
        <v>0</v>
      </c>
      <c r="D48" s="64"/>
      <c r="E48" s="65">
        <f t="shared" si="13"/>
        <v>0</v>
      </c>
      <c r="F48" s="63">
        <f t="shared" si="14"/>
        <v>1180</v>
      </c>
      <c r="G48" s="64">
        <f t="shared" si="24"/>
        <v>1475</v>
      </c>
      <c r="H48" s="65">
        <f t="shared" si="8"/>
        <v>1770</v>
      </c>
      <c r="I48" s="66">
        <f t="shared" si="15"/>
        <v>1180</v>
      </c>
      <c r="J48" s="89">
        <f t="shared" si="15"/>
        <v>1475</v>
      </c>
      <c r="K48" s="67">
        <f t="shared" si="15"/>
        <v>1770</v>
      </c>
      <c r="L48" s="68">
        <f t="shared" si="25"/>
        <v>55</v>
      </c>
      <c r="M48" s="68">
        <f>$M$14+'[1]Summary 40MLD'!R38/1000</f>
        <v>611.56156952044557</v>
      </c>
      <c r="N48" s="68">
        <f t="shared" ref="N48:O63" si="31">N47</f>
        <v>30</v>
      </c>
      <c r="O48" s="68">
        <f t="shared" si="31"/>
        <v>12.5</v>
      </c>
      <c r="P48" s="68">
        <f t="shared" si="27"/>
        <v>0</v>
      </c>
      <c r="Q48" s="66">
        <f t="shared" si="16"/>
        <v>673.60849104442332</v>
      </c>
      <c r="R48" s="70">
        <f t="shared" si="9"/>
        <v>709.06156952044557</v>
      </c>
      <c r="S48" s="67">
        <f t="shared" si="10"/>
        <v>744.51464799646783</v>
      </c>
      <c r="T48" s="66">
        <f t="shared" si="23"/>
        <v>1853.6084910444233</v>
      </c>
      <c r="U48" s="89">
        <f t="shared" si="17"/>
        <v>2184.0615695204456</v>
      </c>
      <c r="V48" s="67">
        <f t="shared" si="17"/>
        <v>2514.5146479964678</v>
      </c>
      <c r="W48" s="7">
        <f t="shared" si="18"/>
        <v>0.29594729675981379</v>
      </c>
      <c r="X48" s="66">
        <f t="shared" si="19"/>
        <v>548.57042217563458</v>
      </c>
      <c r="Y48" s="89">
        <f t="shared" si="20"/>
        <v>646.36711745657203</v>
      </c>
      <c r="Z48" s="67">
        <f t="shared" si="21"/>
        <v>744.16381273750937</v>
      </c>
      <c r="AA48" s="14"/>
    </row>
    <row r="49" spans="1:27">
      <c r="A49" s="4">
        <f t="shared" si="22"/>
        <v>2055</v>
      </c>
      <c r="B49" s="4">
        <f t="shared" si="11"/>
        <v>36</v>
      </c>
      <c r="C49" s="63">
        <f t="shared" si="12"/>
        <v>0</v>
      </c>
      <c r="D49" s="64"/>
      <c r="E49" s="65">
        <f t="shared" si="13"/>
        <v>0</v>
      </c>
      <c r="F49" s="63">
        <f t="shared" si="14"/>
        <v>2461.2715954843366</v>
      </c>
      <c r="G49" s="64">
        <f>$AC$9+P8+P6+T6+X6</f>
        <v>3076.5894943554204</v>
      </c>
      <c r="H49" s="65">
        <f t="shared" si="8"/>
        <v>3691.9073932265042</v>
      </c>
      <c r="I49" s="66">
        <f t="shared" si="15"/>
        <v>2461.2715954843366</v>
      </c>
      <c r="J49" s="89">
        <f t="shared" si="15"/>
        <v>3076.5894943554204</v>
      </c>
      <c r="K49" s="67">
        <f t="shared" si="15"/>
        <v>3691.9073932265042</v>
      </c>
      <c r="L49" s="68">
        <f t="shared" si="25"/>
        <v>55</v>
      </c>
      <c r="M49" s="68">
        <f>$M$14+'[1]Summary 40MLD'!R39/1000</f>
        <v>620.26519119629688</v>
      </c>
      <c r="N49" s="68">
        <f t="shared" si="31"/>
        <v>30</v>
      </c>
      <c r="O49" s="68">
        <f t="shared" si="31"/>
        <v>12.5</v>
      </c>
      <c r="P49" s="68">
        <f t="shared" si="27"/>
        <v>0</v>
      </c>
      <c r="Q49" s="66">
        <f t="shared" si="16"/>
        <v>681.87693163648203</v>
      </c>
      <c r="R49" s="70">
        <f t="shared" si="9"/>
        <v>717.76519119629688</v>
      </c>
      <c r="S49" s="67">
        <f t="shared" si="10"/>
        <v>753.65345075611174</v>
      </c>
      <c r="T49" s="66">
        <f t="shared" si="23"/>
        <v>3143.1485271208185</v>
      </c>
      <c r="U49" s="89">
        <f t="shared" si="17"/>
        <v>3794.354685551717</v>
      </c>
      <c r="V49" s="67">
        <f t="shared" si="17"/>
        <v>4445.5608439826156</v>
      </c>
      <c r="W49" s="7">
        <f t="shared" si="18"/>
        <v>0.28582895186383406</v>
      </c>
      <c r="X49" s="66">
        <f t="shared" si="19"/>
        <v>898.4028490592973</v>
      </c>
      <c r="Y49" s="89">
        <f t="shared" si="20"/>
        <v>1084.5364227708749</v>
      </c>
      <c r="Z49" s="67">
        <f t="shared" si="21"/>
        <v>1270.6699964824525</v>
      </c>
      <c r="AA49" s="14"/>
    </row>
    <row r="50" spans="1:27">
      <c r="A50" s="4">
        <f t="shared" si="22"/>
        <v>2056</v>
      </c>
      <c r="B50" s="4">
        <f t="shared" si="11"/>
        <v>37</v>
      </c>
      <c r="C50" s="63">
        <f t="shared" si="12"/>
        <v>0</v>
      </c>
      <c r="D50" s="64"/>
      <c r="E50" s="65">
        <f t="shared" si="13"/>
        <v>0</v>
      </c>
      <c r="F50" s="63">
        <f t="shared" si="14"/>
        <v>1180</v>
      </c>
      <c r="G50" s="64">
        <f>$AC$9+X8</f>
        <v>1475</v>
      </c>
      <c r="H50" s="65">
        <f t="shared" si="8"/>
        <v>1770</v>
      </c>
      <c r="I50" s="66">
        <f t="shared" si="15"/>
        <v>1180</v>
      </c>
      <c r="J50" s="89">
        <f t="shared" si="15"/>
        <v>1475</v>
      </c>
      <c r="K50" s="67">
        <f t="shared" si="15"/>
        <v>1770</v>
      </c>
      <c r="L50" s="68">
        <f t="shared" si="25"/>
        <v>55</v>
      </c>
      <c r="M50" s="68">
        <f>$M$14+'[1]Summary 40MLD'!R40/1000</f>
        <v>628.96881287214808</v>
      </c>
      <c r="N50" s="68">
        <f t="shared" si="31"/>
        <v>30</v>
      </c>
      <c r="O50" s="68">
        <f t="shared" si="31"/>
        <v>12.5</v>
      </c>
      <c r="P50" s="68">
        <f t="shared" si="27"/>
        <v>0</v>
      </c>
      <c r="Q50" s="66">
        <f t="shared" si="16"/>
        <v>690.14537222854062</v>
      </c>
      <c r="R50" s="70">
        <f t="shared" si="9"/>
        <v>726.46881287214808</v>
      </c>
      <c r="S50" s="67">
        <f t="shared" si="10"/>
        <v>762.79225351575553</v>
      </c>
      <c r="T50" s="66">
        <f t="shared" si="23"/>
        <v>1870.1453722285405</v>
      </c>
      <c r="U50" s="89">
        <f t="shared" si="17"/>
        <v>2201.4688128721482</v>
      </c>
      <c r="V50" s="67">
        <f t="shared" si="17"/>
        <v>2532.7922535157554</v>
      </c>
      <c r="W50" s="7">
        <f t="shared" si="18"/>
        <v>0.27605654999404483</v>
      </c>
      <c r="X50" s="66">
        <f t="shared" si="19"/>
        <v>516.26587944473965</v>
      </c>
      <c r="Y50" s="89">
        <f t="shared" si="20"/>
        <v>607.72988540097072</v>
      </c>
      <c r="Z50" s="67">
        <f t="shared" si="21"/>
        <v>699.19389135720155</v>
      </c>
      <c r="AA50" s="14"/>
    </row>
    <row r="51" spans="1:27">
      <c r="A51" s="4">
        <f t="shared" si="22"/>
        <v>2057</v>
      </c>
      <c r="B51" s="4">
        <f t="shared" si="11"/>
        <v>38</v>
      </c>
      <c r="C51" s="63">
        <f t="shared" si="12"/>
        <v>0</v>
      </c>
      <c r="D51" s="64"/>
      <c r="E51" s="65">
        <f t="shared" si="13"/>
        <v>0</v>
      </c>
      <c r="F51" s="63">
        <f t="shared" si="14"/>
        <v>1180</v>
      </c>
      <c r="G51" s="64">
        <f t="shared" si="24"/>
        <v>1475</v>
      </c>
      <c r="H51" s="65">
        <f t="shared" si="8"/>
        <v>1770</v>
      </c>
      <c r="I51" s="66">
        <f t="shared" si="15"/>
        <v>1180</v>
      </c>
      <c r="J51" s="89">
        <f t="shared" si="15"/>
        <v>1475</v>
      </c>
      <c r="K51" s="67">
        <f t="shared" si="15"/>
        <v>1770</v>
      </c>
      <c r="L51" s="68">
        <f t="shared" si="25"/>
        <v>55</v>
      </c>
      <c r="M51" s="68">
        <f>$M$14+'[1]Summary 40MLD'!R41/1000</f>
        <v>637.67243454799939</v>
      </c>
      <c r="N51" s="68">
        <f t="shared" si="31"/>
        <v>30</v>
      </c>
      <c r="O51" s="68">
        <f t="shared" si="31"/>
        <v>12.5</v>
      </c>
      <c r="P51" s="68">
        <f t="shared" si="27"/>
        <v>0</v>
      </c>
      <c r="Q51" s="66">
        <f t="shared" si="16"/>
        <v>698.41381282059933</v>
      </c>
      <c r="R51" s="70">
        <f t="shared" si="9"/>
        <v>735.17243454799939</v>
      </c>
      <c r="S51" s="67">
        <f t="shared" si="10"/>
        <v>771.93105627539944</v>
      </c>
      <c r="T51" s="66">
        <f t="shared" si="23"/>
        <v>1878.4138128205993</v>
      </c>
      <c r="U51" s="89">
        <f t="shared" si="17"/>
        <v>2210.1724345479993</v>
      </c>
      <c r="V51" s="67">
        <f t="shared" si="17"/>
        <v>2541.9310562753994</v>
      </c>
      <c r="W51" s="7">
        <f t="shared" si="18"/>
        <v>0.26661826346730227</v>
      </c>
      <c r="X51" s="66">
        <f t="shared" si="19"/>
        <v>500.81942884722235</v>
      </c>
      <c r="Y51" s="89">
        <f t="shared" si="20"/>
        <v>589.27233646248737</v>
      </c>
      <c r="Z51" s="67">
        <f t="shared" si="21"/>
        <v>677.72524407775245</v>
      </c>
      <c r="AA51" s="14"/>
    </row>
    <row r="52" spans="1:27">
      <c r="A52" s="4">
        <f t="shared" si="22"/>
        <v>2058</v>
      </c>
      <c r="B52" s="4">
        <f t="shared" si="11"/>
        <v>39</v>
      </c>
      <c r="C52" s="63">
        <f t="shared" si="12"/>
        <v>0</v>
      </c>
      <c r="D52" s="64"/>
      <c r="E52" s="65">
        <f t="shared" si="13"/>
        <v>0</v>
      </c>
      <c r="F52" s="63">
        <f t="shared" si="14"/>
        <v>1180</v>
      </c>
      <c r="G52" s="64">
        <f t="shared" si="24"/>
        <v>1475</v>
      </c>
      <c r="H52" s="65">
        <f t="shared" si="8"/>
        <v>1770</v>
      </c>
      <c r="I52" s="66">
        <f t="shared" si="15"/>
        <v>1180</v>
      </c>
      <c r="J52" s="89">
        <f t="shared" si="15"/>
        <v>1475</v>
      </c>
      <c r="K52" s="67">
        <f t="shared" si="15"/>
        <v>1770</v>
      </c>
      <c r="L52" s="68">
        <f t="shared" si="25"/>
        <v>55</v>
      </c>
      <c r="M52" s="68">
        <f>$M$14+'[1]Summary 40MLD'!R42/1000</f>
        <v>646.3760562238507</v>
      </c>
      <c r="N52" s="68">
        <f t="shared" si="31"/>
        <v>30</v>
      </c>
      <c r="O52" s="68">
        <f t="shared" si="31"/>
        <v>12.5</v>
      </c>
      <c r="P52" s="68">
        <f t="shared" si="27"/>
        <v>0</v>
      </c>
      <c r="Q52" s="66">
        <f t="shared" si="16"/>
        <v>706.68225341265816</v>
      </c>
      <c r="R52" s="70">
        <f t="shared" si="9"/>
        <v>743.8760562238507</v>
      </c>
      <c r="S52" s="67">
        <f t="shared" si="10"/>
        <v>781.06985903504324</v>
      </c>
      <c r="T52" s="66">
        <f t="shared" si="23"/>
        <v>1886.6822534126582</v>
      </c>
      <c r="U52" s="89">
        <f t="shared" si="17"/>
        <v>2218.8760562238508</v>
      </c>
      <c r="V52" s="67">
        <f t="shared" si="17"/>
        <v>2551.069859035043</v>
      </c>
      <c r="W52" s="7">
        <f t="shared" si="18"/>
        <v>0.25750266898522534</v>
      </c>
      <c r="X52" s="66">
        <f t="shared" si="19"/>
        <v>485.82571578081871</v>
      </c>
      <c r="Y52" s="89">
        <f t="shared" si="20"/>
        <v>571.36650662505247</v>
      </c>
      <c r="Z52" s="67">
        <f t="shared" si="21"/>
        <v>656.90729746928616</v>
      </c>
      <c r="AA52" s="14"/>
    </row>
    <row r="53" spans="1:27">
      <c r="A53" s="4">
        <f t="shared" si="22"/>
        <v>2059</v>
      </c>
      <c r="B53" s="4">
        <f t="shared" si="11"/>
        <v>40</v>
      </c>
      <c r="C53" s="63">
        <f t="shared" si="12"/>
        <v>0</v>
      </c>
      <c r="D53" s="64"/>
      <c r="E53" s="65">
        <f t="shared" si="13"/>
        <v>0</v>
      </c>
      <c r="F53" s="63">
        <f t="shared" si="14"/>
        <v>1180</v>
      </c>
      <c r="G53" s="64">
        <f t="shared" si="24"/>
        <v>1475</v>
      </c>
      <c r="H53" s="65">
        <f t="shared" si="8"/>
        <v>1770</v>
      </c>
      <c r="I53" s="66">
        <f t="shared" si="15"/>
        <v>1180</v>
      </c>
      <c r="J53" s="89">
        <f t="shared" si="15"/>
        <v>1475</v>
      </c>
      <c r="K53" s="67">
        <f t="shared" si="15"/>
        <v>1770</v>
      </c>
      <c r="L53" s="68">
        <f t="shared" si="25"/>
        <v>55</v>
      </c>
      <c r="M53" s="68">
        <f>$M$14+'[1]Summary 40MLD'!R43/1000</f>
        <v>655.07967789970201</v>
      </c>
      <c r="N53" s="68">
        <f t="shared" si="31"/>
        <v>30</v>
      </c>
      <c r="O53" s="68">
        <f t="shared" si="31"/>
        <v>12.5</v>
      </c>
      <c r="P53" s="68">
        <f t="shared" si="27"/>
        <v>0</v>
      </c>
      <c r="Q53" s="66">
        <f t="shared" si="16"/>
        <v>714.95069400471687</v>
      </c>
      <c r="R53" s="70">
        <f t="shared" si="9"/>
        <v>752.57967789970201</v>
      </c>
      <c r="S53" s="67">
        <f t="shared" si="10"/>
        <v>790.20866179468715</v>
      </c>
      <c r="T53" s="66">
        <f t="shared" si="23"/>
        <v>1894.9506940047168</v>
      </c>
      <c r="U53" s="89">
        <f t="shared" si="17"/>
        <v>2227.5796778997019</v>
      </c>
      <c r="V53" s="67">
        <f t="shared" si="17"/>
        <v>2560.208661794687</v>
      </c>
      <c r="W53" s="7">
        <f t="shared" si="18"/>
        <v>0.24869873380840765</v>
      </c>
      <c r="X53" s="66">
        <f t="shared" si="19"/>
        <v>471.27183822833638</v>
      </c>
      <c r="Y53" s="89">
        <f t="shared" si="20"/>
        <v>553.99624535099645</v>
      </c>
      <c r="Z53" s="67">
        <f t="shared" si="21"/>
        <v>636.7206524736564</v>
      </c>
      <c r="AA53" s="14"/>
    </row>
    <row r="54" spans="1:27">
      <c r="A54" s="4">
        <f t="shared" si="22"/>
        <v>2060</v>
      </c>
      <c r="B54" s="4">
        <f t="shared" si="11"/>
        <v>41</v>
      </c>
      <c r="C54" s="63">
        <f t="shared" si="12"/>
        <v>0</v>
      </c>
      <c r="D54" s="64"/>
      <c r="E54" s="65">
        <f t="shared" si="13"/>
        <v>0</v>
      </c>
      <c r="F54" s="63">
        <f t="shared" si="14"/>
        <v>1180</v>
      </c>
      <c r="G54" s="64">
        <f t="shared" si="24"/>
        <v>1475</v>
      </c>
      <c r="H54" s="65">
        <f t="shared" si="8"/>
        <v>1770</v>
      </c>
      <c r="I54" s="66">
        <f t="shared" si="15"/>
        <v>1180</v>
      </c>
      <c r="J54" s="89">
        <f t="shared" si="15"/>
        <v>1475</v>
      </c>
      <c r="K54" s="67">
        <f t="shared" si="15"/>
        <v>1770</v>
      </c>
      <c r="L54" s="68">
        <f t="shared" si="25"/>
        <v>55</v>
      </c>
      <c r="M54" s="68">
        <f>$M$14+'[1]Summary 40MLD'!R44/1000</f>
        <v>663.78329957555331</v>
      </c>
      <c r="N54" s="68">
        <f t="shared" si="31"/>
        <v>30</v>
      </c>
      <c r="O54" s="68">
        <f t="shared" si="31"/>
        <v>12.5</v>
      </c>
      <c r="P54" s="68">
        <f t="shared" si="27"/>
        <v>0</v>
      </c>
      <c r="Q54" s="66">
        <f t="shared" si="16"/>
        <v>723.21913459677558</v>
      </c>
      <c r="R54" s="70">
        <f t="shared" si="9"/>
        <v>761.28329957555331</v>
      </c>
      <c r="S54" s="67">
        <f t="shared" si="10"/>
        <v>799.34746455433105</v>
      </c>
      <c r="T54" s="66">
        <f t="shared" si="23"/>
        <v>1903.2191345967756</v>
      </c>
      <c r="U54" s="89">
        <f t="shared" si="17"/>
        <v>2236.2832995755534</v>
      </c>
      <c r="V54" s="67">
        <f t="shared" si="17"/>
        <v>2569.3474645543311</v>
      </c>
      <c r="W54" s="7">
        <f t="shared" si="18"/>
        <v>0.24019580240332974</v>
      </c>
      <c r="X54" s="66">
        <f t="shared" si="19"/>
        <v>457.14524718384337</v>
      </c>
      <c r="Y54" s="89">
        <f t="shared" si="20"/>
        <v>537.14586154271592</v>
      </c>
      <c r="Z54" s="67">
        <f t="shared" si="21"/>
        <v>617.14647590158836</v>
      </c>
      <c r="AA54" s="14"/>
    </row>
    <row r="55" spans="1:27">
      <c r="A55" s="4">
        <f t="shared" si="22"/>
        <v>2061</v>
      </c>
      <c r="B55" s="4">
        <f t="shared" si="11"/>
        <v>42</v>
      </c>
      <c r="C55" s="63">
        <f t="shared" si="12"/>
        <v>0</v>
      </c>
      <c r="D55" s="64"/>
      <c r="E55" s="65">
        <f t="shared" si="13"/>
        <v>0</v>
      </c>
      <c r="F55" s="63">
        <f t="shared" si="14"/>
        <v>1180</v>
      </c>
      <c r="G55" s="64">
        <f t="shared" si="24"/>
        <v>1475</v>
      </c>
      <c r="H55" s="65">
        <f t="shared" si="8"/>
        <v>1770</v>
      </c>
      <c r="I55" s="66">
        <f t="shared" si="15"/>
        <v>1180</v>
      </c>
      <c r="J55" s="89">
        <f t="shared" si="15"/>
        <v>1475</v>
      </c>
      <c r="K55" s="67">
        <f t="shared" si="15"/>
        <v>1770</v>
      </c>
      <c r="L55" s="68">
        <f t="shared" si="25"/>
        <v>55</v>
      </c>
      <c r="M55" s="68">
        <f>$M$14+'[1]Summary 40MLD'!R45/1000</f>
        <v>672.48692125140451</v>
      </c>
      <c r="N55" s="68">
        <f t="shared" si="31"/>
        <v>30</v>
      </c>
      <c r="O55" s="68">
        <f t="shared" si="31"/>
        <v>12.5</v>
      </c>
      <c r="P55" s="68">
        <f t="shared" si="27"/>
        <v>0</v>
      </c>
      <c r="Q55" s="66">
        <f t="shared" si="16"/>
        <v>731.48757518883428</v>
      </c>
      <c r="R55" s="70">
        <f t="shared" si="9"/>
        <v>769.98692125140451</v>
      </c>
      <c r="S55" s="67">
        <f t="shared" si="10"/>
        <v>808.48626731397474</v>
      </c>
      <c r="T55" s="66">
        <f t="shared" si="23"/>
        <v>1911.4875751888344</v>
      </c>
      <c r="U55" s="89">
        <f t="shared" si="17"/>
        <v>2244.9869212514045</v>
      </c>
      <c r="V55" s="67">
        <f t="shared" si="17"/>
        <v>2578.4862673139746</v>
      </c>
      <c r="W55" s="7">
        <f t="shared" si="18"/>
        <v>0.23198358354580814</v>
      </c>
      <c r="X55" s="66">
        <f t="shared" si="19"/>
        <v>443.43373759559319</v>
      </c>
      <c r="Y55" s="89">
        <f t="shared" si="20"/>
        <v>520.80011100537183</v>
      </c>
      <c r="Z55" s="67">
        <f t="shared" si="21"/>
        <v>598.16648441515042</v>
      </c>
      <c r="AA55" s="14"/>
    </row>
    <row r="56" spans="1:27">
      <c r="A56" s="4">
        <f t="shared" si="22"/>
        <v>2062</v>
      </c>
      <c r="B56" s="4">
        <f t="shared" si="11"/>
        <v>43</v>
      </c>
      <c r="C56" s="63">
        <f t="shared" si="12"/>
        <v>0</v>
      </c>
      <c r="D56" s="64"/>
      <c r="E56" s="65">
        <f t="shared" si="13"/>
        <v>0</v>
      </c>
      <c r="F56" s="63">
        <f t="shared" si="14"/>
        <v>1180</v>
      </c>
      <c r="G56" s="64">
        <f t="shared" si="24"/>
        <v>1475</v>
      </c>
      <c r="H56" s="65">
        <f t="shared" si="8"/>
        <v>1770</v>
      </c>
      <c r="I56" s="66">
        <f t="shared" si="15"/>
        <v>1180</v>
      </c>
      <c r="J56" s="89">
        <f t="shared" si="15"/>
        <v>1475</v>
      </c>
      <c r="K56" s="67">
        <f t="shared" si="15"/>
        <v>1770</v>
      </c>
      <c r="L56" s="68">
        <f t="shared" si="25"/>
        <v>55</v>
      </c>
      <c r="M56" s="68">
        <f>$M$14+'[1]Summary 40MLD'!R46/1000</f>
        <v>681.19054292725582</v>
      </c>
      <c r="N56" s="68">
        <f t="shared" si="31"/>
        <v>30</v>
      </c>
      <c r="O56" s="68">
        <f t="shared" si="31"/>
        <v>12.5</v>
      </c>
      <c r="P56" s="68">
        <f t="shared" si="27"/>
        <v>0</v>
      </c>
      <c r="Q56" s="66">
        <f t="shared" si="16"/>
        <v>739.75601578089299</v>
      </c>
      <c r="R56" s="70">
        <f t="shared" si="9"/>
        <v>778.69054292725582</v>
      </c>
      <c r="S56" s="67">
        <f t="shared" si="10"/>
        <v>817.62507007361864</v>
      </c>
      <c r="T56" s="66">
        <f t="shared" si="23"/>
        <v>1919.756015780893</v>
      </c>
      <c r="U56" s="89">
        <f t="shared" si="17"/>
        <v>2253.6905429272556</v>
      </c>
      <c r="V56" s="67">
        <f t="shared" si="17"/>
        <v>2587.6250700736186</v>
      </c>
      <c r="W56" s="7">
        <f t="shared" si="18"/>
        <v>0.2240521378653739</v>
      </c>
      <c r="X56" s="66">
        <f t="shared" si="19"/>
        <v>430.12543951562157</v>
      </c>
      <c r="Y56" s="89">
        <f t="shared" si="20"/>
        <v>504.94418422982682</v>
      </c>
      <c r="Z56" s="67">
        <f t="shared" si="21"/>
        <v>579.76292894403218</v>
      </c>
      <c r="AA56" s="14"/>
    </row>
    <row r="57" spans="1:27">
      <c r="A57" s="4">
        <f t="shared" si="22"/>
        <v>2063</v>
      </c>
      <c r="B57" s="4">
        <f t="shared" si="11"/>
        <v>44</v>
      </c>
      <c r="C57" s="63">
        <f t="shared" si="12"/>
        <v>0</v>
      </c>
      <c r="D57" s="64"/>
      <c r="E57" s="65">
        <f t="shared" si="13"/>
        <v>0</v>
      </c>
      <c r="F57" s="63">
        <f t="shared" si="14"/>
        <v>1180</v>
      </c>
      <c r="G57" s="64">
        <f t="shared" si="24"/>
        <v>1475</v>
      </c>
      <c r="H57" s="65">
        <f t="shared" si="8"/>
        <v>1770</v>
      </c>
      <c r="I57" s="66">
        <f t="shared" si="15"/>
        <v>1180</v>
      </c>
      <c r="J57" s="89">
        <f t="shared" si="15"/>
        <v>1475</v>
      </c>
      <c r="K57" s="67">
        <f t="shared" si="15"/>
        <v>1770</v>
      </c>
      <c r="L57" s="68">
        <f t="shared" si="25"/>
        <v>55</v>
      </c>
      <c r="M57" s="68">
        <f>$M$14+'[1]Summary 40MLD'!R47/1000</f>
        <v>689.89416460310713</v>
      </c>
      <c r="N57" s="68">
        <f t="shared" si="31"/>
        <v>30</v>
      </c>
      <c r="O57" s="68">
        <f t="shared" si="31"/>
        <v>12.5</v>
      </c>
      <c r="P57" s="68">
        <f t="shared" si="27"/>
        <v>0</v>
      </c>
      <c r="Q57" s="66">
        <f t="shared" si="16"/>
        <v>748.0244563729517</v>
      </c>
      <c r="R57" s="70">
        <f t="shared" si="9"/>
        <v>787.39416460310713</v>
      </c>
      <c r="S57" s="67">
        <f t="shared" si="10"/>
        <v>826.76387283326255</v>
      </c>
      <c r="T57" s="66">
        <f t="shared" si="23"/>
        <v>1928.0244563729516</v>
      </c>
      <c r="U57" s="89">
        <f t="shared" si="17"/>
        <v>2262.3941646031071</v>
      </c>
      <c r="V57" s="67">
        <f t="shared" si="17"/>
        <v>2596.7638728332627</v>
      </c>
      <c r="W57" s="7">
        <f t="shared" si="18"/>
        <v>0.21639186581550499</v>
      </c>
      <c r="X57" s="66">
        <f t="shared" si="19"/>
        <v>417.20880945246768</v>
      </c>
      <c r="Y57" s="89">
        <f t="shared" si="20"/>
        <v>489.56369448857708</v>
      </c>
      <c r="Z57" s="67">
        <f t="shared" si="21"/>
        <v>561.91857952468638</v>
      </c>
      <c r="AA57" s="14"/>
    </row>
    <row r="58" spans="1:27">
      <c r="A58" s="4">
        <f t="shared" si="22"/>
        <v>2064</v>
      </c>
      <c r="B58" s="4">
        <f t="shared" si="11"/>
        <v>45</v>
      </c>
      <c r="C58" s="63">
        <v>12000</v>
      </c>
      <c r="D58" s="64">
        <v>15000</v>
      </c>
      <c r="E58" s="65">
        <v>20000</v>
      </c>
      <c r="F58" s="63">
        <f t="shared" si="14"/>
        <v>1180</v>
      </c>
      <c r="G58" s="64">
        <f>$AC$9+X8</f>
        <v>1475</v>
      </c>
      <c r="H58" s="65">
        <f t="shared" si="8"/>
        <v>1770</v>
      </c>
      <c r="I58" s="66">
        <f t="shared" si="15"/>
        <v>13180</v>
      </c>
      <c r="J58" s="89">
        <f t="shared" si="15"/>
        <v>16475</v>
      </c>
      <c r="K58" s="67">
        <f t="shared" si="15"/>
        <v>21770</v>
      </c>
      <c r="L58" s="68">
        <f t="shared" si="25"/>
        <v>55</v>
      </c>
      <c r="M58" s="68">
        <f>$M$14+'[1]Summary 40MLD'!R48/1000</f>
        <v>698.59778627895844</v>
      </c>
      <c r="N58" s="68">
        <f>N57*1.5</f>
        <v>45</v>
      </c>
      <c r="O58" s="68">
        <f t="shared" si="31"/>
        <v>12.5</v>
      </c>
      <c r="P58" s="68">
        <f t="shared" si="27"/>
        <v>0</v>
      </c>
      <c r="Q58" s="66">
        <f t="shared" si="16"/>
        <v>770.54289696501053</v>
      </c>
      <c r="R58" s="70">
        <f t="shared" si="9"/>
        <v>811.09778627895844</v>
      </c>
      <c r="S58" s="67">
        <f t="shared" si="10"/>
        <v>851.65267559290635</v>
      </c>
      <c r="T58" s="66">
        <f t="shared" si="23"/>
        <v>13950.542896965011</v>
      </c>
      <c r="U58" s="89">
        <f t="shared" si="17"/>
        <v>17286.097786278959</v>
      </c>
      <c r="V58" s="67">
        <f t="shared" si="17"/>
        <v>22621.652675592908</v>
      </c>
      <c r="W58" s="7">
        <f t="shared" si="18"/>
        <v>0.20899349605515255</v>
      </c>
      <c r="X58" s="66">
        <f t="shared" si="19"/>
        <v>2915.5727319040934</v>
      </c>
      <c r="Y58" s="89">
        <f t="shared" si="20"/>
        <v>3612.6820095056728</v>
      </c>
      <c r="Z58" s="67">
        <f t="shared" si="21"/>
        <v>4727.7782792175576</v>
      </c>
      <c r="AA58" s="14" t="s">
        <v>119</v>
      </c>
    </row>
    <row r="59" spans="1:27">
      <c r="A59" s="4">
        <f t="shared" si="22"/>
        <v>2065</v>
      </c>
      <c r="B59" s="4">
        <f t="shared" si="11"/>
        <v>46</v>
      </c>
      <c r="C59" s="63">
        <f t="shared" si="12"/>
        <v>0</v>
      </c>
      <c r="D59" s="64"/>
      <c r="E59" s="65">
        <f t="shared" si="13"/>
        <v>0</v>
      </c>
      <c r="F59" s="63">
        <f t="shared" si="14"/>
        <v>1180</v>
      </c>
      <c r="G59" s="64">
        <f>$AC$9+P8</f>
        <v>1475</v>
      </c>
      <c r="H59" s="65">
        <f t="shared" si="8"/>
        <v>1770</v>
      </c>
      <c r="I59" s="66">
        <f t="shared" si="15"/>
        <v>1180</v>
      </c>
      <c r="J59" s="89">
        <f t="shared" si="15"/>
        <v>1475</v>
      </c>
      <c r="K59" s="67">
        <f t="shared" si="15"/>
        <v>1770</v>
      </c>
      <c r="L59" s="68">
        <f t="shared" si="25"/>
        <v>55</v>
      </c>
      <c r="M59" s="68">
        <f>$M$14*1.5+'[1]Summary 40MLD'!R49/1000</f>
        <v>727.30140795480975</v>
      </c>
      <c r="N59" s="68">
        <f t="shared" si="31"/>
        <v>45</v>
      </c>
      <c r="O59" s="68">
        <f>O58*1.5</f>
        <v>18.75</v>
      </c>
      <c r="P59" s="68">
        <f t="shared" si="27"/>
        <v>0</v>
      </c>
      <c r="Q59" s="66">
        <f t="shared" si="16"/>
        <v>803.74883755706924</v>
      </c>
      <c r="R59" s="70">
        <f t="shared" si="9"/>
        <v>846.05140795480975</v>
      </c>
      <c r="S59" s="67">
        <f t="shared" si="10"/>
        <v>888.35397835255026</v>
      </c>
      <c r="T59" s="66">
        <f t="shared" si="23"/>
        <v>1983.7488375570692</v>
      </c>
      <c r="U59" s="89">
        <f t="shared" si="17"/>
        <v>2321.0514079548097</v>
      </c>
      <c r="V59" s="67">
        <f t="shared" si="17"/>
        <v>2658.3539783525503</v>
      </c>
      <c r="W59" s="7">
        <f t="shared" si="18"/>
        <v>0.20184807422749909</v>
      </c>
      <c r="X59" s="66">
        <f t="shared" si="19"/>
        <v>400.41588261193436</v>
      </c>
      <c r="Y59" s="89">
        <f t="shared" si="20"/>
        <v>468.49975687870369</v>
      </c>
      <c r="Z59" s="67">
        <f t="shared" si="21"/>
        <v>536.58363114547308</v>
      </c>
      <c r="AA59" s="14"/>
    </row>
    <row r="60" spans="1:27">
      <c r="A60" s="4">
        <f t="shared" si="22"/>
        <v>2066</v>
      </c>
      <c r="B60" s="4">
        <f t="shared" si="11"/>
        <v>47</v>
      </c>
      <c r="C60" s="63">
        <f t="shared" si="12"/>
        <v>0</v>
      </c>
      <c r="D60" s="64"/>
      <c r="E60" s="65">
        <f t="shared" si="13"/>
        <v>0</v>
      </c>
      <c r="F60" s="63">
        <f t="shared" si="14"/>
        <v>1180</v>
      </c>
      <c r="G60" s="64">
        <f t="shared" si="24"/>
        <v>1475</v>
      </c>
      <c r="H60" s="65">
        <f t="shared" si="8"/>
        <v>1770</v>
      </c>
      <c r="I60" s="66">
        <f t="shared" si="15"/>
        <v>1180</v>
      </c>
      <c r="J60" s="89">
        <f t="shared" si="15"/>
        <v>1475</v>
      </c>
      <c r="K60" s="67">
        <f t="shared" si="15"/>
        <v>1770</v>
      </c>
      <c r="L60" s="68">
        <f t="shared" si="25"/>
        <v>55</v>
      </c>
      <c r="M60" s="68">
        <f>$M$14*1.5+'[1]Summary 40MLD'!R50/1000</f>
        <v>736.00502963066106</v>
      </c>
      <c r="N60" s="68">
        <f t="shared" si="31"/>
        <v>45</v>
      </c>
      <c r="O60" s="68">
        <f t="shared" si="31"/>
        <v>18.75</v>
      </c>
      <c r="P60" s="68">
        <f t="shared" si="27"/>
        <v>0</v>
      </c>
      <c r="Q60" s="66">
        <f t="shared" si="16"/>
        <v>812.01727814912795</v>
      </c>
      <c r="R60" s="70">
        <f t="shared" si="9"/>
        <v>854.75502963066106</v>
      </c>
      <c r="S60" s="67">
        <f t="shared" si="10"/>
        <v>897.49278111219417</v>
      </c>
      <c r="T60" s="66">
        <f t="shared" si="23"/>
        <v>1992.0172781491278</v>
      </c>
      <c r="U60" s="89">
        <f t="shared" si="17"/>
        <v>2329.7550296306608</v>
      </c>
      <c r="V60" s="67">
        <f t="shared" si="17"/>
        <v>2667.4927811121943</v>
      </c>
      <c r="W60" s="7">
        <f t="shared" si="18"/>
        <v>0.19494695212236729</v>
      </c>
      <c r="X60" s="66">
        <f t="shared" si="19"/>
        <v>388.33769695026643</v>
      </c>
      <c r="Y60" s="89">
        <f t="shared" si="20"/>
        <v>454.17864221825283</v>
      </c>
      <c r="Z60" s="67">
        <f t="shared" si="21"/>
        <v>520.01958748623929</v>
      </c>
      <c r="AA60" s="14"/>
    </row>
    <row r="61" spans="1:27">
      <c r="A61" s="4">
        <f t="shared" si="22"/>
        <v>2067</v>
      </c>
      <c r="B61" s="4">
        <f t="shared" si="11"/>
        <v>48</v>
      </c>
      <c r="C61" s="63">
        <f t="shared" si="12"/>
        <v>0</v>
      </c>
      <c r="D61" s="64"/>
      <c r="E61" s="65">
        <f t="shared" si="13"/>
        <v>0</v>
      </c>
      <c r="F61" s="63">
        <f t="shared" si="14"/>
        <v>1180</v>
      </c>
      <c r="G61" s="64">
        <f t="shared" si="24"/>
        <v>1475</v>
      </c>
      <c r="H61" s="65">
        <f t="shared" si="8"/>
        <v>1770</v>
      </c>
      <c r="I61" s="66">
        <f t="shared" si="15"/>
        <v>1180</v>
      </c>
      <c r="J61" s="89">
        <f t="shared" si="15"/>
        <v>1475</v>
      </c>
      <c r="K61" s="67">
        <f t="shared" si="15"/>
        <v>1770</v>
      </c>
      <c r="L61" s="68">
        <f t="shared" si="25"/>
        <v>55</v>
      </c>
      <c r="M61" s="68">
        <f>$M$14*1.5+'[1]Summary 40MLD'!R51/1000</f>
        <v>744.70865130651225</v>
      </c>
      <c r="N61" s="68">
        <f t="shared" si="31"/>
        <v>45</v>
      </c>
      <c r="O61" s="68">
        <f t="shared" si="31"/>
        <v>18.75</v>
      </c>
      <c r="P61" s="68">
        <f t="shared" si="27"/>
        <v>0</v>
      </c>
      <c r="Q61" s="66">
        <f t="shared" si="16"/>
        <v>820.28571874118666</v>
      </c>
      <c r="R61" s="70">
        <f t="shared" si="9"/>
        <v>863.45865130651225</v>
      </c>
      <c r="S61" s="67">
        <f t="shared" si="10"/>
        <v>906.63158387183785</v>
      </c>
      <c r="T61" s="66">
        <f t="shared" si="23"/>
        <v>2000.2857187411867</v>
      </c>
      <c r="U61" s="89">
        <f t="shared" si="17"/>
        <v>2338.4586513065124</v>
      </c>
      <c r="V61" s="67">
        <f t="shared" si="17"/>
        <v>2676.6315838718378</v>
      </c>
      <c r="W61" s="7">
        <f t="shared" si="18"/>
        <v>0.18828177720916289</v>
      </c>
      <c r="X61" s="66">
        <f t="shared" si="19"/>
        <v>376.61735005069835</v>
      </c>
      <c r="Y61" s="89">
        <f t="shared" si="20"/>
        <v>440.28915079813231</v>
      </c>
      <c r="Z61" s="67">
        <f t="shared" si="21"/>
        <v>503.96095154556616</v>
      </c>
      <c r="AA61" s="14"/>
    </row>
    <row r="62" spans="1:27">
      <c r="A62" s="4">
        <f t="shared" si="22"/>
        <v>2068</v>
      </c>
      <c r="B62" s="4">
        <f t="shared" si="11"/>
        <v>49</v>
      </c>
      <c r="C62" s="63">
        <f t="shared" si="12"/>
        <v>0</v>
      </c>
      <c r="D62" s="64"/>
      <c r="E62" s="65">
        <f t="shared" si="13"/>
        <v>0</v>
      </c>
      <c r="F62" s="63">
        <f t="shared" si="14"/>
        <v>1180</v>
      </c>
      <c r="G62" s="64">
        <f>$AC$9+X8</f>
        <v>1475</v>
      </c>
      <c r="H62" s="65">
        <f t="shared" si="8"/>
        <v>1770</v>
      </c>
      <c r="I62" s="66">
        <f t="shared" si="15"/>
        <v>1180</v>
      </c>
      <c r="J62" s="89">
        <f t="shared" si="15"/>
        <v>1475</v>
      </c>
      <c r="K62" s="67">
        <f t="shared" si="15"/>
        <v>1770</v>
      </c>
      <c r="L62" s="68">
        <f t="shared" si="25"/>
        <v>55</v>
      </c>
      <c r="M62" s="68">
        <f>$M$14*1.5+'[1]Summary 40MLD'!R52/1000</f>
        <v>753.41227298236356</v>
      </c>
      <c r="N62" s="68">
        <f t="shared" si="31"/>
        <v>45</v>
      </c>
      <c r="O62" s="68">
        <f t="shared" si="31"/>
        <v>18.75</v>
      </c>
      <c r="P62" s="68">
        <f t="shared" si="27"/>
        <v>0</v>
      </c>
      <c r="Q62" s="66">
        <f t="shared" si="16"/>
        <v>828.55415933324537</v>
      </c>
      <c r="R62" s="70">
        <f t="shared" si="9"/>
        <v>872.16227298236356</v>
      </c>
      <c r="S62" s="67">
        <f t="shared" si="10"/>
        <v>915.77038663148176</v>
      </c>
      <c r="T62" s="66">
        <f t="shared" si="23"/>
        <v>2008.5541593332455</v>
      </c>
      <c r="U62" s="89">
        <f t="shared" si="17"/>
        <v>2347.1622729823634</v>
      </c>
      <c r="V62" s="67">
        <f t="shared" si="17"/>
        <v>2685.7703866314819</v>
      </c>
      <c r="W62" s="7">
        <f t="shared" si="18"/>
        <v>0.1818444825276829</v>
      </c>
      <c r="X62" s="66">
        <f t="shared" si="19"/>
        <v>365.24449173277918</v>
      </c>
      <c r="Y62" s="89">
        <f t="shared" si="20"/>
        <v>426.81850893897786</v>
      </c>
      <c r="Z62" s="67">
        <f t="shared" si="21"/>
        <v>488.39252614517665</v>
      </c>
      <c r="AA62" s="14"/>
    </row>
    <row r="63" spans="1:27">
      <c r="A63" s="4">
        <f t="shared" si="22"/>
        <v>2069</v>
      </c>
      <c r="B63" s="4">
        <f t="shared" si="11"/>
        <v>50</v>
      </c>
      <c r="C63" s="63">
        <f t="shared" si="12"/>
        <v>0</v>
      </c>
      <c r="D63" s="64"/>
      <c r="E63" s="65">
        <f t="shared" si="13"/>
        <v>0</v>
      </c>
      <c r="F63" s="63">
        <f t="shared" si="14"/>
        <v>1180</v>
      </c>
      <c r="G63" s="64">
        <f t="shared" si="24"/>
        <v>1475</v>
      </c>
      <c r="H63" s="65">
        <f t="shared" si="8"/>
        <v>1770</v>
      </c>
      <c r="I63" s="66">
        <f t="shared" si="15"/>
        <v>1180</v>
      </c>
      <c r="J63" s="89">
        <f t="shared" si="15"/>
        <v>1475</v>
      </c>
      <c r="K63" s="67">
        <f t="shared" si="15"/>
        <v>1770</v>
      </c>
      <c r="L63" s="68">
        <f t="shared" si="25"/>
        <v>55</v>
      </c>
      <c r="M63" s="68">
        <f>$M$14*1.5+'[1]Summary 40MLD'!R53/1000</f>
        <v>762.11589465821487</v>
      </c>
      <c r="N63" s="68">
        <f t="shared" si="31"/>
        <v>45</v>
      </c>
      <c r="O63" s="68">
        <f t="shared" si="31"/>
        <v>18.75</v>
      </c>
      <c r="P63" s="68">
        <f t="shared" si="27"/>
        <v>0</v>
      </c>
      <c r="Q63" s="66">
        <f t="shared" si="16"/>
        <v>836.82259992530408</v>
      </c>
      <c r="R63" s="70">
        <f t="shared" si="9"/>
        <v>880.86589465821487</v>
      </c>
      <c r="S63" s="67">
        <f t="shared" si="10"/>
        <v>924.90918939112566</v>
      </c>
      <c r="T63" s="66">
        <f t="shared" si="23"/>
        <v>2016.8225999253041</v>
      </c>
      <c r="U63" s="89">
        <f t="shared" si="17"/>
        <v>2355.865894658215</v>
      </c>
      <c r="V63" s="67">
        <f t="shared" si="17"/>
        <v>2694.9091893911254</v>
      </c>
      <c r="W63" s="7">
        <f t="shared" si="18"/>
        <v>0.17562727692455368</v>
      </c>
      <c r="X63" s="66">
        <f t="shared" si="19"/>
        <v>354.20906126477973</v>
      </c>
      <c r="Y63" s="89">
        <f t="shared" si="20"/>
        <v>413.75431187824972</v>
      </c>
      <c r="Z63" s="67">
        <f t="shared" si="21"/>
        <v>473.29956249171966</v>
      </c>
      <c r="AA63" s="14" t="s">
        <v>64</v>
      </c>
    </row>
    <row r="64" spans="1:27">
      <c r="A64" s="4">
        <f t="shared" si="22"/>
        <v>2070</v>
      </c>
      <c r="B64" s="4">
        <f t="shared" si="11"/>
        <v>51</v>
      </c>
      <c r="C64" s="63">
        <f t="shared" si="12"/>
        <v>0</v>
      </c>
      <c r="D64" s="64"/>
      <c r="E64" s="65">
        <f t="shared" si="13"/>
        <v>0</v>
      </c>
      <c r="F64" s="63">
        <f t="shared" si="14"/>
        <v>2461.2715954843366</v>
      </c>
      <c r="G64" s="64">
        <f>$AC$9+T6+X6+P6+P8+P4+P5</f>
        <v>3076.5894943554204</v>
      </c>
      <c r="H64" s="65">
        <f t="shared" si="8"/>
        <v>3691.9073932265042</v>
      </c>
      <c r="I64" s="66">
        <f t="shared" si="15"/>
        <v>2461.2715954843366</v>
      </c>
      <c r="J64" s="89">
        <f t="shared" si="15"/>
        <v>3076.5894943554204</v>
      </c>
      <c r="K64" s="67">
        <f t="shared" si="15"/>
        <v>3691.9073932265042</v>
      </c>
      <c r="L64" s="68">
        <f t="shared" si="25"/>
        <v>55</v>
      </c>
      <c r="M64" s="68">
        <f>$M$14*1.5+'[1]Summary 40MLD'!R54/1000</f>
        <v>770.81951633406618</v>
      </c>
      <c r="N64" s="68">
        <f t="shared" ref="N64:O73" si="32">N63</f>
        <v>45</v>
      </c>
      <c r="O64" s="68">
        <f t="shared" si="32"/>
        <v>18.75</v>
      </c>
      <c r="P64" s="68">
        <f t="shared" si="27"/>
        <v>0</v>
      </c>
      <c r="Q64" s="66">
        <f t="shared" si="16"/>
        <v>845.09104051736279</v>
      </c>
      <c r="R64" s="70">
        <f t="shared" si="9"/>
        <v>889.56951633406618</v>
      </c>
      <c r="S64" s="67">
        <f t="shared" si="10"/>
        <v>934.04799215076957</v>
      </c>
      <c r="T64" s="66">
        <f t="shared" si="23"/>
        <v>3306.3626360016992</v>
      </c>
      <c r="U64" s="89">
        <f t="shared" si="17"/>
        <v>3966.1590106894864</v>
      </c>
      <c r="V64" s="67">
        <f t="shared" si="17"/>
        <v>4625.9553853772741</v>
      </c>
      <c r="W64" s="7">
        <f t="shared" si="18"/>
        <v>0.16962263562348243</v>
      </c>
      <c r="X64" s="66">
        <f t="shared" si="19"/>
        <v>560.83394464561309</v>
      </c>
      <c r="Y64" s="89">
        <f t="shared" si="20"/>
        <v>672.75034469497427</v>
      </c>
      <c r="Z64" s="67">
        <f t="shared" si="21"/>
        <v>784.66674474433557</v>
      </c>
      <c r="AA64" s="14"/>
    </row>
    <row r="65" spans="1:27">
      <c r="A65" s="4">
        <f t="shared" si="22"/>
        <v>2071</v>
      </c>
      <c r="B65" s="4">
        <f t="shared" si="11"/>
        <v>52</v>
      </c>
      <c r="C65" s="63">
        <f t="shared" si="12"/>
        <v>0</v>
      </c>
      <c r="D65" s="64"/>
      <c r="E65" s="65">
        <f t="shared" si="13"/>
        <v>0</v>
      </c>
      <c r="F65" s="63">
        <f t="shared" si="14"/>
        <v>1180</v>
      </c>
      <c r="G65" s="64">
        <f t="shared" si="24"/>
        <v>1475</v>
      </c>
      <c r="H65" s="65">
        <f t="shared" si="8"/>
        <v>1770</v>
      </c>
      <c r="I65" s="66">
        <f t="shared" si="15"/>
        <v>1180</v>
      </c>
      <c r="J65" s="89">
        <f t="shared" si="15"/>
        <v>1475</v>
      </c>
      <c r="K65" s="67">
        <f t="shared" si="15"/>
        <v>1770</v>
      </c>
      <c r="L65" s="68">
        <f t="shared" si="25"/>
        <v>55</v>
      </c>
      <c r="M65" s="68">
        <f>$M$14*1.5+'[1]Summary 40MLD'!R55/1000</f>
        <v>779.52313800991749</v>
      </c>
      <c r="N65" s="68">
        <f t="shared" si="32"/>
        <v>45</v>
      </c>
      <c r="O65" s="68">
        <f t="shared" si="32"/>
        <v>18.75</v>
      </c>
      <c r="P65" s="68">
        <f t="shared" si="27"/>
        <v>0</v>
      </c>
      <c r="Q65" s="66">
        <f t="shared" si="16"/>
        <v>853.35948110942161</v>
      </c>
      <c r="R65" s="70">
        <f t="shared" si="9"/>
        <v>898.27313800991749</v>
      </c>
      <c r="S65" s="67">
        <f t="shared" si="10"/>
        <v>943.18679491041337</v>
      </c>
      <c r="T65" s="66">
        <f t="shared" si="23"/>
        <v>2033.3594811094217</v>
      </c>
      <c r="U65" s="89">
        <f t="shared" si="17"/>
        <v>2373.2731380099176</v>
      </c>
      <c r="V65" s="67">
        <f t="shared" si="17"/>
        <v>2713.1867949104135</v>
      </c>
      <c r="W65" s="7">
        <f t="shared" si="18"/>
        <v>0.16382329111790842</v>
      </c>
      <c r="X65" s="66">
        <f t="shared" si="19"/>
        <v>333.11164222114797</v>
      </c>
      <c r="Y65" s="89">
        <f t="shared" si="20"/>
        <v>388.79741619051077</v>
      </c>
      <c r="Z65" s="67">
        <f t="shared" si="21"/>
        <v>444.48319015987352</v>
      </c>
      <c r="AA65" s="14"/>
    </row>
    <row r="66" spans="1:27">
      <c r="A66" s="4">
        <f t="shared" si="22"/>
        <v>2072</v>
      </c>
      <c r="B66" s="4">
        <f t="shared" si="11"/>
        <v>53</v>
      </c>
      <c r="C66" s="63">
        <f t="shared" si="12"/>
        <v>0</v>
      </c>
      <c r="D66" s="64"/>
      <c r="E66" s="65">
        <f t="shared" si="13"/>
        <v>0</v>
      </c>
      <c r="F66" s="63">
        <f t="shared" si="14"/>
        <v>1180</v>
      </c>
      <c r="G66" s="64">
        <f>$AC$9+X8</f>
        <v>1475</v>
      </c>
      <c r="H66" s="65">
        <f t="shared" si="8"/>
        <v>1770</v>
      </c>
      <c r="I66" s="66">
        <f t="shared" si="15"/>
        <v>1180</v>
      </c>
      <c r="J66" s="89">
        <f t="shared" si="15"/>
        <v>1475</v>
      </c>
      <c r="K66" s="67">
        <f t="shared" si="15"/>
        <v>1770</v>
      </c>
      <c r="L66" s="68">
        <f t="shared" si="25"/>
        <v>55</v>
      </c>
      <c r="M66" s="68">
        <f>$M$14*1.5+'[1]Summary 40MLD'!R56/1000</f>
        <v>788.2267596857688</v>
      </c>
      <c r="N66" s="68">
        <f t="shared" si="32"/>
        <v>45</v>
      </c>
      <c r="O66" s="68">
        <f t="shared" si="32"/>
        <v>18.75</v>
      </c>
      <c r="P66" s="68">
        <f t="shared" si="27"/>
        <v>0</v>
      </c>
      <c r="Q66" s="66">
        <f t="shared" si="16"/>
        <v>861.62792170148032</v>
      </c>
      <c r="R66" s="70">
        <f t="shared" si="9"/>
        <v>906.9767596857688</v>
      </c>
      <c r="S66" s="67">
        <f t="shared" si="10"/>
        <v>952.32559767005728</v>
      </c>
      <c r="T66" s="66">
        <f t="shared" si="23"/>
        <v>2041.6279217014803</v>
      </c>
      <c r="U66" s="89">
        <f t="shared" si="17"/>
        <v>2381.9767596857687</v>
      </c>
      <c r="V66" s="67">
        <f t="shared" si="17"/>
        <v>2722.3255976700575</v>
      </c>
      <c r="W66" s="7">
        <f t="shared" si="18"/>
        <v>0.15822222437503228</v>
      </c>
      <c r="X66" s="66">
        <f t="shared" si="19"/>
        <v>323.03091111778247</v>
      </c>
      <c r="Y66" s="89">
        <f t="shared" si="20"/>
        <v>376.88166132711405</v>
      </c>
      <c r="Z66" s="67">
        <f t="shared" si="21"/>
        <v>430.73241153644568</v>
      </c>
      <c r="AA66" s="14"/>
    </row>
    <row r="67" spans="1:27">
      <c r="A67" s="4">
        <f t="shared" si="22"/>
        <v>2073</v>
      </c>
      <c r="B67" s="4">
        <f t="shared" si="11"/>
        <v>54</v>
      </c>
      <c r="C67" s="63">
        <f t="shared" si="12"/>
        <v>0</v>
      </c>
      <c r="D67" s="64"/>
      <c r="E67" s="65">
        <f t="shared" si="13"/>
        <v>0</v>
      </c>
      <c r="F67" s="63">
        <f t="shared" si="14"/>
        <v>1180</v>
      </c>
      <c r="G67" s="64">
        <f t="shared" si="24"/>
        <v>1475</v>
      </c>
      <c r="H67" s="65">
        <f t="shared" si="8"/>
        <v>1770</v>
      </c>
      <c r="I67" s="66">
        <f t="shared" si="15"/>
        <v>1180</v>
      </c>
      <c r="J67" s="89">
        <f t="shared" si="15"/>
        <v>1475</v>
      </c>
      <c r="K67" s="67">
        <f t="shared" si="15"/>
        <v>1770</v>
      </c>
      <c r="L67" s="68">
        <f t="shared" si="25"/>
        <v>55</v>
      </c>
      <c r="M67" s="68">
        <f>$M$14*1.5+'[1]Summary 40MLD'!R57/1000</f>
        <v>796.93038136161999</v>
      </c>
      <c r="N67" s="68">
        <f t="shared" si="32"/>
        <v>45</v>
      </c>
      <c r="O67" s="68">
        <f t="shared" si="32"/>
        <v>18.75</v>
      </c>
      <c r="P67" s="68">
        <f t="shared" si="27"/>
        <v>0</v>
      </c>
      <c r="Q67" s="66">
        <f t="shared" si="16"/>
        <v>869.89636229353891</v>
      </c>
      <c r="R67" s="70">
        <f t="shared" si="9"/>
        <v>915.68038136161999</v>
      </c>
      <c r="S67" s="67">
        <f t="shared" si="10"/>
        <v>961.46440042970107</v>
      </c>
      <c r="T67" s="66">
        <f t="shared" si="23"/>
        <v>2049.8963622935389</v>
      </c>
      <c r="U67" s="89">
        <f t="shared" si="17"/>
        <v>2390.6803813616198</v>
      </c>
      <c r="V67" s="67">
        <f t="shared" si="17"/>
        <v>2731.4644004297011</v>
      </c>
      <c r="W67" s="7">
        <f t="shared" si="18"/>
        <v>0.15281265634057586</v>
      </c>
      <c r="X67" s="66">
        <f t="shared" si="19"/>
        <v>313.25010834495913</v>
      </c>
      <c r="Y67" s="89">
        <f t="shared" si="20"/>
        <v>365.32621953717006</v>
      </c>
      <c r="Z67" s="67">
        <f t="shared" si="21"/>
        <v>417.40233072938099</v>
      </c>
      <c r="AA67" s="14"/>
    </row>
    <row r="68" spans="1:27">
      <c r="A68" s="4">
        <f t="shared" si="22"/>
        <v>2074</v>
      </c>
      <c r="B68" s="4">
        <f t="shared" si="11"/>
        <v>55</v>
      </c>
      <c r="C68" s="63">
        <f t="shared" si="12"/>
        <v>0</v>
      </c>
      <c r="D68" s="64"/>
      <c r="E68" s="65">
        <f t="shared" si="13"/>
        <v>0</v>
      </c>
      <c r="F68" s="63">
        <f t="shared" si="14"/>
        <v>10892.644359359027</v>
      </c>
      <c r="G68" s="64">
        <f>$AC$9+$T$4+$T$5+$X$4+$X$5+$P$8+$P$6</f>
        <v>13615.805449198782</v>
      </c>
      <c r="H68" s="65">
        <f t="shared" si="8"/>
        <v>16338.966539038538</v>
      </c>
      <c r="I68" s="66">
        <f t="shared" si="15"/>
        <v>10892.644359359027</v>
      </c>
      <c r="J68" s="89">
        <f t="shared" si="15"/>
        <v>13615.805449198782</v>
      </c>
      <c r="K68" s="67">
        <f t="shared" si="15"/>
        <v>16338.966539038538</v>
      </c>
      <c r="L68" s="68">
        <f t="shared" si="25"/>
        <v>55</v>
      </c>
      <c r="M68" s="68">
        <f>$M$14*1.5+'[1]Summary 40MLD'!R58/1000</f>
        <v>805.6340030374713</v>
      </c>
      <c r="N68" s="68">
        <f t="shared" si="32"/>
        <v>45</v>
      </c>
      <c r="O68" s="68">
        <f t="shared" si="32"/>
        <v>18.75</v>
      </c>
      <c r="P68" s="68">
        <f t="shared" si="27"/>
        <v>0</v>
      </c>
      <c r="Q68" s="66">
        <f t="shared" si="16"/>
        <v>878.16480288559774</v>
      </c>
      <c r="R68" s="70">
        <f t="shared" si="9"/>
        <v>924.3840030374713</v>
      </c>
      <c r="S68" s="67">
        <f t="shared" si="10"/>
        <v>970.60320318934487</v>
      </c>
      <c r="T68" s="66">
        <f t="shared" si="23"/>
        <v>11770.809162244625</v>
      </c>
      <c r="U68" s="89">
        <f t="shared" si="17"/>
        <v>14540.189452236253</v>
      </c>
      <c r="V68" s="67">
        <f t="shared" si="17"/>
        <v>17309.569742227883</v>
      </c>
      <c r="W68" s="7">
        <f t="shared" si="18"/>
        <v>0.14758803973399254</v>
      </c>
      <c r="X68" s="66">
        <f t="shared" si="19"/>
        <v>1737.230650338603</v>
      </c>
      <c r="Y68" s="89">
        <f t="shared" si="20"/>
        <v>2145.9580586164234</v>
      </c>
      <c r="Z68" s="67">
        <f t="shared" si="21"/>
        <v>2554.6854668942437</v>
      </c>
      <c r="AA68" s="14"/>
    </row>
    <row r="69" spans="1:27">
      <c r="A69" s="4">
        <f t="shared" si="22"/>
        <v>2075</v>
      </c>
      <c r="B69" s="4">
        <f t="shared" si="11"/>
        <v>56</v>
      </c>
      <c r="C69" s="63">
        <f t="shared" si="12"/>
        <v>0</v>
      </c>
      <c r="D69" s="64"/>
      <c r="E69" s="65">
        <f t="shared" si="13"/>
        <v>0</v>
      </c>
      <c r="F69" s="63">
        <f t="shared" si="14"/>
        <v>1180</v>
      </c>
      <c r="G69" s="64">
        <f>$AC$9+P8</f>
        <v>1475</v>
      </c>
      <c r="H69" s="65">
        <f t="shared" si="8"/>
        <v>1770</v>
      </c>
      <c r="I69" s="66">
        <f t="shared" si="15"/>
        <v>1180</v>
      </c>
      <c r="J69" s="89">
        <f t="shared" si="15"/>
        <v>1475</v>
      </c>
      <c r="K69" s="67">
        <f t="shared" si="15"/>
        <v>1770</v>
      </c>
      <c r="L69" s="68">
        <f t="shared" si="25"/>
        <v>55</v>
      </c>
      <c r="M69" s="68">
        <f>$M$14*1.5+'[1]Summary 40MLD'!R59/1000</f>
        <v>814.33762471332261</v>
      </c>
      <c r="N69" s="68">
        <f t="shared" si="32"/>
        <v>45</v>
      </c>
      <c r="O69" s="68">
        <f t="shared" si="32"/>
        <v>18.75</v>
      </c>
      <c r="P69" s="68">
        <f t="shared" si="27"/>
        <v>0</v>
      </c>
      <c r="Q69" s="66">
        <f t="shared" si="16"/>
        <v>886.43324347765645</v>
      </c>
      <c r="R69" s="70">
        <f t="shared" si="9"/>
        <v>933.08762471332261</v>
      </c>
      <c r="S69" s="67">
        <f t="shared" si="10"/>
        <v>979.74200594898878</v>
      </c>
      <c r="T69" s="66">
        <f t="shared" si="23"/>
        <v>2066.4332434776566</v>
      </c>
      <c r="U69" s="89">
        <f t="shared" si="17"/>
        <v>2408.0876247133228</v>
      </c>
      <c r="V69" s="67">
        <f t="shared" si="17"/>
        <v>2749.7420059489887</v>
      </c>
      <c r="W69" s="7">
        <f t="shared" si="18"/>
        <v>0.14254205112419596</v>
      </c>
      <c r="X69" s="66">
        <f t="shared" si="19"/>
        <v>294.55363303653019</v>
      </c>
      <c r="Y69" s="89">
        <f t="shared" si="20"/>
        <v>343.25374931343009</v>
      </c>
      <c r="Z69" s="67">
        <f t="shared" si="21"/>
        <v>391.95386559032988</v>
      </c>
      <c r="AA69" s="14"/>
    </row>
    <row r="70" spans="1:27">
      <c r="A70" s="4">
        <f t="shared" si="22"/>
        <v>2076</v>
      </c>
      <c r="B70" s="4">
        <f t="shared" si="11"/>
        <v>57</v>
      </c>
      <c r="C70" s="63">
        <f t="shared" si="12"/>
        <v>0</v>
      </c>
      <c r="D70" s="64"/>
      <c r="E70" s="65">
        <f t="shared" si="13"/>
        <v>0</v>
      </c>
      <c r="F70" s="63">
        <f t="shared" si="14"/>
        <v>1180</v>
      </c>
      <c r="G70" s="64">
        <f>$AC$9+X8</f>
        <v>1475</v>
      </c>
      <c r="H70" s="65">
        <f t="shared" si="8"/>
        <v>1770</v>
      </c>
      <c r="I70" s="66">
        <f t="shared" si="15"/>
        <v>1180</v>
      </c>
      <c r="J70" s="89">
        <f t="shared" si="15"/>
        <v>1475</v>
      </c>
      <c r="K70" s="67">
        <f t="shared" si="15"/>
        <v>1770</v>
      </c>
      <c r="L70" s="68">
        <f t="shared" si="25"/>
        <v>55</v>
      </c>
      <c r="M70" s="68">
        <f>$M$14*1.5+'[1]Summary 40MLD'!R60/1000</f>
        <v>823.04124638917392</v>
      </c>
      <c r="N70" s="68">
        <f t="shared" si="32"/>
        <v>45</v>
      </c>
      <c r="O70" s="68">
        <f t="shared" si="32"/>
        <v>18.75</v>
      </c>
      <c r="P70" s="68">
        <f t="shared" si="27"/>
        <v>0</v>
      </c>
      <c r="Q70" s="66">
        <f t="shared" si="16"/>
        <v>894.70168406971516</v>
      </c>
      <c r="R70" s="70">
        <f t="shared" si="9"/>
        <v>941.79124638917392</v>
      </c>
      <c r="S70" s="67">
        <f t="shared" si="10"/>
        <v>988.88080870863269</v>
      </c>
      <c r="T70" s="66">
        <f t="shared" si="23"/>
        <v>2074.7016840697152</v>
      </c>
      <c r="U70" s="89">
        <f t="shared" si="17"/>
        <v>2416.7912463891739</v>
      </c>
      <c r="V70" s="67">
        <f t="shared" si="17"/>
        <v>2758.8808087086327</v>
      </c>
      <c r="W70" s="7">
        <f t="shared" si="18"/>
        <v>0.13766858327621784</v>
      </c>
      <c r="X70" s="66">
        <f t="shared" si="19"/>
        <v>285.62124156666096</v>
      </c>
      <c r="Y70" s="89">
        <f t="shared" si="20"/>
        <v>332.71622696476231</v>
      </c>
      <c r="Z70" s="67">
        <f t="shared" si="21"/>
        <v>379.81121236286361</v>
      </c>
      <c r="AA70" s="14"/>
    </row>
    <row r="71" spans="1:27">
      <c r="A71" s="4">
        <f t="shared" si="22"/>
        <v>2077</v>
      </c>
      <c r="B71" s="4">
        <f t="shared" si="11"/>
        <v>58</v>
      </c>
      <c r="C71" s="63">
        <f t="shared" si="12"/>
        <v>0</v>
      </c>
      <c r="D71" s="64"/>
      <c r="E71" s="65">
        <f t="shared" si="13"/>
        <v>0</v>
      </c>
      <c r="F71" s="63">
        <f t="shared" si="14"/>
        <v>1180</v>
      </c>
      <c r="G71" s="64">
        <f t="shared" si="24"/>
        <v>1475</v>
      </c>
      <c r="H71" s="65">
        <f t="shared" si="8"/>
        <v>1770</v>
      </c>
      <c r="I71" s="66">
        <f t="shared" si="15"/>
        <v>1180</v>
      </c>
      <c r="J71" s="89">
        <f t="shared" si="15"/>
        <v>1475</v>
      </c>
      <c r="K71" s="67">
        <f t="shared" si="15"/>
        <v>1770</v>
      </c>
      <c r="L71" s="68">
        <f t="shared" si="25"/>
        <v>55</v>
      </c>
      <c r="M71" s="68">
        <f>$M$14*1.5+'[1]Summary 40MLD'!R61/1000</f>
        <v>831.74486806502523</v>
      </c>
      <c r="N71" s="68">
        <f t="shared" si="32"/>
        <v>45</v>
      </c>
      <c r="O71" s="68">
        <f t="shared" si="32"/>
        <v>18.75</v>
      </c>
      <c r="P71" s="68">
        <f t="shared" si="27"/>
        <v>0</v>
      </c>
      <c r="Q71" s="66">
        <f t="shared" si="16"/>
        <v>902.97012466177398</v>
      </c>
      <c r="R71" s="70">
        <f t="shared" si="9"/>
        <v>950.49486806502523</v>
      </c>
      <c r="S71" s="67">
        <f t="shared" si="10"/>
        <v>998.01961146827648</v>
      </c>
      <c r="T71" s="66">
        <f t="shared" si="23"/>
        <v>2082.9701246617742</v>
      </c>
      <c r="U71" s="89">
        <f t="shared" si="17"/>
        <v>2425.494868065025</v>
      </c>
      <c r="V71" s="67">
        <f t="shared" si="17"/>
        <v>2768.0196114682767</v>
      </c>
      <c r="W71" s="7">
        <f t="shared" si="18"/>
        <v>0.13296173775953046</v>
      </c>
      <c r="X71" s="66">
        <f t="shared" si="19"/>
        <v>276.9553274762153</v>
      </c>
      <c r="Y71" s="89">
        <f t="shared" si="20"/>
        <v>322.49801258474878</v>
      </c>
      <c r="Z71" s="67">
        <f t="shared" si="21"/>
        <v>368.04069769328243</v>
      </c>
      <c r="AA71" s="14"/>
    </row>
    <row r="72" spans="1:27">
      <c r="A72" s="4">
        <f t="shared" si="22"/>
        <v>2078</v>
      </c>
      <c r="B72" s="4">
        <f t="shared" si="11"/>
        <v>59</v>
      </c>
      <c r="C72" s="63">
        <f t="shared" si="12"/>
        <v>0</v>
      </c>
      <c r="D72" s="64"/>
      <c r="E72" s="65">
        <f t="shared" si="13"/>
        <v>0</v>
      </c>
      <c r="F72" s="63">
        <f t="shared" si="14"/>
        <v>1180</v>
      </c>
      <c r="G72" s="64">
        <f t="shared" si="24"/>
        <v>1475</v>
      </c>
      <c r="H72" s="65">
        <f t="shared" si="8"/>
        <v>1770</v>
      </c>
      <c r="I72" s="66">
        <f t="shared" si="15"/>
        <v>1180</v>
      </c>
      <c r="J72" s="89">
        <f t="shared" si="15"/>
        <v>1475</v>
      </c>
      <c r="K72" s="67">
        <f t="shared" si="15"/>
        <v>1770</v>
      </c>
      <c r="L72" s="68">
        <f t="shared" si="25"/>
        <v>55</v>
      </c>
      <c r="M72" s="68">
        <f>$M$14*1.5+'[1]Summary 40MLD'!R62/1000</f>
        <v>840.44848974087643</v>
      </c>
      <c r="N72" s="68">
        <f t="shared" si="32"/>
        <v>45</v>
      </c>
      <c r="O72" s="68">
        <f t="shared" si="32"/>
        <v>18.75</v>
      </c>
      <c r="P72" s="68">
        <f t="shared" si="27"/>
        <v>0</v>
      </c>
      <c r="Q72" s="66">
        <f t="shared" si="16"/>
        <v>911.23856525383258</v>
      </c>
      <c r="R72" s="70">
        <f t="shared" si="9"/>
        <v>959.19848974087643</v>
      </c>
      <c r="S72" s="67">
        <f t="shared" si="10"/>
        <v>1007.1584142279203</v>
      </c>
      <c r="T72" s="66">
        <f t="shared" si="23"/>
        <v>2091.2385652538323</v>
      </c>
      <c r="U72" s="89">
        <f t="shared" si="17"/>
        <v>2434.1984897408765</v>
      </c>
      <c r="V72" s="67">
        <f t="shared" si="17"/>
        <v>2777.1584142279203</v>
      </c>
      <c r="W72" s="7">
        <f t="shared" si="18"/>
        <v>0.12841581780908873</v>
      </c>
      <c r="X72" s="66">
        <f t="shared" si="19"/>
        <v>268.54811059097625</v>
      </c>
      <c r="Y72" s="89">
        <f t="shared" si="20"/>
        <v>312.58958976972332</v>
      </c>
      <c r="Z72" s="67">
        <f t="shared" si="21"/>
        <v>356.63106894847039</v>
      </c>
      <c r="AA72" s="90" t="s">
        <v>65</v>
      </c>
    </row>
    <row r="73" spans="1:27">
      <c r="A73" s="26">
        <f t="shared" si="22"/>
        <v>2079</v>
      </c>
      <c r="B73" s="26">
        <f t="shared" si="11"/>
        <v>60</v>
      </c>
      <c r="C73" s="63">
        <f t="shared" si="12"/>
        <v>0</v>
      </c>
      <c r="D73" s="72"/>
      <c r="E73" s="65">
        <f t="shared" si="13"/>
        <v>0</v>
      </c>
      <c r="F73" s="63">
        <f t="shared" si="14"/>
        <v>1180</v>
      </c>
      <c r="G73" s="64">
        <f t="shared" si="24"/>
        <v>1475</v>
      </c>
      <c r="H73" s="65">
        <f t="shared" si="8"/>
        <v>1770</v>
      </c>
      <c r="I73" s="73">
        <f t="shared" si="15"/>
        <v>1180</v>
      </c>
      <c r="J73" s="91">
        <f t="shared" si="15"/>
        <v>1475</v>
      </c>
      <c r="K73" s="74">
        <f t="shared" si="15"/>
        <v>1770</v>
      </c>
      <c r="L73" s="68">
        <f t="shared" si="25"/>
        <v>55</v>
      </c>
      <c r="M73" s="68">
        <f>$M$14*1.5+'[1]Summary 40MLD'!R63/1000</f>
        <v>849.15211141672773</v>
      </c>
      <c r="N73" s="68">
        <f t="shared" si="32"/>
        <v>45</v>
      </c>
      <c r="O73" s="68">
        <f t="shared" si="32"/>
        <v>18.75</v>
      </c>
      <c r="P73" s="68">
        <f t="shared" si="27"/>
        <v>0</v>
      </c>
      <c r="Q73" s="66">
        <f t="shared" si="16"/>
        <v>919.50700584589129</v>
      </c>
      <c r="R73" s="70">
        <f t="shared" si="9"/>
        <v>967.90211141672773</v>
      </c>
      <c r="S73" s="67">
        <f t="shared" si="10"/>
        <v>1016.2972169875642</v>
      </c>
      <c r="T73" s="66">
        <f t="shared" si="23"/>
        <v>2099.5070058458914</v>
      </c>
      <c r="U73" s="89">
        <f t="shared" si="17"/>
        <v>2442.9021114167276</v>
      </c>
      <c r="V73" s="67">
        <f t="shared" si="17"/>
        <v>2786.2972169875643</v>
      </c>
      <c r="W73" s="7">
        <f t="shared" si="18"/>
        <v>0.12402532143045074</v>
      </c>
      <c r="X73" s="73">
        <f t="shared" si="19"/>
        <v>260.39203124551989</v>
      </c>
      <c r="Y73" s="91">
        <f t="shared" si="20"/>
        <v>302.9817195915864</v>
      </c>
      <c r="Z73" s="74">
        <f t="shared" si="21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3">SUM(C13:C73)</f>
        <v>46856.684830662605</v>
      </c>
      <c r="D74" s="75">
        <f t="shared" si="33"/>
        <v>53729.649811847339</v>
      </c>
      <c r="E74" s="93">
        <f t="shared" si="33"/>
        <v>62602.614793032073</v>
      </c>
      <c r="F74" s="92">
        <f t="shared" si="33"/>
        <v>95418.375100655379</v>
      </c>
      <c r="G74" s="75">
        <f t="shared" si="33"/>
        <v>119272.96887581924</v>
      </c>
      <c r="H74" s="76">
        <f t="shared" si="33"/>
        <v>143127.56265098308</v>
      </c>
      <c r="I74" s="77">
        <f t="shared" si="33"/>
        <v>142275.05993131798</v>
      </c>
      <c r="J74" s="78">
        <f t="shared" si="33"/>
        <v>173002.6186876666</v>
      </c>
      <c r="K74" s="79">
        <f t="shared" si="33"/>
        <v>205730.17744401519</v>
      </c>
      <c r="L74" s="80">
        <f t="shared" si="33"/>
        <v>3325</v>
      </c>
      <c r="M74" s="80">
        <f t="shared" si="33"/>
        <v>33018.067213804177</v>
      </c>
      <c r="N74" s="80">
        <f t="shared" si="33"/>
        <v>2090</v>
      </c>
      <c r="O74" s="80">
        <f t="shared" si="33"/>
        <v>881.25</v>
      </c>
      <c r="P74" s="80">
        <f t="shared" si="33"/>
        <v>0</v>
      </c>
      <c r="Q74" s="77">
        <f t="shared" si="33"/>
        <v>37348.601353113976</v>
      </c>
      <c r="R74" s="78">
        <f t="shared" si="33"/>
        <v>39314.31721380417</v>
      </c>
      <c r="S74" s="79">
        <f t="shared" si="33"/>
        <v>41280.033074494386</v>
      </c>
      <c r="T74" s="77">
        <f>SUM(T13:T73)</f>
        <v>179623.66128443193</v>
      </c>
      <c r="U74" s="78">
        <f>SUM(U13:U73)</f>
        <v>212316.93590147074</v>
      </c>
      <c r="V74" s="79">
        <f>SUM(V13:V73)</f>
        <v>247010.21051850959</v>
      </c>
      <c r="W74" s="81"/>
      <c r="X74" s="77">
        <f>SUM(X13:X73)</f>
        <v>81186.884801616368</v>
      </c>
      <c r="Y74" s="78">
        <f t="shared" ref="Y74:Z74" si="34">SUM(Y13:Y73)</f>
        <v>94835.812060460754</v>
      </c>
      <c r="Z74" s="79">
        <f t="shared" si="34"/>
        <v>108902.72631141542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A1:AC1"/>
    <mergeCell ref="A1:B1"/>
    <mergeCell ref="C1:K1"/>
    <mergeCell ref="O1:Q1"/>
    <mergeCell ref="S1:U1"/>
    <mergeCell ref="W1:Y1"/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5" zoomScaleNormal="80" workbookViewId="0">
      <pane xSplit="2" ySplit="12" topLeftCell="S13" activePane="bottomRight" state="frozen"/>
      <selection pane="topRight" activeCell="O65" sqref="O65"/>
      <selection pane="bottomLeft" activeCell="O65" sqref="O65"/>
      <selection pane="bottomRight" activeCell="AB3" sqref="AB3:AB8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209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10846.254868293137</v>
      </c>
      <c r="U3" s="97">
        <v>0</v>
      </c>
      <c r="W3" s="105">
        <v>0.61</v>
      </c>
      <c r="X3" s="97">
        <f t="shared" ref="X3:X8" si="0">W3*$X$9</f>
        <v>12770.35</v>
      </c>
      <c r="Y3" s="97">
        <v>0</v>
      </c>
      <c r="AA3" s="105">
        <f>'Base Costs'!Q3</f>
        <v>0.6</v>
      </c>
      <c r="AB3" s="97">
        <f>$AB$9*AA3</f>
        <v>36000</v>
      </c>
      <c r="AC3" s="97">
        <f>(AB3/N3)*25%</f>
        <v>150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98230.203539333015</v>
      </c>
      <c r="E4" s="57">
        <f>Y74</f>
        <v>114728.93650294923</v>
      </c>
      <c r="F4" s="58">
        <f>Z74</f>
        <v>131227.66946656545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0.24</v>
      </c>
      <c r="X4" s="97">
        <f t="shared" si="0"/>
        <v>5024.3999999999996</v>
      </c>
      <c r="Y4" s="97">
        <f>(X4/N4)</f>
        <v>200.976</v>
      </c>
      <c r="AA4" s="105">
        <f>'Base Costs'!Q4</f>
        <v>0.15</v>
      </c>
      <c r="AB4" s="97">
        <f t="shared" ref="AB4:AB8" si="1">$AB$9*AA4</f>
        <v>9000</v>
      </c>
      <c r="AC4" s="97">
        <f>(AB4/N4)</f>
        <v>360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2014.3044755401543</v>
      </c>
      <c r="U5" s="97">
        <f t="shared" ref="U5:U8" si="2">(T5/N5)</f>
        <v>80.572179021606175</v>
      </c>
      <c r="W5" s="105">
        <v>7.0000000000000007E-2</v>
      </c>
      <c r="X5" s="97">
        <f t="shared" si="0"/>
        <v>1465.45</v>
      </c>
      <c r="Y5" s="97">
        <f>(X5/N5)</f>
        <v>58.618000000000002</v>
      </c>
      <c r="AA5" s="105">
        <f>'Base Costs'!Q5</f>
        <v>0.15</v>
      </c>
      <c r="AB5" s="97">
        <f t="shared" si="1"/>
        <v>9000</v>
      </c>
      <c r="AC5" s="97">
        <f t="shared" ref="AC5:AC8" si="3">(AB5/N5)</f>
        <v>360</v>
      </c>
    </row>
    <row r="6" spans="1:38" ht="12.75" customHeight="1">
      <c r="A6" s="181" t="s">
        <v>92</v>
      </c>
      <c r="B6" s="182"/>
      <c r="I6" s="30">
        <f>SUM(I13:I17)</f>
        <v>47282.684830662605</v>
      </c>
      <c r="J6" s="84">
        <f t="shared" ref="J6:K6" si="4">SUM(J13:J17)</f>
        <v>53299.649811847339</v>
      </c>
      <c r="K6" s="31">
        <f t="shared" si="4"/>
        <v>59316.614793032073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464.83949435542013</v>
      </c>
      <c r="U6" s="97">
        <f t="shared" si="2"/>
        <v>46.483949435542016</v>
      </c>
      <c r="W6" s="105">
        <v>0.04</v>
      </c>
      <c r="X6" s="97">
        <f t="shared" si="0"/>
        <v>837.4</v>
      </c>
      <c r="Y6" s="97">
        <f>(X6/N6)</f>
        <v>83.74</v>
      </c>
      <c r="AA6" s="105">
        <f>'Base Costs'!Q6</f>
        <v>0.05</v>
      </c>
      <c r="AB6" s="97">
        <f t="shared" si="1"/>
        <v>3000</v>
      </c>
      <c r="AC6" s="97">
        <f t="shared" si="3"/>
        <v>300</v>
      </c>
    </row>
    <row r="7" spans="1:38" ht="18.75" customHeight="1">
      <c r="A7" s="181" t="s">
        <v>93</v>
      </c>
      <c r="B7" s="182"/>
      <c r="C7" s="59">
        <f>SUM(C13:C73)</f>
        <v>53786.684830662605</v>
      </c>
      <c r="D7" s="60">
        <f t="shared" ref="D7:E7" si="5">SUM(D13:D73)</f>
        <v>62429.649811847339</v>
      </c>
      <c r="E7" s="61">
        <f t="shared" si="5"/>
        <v>71072.614793032073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2"/>
        <v>0</v>
      </c>
      <c r="W7" s="105">
        <v>0.04</v>
      </c>
      <c r="X7" s="97">
        <f t="shared" si="0"/>
        <v>837.4</v>
      </c>
      <c r="Y7" s="97">
        <f>(X7/N7)</f>
        <v>8.3739999999999995E-2</v>
      </c>
      <c r="AA7" s="105">
        <f>'Base Costs'!Q7</f>
        <v>0</v>
      </c>
      <c r="AB7" s="97">
        <f t="shared" si="1"/>
        <v>0</v>
      </c>
      <c r="AC7" s="97">
        <f t="shared" si="3"/>
        <v>0</v>
      </c>
    </row>
    <row r="8" spans="1:38" ht="26.25" customHeight="1">
      <c r="A8" s="181" t="s">
        <v>94</v>
      </c>
      <c r="B8" s="182"/>
      <c r="F8" s="59">
        <f>SUM(F13:F73)</f>
        <v>107078.40669613973</v>
      </c>
      <c r="G8" s="59">
        <f t="shared" ref="G8:H8" si="6">SUM(G13:G73)</f>
        <v>133848.00837017468</v>
      </c>
      <c r="H8" s="59">
        <f t="shared" si="6"/>
        <v>160617.61004420958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2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 t="shared" si="1"/>
        <v>3000</v>
      </c>
      <c r="AC8" s="97">
        <f t="shared" si="3"/>
        <v>600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f>22735-1800</f>
        <v>20935</v>
      </c>
      <c r="Y9" s="98">
        <f>SUM(Y3:Y8)</f>
        <v>343.41773999999998</v>
      </c>
      <c r="Z9" s="1"/>
      <c r="AA9" s="105">
        <f>'Base Costs'!Q9</f>
        <v>1</v>
      </c>
      <c r="AB9" s="97">
        <v>60000</v>
      </c>
      <c r="AC9" s="98">
        <f>SUM(AC3:AC8)</f>
        <v>1770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16393.342415331303</v>
      </c>
      <c r="D13" s="27">
        <f>(T9+X9)/2</f>
        <v>18214.82490592367</v>
      </c>
      <c r="E13" s="65">
        <f>D13*(1+$E$11)</f>
        <v>20036.307396516037</v>
      </c>
      <c r="F13" s="63">
        <f>G13*(1+$F$11)</f>
        <v>624</v>
      </c>
      <c r="G13" s="64">
        <v>780</v>
      </c>
      <c r="H13" s="65">
        <f t="shared" ref="H13:H73" si="7">G13*(1+$H$11)</f>
        <v>936</v>
      </c>
      <c r="I13" s="66">
        <f>F13+C13</f>
        <v>17017.342415331303</v>
      </c>
      <c r="J13" s="89">
        <f>G13+D13</f>
        <v>18994.82490592367</v>
      </c>
      <c r="K13" s="67">
        <f>H13+E13</f>
        <v>20972.307396516037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8">SUM(L13:P13)</f>
        <v>145</v>
      </c>
      <c r="S13" s="67">
        <f t="shared" ref="S13:S73" si="9">R13*(1+$S$11)</f>
        <v>152.25</v>
      </c>
      <c r="T13" s="66">
        <f>Q13+I13</f>
        <v>17155.092415331303</v>
      </c>
      <c r="U13" s="89">
        <f>R13+J13</f>
        <v>19139.82490592367</v>
      </c>
      <c r="V13" s="67">
        <f>S13+K13</f>
        <v>21124.557396516037</v>
      </c>
      <c r="W13" s="5">
        <v>1</v>
      </c>
      <c r="X13" s="69">
        <f>W13*T13</f>
        <v>17155.092415331303</v>
      </c>
      <c r="Y13" s="89">
        <f>W13*U13</f>
        <v>19139.82490592367</v>
      </c>
      <c r="Z13" s="67">
        <f>W13*V13</f>
        <v>21124.557396516037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10">(B13+1)</f>
        <v>1</v>
      </c>
      <c r="C14" s="63">
        <f t="shared" ref="C14:C73" si="11">D14*(1+$C$11)</f>
        <v>16393.342415331303</v>
      </c>
      <c r="D14" s="27">
        <f>D13</f>
        <v>18214.82490592367</v>
      </c>
      <c r="E14" s="65">
        <f t="shared" ref="E14:E73" si="12">D14*(1+$E$11)</f>
        <v>20036.307396516037</v>
      </c>
      <c r="F14" s="63">
        <f t="shared" ref="F14:F73" si="13">G14*(1+$F$11)</f>
        <v>624</v>
      </c>
      <c r="G14" s="64">
        <v>780</v>
      </c>
      <c r="H14" s="65">
        <f t="shared" si="7"/>
        <v>936</v>
      </c>
      <c r="I14" s="66">
        <f t="shared" ref="I14:K73" si="14">F14+C14</f>
        <v>17017.342415331303</v>
      </c>
      <c r="J14" s="89">
        <f t="shared" si="14"/>
        <v>18994.82490592367</v>
      </c>
      <c r="K14" s="67">
        <f t="shared" si="14"/>
        <v>20972.307396516037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5">R14*(1+$Q$11)</f>
        <v>137.75</v>
      </c>
      <c r="R14" s="70">
        <f t="shared" si="8"/>
        <v>145</v>
      </c>
      <c r="S14" s="67">
        <f t="shared" si="9"/>
        <v>152.25</v>
      </c>
      <c r="T14" s="66">
        <f>Q14+I14</f>
        <v>17155.092415331303</v>
      </c>
      <c r="U14" s="89">
        <f t="shared" ref="U14:V73" si="16">R14+J14</f>
        <v>19139.82490592367</v>
      </c>
      <c r="V14" s="67">
        <f t="shared" si="16"/>
        <v>21124.557396516037</v>
      </c>
      <c r="W14" s="6">
        <f t="shared" ref="W14:W73" si="17">(1/(1+$C$3))^B14</f>
        <v>0.96581031485416258</v>
      </c>
      <c r="X14" s="66">
        <f t="shared" ref="X14:X73" si="18">W14*T14</f>
        <v>16568.565207003383</v>
      </c>
      <c r="Y14" s="89">
        <f t="shared" ref="Y14:Y73" si="19">W14*U14</f>
        <v>18485.440318643683</v>
      </c>
      <c r="Z14" s="67">
        <f t="shared" ref="Z14:Z73" si="20">W14*V14</f>
        <v>20402.315430283983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1">A14+1</f>
        <v>2021</v>
      </c>
      <c r="B15" s="4">
        <f t="shared" si="10"/>
        <v>2</v>
      </c>
      <c r="C15" s="63">
        <f t="shared" si="11"/>
        <v>9000</v>
      </c>
      <c r="D15" s="64">
        <v>10000</v>
      </c>
      <c r="E15" s="65">
        <f t="shared" si="12"/>
        <v>11000</v>
      </c>
      <c r="F15" s="63">
        <f t="shared" si="13"/>
        <v>1416</v>
      </c>
      <c r="G15" s="64">
        <f>$AC$9</f>
        <v>1770</v>
      </c>
      <c r="H15" s="65">
        <f t="shared" si="7"/>
        <v>2124</v>
      </c>
      <c r="I15" s="66">
        <f t="shared" si="14"/>
        <v>10416</v>
      </c>
      <c r="J15" s="89">
        <f t="shared" si="14"/>
        <v>11770</v>
      </c>
      <c r="K15" s="67">
        <f t="shared" si="14"/>
        <v>13124</v>
      </c>
      <c r="L15" s="68">
        <v>55</v>
      </c>
      <c r="M15" s="68">
        <f>'Option 2a'!M15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5"/>
        <v>354.28812267999268</v>
      </c>
      <c r="R15" s="70">
        <f t="shared" si="8"/>
        <v>372.93486597893968</v>
      </c>
      <c r="S15" s="67">
        <f t="shared" si="9"/>
        <v>391.58160927788668</v>
      </c>
      <c r="T15" s="66">
        <f t="shared" ref="T15:T73" si="22">Q15+I15</f>
        <v>10770.288122679993</v>
      </c>
      <c r="U15" s="89">
        <f t="shared" si="16"/>
        <v>12142.934865978939</v>
      </c>
      <c r="V15" s="67">
        <f t="shared" si="16"/>
        <v>13515.581609277886</v>
      </c>
      <c r="W15" s="6">
        <f t="shared" si="17"/>
        <v>0.93278956427869664</v>
      </c>
      <c r="X15" s="66">
        <f t="shared" si="18"/>
        <v>10046.412365110693</v>
      </c>
      <c r="Y15" s="89">
        <f t="shared" si="19"/>
        <v>11326.802922701088</v>
      </c>
      <c r="Z15" s="67">
        <f t="shared" si="20"/>
        <v>12607.193480291484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1"/>
        <v>2022</v>
      </c>
      <c r="B16" s="4">
        <f t="shared" si="10"/>
        <v>3</v>
      </c>
      <c r="C16" s="63">
        <f t="shared" si="11"/>
        <v>0</v>
      </c>
      <c r="D16" s="64"/>
      <c r="E16" s="65">
        <f t="shared" si="12"/>
        <v>0</v>
      </c>
      <c r="F16" s="63">
        <f t="shared" si="13"/>
        <v>1416</v>
      </c>
      <c r="G16" s="64">
        <f t="shared" ref="G16:G73" si="23">$AC$9</f>
        <v>1770</v>
      </c>
      <c r="H16" s="65">
        <f t="shared" si="7"/>
        <v>2124</v>
      </c>
      <c r="I16" s="66">
        <f t="shared" si="14"/>
        <v>1416</v>
      </c>
      <c r="J16" s="89">
        <f t="shared" si="14"/>
        <v>1770</v>
      </c>
      <c r="K16" s="67">
        <f t="shared" si="14"/>
        <v>2124</v>
      </c>
      <c r="L16" s="68">
        <f t="shared" ref="L16:O31" si="24">L15</f>
        <v>55</v>
      </c>
      <c r="M16" s="68">
        <f>'Option 2a'!M16</f>
        <v>291.51556076584779</v>
      </c>
      <c r="N16" s="68">
        <f t="shared" si="24"/>
        <v>30</v>
      </c>
      <c r="O16" s="68">
        <f>O15</f>
        <v>12.5</v>
      </c>
      <c r="P16" s="68">
        <f t="shared" ref="P16:P73" si="25">P15</f>
        <v>0</v>
      </c>
      <c r="Q16" s="66">
        <f t="shared" si="15"/>
        <v>369.56478272755538</v>
      </c>
      <c r="R16" s="70">
        <f t="shared" si="8"/>
        <v>389.01556076584779</v>
      </c>
      <c r="S16" s="67">
        <f t="shared" si="9"/>
        <v>408.46633880414021</v>
      </c>
      <c r="T16" s="66">
        <f t="shared" si="22"/>
        <v>1785.5647827275554</v>
      </c>
      <c r="U16" s="89">
        <f t="shared" si="16"/>
        <v>2159.015560765848</v>
      </c>
      <c r="V16" s="67">
        <f t="shared" si="16"/>
        <v>2532.4663388041404</v>
      </c>
      <c r="W16" s="6">
        <f t="shared" si="17"/>
        <v>0.90089778276868515</v>
      </c>
      <c r="X16" s="66">
        <f t="shared" si="18"/>
        <v>1608.6113537491037</v>
      </c>
      <c r="Y16" s="89">
        <f t="shared" si="19"/>
        <v>1945.0523316570418</v>
      </c>
      <c r="Z16" s="67">
        <f t="shared" si="20"/>
        <v>2281.4933095649799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6">AG16*$AH$22</f>
        <v>2693.3846153846148</v>
      </c>
      <c r="AK16" s="115">
        <f t="shared" ref="AK16:AK21" si="27">AL16/$AL$22</f>
        <v>0.55548301720335247</v>
      </c>
      <c r="AL16" s="97">
        <f>AH16+AG28</f>
        <v>4843.3846153846152</v>
      </c>
    </row>
    <row r="17" spans="1:38">
      <c r="A17" s="4">
        <f t="shared" si="21"/>
        <v>2023</v>
      </c>
      <c r="B17" s="4">
        <f t="shared" si="10"/>
        <v>4</v>
      </c>
      <c r="C17" s="63">
        <f t="shared" si="11"/>
        <v>0</v>
      </c>
      <c r="D17" s="64"/>
      <c r="E17" s="65">
        <f t="shared" si="12"/>
        <v>0</v>
      </c>
      <c r="F17" s="63">
        <f t="shared" si="13"/>
        <v>1416</v>
      </c>
      <c r="G17" s="64">
        <f t="shared" si="23"/>
        <v>1770</v>
      </c>
      <c r="H17" s="65">
        <f t="shared" si="7"/>
        <v>2124</v>
      </c>
      <c r="I17" s="66">
        <f t="shared" si="14"/>
        <v>1416</v>
      </c>
      <c r="J17" s="89">
        <f t="shared" si="14"/>
        <v>1770</v>
      </c>
      <c r="K17" s="67">
        <f t="shared" si="14"/>
        <v>2124</v>
      </c>
      <c r="L17" s="68">
        <f t="shared" si="24"/>
        <v>55</v>
      </c>
      <c r="M17" s="68">
        <f>'Option 2a'!M17</f>
        <v>302.30825444493053</v>
      </c>
      <c r="N17" s="68">
        <f t="shared" si="24"/>
        <v>30</v>
      </c>
      <c r="O17" s="68">
        <f t="shared" si="24"/>
        <v>12.5</v>
      </c>
      <c r="P17" s="68">
        <f t="shared" si="25"/>
        <v>0</v>
      </c>
      <c r="Q17" s="66">
        <f t="shared" si="15"/>
        <v>379.81784172268397</v>
      </c>
      <c r="R17" s="70">
        <f t="shared" si="8"/>
        <v>399.80825444493053</v>
      </c>
      <c r="S17" s="67">
        <f t="shared" si="9"/>
        <v>419.79866716717709</v>
      </c>
      <c r="T17" s="66">
        <f t="shared" si="22"/>
        <v>1795.8178417226841</v>
      </c>
      <c r="U17" s="89">
        <f t="shared" si="16"/>
        <v>2169.8082544449308</v>
      </c>
      <c r="V17" s="67">
        <f t="shared" si="16"/>
        <v>2543.798667167177</v>
      </c>
      <c r="W17" s="6">
        <f t="shared" si="17"/>
        <v>0.87009637122724071</v>
      </c>
      <c r="X17" s="66">
        <f t="shared" si="18"/>
        <v>1562.5345874680427</v>
      </c>
      <c r="Y17" s="89">
        <f t="shared" si="19"/>
        <v>1887.9422884514477</v>
      </c>
      <c r="Z17" s="67">
        <f t="shared" si="20"/>
        <v>2213.349989434852</v>
      </c>
      <c r="AA17" s="14"/>
      <c r="AC17" s="105">
        <v>0.36</v>
      </c>
      <c r="AD17" s="97">
        <v>4392</v>
      </c>
      <c r="AG17" s="105">
        <v>0.36</v>
      </c>
      <c r="AH17" s="97">
        <f t="shared" si="26"/>
        <v>2364.9230769230767</v>
      </c>
      <c r="AK17" s="115">
        <f t="shared" si="27"/>
        <v>0.27123070136744593</v>
      </c>
      <c r="AL17" s="97">
        <f>AH17</f>
        <v>2364.9230769230767</v>
      </c>
    </row>
    <row r="18" spans="1:38">
      <c r="A18" s="4">
        <f t="shared" si="21"/>
        <v>2024</v>
      </c>
      <c r="B18" s="4">
        <f t="shared" si="10"/>
        <v>5</v>
      </c>
      <c r="C18" s="63">
        <f t="shared" si="11"/>
        <v>0</v>
      </c>
      <c r="D18" s="64"/>
      <c r="E18" s="65">
        <f t="shared" si="12"/>
        <v>0</v>
      </c>
      <c r="F18" s="63">
        <f t="shared" si="13"/>
        <v>1416</v>
      </c>
      <c r="G18" s="64">
        <f>$AC$9+X8</f>
        <v>1770</v>
      </c>
      <c r="H18" s="65">
        <f t="shared" si="7"/>
        <v>2124</v>
      </c>
      <c r="I18" s="66">
        <f t="shared" si="14"/>
        <v>1416</v>
      </c>
      <c r="J18" s="89">
        <f t="shared" si="14"/>
        <v>1770</v>
      </c>
      <c r="K18" s="67">
        <f t="shared" si="14"/>
        <v>2124</v>
      </c>
      <c r="L18" s="68">
        <f t="shared" si="24"/>
        <v>55</v>
      </c>
      <c r="M18" s="68">
        <f>'Option 2a'!M18</f>
        <v>316.0747916778588</v>
      </c>
      <c r="N18" s="68">
        <f t="shared" si="24"/>
        <v>30</v>
      </c>
      <c r="O18" s="68">
        <f t="shared" si="24"/>
        <v>12.5</v>
      </c>
      <c r="P18" s="68">
        <f t="shared" si="25"/>
        <v>0</v>
      </c>
      <c r="Q18" s="66">
        <f t="shared" si="15"/>
        <v>392.89605209396586</v>
      </c>
      <c r="R18" s="70">
        <f t="shared" si="8"/>
        <v>413.5747916778588</v>
      </c>
      <c r="S18" s="67">
        <f t="shared" si="9"/>
        <v>434.25353126175173</v>
      </c>
      <c r="T18" s="66">
        <f t="shared" si="22"/>
        <v>1808.8960520939659</v>
      </c>
      <c r="U18" s="89">
        <f t="shared" si="16"/>
        <v>2183.5747916778587</v>
      </c>
      <c r="V18" s="67">
        <f t="shared" si="16"/>
        <v>2558.253531261752</v>
      </c>
      <c r="W18" s="6">
        <f t="shared" si="17"/>
        <v>0.84034805024844572</v>
      </c>
      <c r="X18" s="66">
        <f t="shared" si="18"/>
        <v>1520.1022704792751</v>
      </c>
      <c r="Y18" s="89">
        <f t="shared" si="19"/>
        <v>1834.9628187581445</v>
      </c>
      <c r="Z18" s="67">
        <f t="shared" si="20"/>
        <v>2149.8233670370146</v>
      </c>
      <c r="AA18" s="14"/>
      <c r="AC18" s="105">
        <v>0.1</v>
      </c>
      <c r="AD18" s="97">
        <v>1220</v>
      </c>
      <c r="AG18" s="105">
        <v>0.1</v>
      </c>
      <c r="AH18" s="97">
        <f t="shared" si="26"/>
        <v>656.92307692307691</v>
      </c>
      <c r="AK18" s="115">
        <f t="shared" si="27"/>
        <v>7.5341861490957202E-2</v>
      </c>
      <c r="AL18" s="97">
        <f>AH18</f>
        <v>656.92307692307691</v>
      </c>
    </row>
    <row r="19" spans="1:38">
      <c r="A19" s="4">
        <f t="shared" si="21"/>
        <v>2025</v>
      </c>
      <c r="B19" s="4">
        <f t="shared" si="10"/>
        <v>6</v>
      </c>
      <c r="C19" s="63">
        <f t="shared" si="11"/>
        <v>0</v>
      </c>
      <c r="D19" s="64"/>
      <c r="E19" s="65">
        <f t="shared" si="12"/>
        <v>0</v>
      </c>
      <c r="F19" s="63">
        <f t="shared" si="13"/>
        <v>1416</v>
      </c>
      <c r="G19" s="64">
        <f t="shared" si="23"/>
        <v>1770</v>
      </c>
      <c r="H19" s="65">
        <f t="shared" si="7"/>
        <v>2124</v>
      </c>
      <c r="I19" s="66">
        <f t="shared" si="14"/>
        <v>1416</v>
      </c>
      <c r="J19" s="89">
        <f t="shared" si="14"/>
        <v>1770</v>
      </c>
      <c r="K19" s="67">
        <f t="shared" si="14"/>
        <v>2124</v>
      </c>
      <c r="L19" s="68">
        <f t="shared" si="24"/>
        <v>55</v>
      </c>
      <c r="M19" s="68">
        <f>'Option 2a'!M19</f>
        <v>326.23258389956914</v>
      </c>
      <c r="N19" s="68">
        <f t="shared" si="24"/>
        <v>30</v>
      </c>
      <c r="O19" s="68">
        <f t="shared" si="24"/>
        <v>12.5</v>
      </c>
      <c r="P19" s="68">
        <f t="shared" si="25"/>
        <v>0</v>
      </c>
      <c r="Q19" s="66">
        <f t="shared" si="15"/>
        <v>402.54595470459066</v>
      </c>
      <c r="R19" s="70">
        <f t="shared" si="8"/>
        <v>423.73258389956914</v>
      </c>
      <c r="S19" s="67">
        <f t="shared" si="9"/>
        <v>444.91921309454762</v>
      </c>
      <c r="T19" s="66">
        <f t="shared" si="22"/>
        <v>1818.5459547045907</v>
      </c>
      <c r="U19" s="89">
        <f t="shared" si="16"/>
        <v>2193.7325838995694</v>
      </c>
      <c r="V19" s="67">
        <f t="shared" si="16"/>
        <v>2568.9192130945476</v>
      </c>
      <c r="W19" s="6">
        <f t="shared" si="17"/>
        <v>0.81161681499753291</v>
      </c>
      <c r="X19" s="66">
        <f t="shared" si="18"/>
        <v>1475.9624756839876</v>
      </c>
      <c r="Y19" s="89">
        <f t="shared" si="19"/>
        <v>1780.4702527008767</v>
      </c>
      <c r="Z19" s="67">
        <f t="shared" si="20"/>
        <v>2084.9780297177654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6"/>
        <v>459.84615384615387</v>
      </c>
      <c r="AK19" s="115">
        <f t="shared" si="27"/>
        <v>5.2739303043670048E-2</v>
      </c>
      <c r="AL19" s="97">
        <f>AH19</f>
        <v>459.84615384615387</v>
      </c>
    </row>
    <row r="20" spans="1:38">
      <c r="A20" s="4">
        <f t="shared" si="21"/>
        <v>2026</v>
      </c>
      <c r="B20" s="4">
        <f t="shared" si="10"/>
        <v>7</v>
      </c>
      <c r="C20" s="63">
        <f t="shared" si="11"/>
        <v>0</v>
      </c>
      <c r="D20" s="64"/>
      <c r="E20" s="65">
        <f t="shared" si="12"/>
        <v>0</v>
      </c>
      <c r="F20" s="63">
        <f t="shared" si="13"/>
        <v>1416</v>
      </c>
      <c r="G20" s="64">
        <f t="shared" si="23"/>
        <v>1770</v>
      </c>
      <c r="H20" s="65">
        <f t="shared" si="7"/>
        <v>2124</v>
      </c>
      <c r="I20" s="66">
        <f t="shared" si="14"/>
        <v>1416</v>
      </c>
      <c r="J20" s="89">
        <f t="shared" si="14"/>
        <v>1770</v>
      </c>
      <c r="K20" s="67">
        <f t="shared" si="14"/>
        <v>2124</v>
      </c>
      <c r="L20" s="68">
        <f t="shared" si="24"/>
        <v>55</v>
      </c>
      <c r="M20" s="68">
        <f>'Option 2a'!M20</f>
        <v>330.97372987921659</v>
      </c>
      <c r="N20" s="68">
        <f t="shared" si="24"/>
        <v>30</v>
      </c>
      <c r="O20" s="68">
        <f t="shared" si="24"/>
        <v>12.5</v>
      </c>
      <c r="P20" s="68">
        <f t="shared" si="25"/>
        <v>0</v>
      </c>
      <c r="Q20" s="66">
        <f t="shared" si="15"/>
        <v>407.05004338525572</v>
      </c>
      <c r="R20" s="70">
        <f t="shared" si="8"/>
        <v>428.47372987921659</v>
      </c>
      <c r="S20" s="67">
        <f t="shared" si="9"/>
        <v>449.89741637317746</v>
      </c>
      <c r="T20" s="66">
        <f t="shared" si="22"/>
        <v>1823.0500433852558</v>
      </c>
      <c r="U20" s="89">
        <f t="shared" si="16"/>
        <v>2198.4737298792165</v>
      </c>
      <c r="V20" s="67">
        <f t="shared" si="16"/>
        <v>2573.8974163731773</v>
      </c>
      <c r="W20" s="6">
        <f t="shared" si="17"/>
        <v>0.78386789163369996</v>
      </c>
      <c r="X20" s="66">
        <f t="shared" si="18"/>
        <v>1429.0303938511256</v>
      </c>
      <c r="Y20" s="89">
        <f t="shared" si="19"/>
        <v>1723.3129674524978</v>
      </c>
      <c r="Z20" s="67">
        <f t="shared" si="20"/>
        <v>2017.59554105387</v>
      </c>
      <c r="AA20" s="14"/>
      <c r="AC20" s="105">
        <v>0</v>
      </c>
      <c r="AD20" s="97">
        <v>0</v>
      </c>
      <c r="AG20" s="105">
        <v>0</v>
      </c>
      <c r="AH20" s="97">
        <f t="shared" si="26"/>
        <v>0</v>
      </c>
      <c r="AK20" s="115">
        <f t="shared" si="27"/>
        <v>0</v>
      </c>
      <c r="AL20" s="97">
        <f>AH20</f>
        <v>0</v>
      </c>
    </row>
    <row r="21" spans="1:38">
      <c r="A21" s="4">
        <f t="shared" si="21"/>
        <v>2027</v>
      </c>
      <c r="B21" s="4">
        <f t="shared" si="10"/>
        <v>8</v>
      </c>
      <c r="C21" s="63">
        <f t="shared" si="11"/>
        <v>0</v>
      </c>
      <c r="D21" s="64"/>
      <c r="E21" s="65">
        <f t="shared" si="12"/>
        <v>0</v>
      </c>
      <c r="F21" s="63">
        <f t="shared" si="13"/>
        <v>1416</v>
      </c>
      <c r="G21" s="64">
        <f t="shared" si="23"/>
        <v>1770</v>
      </c>
      <c r="H21" s="65">
        <f t="shared" si="7"/>
        <v>2124</v>
      </c>
      <c r="I21" s="66">
        <f t="shared" si="14"/>
        <v>1416</v>
      </c>
      <c r="J21" s="89">
        <f t="shared" si="14"/>
        <v>1770</v>
      </c>
      <c r="K21" s="67">
        <f t="shared" si="14"/>
        <v>2124</v>
      </c>
      <c r="L21" s="68">
        <f t="shared" si="24"/>
        <v>55</v>
      </c>
      <c r="M21" s="68">
        <f>'Option 2a'!M21</f>
        <v>336.42671869662865</v>
      </c>
      <c r="N21" s="68">
        <f t="shared" si="24"/>
        <v>30</v>
      </c>
      <c r="O21" s="68">
        <f t="shared" si="24"/>
        <v>12.5</v>
      </c>
      <c r="P21" s="68">
        <f t="shared" si="25"/>
        <v>0</v>
      </c>
      <c r="Q21" s="66">
        <f t="shared" si="15"/>
        <v>412.23038276179722</v>
      </c>
      <c r="R21" s="70">
        <f t="shared" si="8"/>
        <v>433.92671869662865</v>
      </c>
      <c r="S21" s="67">
        <f t="shared" si="9"/>
        <v>455.62305463146009</v>
      </c>
      <c r="T21" s="66">
        <f t="shared" si="22"/>
        <v>1828.2303827617973</v>
      </c>
      <c r="U21" s="89">
        <f t="shared" si="16"/>
        <v>2203.9267186966285</v>
      </c>
      <c r="V21" s="67">
        <f t="shared" si="16"/>
        <v>2579.62305463146</v>
      </c>
      <c r="W21" s="6">
        <f t="shared" si="17"/>
        <v>0.75706769522281225</v>
      </c>
      <c r="X21" s="66">
        <f t="shared" si="18"/>
        <v>1384.0941622137937</v>
      </c>
      <c r="Y21" s="89">
        <f t="shared" si="19"/>
        <v>1668.5217213636317</v>
      </c>
      <c r="Z21" s="67">
        <f t="shared" si="20"/>
        <v>1952.9492805134701</v>
      </c>
      <c r="AA21" s="14"/>
      <c r="AC21" s="105">
        <v>0.05</v>
      </c>
      <c r="AD21" s="97">
        <v>610</v>
      </c>
      <c r="AG21" s="105">
        <v>0.05</v>
      </c>
      <c r="AH21" s="97">
        <f t="shared" si="26"/>
        <v>328.46153846153845</v>
      </c>
      <c r="AK21" s="115">
        <f t="shared" si="27"/>
        <v>3.7670930745478601E-2</v>
      </c>
      <c r="AL21" s="97">
        <f>AH21</f>
        <v>328.46153846153845</v>
      </c>
    </row>
    <row r="22" spans="1:38" ht="13.15">
      <c r="A22" s="4">
        <f t="shared" si="21"/>
        <v>2028</v>
      </c>
      <c r="B22" s="4">
        <f t="shared" si="10"/>
        <v>9</v>
      </c>
      <c r="C22" s="63">
        <f t="shared" si="11"/>
        <v>0</v>
      </c>
      <c r="D22" s="64"/>
      <c r="E22" s="65">
        <f t="shared" si="12"/>
        <v>0</v>
      </c>
      <c r="F22" s="63">
        <f t="shared" si="13"/>
        <v>1416</v>
      </c>
      <c r="G22" s="64">
        <f>$AC$9+X8</f>
        <v>1770</v>
      </c>
      <c r="H22" s="65">
        <f t="shared" si="7"/>
        <v>2124</v>
      </c>
      <c r="I22" s="66">
        <f t="shared" si="14"/>
        <v>1416</v>
      </c>
      <c r="J22" s="89">
        <f t="shared" si="14"/>
        <v>1770</v>
      </c>
      <c r="K22" s="67">
        <f t="shared" si="14"/>
        <v>2124</v>
      </c>
      <c r="L22" s="68">
        <f t="shared" si="24"/>
        <v>55</v>
      </c>
      <c r="M22" s="68">
        <f>'Option 2a'!M22</f>
        <v>344.07809776603415</v>
      </c>
      <c r="N22" s="68">
        <f t="shared" si="24"/>
        <v>30</v>
      </c>
      <c r="O22" s="68">
        <f t="shared" si="24"/>
        <v>12.5</v>
      </c>
      <c r="P22" s="68">
        <f t="shared" si="25"/>
        <v>0</v>
      </c>
      <c r="Q22" s="66">
        <f t="shared" si="15"/>
        <v>419.49919287773241</v>
      </c>
      <c r="R22" s="70">
        <f t="shared" si="8"/>
        <v>441.57809776603415</v>
      </c>
      <c r="S22" s="67">
        <f t="shared" si="9"/>
        <v>463.65700265433588</v>
      </c>
      <c r="T22" s="66">
        <f t="shared" si="22"/>
        <v>1835.4991928777324</v>
      </c>
      <c r="U22" s="89">
        <f t="shared" si="16"/>
        <v>2211.5780977660343</v>
      </c>
      <c r="V22" s="67">
        <f t="shared" si="16"/>
        <v>2587.6570026543359</v>
      </c>
      <c r="W22" s="6">
        <f t="shared" si="17"/>
        <v>0.73118378908905945</v>
      </c>
      <c r="X22" s="66">
        <f t="shared" si="18"/>
        <v>1342.0872547182507</v>
      </c>
      <c r="Y22" s="89">
        <f t="shared" si="19"/>
        <v>1617.0700533909433</v>
      </c>
      <c r="Z22" s="67">
        <f t="shared" si="20"/>
        <v>1892.0528520636358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1"/>
        <v>2029</v>
      </c>
      <c r="B23" s="4">
        <f t="shared" si="10"/>
        <v>10</v>
      </c>
      <c r="C23" s="63">
        <f t="shared" si="11"/>
        <v>0</v>
      </c>
      <c r="D23" s="64"/>
      <c r="E23" s="65">
        <f t="shared" si="12"/>
        <v>0</v>
      </c>
      <c r="F23" s="63">
        <f t="shared" si="13"/>
        <v>1416</v>
      </c>
      <c r="G23" s="64">
        <f t="shared" si="23"/>
        <v>1770</v>
      </c>
      <c r="H23" s="65">
        <f t="shared" si="7"/>
        <v>2124</v>
      </c>
      <c r="I23" s="66">
        <f t="shared" si="14"/>
        <v>1416</v>
      </c>
      <c r="J23" s="89">
        <f t="shared" si="14"/>
        <v>1770</v>
      </c>
      <c r="K23" s="67">
        <f t="shared" si="14"/>
        <v>2124</v>
      </c>
      <c r="L23" s="68">
        <f t="shared" si="24"/>
        <v>55</v>
      </c>
      <c r="M23" s="68">
        <f>'Option 2a'!M23</f>
        <v>358.31074175170977</v>
      </c>
      <c r="N23" s="68">
        <f t="shared" si="24"/>
        <v>30</v>
      </c>
      <c r="O23" s="68">
        <f t="shared" si="24"/>
        <v>12.5</v>
      </c>
      <c r="P23" s="68">
        <f t="shared" si="25"/>
        <v>0</v>
      </c>
      <c r="Q23" s="66">
        <f t="shared" si="15"/>
        <v>433.02020466412426</v>
      </c>
      <c r="R23" s="70">
        <f t="shared" si="8"/>
        <v>455.81074175170977</v>
      </c>
      <c r="S23" s="67">
        <f t="shared" si="9"/>
        <v>478.60127883929528</v>
      </c>
      <c r="T23" s="66">
        <f t="shared" si="22"/>
        <v>1849.0202046641243</v>
      </c>
      <c r="U23" s="89">
        <f t="shared" si="16"/>
        <v>2225.8107417517099</v>
      </c>
      <c r="V23" s="67">
        <f t="shared" si="16"/>
        <v>2602.6012788392954</v>
      </c>
      <c r="W23" s="6">
        <f t="shared" si="17"/>
        <v>0.70618484555636418</v>
      </c>
      <c r="X23" s="66">
        <f t="shared" si="18"/>
        <v>1305.7500476613316</v>
      </c>
      <c r="Y23" s="89">
        <f t="shared" si="19"/>
        <v>1571.8338149016276</v>
      </c>
      <c r="Z23" s="67">
        <f t="shared" si="20"/>
        <v>1837.9175821419237</v>
      </c>
      <c r="AA23" s="14"/>
    </row>
    <row r="24" spans="1:38">
      <c r="A24" s="4">
        <f t="shared" si="21"/>
        <v>2030</v>
      </c>
      <c r="B24" s="4">
        <f t="shared" si="10"/>
        <v>11</v>
      </c>
      <c r="C24" s="63">
        <f t="shared" si="11"/>
        <v>0</v>
      </c>
      <c r="D24" s="64"/>
      <c r="E24" s="65">
        <f t="shared" si="12"/>
        <v>0</v>
      </c>
      <c r="F24" s="63">
        <f t="shared" si="13"/>
        <v>2457.7915954843365</v>
      </c>
      <c r="G24" s="64">
        <f>$AC$9+T6+X6</f>
        <v>3072.2394943554204</v>
      </c>
      <c r="H24" s="65">
        <f t="shared" si="7"/>
        <v>3686.6873932265044</v>
      </c>
      <c r="I24" s="66">
        <f t="shared" si="14"/>
        <v>2457.7915954843365</v>
      </c>
      <c r="J24" s="89">
        <f t="shared" si="14"/>
        <v>3072.2394943554204</v>
      </c>
      <c r="K24" s="67">
        <f t="shared" si="14"/>
        <v>3686.6873932265044</v>
      </c>
      <c r="L24" s="68">
        <f t="shared" si="24"/>
        <v>55</v>
      </c>
      <c r="M24" s="68">
        <f>'Option 2a'!M24</f>
        <v>368.40388078689898</v>
      </c>
      <c r="N24" s="68">
        <f t="shared" si="24"/>
        <v>30</v>
      </c>
      <c r="O24" s="68">
        <f t="shared" si="24"/>
        <v>12.5</v>
      </c>
      <c r="P24" s="68">
        <f t="shared" si="25"/>
        <v>0</v>
      </c>
      <c r="Q24" s="66">
        <f t="shared" si="15"/>
        <v>442.60868674755403</v>
      </c>
      <c r="R24" s="70">
        <f t="shared" si="8"/>
        <v>465.90388078689898</v>
      </c>
      <c r="S24" s="67">
        <f t="shared" si="9"/>
        <v>489.19907482624393</v>
      </c>
      <c r="T24" s="66">
        <f t="shared" si="22"/>
        <v>2900.4002822318907</v>
      </c>
      <c r="U24" s="89">
        <f t="shared" si="16"/>
        <v>3538.1433751423192</v>
      </c>
      <c r="V24" s="67">
        <f t="shared" si="16"/>
        <v>4175.8864680527486</v>
      </c>
      <c r="W24" s="6">
        <f t="shared" si="17"/>
        <v>0.68204060803203026</v>
      </c>
      <c r="X24" s="66">
        <f t="shared" si="18"/>
        <v>1978.1907720297108</v>
      </c>
      <c r="Y24" s="89">
        <f t="shared" si="19"/>
        <v>2413.1574588865669</v>
      </c>
      <c r="Z24" s="67">
        <f t="shared" si="20"/>
        <v>2848.1241457434239</v>
      </c>
      <c r="AA24" s="14"/>
      <c r="AC24" t="s">
        <v>86</v>
      </c>
    </row>
    <row r="25" spans="1:38">
      <c r="A25" s="4">
        <f t="shared" si="21"/>
        <v>2031</v>
      </c>
      <c r="B25" s="4">
        <f t="shared" si="10"/>
        <v>12</v>
      </c>
      <c r="C25" s="63">
        <f t="shared" si="11"/>
        <v>0</v>
      </c>
      <c r="D25" s="64"/>
      <c r="E25" s="65">
        <f t="shared" si="12"/>
        <v>0</v>
      </c>
      <c r="F25" s="63">
        <f>G25*(1+$F$11)</f>
        <v>1416</v>
      </c>
      <c r="G25" s="64">
        <f t="shared" si="23"/>
        <v>1770</v>
      </c>
      <c r="H25" s="65">
        <f t="shared" si="7"/>
        <v>2124</v>
      </c>
      <c r="I25" s="66">
        <f t="shared" si="14"/>
        <v>1416</v>
      </c>
      <c r="J25" s="89">
        <f t="shared" si="14"/>
        <v>1770</v>
      </c>
      <c r="K25" s="67">
        <f t="shared" si="14"/>
        <v>2124</v>
      </c>
      <c r="L25" s="68">
        <f t="shared" si="24"/>
        <v>55</v>
      </c>
      <c r="M25" s="68">
        <f>'Option 2a'!M25</f>
        <v>378.92006329236165</v>
      </c>
      <c r="N25" s="68">
        <f t="shared" si="24"/>
        <v>30</v>
      </c>
      <c r="O25" s="68">
        <f t="shared" si="24"/>
        <v>12.5</v>
      </c>
      <c r="P25" s="68">
        <f t="shared" si="25"/>
        <v>0</v>
      </c>
      <c r="Q25" s="66">
        <f t="shared" si="15"/>
        <v>452.59906012774354</v>
      </c>
      <c r="R25" s="70">
        <f t="shared" si="8"/>
        <v>476.42006329236165</v>
      </c>
      <c r="S25" s="67">
        <f t="shared" si="9"/>
        <v>500.24106645697975</v>
      </c>
      <c r="T25" s="66">
        <f t="shared" si="22"/>
        <v>1868.5990601277435</v>
      </c>
      <c r="U25" s="89">
        <f t="shared" si="16"/>
        <v>2246.4200632923616</v>
      </c>
      <c r="V25" s="67">
        <f t="shared" si="16"/>
        <v>2624.2410664569798</v>
      </c>
      <c r="W25" s="6">
        <f t="shared" si="17"/>
        <v>0.65872185438673958</v>
      </c>
      <c r="X25" s="66">
        <f t="shared" si="18"/>
        <v>1230.8870379926659</v>
      </c>
      <c r="Y25" s="89">
        <f t="shared" si="19"/>
        <v>1479.7659898235213</v>
      </c>
      <c r="Z25" s="67">
        <f t="shared" si="20"/>
        <v>1728.6449416543769</v>
      </c>
      <c r="AA25" s="14"/>
      <c r="AC25" t="s">
        <v>83</v>
      </c>
      <c r="AG25">
        <v>700</v>
      </c>
    </row>
    <row r="26" spans="1:38">
      <c r="A26" s="4">
        <f t="shared" si="21"/>
        <v>2032</v>
      </c>
      <c r="B26" s="4">
        <f t="shared" si="10"/>
        <v>13</v>
      </c>
      <c r="C26" s="63">
        <f t="shared" si="11"/>
        <v>0</v>
      </c>
      <c r="D26" s="64"/>
      <c r="E26" s="65">
        <f t="shared" si="12"/>
        <v>0</v>
      </c>
      <c r="F26" s="63">
        <f t="shared" si="13"/>
        <v>1416</v>
      </c>
      <c r="G26" s="64">
        <f>$AC$9+X8</f>
        <v>1770</v>
      </c>
      <c r="H26" s="65">
        <f t="shared" si="7"/>
        <v>2124</v>
      </c>
      <c r="I26" s="66">
        <f t="shared" si="14"/>
        <v>1416</v>
      </c>
      <c r="J26" s="89">
        <f t="shared" si="14"/>
        <v>1770</v>
      </c>
      <c r="K26" s="67">
        <f t="shared" si="14"/>
        <v>2124</v>
      </c>
      <c r="L26" s="68">
        <f t="shared" si="24"/>
        <v>55</v>
      </c>
      <c r="M26" s="68">
        <f>'Option 2a'!M26</f>
        <v>386.06526709799408</v>
      </c>
      <c r="N26" s="68">
        <f t="shared" si="24"/>
        <v>30</v>
      </c>
      <c r="O26" s="68">
        <f t="shared" si="24"/>
        <v>12.5</v>
      </c>
      <c r="P26" s="68">
        <f t="shared" si="25"/>
        <v>0</v>
      </c>
      <c r="Q26" s="66">
        <f t="shared" si="15"/>
        <v>459.38700374309434</v>
      </c>
      <c r="R26" s="70">
        <f t="shared" si="8"/>
        <v>483.56526709799408</v>
      </c>
      <c r="S26" s="67">
        <f t="shared" si="9"/>
        <v>507.74353045289382</v>
      </c>
      <c r="T26" s="66">
        <f t="shared" si="22"/>
        <v>1875.3870037430943</v>
      </c>
      <c r="U26" s="89">
        <f t="shared" si="16"/>
        <v>2253.5652670979939</v>
      </c>
      <c r="V26" s="67">
        <f t="shared" si="16"/>
        <v>2631.743530452894</v>
      </c>
      <c r="W26" s="6">
        <f t="shared" si="17"/>
        <v>0.63620036158657478</v>
      </c>
      <c r="X26" s="66">
        <f t="shared" si="18"/>
        <v>1193.1218898961197</v>
      </c>
      <c r="Y26" s="89">
        <f t="shared" si="19"/>
        <v>1433.7190377866898</v>
      </c>
      <c r="Z26" s="67">
        <f t="shared" si="20"/>
        <v>1674.3161856772601</v>
      </c>
      <c r="AA26" s="14"/>
      <c r="AC26" t="s">
        <v>84</v>
      </c>
      <c r="AG26">
        <f>2*200</f>
        <v>400</v>
      </c>
    </row>
    <row r="27" spans="1:38">
      <c r="A27" s="4">
        <f t="shared" si="21"/>
        <v>2033</v>
      </c>
      <c r="B27" s="4">
        <f t="shared" si="10"/>
        <v>14</v>
      </c>
      <c r="C27" s="63">
        <f t="shared" si="11"/>
        <v>0</v>
      </c>
      <c r="D27" s="64"/>
      <c r="E27" s="65">
        <f t="shared" si="12"/>
        <v>0</v>
      </c>
      <c r="F27" s="63">
        <f t="shared" si="13"/>
        <v>1416</v>
      </c>
      <c r="G27" s="64">
        <f t="shared" si="23"/>
        <v>1770</v>
      </c>
      <c r="H27" s="65">
        <f t="shared" si="7"/>
        <v>2124</v>
      </c>
      <c r="I27" s="66">
        <f t="shared" si="14"/>
        <v>1416</v>
      </c>
      <c r="J27" s="89">
        <f t="shared" si="14"/>
        <v>1770</v>
      </c>
      <c r="K27" s="67">
        <f t="shared" si="14"/>
        <v>2124</v>
      </c>
      <c r="L27" s="68">
        <f t="shared" si="24"/>
        <v>55</v>
      </c>
      <c r="M27" s="68">
        <f>'Option 2a'!M27</f>
        <v>395.18188690263975</v>
      </c>
      <c r="N27" s="68">
        <f t="shared" si="24"/>
        <v>30</v>
      </c>
      <c r="O27" s="68">
        <f t="shared" si="24"/>
        <v>12.5</v>
      </c>
      <c r="P27" s="68">
        <f t="shared" si="25"/>
        <v>0</v>
      </c>
      <c r="Q27" s="66">
        <f t="shared" si="15"/>
        <v>468.04779255750776</v>
      </c>
      <c r="R27" s="70">
        <f t="shared" si="8"/>
        <v>492.68188690263975</v>
      </c>
      <c r="S27" s="67">
        <f t="shared" si="9"/>
        <v>517.31598124777179</v>
      </c>
      <c r="T27" s="66">
        <f t="shared" si="22"/>
        <v>1884.0477925575078</v>
      </c>
      <c r="U27" s="89">
        <f t="shared" si="16"/>
        <v>2262.6818869026397</v>
      </c>
      <c r="V27" s="67">
        <f t="shared" si="16"/>
        <v>2641.3159812477716</v>
      </c>
      <c r="W27" s="6">
        <f t="shared" si="17"/>
        <v>0.61444887153426186</v>
      </c>
      <c r="X27" s="66">
        <f t="shared" si="18"/>
        <v>1157.6510400535778</v>
      </c>
      <c r="Y27" s="89">
        <f t="shared" si="19"/>
        <v>1390.3023320483412</v>
      </c>
      <c r="Z27" s="67">
        <f t="shared" si="20"/>
        <v>1622.9536240431048</v>
      </c>
      <c r="AA27" s="14"/>
      <c r="AC27" t="s">
        <v>85</v>
      </c>
      <c r="AG27">
        <f>3*350</f>
        <v>1050</v>
      </c>
    </row>
    <row r="28" spans="1:38">
      <c r="A28" s="4">
        <f t="shared" si="21"/>
        <v>2034</v>
      </c>
      <c r="B28" s="4">
        <f t="shared" si="10"/>
        <v>15</v>
      </c>
      <c r="C28" s="63">
        <f t="shared" si="11"/>
        <v>0</v>
      </c>
      <c r="D28" s="64"/>
      <c r="E28" s="65">
        <f t="shared" si="12"/>
        <v>0</v>
      </c>
      <c r="F28" s="63">
        <f t="shared" si="13"/>
        <v>1416</v>
      </c>
      <c r="G28" s="64">
        <f t="shared" si="23"/>
        <v>1770</v>
      </c>
      <c r="H28" s="65">
        <f t="shared" si="7"/>
        <v>2124</v>
      </c>
      <c r="I28" s="66">
        <f t="shared" si="14"/>
        <v>1416</v>
      </c>
      <c r="J28" s="89">
        <f t="shared" si="14"/>
        <v>1770</v>
      </c>
      <c r="K28" s="67">
        <f t="shared" si="14"/>
        <v>2124</v>
      </c>
      <c r="L28" s="68">
        <f t="shared" si="24"/>
        <v>55</v>
      </c>
      <c r="M28" s="68">
        <f>'Option 2a'!M28</f>
        <v>403.01537403156146</v>
      </c>
      <c r="N28" s="68">
        <f t="shared" si="24"/>
        <v>30</v>
      </c>
      <c r="O28" s="68">
        <f t="shared" si="24"/>
        <v>12.5</v>
      </c>
      <c r="P28" s="68">
        <f t="shared" si="25"/>
        <v>0</v>
      </c>
      <c r="Q28" s="66">
        <f t="shared" si="15"/>
        <v>475.48960532998336</v>
      </c>
      <c r="R28" s="70">
        <f t="shared" si="8"/>
        <v>500.51537403156146</v>
      </c>
      <c r="S28" s="67">
        <f t="shared" si="9"/>
        <v>525.54114273313951</v>
      </c>
      <c r="T28" s="66">
        <f t="shared" si="22"/>
        <v>1891.4896053299833</v>
      </c>
      <c r="U28" s="89">
        <f t="shared" si="16"/>
        <v>2270.5153740315614</v>
      </c>
      <c r="V28" s="67">
        <f t="shared" si="16"/>
        <v>2649.5411427331396</v>
      </c>
      <c r="W28" s="6">
        <f t="shared" si="17"/>
        <v>0.5934410580782904</v>
      </c>
      <c r="X28" s="66">
        <f t="shared" si="18"/>
        <v>1122.4875927311132</v>
      </c>
      <c r="Y28" s="89">
        <f t="shared" si="19"/>
        <v>1347.417045948315</v>
      </c>
      <c r="Z28" s="67">
        <f t="shared" si="20"/>
        <v>1572.3464991655171</v>
      </c>
      <c r="AA28" s="14"/>
      <c r="AG28">
        <f>SUM(AG25:AG27)</f>
        <v>2150</v>
      </c>
    </row>
    <row r="29" spans="1:38">
      <c r="A29" s="4">
        <f t="shared" si="21"/>
        <v>2035</v>
      </c>
      <c r="B29" s="4">
        <f t="shared" si="10"/>
        <v>16</v>
      </c>
      <c r="C29" s="63">
        <f t="shared" si="11"/>
        <v>0</v>
      </c>
      <c r="D29" s="64"/>
      <c r="E29" s="65">
        <f t="shared" si="12"/>
        <v>0</v>
      </c>
      <c r="F29" s="63">
        <f t="shared" si="13"/>
        <v>1416</v>
      </c>
      <c r="G29" s="64">
        <f t="shared" si="23"/>
        <v>1770</v>
      </c>
      <c r="H29" s="65">
        <f t="shared" si="7"/>
        <v>2124</v>
      </c>
      <c r="I29" s="66">
        <f t="shared" si="14"/>
        <v>1416</v>
      </c>
      <c r="J29" s="89">
        <f t="shared" si="14"/>
        <v>1770</v>
      </c>
      <c r="K29" s="67">
        <f t="shared" si="14"/>
        <v>2124</v>
      </c>
      <c r="L29" s="68">
        <f t="shared" si="24"/>
        <v>55</v>
      </c>
      <c r="M29" s="68">
        <f>'Option 2a'!M29</f>
        <v>410.78669209169692</v>
      </c>
      <c r="N29" s="68">
        <f t="shared" si="24"/>
        <v>30</v>
      </c>
      <c r="O29" s="68">
        <f t="shared" si="24"/>
        <v>12.5</v>
      </c>
      <c r="P29" s="68">
        <f t="shared" si="25"/>
        <v>0</v>
      </c>
      <c r="Q29" s="66">
        <f t="shared" si="15"/>
        <v>482.87235748711203</v>
      </c>
      <c r="R29" s="70">
        <f t="shared" si="8"/>
        <v>508.28669209169692</v>
      </c>
      <c r="S29" s="67">
        <f t="shared" si="9"/>
        <v>533.70102669628182</v>
      </c>
      <c r="T29" s="66">
        <f t="shared" si="22"/>
        <v>1898.8723574871119</v>
      </c>
      <c r="U29" s="89">
        <f t="shared" si="16"/>
        <v>2278.2866920916968</v>
      </c>
      <c r="V29" s="67">
        <f t="shared" si="16"/>
        <v>2657.7010266962816</v>
      </c>
      <c r="W29" s="6">
        <f t="shared" si="17"/>
        <v>0.57315149514998098</v>
      </c>
      <c r="X29" s="66">
        <f t="shared" si="18"/>
        <v>1088.3415307927073</v>
      </c>
      <c r="Y29" s="89">
        <f t="shared" si="19"/>
        <v>1305.8034239526603</v>
      </c>
      <c r="Z29" s="67">
        <f t="shared" si="20"/>
        <v>1523.2653171126133</v>
      </c>
      <c r="AA29" s="14"/>
    </row>
    <row r="30" spans="1:38">
      <c r="A30" s="4">
        <f t="shared" si="21"/>
        <v>2036</v>
      </c>
      <c r="B30" s="4">
        <f t="shared" si="10"/>
        <v>17</v>
      </c>
      <c r="C30" s="63">
        <f t="shared" si="11"/>
        <v>0</v>
      </c>
      <c r="D30" s="64"/>
      <c r="E30" s="65">
        <f t="shared" si="12"/>
        <v>0</v>
      </c>
      <c r="F30" s="63">
        <f t="shared" si="13"/>
        <v>1416</v>
      </c>
      <c r="G30" s="64">
        <f>$AC$9+X8</f>
        <v>1770</v>
      </c>
      <c r="H30" s="65">
        <f t="shared" si="7"/>
        <v>2124</v>
      </c>
      <c r="I30" s="66">
        <f t="shared" si="14"/>
        <v>1416</v>
      </c>
      <c r="J30" s="89">
        <f t="shared" si="14"/>
        <v>1770</v>
      </c>
      <c r="K30" s="67">
        <f t="shared" si="14"/>
        <v>2124</v>
      </c>
      <c r="L30" s="68">
        <f t="shared" si="24"/>
        <v>55</v>
      </c>
      <c r="M30" s="68">
        <f>'Option 2a'!M30</f>
        <v>426.79445308876024</v>
      </c>
      <c r="N30" s="68">
        <f t="shared" si="24"/>
        <v>30</v>
      </c>
      <c r="O30" s="68">
        <f t="shared" si="24"/>
        <v>12.5</v>
      </c>
      <c r="P30" s="68">
        <f t="shared" si="25"/>
        <v>0</v>
      </c>
      <c r="Q30" s="66">
        <f t="shared" si="15"/>
        <v>498.07973043432224</v>
      </c>
      <c r="R30" s="70">
        <f t="shared" si="8"/>
        <v>524.29445308876029</v>
      </c>
      <c r="S30" s="67">
        <f t="shared" si="9"/>
        <v>550.50917574319828</v>
      </c>
      <c r="T30" s="66">
        <f t="shared" si="22"/>
        <v>1914.0797304343223</v>
      </c>
      <c r="U30" s="89">
        <f t="shared" si="16"/>
        <v>2294.2944530887603</v>
      </c>
      <c r="V30" s="67">
        <f t="shared" si="16"/>
        <v>2674.5091757431983</v>
      </c>
      <c r="W30" s="6">
        <f t="shared" si="17"/>
        <v>0.55355562598993713</v>
      </c>
      <c r="X30" s="66">
        <f t="shared" si="18"/>
        <v>1059.5496033752213</v>
      </c>
      <c r="Y30" s="89">
        <f t="shared" si="19"/>
        <v>1270.0196021847892</v>
      </c>
      <c r="Z30" s="67">
        <f t="shared" si="20"/>
        <v>1480.4896009943568</v>
      </c>
      <c r="AA30" s="14"/>
    </row>
    <row r="31" spans="1:38">
      <c r="A31" s="4">
        <f t="shared" si="21"/>
        <v>2037</v>
      </c>
      <c r="B31" s="4">
        <f t="shared" si="10"/>
        <v>18</v>
      </c>
      <c r="C31" s="63">
        <f t="shared" si="11"/>
        <v>0</v>
      </c>
      <c r="D31" s="27"/>
      <c r="E31" s="65">
        <f t="shared" si="12"/>
        <v>0</v>
      </c>
      <c r="F31" s="63">
        <f t="shared" si="13"/>
        <v>1416</v>
      </c>
      <c r="G31" s="64">
        <f t="shared" si="23"/>
        <v>1770</v>
      </c>
      <c r="H31" s="65">
        <f t="shared" si="7"/>
        <v>2124</v>
      </c>
      <c r="I31" s="66">
        <f t="shared" si="14"/>
        <v>1416</v>
      </c>
      <c r="J31" s="89">
        <f t="shared" si="14"/>
        <v>1770</v>
      </c>
      <c r="K31" s="67">
        <f t="shared" si="14"/>
        <v>2124</v>
      </c>
      <c r="L31" s="68">
        <f t="shared" si="24"/>
        <v>55</v>
      </c>
      <c r="M31" s="68">
        <f>'Option 2a'!M31</f>
        <v>442.28456849312823</v>
      </c>
      <c r="N31" s="68">
        <f t="shared" si="24"/>
        <v>30</v>
      </c>
      <c r="O31" s="68">
        <f t="shared" si="24"/>
        <v>12.5</v>
      </c>
      <c r="P31" s="68">
        <f t="shared" si="25"/>
        <v>0</v>
      </c>
      <c r="Q31" s="66">
        <f t="shared" si="15"/>
        <v>512.79534006847189</v>
      </c>
      <c r="R31" s="70">
        <f t="shared" si="8"/>
        <v>539.78456849312829</v>
      </c>
      <c r="S31" s="67">
        <f t="shared" si="9"/>
        <v>566.77379691778469</v>
      </c>
      <c r="T31" s="66">
        <f t="shared" si="22"/>
        <v>1928.7953400684719</v>
      </c>
      <c r="U31" s="89">
        <f t="shared" si="16"/>
        <v>2309.7845684931281</v>
      </c>
      <c r="V31" s="67">
        <f t="shared" si="16"/>
        <v>2690.7737969177847</v>
      </c>
      <c r="W31" s="6">
        <f t="shared" si="17"/>
        <v>0.53462973342663422</v>
      </c>
      <c r="X31" s="66">
        <f t="shared" si="18"/>
        <v>1031.1913384953414</v>
      </c>
      <c r="Y31" s="89">
        <f t="shared" si="19"/>
        <v>1234.8795081264343</v>
      </c>
      <c r="Z31" s="67">
        <f t="shared" si="20"/>
        <v>1438.5676777575277</v>
      </c>
      <c r="AA31" s="14"/>
    </row>
    <row r="32" spans="1:38">
      <c r="A32" s="4">
        <f t="shared" si="21"/>
        <v>2038</v>
      </c>
      <c r="B32" s="4">
        <f t="shared" si="10"/>
        <v>19</v>
      </c>
      <c r="C32" s="63">
        <f t="shared" si="11"/>
        <v>0</v>
      </c>
      <c r="D32" s="27"/>
      <c r="E32" s="65">
        <f t="shared" si="12"/>
        <v>0</v>
      </c>
      <c r="F32" s="63">
        <f t="shared" si="13"/>
        <v>1416</v>
      </c>
      <c r="G32" s="64">
        <f t="shared" si="23"/>
        <v>1770</v>
      </c>
      <c r="H32" s="65">
        <f t="shared" si="7"/>
        <v>2124</v>
      </c>
      <c r="I32" s="66">
        <f t="shared" si="14"/>
        <v>1416</v>
      </c>
      <c r="J32" s="89">
        <f t="shared" si="14"/>
        <v>1770</v>
      </c>
      <c r="K32" s="67">
        <f t="shared" si="14"/>
        <v>2124</v>
      </c>
      <c r="L32" s="68">
        <f t="shared" ref="L32:O47" si="28">L31</f>
        <v>55</v>
      </c>
      <c r="M32" s="68">
        <f>'Option 2a'!M32</f>
        <v>454.49530981036185</v>
      </c>
      <c r="N32" s="68">
        <f t="shared" si="28"/>
        <v>30</v>
      </c>
      <c r="O32" s="68">
        <f t="shared" si="28"/>
        <v>12.5</v>
      </c>
      <c r="P32" s="68">
        <f t="shared" si="25"/>
        <v>0</v>
      </c>
      <c r="Q32" s="66">
        <f t="shared" si="15"/>
        <v>524.39554431984368</v>
      </c>
      <c r="R32" s="70">
        <f t="shared" si="8"/>
        <v>551.99530981036185</v>
      </c>
      <c r="S32" s="67">
        <f t="shared" si="9"/>
        <v>579.59507530088001</v>
      </c>
      <c r="T32" s="66">
        <f t="shared" si="22"/>
        <v>1940.3955443198438</v>
      </c>
      <c r="U32" s="89">
        <f t="shared" si="16"/>
        <v>2321.995309810362</v>
      </c>
      <c r="V32" s="67">
        <f t="shared" si="16"/>
        <v>2703.5950753008801</v>
      </c>
      <c r="W32" s="6">
        <f t="shared" si="17"/>
        <v>0.51635091117117471</v>
      </c>
      <c r="X32" s="66">
        <f t="shared" si="18"/>
        <v>1001.9250073420388</v>
      </c>
      <c r="Y32" s="89">
        <f t="shared" si="19"/>
        <v>1198.9643939557745</v>
      </c>
      <c r="Z32" s="67">
        <f t="shared" si="20"/>
        <v>1396.0037805695101</v>
      </c>
      <c r="AA32" s="14"/>
    </row>
    <row r="33" spans="1:27">
      <c r="A33" s="4">
        <f t="shared" si="21"/>
        <v>2039</v>
      </c>
      <c r="B33" s="4">
        <f t="shared" si="10"/>
        <v>20</v>
      </c>
      <c r="C33" s="63">
        <f t="shared" si="11"/>
        <v>0</v>
      </c>
      <c r="D33" s="64"/>
      <c r="E33" s="65">
        <f t="shared" si="12"/>
        <v>0</v>
      </c>
      <c r="F33" s="63">
        <f t="shared" si="13"/>
        <v>1416</v>
      </c>
      <c r="G33" s="64">
        <f t="shared" si="23"/>
        <v>1770</v>
      </c>
      <c r="H33" s="65">
        <f t="shared" si="7"/>
        <v>2124</v>
      </c>
      <c r="I33" s="66">
        <f t="shared" si="14"/>
        <v>1416</v>
      </c>
      <c r="J33" s="89">
        <f t="shared" si="14"/>
        <v>1770</v>
      </c>
      <c r="K33" s="67">
        <f t="shared" si="14"/>
        <v>2124</v>
      </c>
      <c r="L33" s="68">
        <f t="shared" si="28"/>
        <v>55</v>
      </c>
      <c r="M33" s="68">
        <f>'Option 2a'!M33</f>
        <v>468.91011753151565</v>
      </c>
      <c r="N33" s="68">
        <f t="shared" si="28"/>
        <v>30</v>
      </c>
      <c r="O33" s="68">
        <f t="shared" si="28"/>
        <v>12.5</v>
      </c>
      <c r="P33" s="68">
        <f t="shared" si="25"/>
        <v>0</v>
      </c>
      <c r="Q33" s="66">
        <f t="shared" si="15"/>
        <v>538.08961165493986</v>
      </c>
      <c r="R33" s="70">
        <f t="shared" si="8"/>
        <v>566.41011753151565</v>
      </c>
      <c r="S33" s="67">
        <f t="shared" si="9"/>
        <v>594.73062340809145</v>
      </c>
      <c r="T33" s="66">
        <f t="shared" si="22"/>
        <v>1954.0896116549397</v>
      </c>
      <c r="U33" s="89">
        <f t="shared" si="16"/>
        <v>2336.4101175315154</v>
      </c>
      <c r="V33" s="67">
        <f t="shared" si="16"/>
        <v>2718.7306234080916</v>
      </c>
      <c r="W33" s="6">
        <f t="shared" si="17"/>
        <v>0.49869703609346588</v>
      </c>
      <c r="X33" s="66">
        <f t="shared" si="18"/>
        <v>974.49869759335024</v>
      </c>
      <c r="Y33" s="89">
        <f t="shared" si="19"/>
        <v>1165.1608007117529</v>
      </c>
      <c r="Z33" s="67">
        <f t="shared" si="20"/>
        <v>1355.8229038301561</v>
      </c>
      <c r="AA33" s="14"/>
    </row>
    <row r="34" spans="1:27">
      <c r="A34" s="4">
        <f t="shared" si="21"/>
        <v>2040</v>
      </c>
      <c r="B34" s="4">
        <f t="shared" si="10"/>
        <v>21</v>
      </c>
      <c r="C34" s="63">
        <f t="shared" si="11"/>
        <v>0</v>
      </c>
      <c r="D34" s="64"/>
      <c r="E34" s="65">
        <f t="shared" si="12"/>
        <v>0</v>
      </c>
      <c r="F34" s="63">
        <f t="shared" si="13"/>
        <v>2457.7915954843365</v>
      </c>
      <c r="G34" s="64">
        <f>$AC$9+T6+X6+X8</f>
        <v>3072.2394943554204</v>
      </c>
      <c r="H34" s="65">
        <f t="shared" si="7"/>
        <v>3686.6873932265044</v>
      </c>
      <c r="I34" s="66">
        <f t="shared" si="14"/>
        <v>2457.7915954843365</v>
      </c>
      <c r="J34" s="89">
        <f t="shared" si="14"/>
        <v>3072.2394943554204</v>
      </c>
      <c r="K34" s="67">
        <f t="shared" si="14"/>
        <v>3686.6873932265044</v>
      </c>
      <c r="L34" s="68">
        <f t="shared" si="28"/>
        <v>55</v>
      </c>
      <c r="M34" s="68">
        <f>'Option 2a'!M34</f>
        <v>483.56425355965922</v>
      </c>
      <c r="N34" s="68">
        <f t="shared" si="28"/>
        <v>30</v>
      </c>
      <c r="O34" s="68">
        <f t="shared" si="28"/>
        <v>12.5</v>
      </c>
      <c r="P34" s="68">
        <f t="shared" si="25"/>
        <v>0</v>
      </c>
      <c r="Q34" s="66">
        <f t="shared" si="15"/>
        <v>552.01104088167619</v>
      </c>
      <c r="R34" s="70">
        <f t="shared" si="8"/>
        <v>581.06425355965916</v>
      </c>
      <c r="S34" s="67">
        <f t="shared" si="9"/>
        <v>610.11746623764213</v>
      </c>
      <c r="T34" s="66">
        <f t="shared" si="22"/>
        <v>3009.8026363660128</v>
      </c>
      <c r="U34" s="89">
        <f t="shared" si="16"/>
        <v>3653.3037479150798</v>
      </c>
      <c r="V34" s="67">
        <f t="shared" si="16"/>
        <v>4296.8048594641468</v>
      </c>
      <c r="W34" s="6">
        <f t="shared" si="17"/>
        <v>0.48164674144626801</v>
      </c>
      <c r="X34" s="66">
        <f t="shared" si="18"/>
        <v>1449.6616322020768</v>
      </c>
      <c r="Y34" s="89">
        <f t="shared" si="19"/>
        <v>1759.6018456967363</v>
      </c>
      <c r="Z34" s="67">
        <f t="shared" si="20"/>
        <v>2069.5420591913958</v>
      </c>
      <c r="AA34" s="14"/>
    </row>
    <row r="35" spans="1:27">
      <c r="A35" s="4">
        <f t="shared" si="21"/>
        <v>2041</v>
      </c>
      <c r="B35" s="4">
        <f t="shared" si="10"/>
        <v>22</v>
      </c>
      <c r="C35" s="63">
        <f t="shared" si="11"/>
        <v>0</v>
      </c>
      <c r="D35" s="64"/>
      <c r="E35" s="65">
        <f t="shared" si="12"/>
        <v>0</v>
      </c>
      <c r="F35" s="63">
        <f t="shared" si="13"/>
        <v>1416</v>
      </c>
      <c r="G35" s="64">
        <f t="shared" si="23"/>
        <v>1770</v>
      </c>
      <c r="H35" s="65">
        <f t="shared" si="7"/>
        <v>2124</v>
      </c>
      <c r="I35" s="66">
        <f t="shared" si="14"/>
        <v>1416</v>
      </c>
      <c r="J35" s="89">
        <f t="shared" si="14"/>
        <v>1770</v>
      </c>
      <c r="K35" s="67">
        <f t="shared" si="14"/>
        <v>2124</v>
      </c>
      <c r="L35" s="68">
        <f t="shared" si="28"/>
        <v>55</v>
      </c>
      <c r="M35" s="68">
        <f>'Option 2a'!M35</f>
        <v>498.41448773437878</v>
      </c>
      <c r="N35" s="68">
        <f t="shared" si="28"/>
        <v>30</v>
      </c>
      <c r="O35" s="68">
        <f t="shared" si="28"/>
        <v>12.5</v>
      </c>
      <c r="P35" s="68">
        <f t="shared" si="25"/>
        <v>0</v>
      </c>
      <c r="Q35" s="66">
        <f t="shared" si="15"/>
        <v>566.11876334765986</v>
      </c>
      <c r="R35" s="70">
        <f t="shared" si="8"/>
        <v>595.91448773437878</v>
      </c>
      <c r="S35" s="67">
        <f t="shared" si="9"/>
        <v>625.7102121210977</v>
      </c>
      <c r="T35" s="66">
        <f t="shared" si="22"/>
        <v>1982.1187633476598</v>
      </c>
      <c r="U35" s="89">
        <f t="shared" si="16"/>
        <v>2365.9144877343788</v>
      </c>
      <c r="V35" s="67">
        <f t="shared" si="16"/>
        <v>2749.7102121210978</v>
      </c>
      <c r="W35" s="6">
        <f t="shared" si="17"/>
        <v>0.46517939100470151</v>
      </c>
      <c r="X35" s="66">
        <f t="shared" si="18"/>
        <v>922.04079923305642</v>
      </c>
      <c r="Y35" s="89">
        <f t="shared" si="19"/>
        <v>1100.5746605734787</v>
      </c>
      <c r="Z35" s="67">
        <f t="shared" si="20"/>
        <v>1279.1085219139009</v>
      </c>
      <c r="AA35" s="14"/>
    </row>
    <row r="36" spans="1:27">
      <c r="A36" s="4">
        <f t="shared" si="21"/>
        <v>2042</v>
      </c>
      <c r="B36" s="4">
        <f t="shared" si="10"/>
        <v>23</v>
      </c>
      <c r="C36" s="63">
        <f t="shared" si="11"/>
        <v>0</v>
      </c>
      <c r="D36" s="64"/>
      <c r="E36" s="65">
        <f t="shared" si="12"/>
        <v>0</v>
      </c>
      <c r="F36" s="63">
        <f t="shared" si="13"/>
        <v>1416</v>
      </c>
      <c r="G36" s="64">
        <f t="shared" si="23"/>
        <v>1770</v>
      </c>
      <c r="H36" s="65">
        <f t="shared" si="7"/>
        <v>2124</v>
      </c>
      <c r="I36" s="66">
        <f t="shared" si="14"/>
        <v>1416</v>
      </c>
      <c r="J36" s="89">
        <f t="shared" si="14"/>
        <v>1770</v>
      </c>
      <c r="K36" s="67">
        <f t="shared" si="14"/>
        <v>2124</v>
      </c>
      <c r="L36" s="68">
        <f t="shared" si="28"/>
        <v>55</v>
      </c>
      <c r="M36" s="68">
        <f>'Option 2a'!M36</f>
        <v>507.11810941023009</v>
      </c>
      <c r="N36" s="68">
        <f t="shared" si="28"/>
        <v>30</v>
      </c>
      <c r="O36" s="68">
        <f t="shared" si="28"/>
        <v>12.5</v>
      </c>
      <c r="P36" s="68">
        <f t="shared" si="25"/>
        <v>0</v>
      </c>
      <c r="Q36" s="66">
        <f t="shared" si="15"/>
        <v>574.38720393971857</v>
      </c>
      <c r="R36" s="70">
        <f t="shared" si="8"/>
        <v>604.61810941023009</v>
      </c>
      <c r="S36" s="67">
        <f t="shared" si="9"/>
        <v>634.84901488074161</v>
      </c>
      <c r="T36" s="66">
        <f t="shared" si="22"/>
        <v>1990.3872039397186</v>
      </c>
      <c r="U36" s="89">
        <f t="shared" si="16"/>
        <v>2374.6181094102303</v>
      </c>
      <c r="V36" s="67">
        <f t="shared" si="16"/>
        <v>2758.8490148807414</v>
      </c>
      <c r="W36" s="6">
        <f t="shared" si="17"/>
        <v>0.44927505408991841</v>
      </c>
      <c r="X36" s="66">
        <f t="shared" si="18"/>
        <v>894.23131870989857</v>
      </c>
      <c r="Y36" s="89">
        <f t="shared" si="19"/>
        <v>1066.8566795481811</v>
      </c>
      <c r="Z36" s="67">
        <f t="shared" si="20"/>
        <v>1239.4820403864633</v>
      </c>
      <c r="AA36" s="14"/>
    </row>
    <row r="37" spans="1:27">
      <c r="A37" s="4">
        <f t="shared" si="21"/>
        <v>2043</v>
      </c>
      <c r="B37" s="4">
        <f t="shared" si="10"/>
        <v>24</v>
      </c>
      <c r="C37" s="63">
        <f t="shared" si="11"/>
        <v>0</v>
      </c>
      <c r="D37" s="64"/>
      <c r="E37" s="65">
        <f t="shared" si="12"/>
        <v>0</v>
      </c>
      <c r="F37" s="63">
        <f t="shared" si="13"/>
        <v>1416</v>
      </c>
      <c r="G37" s="64">
        <f t="shared" si="23"/>
        <v>1770</v>
      </c>
      <c r="H37" s="65">
        <f t="shared" si="7"/>
        <v>2124</v>
      </c>
      <c r="I37" s="66">
        <f t="shared" si="14"/>
        <v>1416</v>
      </c>
      <c r="J37" s="89">
        <f t="shared" si="14"/>
        <v>1770</v>
      </c>
      <c r="K37" s="67">
        <f t="shared" si="14"/>
        <v>2124</v>
      </c>
      <c r="L37" s="68">
        <f t="shared" si="28"/>
        <v>55</v>
      </c>
      <c r="M37" s="68">
        <f>'Option 2a'!M37</f>
        <v>515.8217310860814</v>
      </c>
      <c r="N37" s="68">
        <f t="shared" si="28"/>
        <v>30</v>
      </c>
      <c r="O37" s="68">
        <f t="shared" si="28"/>
        <v>12.5</v>
      </c>
      <c r="P37" s="68">
        <f t="shared" si="25"/>
        <v>0</v>
      </c>
      <c r="Q37" s="66">
        <f t="shared" si="15"/>
        <v>582.65564453177728</v>
      </c>
      <c r="R37" s="70">
        <f t="shared" si="8"/>
        <v>613.3217310860814</v>
      </c>
      <c r="S37" s="67">
        <f t="shared" si="9"/>
        <v>643.98781764038552</v>
      </c>
      <c r="T37" s="66">
        <f t="shared" si="22"/>
        <v>1998.6556445317774</v>
      </c>
      <c r="U37" s="89">
        <f t="shared" si="16"/>
        <v>2383.3217310860814</v>
      </c>
      <c r="V37" s="67">
        <f t="shared" si="16"/>
        <v>2767.9878176403854</v>
      </c>
      <c r="W37" s="6">
        <f t="shared" si="17"/>
        <v>0.43391448144670497</v>
      </c>
      <c r="X37" s="66">
        <f t="shared" si="18"/>
        <v>867.24562758753609</v>
      </c>
      <c r="Y37" s="89">
        <f t="shared" si="19"/>
        <v>1034.1578130648802</v>
      </c>
      <c r="Z37" s="67">
        <f t="shared" si="20"/>
        <v>1201.0699985422243</v>
      </c>
      <c r="AA37" s="14"/>
    </row>
    <row r="38" spans="1:27">
      <c r="A38" s="4">
        <f t="shared" si="21"/>
        <v>2044</v>
      </c>
      <c r="B38" s="4">
        <f t="shared" si="10"/>
        <v>25</v>
      </c>
      <c r="C38" s="63">
        <f t="shared" si="11"/>
        <v>0</v>
      </c>
      <c r="D38" s="64"/>
      <c r="E38" s="65">
        <f t="shared" si="12"/>
        <v>0</v>
      </c>
      <c r="F38" s="63">
        <f t="shared" si="13"/>
        <v>1416</v>
      </c>
      <c r="G38" s="64">
        <f>$AC$9+X8</f>
        <v>1770</v>
      </c>
      <c r="H38" s="65">
        <f t="shared" si="7"/>
        <v>2124</v>
      </c>
      <c r="I38" s="66">
        <f t="shared" si="14"/>
        <v>1416</v>
      </c>
      <c r="J38" s="89">
        <f t="shared" si="14"/>
        <v>1770</v>
      </c>
      <c r="K38" s="67">
        <f t="shared" si="14"/>
        <v>2124</v>
      </c>
      <c r="L38" s="68">
        <f t="shared" si="28"/>
        <v>55</v>
      </c>
      <c r="M38" s="68">
        <f>'Option 2a'!M38</f>
        <v>524.52535276193271</v>
      </c>
      <c r="N38" s="68">
        <f t="shared" si="28"/>
        <v>30</v>
      </c>
      <c r="O38" s="68">
        <f t="shared" si="28"/>
        <v>12.5</v>
      </c>
      <c r="P38" s="68">
        <f t="shared" si="25"/>
        <v>0</v>
      </c>
      <c r="Q38" s="66">
        <f t="shared" si="15"/>
        <v>590.92408512383599</v>
      </c>
      <c r="R38" s="70">
        <f t="shared" si="8"/>
        <v>622.02535276193271</v>
      </c>
      <c r="S38" s="67">
        <f t="shared" si="9"/>
        <v>653.12662040002942</v>
      </c>
      <c r="T38" s="66">
        <f t="shared" si="22"/>
        <v>2006.924085123836</v>
      </c>
      <c r="U38" s="89">
        <f t="shared" si="16"/>
        <v>2392.0253527619325</v>
      </c>
      <c r="V38" s="67">
        <f t="shared" si="16"/>
        <v>2777.1266204000294</v>
      </c>
      <c r="W38" s="7">
        <f t="shared" si="17"/>
        <v>0.41907908194582277</v>
      </c>
      <c r="X38" s="66">
        <f t="shared" si="18"/>
        <v>841.05990312865742</v>
      </c>
      <c r="Y38" s="89">
        <f t="shared" si="19"/>
        <v>1002.4477888266035</v>
      </c>
      <c r="Z38" s="67">
        <f t="shared" si="20"/>
        <v>1163.8356745245499</v>
      </c>
      <c r="AA38" s="14"/>
    </row>
    <row r="39" spans="1:27">
      <c r="A39" s="4">
        <f t="shared" si="21"/>
        <v>2045</v>
      </c>
      <c r="B39" s="4">
        <f t="shared" si="10"/>
        <v>26</v>
      </c>
      <c r="C39" s="63">
        <f t="shared" si="11"/>
        <v>0</v>
      </c>
      <c r="D39" s="64"/>
      <c r="E39" s="65">
        <f t="shared" si="12"/>
        <v>0</v>
      </c>
      <c r="F39" s="63">
        <f t="shared" si="13"/>
        <v>9954.7243593590265</v>
      </c>
      <c r="G39" s="64">
        <f>$AC$9+T5+T4+X4+X5</f>
        <v>12443.405449198783</v>
      </c>
      <c r="H39" s="65">
        <f t="shared" si="7"/>
        <v>14932.086539038539</v>
      </c>
      <c r="I39" s="66">
        <f t="shared" si="14"/>
        <v>9954.7243593590265</v>
      </c>
      <c r="J39" s="89">
        <f t="shared" si="14"/>
        <v>12443.405449198783</v>
      </c>
      <c r="K39" s="67">
        <f t="shared" si="14"/>
        <v>14932.086539038539</v>
      </c>
      <c r="L39" s="68">
        <f t="shared" si="28"/>
        <v>55</v>
      </c>
      <c r="M39" s="68">
        <f>'Option 2a'!M39</f>
        <v>533.22897443778402</v>
      </c>
      <c r="N39" s="68">
        <f t="shared" si="28"/>
        <v>30</v>
      </c>
      <c r="O39" s="68">
        <f t="shared" si="28"/>
        <v>12.5</v>
      </c>
      <c r="P39" s="68">
        <f t="shared" si="25"/>
        <v>0</v>
      </c>
      <c r="Q39" s="66">
        <f t="shared" si="15"/>
        <v>599.19252571589482</v>
      </c>
      <c r="R39" s="70">
        <f t="shared" si="8"/>
        <v>630.72897443778402</v>
      </c>
      <c r="S39" s="67">
        <f t="shared" si="9"/>
        <v>662.26542315967322</v>
      </c>
      <c r="T39" s="66">
        <f t="shared" si="22"/>
        <v>10553.916885074921</v>
      </c>
      <c r="U39" s="89">
        <f t="shared" si="16"/>
        <v>13074.134423636566</v>
      </c>
      <c r="V39" s="67">
        <f t="shared" si="16"/>
        <v>15594.351962198212</v>
      </c>
      <c r="W39" s="7">
        <f t="shared" si="17"/>
        <v>0.40475090008288855</v>
      </c>
      <c r="X39" s="66">
        <f t="shared" si="18"/>
        <v>4271.7073586340694</v>
      </c>
      <c r="Y39" s="89">
        <f t="shared" si="19"/>
        <v>5291.7676757715772</v>
      </c>
      <c r="Z39" s="67">
        <f t="shared" si="20"/>
        <v>6311.8279929090859</v>
      </c>
      <c r="AA39" s="14"/>
    </row>
    <row r="40" spans="1:27">
      <c r="A40" s="4">
        <f t="shared" si="21"/>
        <v>2046</v>
      </c>
      <c r="B40" s="4">
        <f t="shared" si="10"/>
        <v>27</v>
      </c>
      <c r="C40" s="63">
        <f t="shared" si="11"/>
        <v>0</v>
      </c>
      <c r="D40" s="64"/>
      <c r="E40" s="65">
        <f t="shared" si="12"/>
        <v>0</v>
      </c>
      <c r="F40" s="63">
        <f>G40*(1+$F$11)</f>
        <v>1416</v>
      </c>
      <c r="G40" s="64">
        <f t="shared" si="23"/>
        <v>1770</v>
      </c>
      <c r="H40" s="65">
        <f t="shared" si="7"/>
        <v>2124</v>
      </c>
      <c r="I40" s="66">
        <f t="shared" si="14"/>
        <v>1416</v>
      </c>
      <c r="J40" s="89">
        <f t="shared" si="14"/>
        <v>1770</v>
      </c>
      <c r="K40" s="67">
        <f t="shared" si="14"/>
        <v>2124</v>
      </c>
      <c r="L40" s="68">
        <f t="shared" si="28"/>
        <v>55</v>
      </c>
      <c r="M40" s="68">
        <f>'Option 2a'!M40</f>
        <v>541.93259611363521</v>
      </c>
      <c r="N40" s="68">
        <f t="shared" si="28"/>
        <v>30</v>
      </c>
      <c r="O40" s="68">
        <f t="shared" si="28"/>
        <v>12.5</v>
      </c>
      <c r="P40" s="68">
        <f t="shared" si="25"/>
        <v>0</v>
      </c>
      <c r="Q40" s="66">
        <f t="shared" si="15"/>
        <v>607.46096630795341</v>
      </c>
      <c r="R40" s="70">
        <f t="shared" si="8"/>
        <v>639.43259611363521</v>
      </c>
      <c r="S40" s="67">
        <f t="shared" si="9"/>
        <v>671.40422591931701</v>
      </c>
      <c r="T40" s="66">
        <f t="shared" si="22"/>
        <v>2023.4609663079534</v>
      </c>
      <c r="U40" s="89">
        <f t="shared" si="16"/>
        <v>2409.4325961136351</v>
      </c>
      <c r="V40" s="67">
        <f t="shared" si="16"/>
        <v>2795.404225919317</v>
      </c>
      <c r="W40" s="7">
        <f t="shared" si="17"/>
        <v>0.39091259424656027</v>
      </c>
      <c r="X40" s="66">
        <f t="shared" si="18"/>
        <v>790.99637569609376</v>
      </c>
      <c r="Y40" s="89">
        <f t="shared" si="19"/>
        <v>941.87754680900582</v>
      </c>
      <c r="Z40" s="67">
        <f t="shared" si="20"/>
        <v>1092.7587179219179</v>
      </c>
      <c r="AA40" s="90" t="s">
        <v>62</v>
      </c>
    </row>
    <row r="41" spans="1:27">
      <c r="A41" s="4">
        <f t="shared" si="21"/>
        <v>2047</v>
      </c>
      <c r="B41" s="4">
        <f t="shared" si="10"/>
        <v>28</v>
      </c>
      <c r="C41" s="63">
        <f t="shared" si="11"/>
        <v>0</v>
      </c>
      <c r="D41" s="64"/>
      <c r="E41" s="65">
        <f t="shared" si="12"/>
        <v>0</v>
      </c>
      <c r="F41" s="63">
        <f t="shared" si="13"/>
        <v>1416</v>
      </c>
      <c r="G41" s="64">
        <f t="shared" si="23"/>
        <v>1770</v>
      </c>
      <c r="H41" s="65">
        <f t="shared" si="7"/>
        <v>2124</v>
      </c>
      <c r="I41" s="66">
        <f t="shared" si="14"/>
        <v>1416</v>
      </c>
      <c r="J41" s="89">
        <f t="shared" si="14"/>
        <v>1770</v>
      </c>
      <c r="K41" s="67">
        <f t="shared" si="14"/>
        <v>2124</v>
      </c>
      <c r="L41" s="68">
        <f t="shared" si="28"/>
        <v>55</v>
      </c>
      <c r="M41" s="68">
        <f>'Option 2a'!M41</f>
        <v>550.63621778948652</v>
      </c>
      <c r="N41" s="68">
        <f t="shared" si="28"/>
        <v>30</v>
      </c>
      <c r="O41" s="68">
        <f t="shared" si="28"/>
        <v>12.5</v>
      </c>
      <c r="P41" s="68">
        <f t="shared" si="25"/>
        <v>0</v>
      </c>
      <c r="Q41" s="66">
        <f t="shared" si="15"/>
        <v>615.72940690001212</v>
      </c>
      <c r="R41" s="70">
        <f t="shared" si="8"/>
        <v>648.13621778948652</v>
      </c>
      <c r="S41" s="67">
        <f t="shared" si="9"/>
        <v>680.54302867896092</v>
      </c>
      <c r="T41" s="66">
        <f t="shared" si="22"/>
        <v>2031.7294069000122</v>
      </c>
      <c r="U41" s="89">
        <f t="shared" si="16"/>
        <v>2418.1362177894866</v>
      </c>
      <c r="V41" s="67">
        <f t="shared" si="16"/>
        <v>2804.543028678961</v>
      </c>
      <c r="W41" s="7">
        <f t="shared" si="17"/>
        <v>0.37754741572972783</v>
      </c>
      <c r="X41" s="66">
        <f t="shared" si="18"/>
        <v>767.07418703719225</v>
      </c>
      <c r="Y41" s="89">
        <f t="shared" si="19"/>
        <v>912.96107990887901</v>
      </c>
      <c r="Z41" s="67">
        <f t="shared" si="20"/>
        <v>1058.8479727805657</v>
      </c>
      <c r="AA41" s="14"/>
    </row>
    <row r="42" spans="1:27">
      <c r="A42" s="4">
        <f t="shared" si="21"/>
        <v>2048</v>
      </c>
      <c r="B42" s="4">
        <f t="shared" si="10"/>
        <v>29</v>
      </c>
      <c r="C42" s="63">
        <f t="shared" si="11"/>
        <v>0</v>
      </c>
      <c r="D42" s="64"/>
      <c r="E42" s="65">
        <f t="shared" si="12"/>
        <v>0</v>
      </c>
      <c r="F42" s="63">
        <f t="shared" si="13"/>
        <v>1416</v>
      </c>
      <c r="G42" s="64">
        <f>$AC$9+X8</f>
        <v>1770</v>
      </c>
      <c r="H42" s="65">
        <f t="shared" si="7"/>
        <v>2124</v>
      </c>
      <c r="I42" s="66">
        <f t="shared" si="14"/>
        <v>1416</v>
      </c>
      <c r="J42" s="89">
        <f t="shared" si="14"/>
        <v>1770</v>
      </c>
      <c r="K42" s="67">
        <f t="shared" si="14"/>
        <v>2124</v>
      </c>
      <c r="L42" s="68">
        <f t="shared" si="28"/>
        <v>55</v>
      </c>
      <c r="M42" s="68">
        <f>'Option 2a'!M42</f>
        <v>559.33983946533783</v>
      </c>
      <c r="N42" s="68">
        <f t="shared" si="28"/>
        <v>30</v>
      </c>
      <c r="O42" s="68">
        <f t="shared" si="28"/>
        <v>12.5</v>
      </c>
      <c r="P42" s="68">
        <f t="shared" si="25"/>
        <v>0</v>
      </c>
      <c r="Q42" s="66">
        <f t="shared" si="15"/>
        <v>623.99784749207095</v>
      </c>
      <c r="R42" s="70">
        <f t="shared" si="8"/>
        <v>656.83983946533783</v>
      </c>
      <c r="S42" s="67">
        <f t="shared" si="9"/>
        <v>689.68183143860472</v>
      </c>
      <c r="T42" s="66">
        <f t="shared" si="22"/>
        <v>2039.9978474920708</v>
      </c>
      <c r="U42" s="89">
        <f t="shared" si="16"/>
        <v>2426.8398394653377</v>
      </c>
      <c r="V42" s="67">
        <f t="shared" si="16"/>
        <v>2813.6818314386046</v>
      </c>
      <c r="W42" s="7">
        <f t="shared" si="17"/>
        <v>0.36463918845830384</v>
      </c>
      <c r="X42" s="66">
        <f t="shared" si="18"/>
        <v>743.86315956619535</v>
      </c>
      <c r="Y42" s="89">
        <f t="shared" si="19"/>
        <v>884.92090958092115</v>
      </c>
      <c r="Z42" s="67">
        <f t="shared" si="20"/>
        <v>1025.9786595956468</v>
      </c>
      <c r="AA42" s="14"/>
    </row>
    <row r="43" spans="1:27">
      <c r="A43" s="4">
        <f t="shared" si="21"/>
        <v>2049</v>
      </c>
      <c r="B43" s="4">
        <f t="shared" si="10"/>
        <v>30</v>
      </c>
      <c r="C43" s="63">
        <f t="shared" si="11"/>
        <v>0</v>
      </c>
      <c r="D43" s="64"/>
      <c r="E43" s="65">
        <f t="shared" si="12"/>
        <v>0</v>
      </c>
      <c r="F43" s="63">
        <f t="shared" si="13"/>
        <v>1416</v>
      </c>
      <c r="G43" s="64">
        <f t="shared" si="23"/>
        <v>1770</v>
      </c>
      <c r="H43" s="65">
        <f t="shared" si="7"/>
        <v>2124</v>
      </c>
      <c r="I43" s="66">
        <f t="shared" si="14"/>
        <v>1416</v>
      </c>
      <c r="J43" s="89">
        <f t="shared" si="14"/>
        <v>1770</v>
      </c>
      <c r="K43" s="67">
        <f t="shared" si="14"/>
        <v>2124</v>
      </c>
      <c r="L43" s="68">
        <f t="shared" si="28"/>
        <v>55</v>
      </c>
      <c r="M43" s="68">
        <f>'Option 2a'!M43</f>
        <v>568.04346114118914</v>
      </c>
      <c r="N43" s="68">
        <f t="shared" si="28"/>
        <v>30</v>
      </c>
      <c r="O43" s="68">
        <f t="shared" si="28"/>
        <v>12.5</v>
      </c>
      <c r="P43" s="68">
        <f t="shared" si="25"/>
        <v>0</v>
      </c>
      <c r="Q43" s="66">
        <f t="shared" si="15"/>
        <v>632.26628808412966</v>
      </c>
      <c r="R43" s="70">
        <f t="shared" si="8"/>
        <v>665.54346114118914</v>
      </c>
      <c r="S43" s="67">
        <f t="shared" si="9"/>
        <v>698.82063419824863</v>
      </c>
      <c r="T43" s="66">
        <f t="shared" si="22"/>
        <v>2048.2662880841299</v>
      </c>
      <c r="U43" s="89">
        <f t="shared" si="16"/>
        <v>2435.5434611411893</v>
      </c>
      <c r="V43" s="67">
        <f t="shared" si="16"/>
        <v>2822.8206341982486</v>
      </c>
      <c r="W43" s="7">
        <f t="shared" si="17"/>
        <v>0.35217228941308076</v>
      </c>
      <c r="X43" s="66">
        <f t="shared" si="18"/>
        <v>721.34262800222086</v>
      </c>
      <c r="Y43" s="89">
        <f t="shared" si="19"/>
        <v>857.73091667515132</v>
      </c>
      <c r="Z43" s="67">
        <f t="shared" si="20"/>
        <v>994.11920534808178</v>
      </c>
      <c r="AA43" s="14"/>
    </row>
    <row r="44" spans="1:27">
      <c r="A44" s="4">
        <f t="shared" si="21"/>
        <v>2050</v>
      </c>
      <c r="B44" s="4">
        <f t="shared" si="10"/>
        <v>31</v>
      </c>
      <c r="C44" s="63">
        <f t="shared" si="11"/>
        <v>0</v>
      </c>
      <c r="D44" s="64"/>
      <c r="E44" s="65">
        <f t="shared" si="12"/>
        <v>0</v>
      </c>
      <c r="F44" s="63">
        <f t="shared" si="13"/>
        <v>2457.7915954843365</v>
      </c>
      <c r="G44" s="64">
        <f>$AC$9+T6+X6</f>
        <v>3072.2394943554204</v>
      </c>
      <c r="H44" s="65">
        <f t="shared" si="7"/>
        <v>3686.6873932265044</v>
      </c>
      <c r="I44" s="66">
        <f t="shared" si="14"/>
        <v>2457.7915954843365</v>
      </c>
      <c r="J44" s="89">
        <f t="shared" si="14"/>
        <v>3072.2394943554204</v>
      </c>
      <c r="K44" s="67">
        <f t="shared" si="14"/>
        <v>3686.6873932265044</v>
      </c>
      <c r="L44" s="68">
        <f t="shared" si="28"/>
        <v>55</v>
      </c>
      <c r="M44" s="68">
        <f>'Option 2a'!M44</f>
        <v>576.74708281704034</v>
      </c>
      <c r="N44" s="68">
        <f t="shared" si="28"/>
        <v>30</v>
      </c>
      <c r="O44" s="68">
        <f t="shared" si="28"/>
        <v>12.5</v>
      </c>
      <c r="P44" s="68">
        <f t="shared" si="25"/>
        <v>0</v>
      </c>
      <c r="Q44" s="66">
        <f t="shared" si="15"/>
        <v>640.53472867618825</v>
      </c>
      <c r="R44" s="70">
        <f t="shared" si="8"/>
        <v>674.24708281704034</v>
      </c>
      <c r="S44" s="67">
        <f t="shared" si="9"/>
        <v>707.95943695789242</v>
      </c>
      <c r="T44" s="66">
        <f t="shared" si="22"/>
        <v>3098.3263241605246</v>
      </c>
      <c r="U44" s="89">
        <f t="shared" si="16"/>
        <v>3746.4865771724608</v>
      </c>
      <c r="V44" s="67">
        <f t="shared" si="16"/>
        <v>4394.646830184397</v>
      </c>
      <c r="W44" s="7">
        <f t="shared" si="17"/>
        <v>0.34013162972095884</v>
      </c>
      <c r="X44" s="66">
        <f t="shared" si="18"/>
        <v>1053.8387820440671</v>
      </c>
      <c r="Y44" s="89">
        <f t="shared" si="19"/>
        <v>1274.298585221366</v>
      </c>
      <c r="Z44" s="67">
        <f t="shared" si="20"/>
        <v>1494.7583883986647</v>
      </c>
      <c r="AA44" s="90" t="s">
        <v>63</v>
      </c>
    </row>
    <row r="45" spans="1:27">
      <c r="A45" s="4">
        <f t="shared" si="21"/>
        <v>2051</v>
      </c>
      <c r="B45" s="4">
        <f t="shared" si="10"/>
        <v>32</v>
      </c>
      <c r="C45" s="63">
        <f t="shared" si="11"/>
        <v>0</v>
      </c>
      <c r="D45" s="64"/>
      <c r="E45" s="65">
        <f t="shared" si="12"/>
        <v>0</v>
      </c>
      <c r="F45" s="63">
        <f t="shared" si="13"/>
        <v>1416</v>
      </c>
      <c r="G45" s="64">
        <f t="shared" si="23"/>
        <v>1770</v>
      </c>
      <c r="H45" s="65">
        <f t="shared" si="7"/>
        <v>2124</v>
      </c>
      <c r="I45" s="66">
        <f t="shared" si="14"/>
        <v>1416</v>
      </c>
      <c r="J45" s="89">
        <f t="shared" si="14"/>
        <v>1770</v>
      </c>
      <c r="K45" s="67">
        <f t="shared" si="14"/>
        <v>2124</v>
      </c>
      <c r="L45" s="68">
        <f t="shared" si="28"/>
        <v>55</v>
      </c>
      <c r="M45" s="68">
        <f>'Option 2a'!M45</f>
        <v>585.45070449289165</v>
      </c>
      <c r="N45" s="68">
        <f t="shared" si="28"/>
        <v>30</v>
      </c>
      <c r="O45" s="68">
        <f t="shared" si="28"/>
        <v>12.5</v>
      </c>
      <c r="P45" s="68">
        <f t="shared" si="25"/>
        <v>0</v>
      </c>
      <c r="Q45" s="66">
        <f t="shared" si="15"/>
        <v>648.80316926824707</v>
      </c>
      <c r="R45" s="70">
        <f t="shared" si="8"/>
        <v>682.95070449289165</v>
      </c>
      <c r="S45" s="67">
        <f t="shared" si="9"/>
        <v>717.09823971753622</v>
      </c>
      <c r="T45" s="66">
        <f t="shared" si="22"/>
        <v>2064.8031692682471</v>
      </c>
      <c r="U45" s="89">
        <f t="shared" si="16"/>
        <v>2452.9507044928914</v>
      </c>
      <c r="V45" s="67">
        <f t="shared" si="16"/>
        <v>2841.0982397175362</v>
      </c>
      <c r="W45" s="7">
        <f t="shared" si="17"/>
        <v>0.3285026363926587</v>
      </c>
      <c r="X45" s="66">
        <f t="shared" si="18"/>
        <v>678.29328473653629</v>
      </c>
      <c r="Y45" s="89">
        <f t="shared" si="19"/>
        <v>805.8007733671443</v>
      </c>
      <c r="Z45" s="67">
        <f t="shared" si="20"/>
        <v>933.30826199775242</v>
      </c>
      <c r="AA45" s="14"/>
    </row>
    <row r="46" spans="1:27">
      <c r="A46" s="4">
        <f t="shared" si="21"/>
        <v>2052</v>
      </c>
      <c r="B46" s="4">
        <f t="shared" si="10"/>
        <v>33</v>
      </c>
      <c r="C46" s="63">
        <f t="shared" si="11"/>
        <v>0</v>
      </c>
      <c r="D46" s="64"/>
      <c r="E46" s="65">
        <f t="shared" si="12"/>
        <v>0</v>
      </c>
      <c r="F46" s="63">
        <f t="shared" si="13"/>
        <v>1416</v>
      </c>
      <c r="G46" s="64">
        <f>$AC$9+X8</f>
        <v>1770</v>
      </c>
      <c r="H46" s="65">
        <f t="shared" si="7"/>
        <v>2124</v>
      </c>
      <c r="I46" s="66">
        <f t="shared" si="14"/>
        <v>1416</v>
      </c>
      <c r="J46" s="89">
        <f t="shared" si="14"/>
        <v>1770</v>
      </c>
      <c r="K46" s="67">
        <f t="shared" si="14"/>
        <v>2124</v>
      </c>
      <c r="L46" s="68">
        <f t="shared" si="28"/>
        <v>55</v>
      </c>
      <c r="M46" s="68">
        <f>'Option 2a'!M46</f>
        <v>594.15432616874295</v>
      </c>
      <c r="N46" s="68">
        <f t="shared" si="28"/>
        <v>30</v>
      </c>
      <c r="O46" s="68">
        <f t="shared" si="28"/>
        <v>12.5</v>
      </c>
      <c r="P46" s="68">
        <f t="shared" si="25"/>
        <v>0</v>
      </c>
      <c r="Q46" s="66">
        <f t="shared" si="15"/>
        <v>657.07160986030578</v>
      </c>
      <c r="R46" s="70">
        <f t="shared" si="8"/>
        <v>691.65432616874295</v>
      </c>
      <c r="S46" s="67">
        <f t="shared" si="9"/>
        <v>726.23704247718013</v>
      </c>
      <c r="T46" s="66">
        <f t="shared" si="22"/>
        <v>2073.0716098603057</v>
      </c>
      <c r="U46" s="89">
        <f t="shared" si="16"/>
        <v>2461.654326168743</v>
      </c>
      <c r="V46" s="67">
        <f t="shared" si="16"/>
        <v>2850.2370424771802</v>
      </c>
      <c r="W46" s="7">
        <f t="shared" si="17"/>
        <v>0.31727123468481616</v>
      </c>
      <c r="X46" s="66">
        <f t="shared" si="18"/>
        <v>657.72598925041871</v>
      </c>
      <c r="Y46" s="89">
        <f t="shared" si="19"/>
        <v>781.01210743077627</v>
      </c>
      <c r="Z46" s="67">
        <f t="shared" si="20"/>
        <v>904.29822561113383</v>
      </c>
      <c r="AA46" s="14"/>
    </row>
    <row r="47" spans="1:27">
      <c r="A47" s="4">
        <f t="shared" si="21"/>
        <v>2053</v>
      </c>
      <c r="B47" s="4">
        <f t="shared" si="10"/>
        <v>34</v>
      </c>
      <c r="C47" s="63">
        <f t="shared" si="11"/>
        <v>0</v>
      </c>
      <c r="D47" s="64"/>
      <c r="E47" s="65">
        <f t="shared" si="12"/>
        <v>0</v>
      </c>
      <c r="F47" s="63">
        <f t="shared" si="13"/>
        <v>1416</v>
      </c>
      <c r="G47" s="64">
        <f t="shared" si="23"/>
        <v>1770</v>
      </c>
      <c r="H47" s="65">
        <f t="shared" si="7"/>
        <v>2124</v>
      </c>
      <c r="I47" s="66">
        <f t="shared" si="14"/>
        <v>1416</v>
      </c>
      <c r="J47" s="89">
        <f t="shared" si="14"/>
        <v>1770</v>
      </c>
      <c r="K47" s="67">
        <f t="shared" si="14"/>
        <v>2124</v>
      </c>
      <c r="L47" s="68">
        <f t="shared" si="28"/>
        <v>55</v>
      </c>
      <c r="M47" s="68">
        <f>'Option 2a'!M47</f>
        <v>602.85794784459426</v>
      </c>
      <c r="N47" s="68">
        <f t="shared" si="28"/>
        <v>30</v>
      </c>
      <c r="O47" s="68">
        <f t="shared" si="28"/>
        <v>12.5</v>
      </c>
      <c r="P47" s="68">
        <f t="shared" si="25"/>
        <v>0</v>
      </c>
      <c r="Q47" s="66">
        <f t="shared" si="15"/>
        <v>665.34005045236449</v>
      </c>
      <c r="R47" s="70">
        <f t="shared" si="8"/>
        <v>700.35794784459426</v>
      </c>
      <c r="S47" s="67">
        <f t="shared" si="9"/>
        <v>735.37584523682403</v>
      </c>
      <c r="T47" s="66">
        <f t="shared" si="22"/>
        <v>2081.3400504523643</v>
      </c>
      <c r="U47" s="89">
        <f t="shared" si="16"/>
        <v>2470.3579478445945</v>
      </c>
      <c r="V47" s="67">
        <f t="shared" si="16"/>
        <v>2859.3758452368238</v>
      </c>
      <c r="W47" s="7">
        <f t="shared" si="17"/>
        <v>0.30642383106511123</v>
      </c>
      <c r="X47" s="66">
        <f t="shared" si="18"/>
        <v>637.77219200886532</v>
      </c>
      <c r="Y47" s="89">
        <f t="shared" si="19"/>
        <v>756.97654648068692</v>
      </c>
      <c r="Z47" s="67">
        <f t="shared" si="20"/>
        <v>876.18090095250818</v>
      </c>
      <c r="AA47" s="14"/>
    </row>
    <row r="48" spans="1:27">
      <c r="A48" s="4">
        <f t="shared" si="21"/>
        <v>2054</v>
      </c>
      <c r="B48" s="4">
        <f t="shared" si="10"/>
        <v>35</v>
      </c>
      <c r="C48" s="63">
        <f t="shared" si="11"/>
        <v>0</v>
      </c>
      <c r="D48" s="64"/>
      <c r="E48" s="65">
        <f t="shared" si="12"/>
        <v>0</v>
      </c>
      <c r="F48" s="63">
        <f t="shared" si="13"/>
        <v>1416</v>
      </c>
      <c r="G48" s="64">
        <f t="shared" si="23"/>
        <v>1770</v>
      </c>
      <c r="H48" s="65">
        <f t="shared" si="7"/>
        <v>2124</v>
      </c>
      <c r="I48" s="66">
        <f t="shared" si="14"/>
        <v>1416</v>
      </c>
      <c r="J48" s="89">
        <f t="shared" si="14"/>
        <v>1770</v>
      </c>
      <c r="K48" s="67">
        <f t="shared" si="14"/>
        <v>2124</v>
      </c>
      <c r="L48" s="68">
        <f t="shared" ref="L48:O63" si="29">L47</f>
        <v>55</v>
      </c>
      <c r="M48" s="68">
        <f>'Option 2a'!M48</f>
        <v>611.56156952044557</v>
      </c>
      <c r="N48" s="68">
        <f t="shared" si="29"/>
        <v>30</v>
      </c>
      <c r="O48" s="68">
        <f t="shared" si="29"/>
        <v>12.5</v>
      </c>
      <c r="P48" s="68">
        <f t="shared" si="25"/>
        <v>0</v>
      </c>
      <c r="Q48" s="66">
        <f t="shared" si="15"/>
        <v>673.60849104442332</v>
      </c>
      <c r="R48" s="70">
        <f t="shared" si="8"/>
        <v>709.06156952044557</v>
      </c>
      <c r="S48" s="67">
        <f t="shared" si="9"/>
        <v>744.51464799646783</v>
      </c>
      <c r="T48" s="66">
        <f t="shared" si="22"/>
        <v>2089.6084910444233</v>
      </c>
      <c r="U48" s="89">
        <f t="shared" si="16"/>
        <v>2479.0615695204456</v>
      </c>
      <c r="V48" s="67">
        <f t="shared" si="16"/>
        <v>2868.5146479964678</v>
      </c>
      <c r="W48" s="7">
        <f t="shared" si="17"/>
        <v>0.29594729675981379</v>
      </c>
      <c r="X48" s="66">
        <f t="shared" si="18"/>
        <v>618.41398421095062</v>
      </c>
      <c r="Y48" s="89">
        <f t="shared" si="19"/>
        <v>733.67157000071711</v>
      </c>
      <c r="Z48" s="67">
        <f t="shared" si="20"/>
        <v>848.92915579048349</v>
      </c>
      <c r="AA48" s="14"/>
    </row>
    <row r="49" spans="1:27">
      <c r="A49" s="4">
        <f t="shared" si="21"/>
        <v>2055</v>
      </c>
      <c r="B49" s="4">
        <f t="shared" si="10"/>
        <v>36</v>
      </c>
      <c r="C49" s="63">
        <f t="shared" si="11"/>
        <v>0</v>
      </c>
      <c r="D49" s="64"/>
      <c r="E49" s="65">
        <f t="shared" si="12"/>
        <v>0</v>
      </c>
      <c r="F49" s="63">
        <f t="shared" si="13"/>
        <v>1416</v>
      </c>
      <c r="G49" s="64">
        <f t="shared" si="23"/>
        <v>1770</v>
      </c>
      <c r="H49" s="65">
        <f t="shared" si="7"/>
        <v>2124</v>
      </c>
      <c r="I49" s="66">
        <f t="shared" si="14"/>
        <v>1416</v>
      </c>
      <c r="J49" s="89">
        <f t="shared" si="14"/>
        <v>1770</v>
      </c>
      <c r="K49" s="67">
        <f t="shared" si="14"/>
        <v>2124</v>
      </c>
      <c r="L49" s="68">
        <f t="shared" si="29"/>
        <v>55</v>
      </c>
      <c r="M49" s="68">
        <f>'Option 2a'!M49</f>
        <v>620.26519119629688</v>
      </c>
      <c r="N49" s="68">
        <f t="shared" si="29"/>
        <v>30</v>
      </c>
      <c r="O49" s="68">
        <f t="shared" si="29"/>
        <v>12.5</v>
      </c>
      <c r="P49" s="68">
        <f t="shared" si="25"/>
        <v>0</v>
      </c>
      <c r="Q49" s="66">
        <f t="shared" si="15"/>
        <v>681.87693163648203</v>
      </c>
      <c r="R49" s="70">
        <f t="shared" si="8"/>
        <v>717.76519119629688</v>
      </c>
      <c r="S49" s="67">
        <f t="shared" si="9"/>
        <v>753.65345075611174</v>
      </c>
      <c r="T49" s="66">
        <f t="shared" si="22"/>
        <v>2097.8769316364819</v>
      </c>
      <c r="U49" s="89">
        <f t="shared" si="16"/>
        <v>2487.7651911962967</v>
      </c>
      <c r="V49" s="67">
        <f t="shared" si="16"/>
        <v>2877.6534507561119</v>
      </c>
      <c r="W49" s="7">
        <f t="shared" si="17"/>
        <v>0.28582895186383406</v>
      </c>
      <c r="X49" s="66">
        <f t="shared" si="18"/>
        <v>599.63396450897187</v>
      </c>
      <c r="Y49" s="89">
        <f t="shared" si="19"/>
        <v>711.07531708296824</v>
      </c>
      <c r="Z49" s="67">
        <f t="shared" si="20"/>
        <v>822.51666965696461</v>
      </c>
      <c r="AA49" s="14"/>
    </row>
    <row r="50" spans="1:27">
      <c r="A50" s="4">
        <f t="shared" si="21"/>
        <v>2056</v>
      </c>
      <c r="B50" s="4">
        <f t="shared" si="10"/>
        <v>37</v>
      </c>
      <c r="C50" s="63">
        <f t="shared" si="11"/>
        <v>0</v>
      </c>
      <c r="D50" s="64"/>
      <c r="E50" s="65">
        <f t="shared" si="12"/>
        <v>0</v>
      </c>
      <c r="F50" s="63">
        <f t="shared" si="13"/>
        <v>1416</v>
      </c>
      <c r="G50" s="64">
        <f>$AC$9+X8</f>
        <v>1770</v>
      </c>
      <c r="H50" s="65">
        <f t="shared" si="7"/>
        <v>2124</v>
      </c>
      <c r="I50" s="66">
        <f t="shared" si="14"/>
        <v>1416</v>
      </c>
      <c r="J50" s="89">
        <f t="shared" si="14"/>
        <v>1770</v>
      </c>
      <c r="K50" s="67">
        <f t="shared" si="14"/>
        <v>2124</v>
      </c>
      <c r="L50" s="68">
        <f t="shared" si="29"/>
        <v>55</v>
      </c>
      <c r="M50" s="68">
        <f>'Option 2a'!M50</f>
        <v>628.96881287214808</v>
      </c>
      <c r="N50" s="68">
        <f t="shared" si="29"/>
        <v>30</v>
      </c>
      <c r="O50" s="68">
        <f t="shared" si="29"/>
        <v>12.5</v>
      </c>
      <c r="P50" s="68">
        <f t="shared" si="25"/>
        <v>0</v>
      </c>
      <c r="Q50" s="66">
        <f t="shared" si="15"/>
        <v>690.14537222854062</v>
      </c>
      <c r="R50" s="70">
        <f t="shared" si="8"/>
        <v>726.46881287214808</v>
      </c>
      <c r="S50" s="67">
        <f t="shared" si="9"/>
        <v>762.79225351575553</v>
      </c>
      <c r="T50" s="66">
        <f t="shared" si="22"/>
        <v>2106.1453722285405</v>
      </c>
      <c r="U50" s="89">
        <f t="shared" si="16"/>
        <v>2496.4688128721482</v>
      </c>
      <c r="V50" s="67">
        <f t="shared" si="16"/>
        <v>2886.7922535157554</v>
      </c>
      <c r="W50" s="7">
        <f t="shared" si="17"/>
        <v>0.27605654999404483</v>
      </c>
      <c r="X50" s="66">
        <f t="shared" si="18"/>
        <v>581.41522524333425</v>
      </c>
      <c r="Y50" s="89">
        <f t="shared" si="19"/>
        <v>689.1665676492139</v>
      </c>
      <c r="Z50" s="67">
        <f t="shared" si="20"/>
        <v>796.91791005509344</v>
      </c>
      <c r="AA50" s="14"/>
    </row>
    <row r="51" spans="1:27">
      <c r="A51" s="4">
        <f t="shared" si="21"/>
        <v>2057</v>
      </c>
      <c r="B51" s="4">
        <f t="shared" si="10"/>
        <v>38</v>
      </c>
      <c r="C51" s="63">
        <f t="shared" si="11"/>
        <v>0</v>
      </c>
      <c r="D51" s="64"/>
      <c r="E51" s="65">
        <f t="shared" si="12"/>
        <v>0</v>
      </c>
      <c r="F51" s="63">
        <f t="shared" si="13"/>
        <v>1416</v>
      </c>
      <c r="G51" s="64">
        <f t="shared" si="23"/>
        <v>1770</v>
      </c>
      <c r="H51" s="65">
        <f t="shared" si="7"/>
        <v>2124</v>
      </c>
      <c r="I51" s="66">
        <f t="shared" si="14"/>
        <v>1416</v>
      </c>
      <c r="J51" s="89">
        <f t="shared" si="14"/>
        <v>1770</v>
      </c>
      <c r="K51" s="67">
        <f t="shared" si="14"/>
        <v>2124</v>
      </c>
      <c r="L51" s="68">
        <f t="shared" si="29"/>
        <v>55</v>
      </c>
      <c r="M51" s="68">
        <f>'Option 2a'!M51</f>
        <v>637.67243454799939</v>
      </c>
      <c r="N51" s="68">
        <f t="shared" si="29"/>
        <v>30</v>
      </c>
      <c r="O51" s="68">
        <f t="shared" si="29"/>
        <v>12.5</v>
      </c>
      <c r="P51" s="68">
        <f t="shared" si="25"/>
        <v>0</v>
      </c>
      <c r="Q51" s="66">
        <f t="shared" si="15"/>
        <v>698.41381282059933</v>
      </c>
      <c r="R51" s="70">
        <f t="shared" si="8"/>
        <v>735.17243454799939</v>
      </c>
      <c r="S51" s="67">
        <f t="shared" si="9"/>
        <v>771.93105627539944</v>
      </c>
      <c r="T51" s="66">
        <f t="shared" si="22"/>
        <v>2114.4138128205996</v>
      </c>
      <c r="U51" s="89">
        <f t="shared" si="16"/>
        <v>2505.1724345479993</v>
      </c>
      <c r="V51" s="67">
        <f t="shared" si="16"/>
        <v>2895.9310562753994</v>
      </c>
      <c r="W51" s="7">
        <f t="shared" si="17"/>
        <v>0.26661826346730227</v>
      </c>
      <c r="X51" s="66">
        <f t="shared" si="18"/>
        <v>563.74133902550579</v>
      </c>
      <c r="Y51" s="89">
        <f t="shared" si="19"/>
        <v>667.92472418534157</v>
      </c>
      <c r="Z51" s="67">
        <f t="shared" si="20"/>
        <v>772.10810934517747</v>
      </c>
      <c r="AA51" s="14"/>
    </row>
    <row r="52" spans="1:27">
      <c r="A52" s="4">
        <f t="shared" si="21"/>
        <v>2058</v>
      </c>
      <c r="B52" s="4">
        <f t="shared" si="10"/>
        <v>39</v>
      </c>
      <c r="C52" s="63">
        <f t="shared" si="11"/>
        <v>0</v>
      </c>
      <c r="D52" s="64"/>
      <c r="E52" s="65">
        <f t="shared" si="12"/>
        <v>0</v>
      </c>
      <c r="F52" s="63">
        <f t="shared" si="13"/>
        <v>1416</v>
      </c>
      <c r="G52" s="64">
        <f t="shared" si="23"/>
        <v>1770</v>
      </c>
      <c r="H52" s="65">
        <f t="shared" si="7"/>
        <v>2124</v>
      </c>
      <c r="I52" s="66">
        <f t="shared" si="14"/>
        <v>1416</v>
      </c>
      <c r="J52" s="89">
        <f t="shared" si="14"/>
        <v>1770</v>
      </c>
      <c r="K52" s="67">
        <f t="shared" si="14"/>
        <v>2124</v>
      </c>
      <c r="L52" s="68">
        <f t="shared" si="29"/>
        <v>55</v>
      </c>
      <c r="M52" s="68">
        <f>'Option 2a'!M52</f>
        <v>646.3760562238507</v>
      </c>
      <c r="N52" s="68">
        <f t="shared" si="29"/>
        <v>30</v>
      </c>
      <c r="O52" s="68">
        <f t="shared" si="29"/>
        <v>12.5</v>
      </c>
      <c r="P52" s="68">
        <f t="shared" si="25"/>
        <v>0</v>
      </c>
      <c r="Q52" s="66">
        <f t="shared" si="15"/>
        <v>706.68225341265816</v>
      </c>
      <c r="R52" s="70">
        <f t="shared" si="8"/>
        <v>743.8760562238507</v>
      </c>
      <c r="S52" s="67">
        <f t="shared" si="9"/>
        <v>781.06985903504324</v>
      </c>
      <c r="T52" s="66">
        <f t="shared" si="22"/>
        <v>2122.6822534126582</v>
      </c>
      <c r="U52" s="89">
        <f t="shared" si="16"/>
        <v>2513.8760562238508</v>
      </c>
      <c r="V52" s="67">
        <f t="shared" si="16"/>
        <v>2905.069859035043</v>
      </c>
      <c r="W52" s="7">
        <f t="shared" si="17"/>
        <v>0.25750266898522534</v>
      </c>
      <c r="X52" s="66">
        <f t="shared" si="18"/>
        <v>546.59634566133195</v>
      </c>
      <c r="Y52" s="89">
        <f t="shared" si="19"/>
        <v>647.32979397569397</v>
      </c>
      <c r="Z52" s="67">
        <f t="shared" si="20"/>
        <v>748.06324229005588</v>
      </c>
      <c r="AA52" s="14"/>
    </row>
    <row r="53" spans="1:27">
      <c r="A53" s="4">
        <f t="shared" si="21"/>
        <v>2059</v>
      </c>
      <c r="B53" s="4">
        <f t="shared" si="10"/>
        <v>40</v>
      </c>
      <c r="C53" s="63">
        <f t="shared" si="11"/>
        <v>0</v>
      </c>
      <c r="D53" s="64"/>
      <c r="E53" s="65">
        <f t="shared" si="12"/>
        <v>0</v>
      </c>
      <c r="F53" s="63">
        <f t="shared" si="13"/>
        <v>1416</v>
      </c>
      <c r="G53" s="64">
        <f t="shared" si="23"/>
        <v>1770</v>
      </c>
      <c r="H53" s="65">
        <f t="shared" si="7"/>
        <v>2124</v>
      </c>
      <c r="I53" s="66">
        <f t="shared" si="14"/>
        <v>1416</v>
      </c>
      <c r="J53" s="89">
        <f t="shared" si="14"/>
        <v>1770</v>
      </c>
      <c r="K53" s="67">
        <f t="shared" si="14"/>
        <v>2124</v>
      </c>
      <c r="L53" s="68">
        <f t="shared" si="29"/>
        <v>55</v>
      </c>
      <c r="M53" s="68">
        <f>'Option 2a'!M53</f>
        <v>655.07967789970201</v>
      </c>
      <c r="N53" s="68">
        <f t="shared" si="29"/>
        <v>30</v>
      </c>
      <c r="O53" s="68">
        <f t="shared" si="29"/>
        <v>12.5</v>
      </c>
      <c r="P53" s="68">
        <f t="shared" si="25"/>
        <v>0</v>
      </c>
      <c r="Q53" s="66">
        <f t="shared" si="15"/>
        <v>714.95069400471687</v>
      </c>
      <c r="R53" s="70">
        <f t="shared" si="8"/>
        <v>752.57967789970201</v>
      </c>
      <c r="S53" s="67">
        <f t="shared" si="9"/>
        <v>790.20866179468715</v>
      </c>
      <c r="T53" s="66">
        <f t="shared" si="22"/>
        <v>2130.9506940047168</v>
      </c>
      <c r="U53" s="89">
        <f t="shared" si="16"/>
        <v>2522.5796778997019</v>
      </c>
      <c r="V53" s="67">
        <f t="shared" si="16"/>
        <v>2914.208661794687</v>
      </c>
      <c r="W53" s="7">
        <f t="shared" si="17"/>
        <v>0.24869873380840765</v>
      </c>
      <c r="X53" s="66">
        <f t="shared" si="18"/>
        <v>529.96473940712065</v>
      </c>
      <c r="Y53" s="89">
        <f t="shared" si="19"/>
        <v>627.36237182447667</v>
      </c>
      <c r="Z53" s="67">
        <f t="shared" si="20"/>
        <v>724.7600042418328</v>
      </c>
      <c r="AA53" s="14"/>
    </row>
    <row r="54" spans="1:27">
      <c r="A54" s="4">
        <f t="shared" si="21"/>
        <v>2060</v>
      </c>
      <c r="B54" s="4">
        <f t="shared" si="10"/>
        <v>41</v>
      </c>
      <c r="C54" s="63">
        <f t="shared" si="11"/>
        <v>0</v>
      </c>
      <c r="D54" s="64"/>
      <c r="E54" s="65">
        <f t="shared" si="12"/>
        <v>0</v>
      </c>
      <c r="F54" s="63">
        <f t="shared" si="13"/>
        <v>2457.7915954843365</v>
      </c>
      <c r="G54" s="64">
        <f>$AC$9+T6+X6+X8</f>
        <v>3072.2394943554204</v>
      </c>
      <c r="H54" s="65">
        <f t="shared" si="7"/>
        <v>3686.6873932265044</v>
      </c>
      <c r="I54" s="66">
        <f t="shared" si="14"/>
        <v>2457.7915954843365</v>
      </c>
      <c r="J54" s="89">
        <f t="shared" si="14"/>
        <v>3072.2394943554204</v>
      </c>
      <c r="K54" s="67">
        <f t="shared" si="14"/>
        <v>3686.6873932265044</v>
      </c>
      <c r="L54" s="68">
        <f t="shared" si="29"/>
        <v>55</v>
      </c>
      <c r="M54" s="68">
        <f>'Option 2a'!M54</f>
        <v>663.78329957555331</v>
      </c>
      <c r="N54" s="68">
        <f t="shared" si="29"/>
        <v>30</v>
      </c>
      <c r="O54" s="68">
        <f t="shared" si="29"/>
        <v>12.5</v>
      </c>
      <c r="P54" s="68">
        <f t="shared" si="25"/>
        <v>0</v>
      </c>
      <c r="Q54" s="66">
        <f t="shared" si="15"/>
        <v>723.21913459677558</v>
      </c>
      <c r="R54" s="70">
        <f t="shared" si="8"/>
        <v>761.28329957555331</v>
      </c>
      <c r="S54" s="67">
        <f t="shared" si="9"/>
        <v>799.34746455433105</v>
      </c>
      <c r="T54" s="66">
        <f t="shared" si="22"/>
        <v>3181.0107300811123</v>
      </c>
      <c r="U54" s="89">
        <f t="shared" si="16"/>
        <v>3833.5227939309739</v>
      </c>
      <c r="V54" s="67">
        <f t="shared" si="16"/>
        <v>4486.0348577808354</v>
      </c>
      <c r="W54" s="7">
        <f t="shared" si="17"/>
        <v>0.24019580240332974</v>
      </c>
      <c r="X54" s="66">
        <f t="shared" si="18"/>
        <v>764.0654247654345</v>
      </c>
      <c r="Y54" s="89">
        <f t="shared" si="19"/>
        <v>920.79608351970478</v>
      </c>
      <c r="Z54" s="67">
        <f t="shared" si="20"/>
        <v>1077.5267422739751</v>
      </c>
      <c r="AA54" s="14"/>
    </row>
    <row r="55" spans="1:27">
      <c r="A55" s="4">
        <f t="shared" si="21"/>
        <v>2061</v>
      </c>
      <c r="B55" s="4">
        <f t="shared" si="10"/>
        <v>42</v>
      </c>
      <c r="C55" s="63">
        <f t="shared" si="11"/>
        <v>0</v>
      </c>
      <c r="D55" s="64"/>
      <c r="E55" s="65">
        <f t="shared" si="12"/>
        <v>0</v>
      </c>
      <c r="F55" s="63">
        <f t="shared" si="13"/>
        <v>1416</v>
      </c>
      <c r="G55" s="64">
        <f t="shared" si="23"/>
        <v>1770</v>
      </c>
      <c r="H55" s="65">
        <f t="shared" si="7"/>
        <v>2124</v>
      </c>
      <c r="I55" s="66">
        <f t="shared" si="14"/>
        <v>1416</v>
      </c>
      <c r="J55" s="89">
        <f t="shared" si="14"/>
        <v>1770</v>
      </c>
      <c r="K55" s="67">
        <f t="shared" si="14"/>
        <v>2124</v>
      </c>
      <c r="L55" s="68">
        <f t="shared" si="29"/>
        <v>55</v>
      </c>
      <c r="M55" s="68">
        <f>'Option 2a'!M55</f>
        <v>672.48692125140451</v>
      </c>
      <c r="N55" s="68">
        <f t="shared" si="29"/>
        <v>30</v>
      </c>
      <c r="O55" s="68">
        <f t="shared" si="29"/>
        <v>12.5</v>
      </c>
      <c r="P55" s="68">
        <f t="shared" si="25"/>
        <v>0</v>
      </c>
      <c r="Q55" s="66">
        <f t="shared" si="15"/>
        <v>731.48757518883428</v>
      </c>
      <c r="R55" s="70">
        <f t="shared" si="8"/>
        <v>769.98692125140451</v>
      </c>
      <c r="S55" s="67">
        <f t="shared" si="9"/>
        <v>808.48626731397474</v>
      </c>
      <c r="T55" s="66">
        <f t="shared" si="22"/>
        <v>2147.4875751888344</v>
      </c>
      <c r="U55" s="89">
        <f t="shared" si="16"/>
        <v>2539.9869212514045</v>
      </c>
      <c r="V55" s="67">
        <f t="shared" si="16"/>
        <v>2932.4862673139746</v>
      </c>
      <c r="W55" s="7">
        <f t="shared" si="17"/>
        <v>0.23198358354580814</v>
      </c>
      <c r="X55" s="66">
        <f t="shared" si="18"/>
        <v>498.18186331240389</v>
      </c>
      <c r="Y55" s="89">
        <f t="shared" si="19"/>
        <v>589.23526815138518</v>
      </c>
      <c r="Z55" s="67">
        <f t="shared" si="20"/>
        <v>680.28867299036654</v>
      </c>
      <c r="AA55" s="14"/>
    </row>
    <row r="56" spans="1:27">
      <c r="A56" s="4">
        <f t="shared" si="21"/>
        <v>2062</v>
      </c>
      <c r="B56" s="4">
        <f t="shared" si="10"/>
        <v>43</v>
      </c>
      <c r="C56" s="63">
        <f t="shared" si="11"/>
        <v>0</v>
      </c>
      <c r="D56" s="64"/>
      <c r="E56" s="65">
        <f t="shared" si="12"/>
        <v>0</v>
      </c>
      <c r="F56" s="63">
        <f t="shared" si="13"/>
        <v>1416</v>
      </c>
      <c r="G56" s="64">
        <f t="shared" si="23"/>
        <v>1770</v>
      </c>
      <c r="H56" s="65">
        <f t="shared" si="7"/>
        <v>2124</v>
      </c>
      <c r="I56" s="66">
        <f t="shared" si="14"/>
        <v>1416</v>
      </c>
      <c r="J56" s="89">
        <f t="shared" si="14"/>
        <v>1770</v>
      </c>
      <c r="K56" s="67">
        <f t="shared" si="14"/>
        <v>2124</v>
      </c>
      <c r="L56" s="68">
        <f t="shared" si="29"/>
        <v>55</v>
      </c>
      <c r="M56" s="68">
        <f>'Option 2a'!M56</f>
        <v>681.19054292725582</v>
      </c>
      <c r="N56" s="68">
        <f t="shared" si="29"/>
        <v>30</v>
      </c>
      <c r="O56" s="68">
        <f t="shared" si="29"/>
        <v>12.5</v>
      </c>
      <c r="P56" s="68">
        <f t="shared" si="25"/>
        <v>0</v>
      </c>
      <c r="Q56" s="66">
        <f t="shared" si="15"/>
        <v>739.75601578089299</v>
      </c>
      <c r="R56" s="70">
        <f t="shared" si="8"/>
        <v>778.69054292725582</v>
      </c>
      <c r="S56" s="67">
        <f t="shared" si="9"/>
        <v>817.62507007361864</v>
      </c>
      <c r="T56" s="66">
        <f t="shared" si="22"/>
        <v>2155.756015780893</v>
      </c>
      <c r="U56" s="89">
        <f t="shared" si="16"/>
        <v>2548.6905429272556</v>
      </c>
      <c r="V56" s="67">
        <f t="shared" si="16"/>
        <v>2941.6250700736186</v>
      </c>
      <c r="W56" s="7">
        <f t="shared" si="17"/>
        <v>0.2240521378653739</v>
      </c>
      <c r="X56" s="66">
        <f t="shared" si="18"/>
        <v>483.00174405184976</v>
      </c>
      <c r="Y56" s="89">
        <f t="shared" si="19"/>
        <v>571.03956490011217</v>
      </c>
      <c r="Z56" s="67">
        <f t="shared" si="20"/>
        <v>659.07738574837458</v>
      </c>
      <c r="AA56" s="14"/>
    </row>
    <row r="57" spans="1:27">
      <c r="A57" s="4">
        <f t="shared" si="21"/>
        <v>2063</v>
      </c>
      <c r="B57" s="4">
        <f t="shared" si="10"/>
        <v>44</v>
      </c>
      <c r="C57" s="63">
        <f t="shared" si="11"/>
        <v>0</v>
      </c>
      <c r="D57" s="64"/>
      <c r="E57" s="65">
        <f t="shared" si="12"/>
        <v>0</v>
      </c>
      <c r="F57" s="63">
        <f t="shared" si="13"/>
        <v>1416</v>
      </c>
      <c r="G57" s="64">
        <f t="shared" si="23"/>
        <v>1770</v>
      </c>
      <c r="H57" s="65">
        <f t="shared" si="7"/>
        <v>2124</v>
      </c>
      <c r="I57" s="66">
        <f t="shared" si="14"/>
        <v>1416</v>
      </c>
      <c r="J57" s="89">
        <f t="shared" si="14"/>
        <v>1770</v>
      </c>
      <c r="K57" s="67">
        <f t="shared" si="14"/>
        <v>2124</v>
      </c>
      <c r="L57" s="68">
        <f t="shared" si="29"/>
        <v>55</v>
      </c>
      <c r="M57" s="68">
        <f>'Option 2a'!M57</f>
        <v>689.89416460310713</v>
      </c>
      <c r="N57" s="68">
        <f t="shared" si="29"/>
        <v>30</v>
      </c>
      <c r="O57" s="68">
        <f t="shared" si="29"/>
        <v>12.5</v>
      </c>
      <c r="P57" s="68">
        <f t="shared" si="25"/>
        <v>0</v>
      </c>
      <c r="Q57" s="66">
        <f t="shared" si="15"/>
        <v>748.0244563729517</v>
      </c>
      <c r="R57" s="70">
        <f t="shared" si="8"/>
        <v>787.39416460310713</v>
      </c>
      <c r="S57" s="67">
        <f t="shared" si="9"/>
        <v>826.76387283326255</v>
      </c>
      <c r="T57" s="66">
        <f t="shared" si="22"/>
        <v>2164.0244563729516</v>
      </c>
      <c r="U57" s="89">
        <f t="shared" si="16"/>
        <v>2557.3941646031071</v>
      </c>
      <c r="V57" s="67">
        <f t="shared" si="16"/>
        <v>2950.7638728332627</v>
      </c>
      <c r="W57" s="7">
        <f t="shared" si="17"/>
        <v>0.21639186581550499</v>
      </c>
      <c r="X57" s="66">
        <f t="shared" si="18"/>
        <v>468.27728978492684</v>
      </c>
      <c r="Y57" s="89">
        <f t="shared" si="19"/>
        <v>553.39929490415102</v>
      </c>
      <c r="Z57" s="67">
        <f t="shared" si="20"/>
        <v>638.52130002337515</v>
      </c>
      <c r="AA57" s="14"/>
    </row>
    <row r="58" spans="1:27">
      <c r="A58" s="4">
        <f t="shared" si="21"/>
        <v>2064</v>
      </c>
      <c r="B58" s="4">
        <f t="shared" si="10"/>
        <v>45</v>
      </c>
      <c r="C58" s="63">
        <v>12000</v>
      </c>
      <c r="D58" s="64">
        <f>15000+1000</f>
        <v>16000</v>
      </c>
      <c r="E58" s="65">
        <v>20000</v>
      </c>
      <c r="F58" s="63">
        <f t="shared" si="13"/>
        <v>1416</v>
      </c>
      <c r="G58" s="64">
        <f>$AC$9+X8</f>
        <v>1770</v>
      </c>
      <c r="H58" s="65">
        <f t="shared" si="7"/>
        <v>2124</v>
      </c>
      <c r="I58" s="66">
        <f t="shared" si="14"/>
        <v>13416</v>
      </c>
      <c r="J58" s="89">
        <f t="shared" si="14"/>
        <v>17770</v>
      </c>
      <c r="K58" s="67">
        <f t="shared" si="14"/>
        <v>22124</v>
      </c>
      <c r="L58" s="68">
        <f t="shared" si="29"/>
        <v>55</v>
      </c>
      <c r="M58" s="68">
        <f>'Option 2b'!M58</f>
        <v>698.59778627895844</v>
      </c>
      <c r="N58" s="68">
        <f>N57*1.5</f>
        <v>45</v>
      </c>
      <c r="O58" s="68">
        <f t="shared" si="29"/>
        <v>12.5</v>
      </c>
      <c r="P58" s="68">
        <f t="shared" si="25"/>
        <v>0</v>
      </c>
      <c r="Q58" s="66">
        <f t="shared" si="15"/>
        <v>770.54289696501053</v>
      </c>
      <c r="R58" s="70">
        <f t="shared" si="8"/>
        <v>811.09778627895844</v>
      </c>
      <c r="S58" s="67">
        <f t="shared" si="9"/>
        <v>851.65267559290635</v>
      </c>
      <c r="T58" s="66">
        <f t="shared" si="22"/>
        <v>14186.542896965011</v>
      </c>
      <c r="U58" s="89">
        <f t="shared" si="16"/>
        <v>18581.097786278959</v>
      </c>
      <c r="V58" s="67">
        <f t="shared" si="16"/>
        <v>22975.652675592908</v>
      </c>
      <c r="W58" s="7">
        <f t="shared" si="17"/>
        <v>0.20899349605515255</v>
      </c>
      <c r="X58" s="66">
        <f t="shared" si="18"/>
        <v>2964.8951969731093</v>
      </c>
      <c r="Y58" s="89">
        <f t="shared" si="19"/>
        <v>3883.3285868970952</v>
      </c>
      <c r="Z58" s="67">
        <f t="shared" si="20"/>
        <v>4801.7619768210816</v>
      </c>
      <c r="AA58" s="14" t="s">
        <v>119</v>
      </c>
    </row>
    <row r="59" spans="1:27">
      <c r="A59" s="4">
        <f t="shared" si="21"/>
        <v>2065</v>
      </c>
      <c r="B59" s="4">
        <f t="shared" si="10"/>
        <v>46</v>
      </c>
      <c r="C59" s="63">
        <f t="shared" si="11"/>
        <v>0</v>
      </c>
      <c r="D59" s="64"/>
      <c r="E59" s="65">
        <f t="shared" si="12"/>
        <v>0</v>
      </c>
      <c r="F59" s="63">
        <f t="shared" si="13"/>
        <v>1416</v>
      </c>
      <c r="G59" s="64">
        <f t="shared" si="23"/>
        <v>1770</v>
      </c>
      <c r="H59" s="65">
        <f t="shared" si="7"/>
        <v>2124</v>
      </c>
      <c r="I59" s="66">
        <f t="shared" si="14"/>
        <v>1416</v>
      </c>
      <c r="J59" s="89">
        <f t="shared" si="14"/>
        <v>1770</v>
      </c>
      <c r="K59" s="67">
        <f t="shared" si="14"/>
        <v>2124</v>
      </c>
      <c r="L59" s="68">
        <f t="shared" si="29"/>
        <v>55</v>
      </c>
      <c r="M59" s="68">
        <f>'Option 2b'!M59</f>
        <v>727.30140795480975</v>
      </c>
      <c r="N59" s="68">
        <f t="shared" si="29"/>
        <v>45</v>
      </c>
      <c r="O59" s="68">
        <f>O58*1.5</f>
        <v>18.75</v>
      </c>
      <c r="P59" s="68">
        <f t="shared" si="25"/>
        <v>0</v>
      </c>
      <c r="Q59" s="66">
        <f t="shared" si="15"/>
        <v>803.74883755706924</v>
      </c>
      <c r="R59" s="70">
        <f t="shared" si="8"/>
        <v>846.05140795480975</v>
      </c>
      <c r="S59" s="67">
        <f t="shared" si="9"/>
        <v>888.35397835255026</v>
      </c>
      <c r="T59" s="66">
        <f t="shared" si="22"/>
        <v>2219.7488375570692</v>
      </c>
      <c r="U59" s="89">
        <f t="shared" si="16"/>
        <v>2616.0514079548097</v>
      </c>
      <c r="V59" s="67">
        <f t="shared" si="16"/>
        <v>3012.3539783525503</v>
      </c>
      <c r="W59" s="7">
        <f t="shared" si="17"/>
        <v>0.20184807422749909</v>
      </c>
      <c r="X59" s="66">
        <f t="shared" si="18"/>
        <v>448.05202812962415</v>
      </c>
      <c r="Y59" s="89">
        <f t="shared" si="19"/>
        <v>528.04493877581592</v>
      </c>
      <c r="Z59" s="67">
        <f t="shared" si="20"/>
        <v>608.03784942200775</v>
      </c>
      <c r="AA59" s="14"/>
    </row>
    <row r="60" spans="1:27">
      <c r="A60" s="4">
        <f t="shared" si="21"/>
        <v>2066</v>
      </c>
      <c r="B60" s="4">
        <f t="shared" si="10"/>
        <v>47</v>
      </c>
      <c r="C60" s="63">
        <f t="shared" si="11"/>
        <v>0</v>
      </c>
      <c r="D60" s="64"/>
      <c r="E60" s="65">
        <f t="shared" si="12"/>
        <v>0</v>
      </c>
      <c r="F60" s="63">
        <f t="shared" si="13"/>
        <v>1416</v>
      </c>
      <c r="G60" s="64">
        <f t="shared" si="23"/>
        <v>1770</v>
      </c>
      <c r="H60" s="65">
        <f t="shared" si="7"/>
        <v>2124</v>
      </c>
      <c r="I60" s="66">
        <f t="shared" si="14"/>
        <v>1416</v>
      </c>
      <c r="J60" s="89">
        <f t="shared" si="14"/>
        <v>1770</v>
      </c>
      <c r="K60" s="67">
        <f t="shared" si="14"/>
        <v>2124</v>
      </c>
      <c r="L60" s="68">
        <f t="shared" si="29"/>
        <v>55</v>
      </c>
      <c r="M60" s="68">
        <f>'Option 2b'!M60</f>
        <v>736.00502963066106</v>
      </c>
      <c r="N60" s="68">
        <f t="shared" si="29"/>
        <v>45</v>
      </c>
      <c r="O60" s="68">
        <f t="shared" si="29"/>
        <v>18.75</v>
      </c>
      <c r="P60" s="68">
        <f t="shared" si="25"/>
        <v>0</v>
      </c>
      <c r="Q60" s="66">
        <f t="shared" si="15"/>
        <v>812.01727814912795</v>
      </c>
      <c r="R60" s="70">
        <f t="shared" si="8"/>
        <v>854.75502963066106</v>
      </c>
      <c r="S60" s="67">
        <f t="shared" si="9"/>
        <v>897.49278111219417</v>
      </c>
      <c r="T60" s="66">
        <f t="shared" si="22"/>
        <v>2228.0172781491278</v>
      </c>
      <c r="U60" s="89">
        <f t="shared" si="16"/>
        <v>2624.7550296306608</v>
      </c>
      <c r="V60" s="67">
        <f t="shared" si="16"/>
        <v>3021.4927811121943</v>
      </c>
      <c r="W60" s="7">
        <f t="shared" si="17"/>
        <v>0.19494695212236729</v>
      </c>
      <c r="X60" s="66">
        <f t="shared" si="18"/>
        <v>434.34517765114509</v>
      </c>
      <c r="Y60" s="89">
        <f t="shared" si="19"/>
        <v>511.68799309435116</v>
      </c>
      <c r="Z60" s="67">
        <f t="shared" si="20"/>
        <v>589.03080853755728</v>
      </c>
      <c r="AA60" s="14"/>
    </row>
    <row r="61" spans="1:27">
      <c r="A61" s="4">
        <f t="shared" si="21"/>
        <v>2067</v>
      </c>
      <c r="B61" s="4">
        <f t="shared" si="10"/>
        <v>48</v>
      </c>
      <c r="C61" s="63">
        <f t="shared" si="11"/>
        <v>0</v>
      </c>
      <c r="D61" s="64"/>
      <c r="E61" s="65">
        <f t="shared" si="12"/>
        <v>0</v>
      </c>
      <c r="F61" s="63">
        <f t="shared" si="13"/>
        <v>1416</v>
      </c>
      <c r="G61" s="64">
        <f t="shared" si="23"/>
        <v>1770</v>
      </c>
      <c r="H61" s="65">
        <f t="shared" si="7"/>
        <v>2124</v>
      </c>
      <c r="I61" s="66">
        <f t="shared" si="14"/>
        <v>1416</v>
      </c>
      <c r="J61" s="89">
        <f t="shared" si="14"/>
        <v>1770</v>
      </c>
      <c r="K61" s="67">
        <f t="shared" si="14"/>
        <v>2124</v>
      </c>
      <c r="L61" s="68">
        <f t="shared" si="29"/>
        <v>55</v>
      </c>
      <c r="M61" s="68">
        <f>'Option 2b'!M61</f>
        <v>744.70865130651225</v>
      </c>
      <c r="N61" s="68">
        <f t="shared" si="29"/>
        <v>45</v>
      </c>
      <c r="O61" s="68">
        <f t="shared" si="29"/>
        <v>18.75</v>
      </c>
      <c r="P61" s="68">
        <f t="shared" si="25"/>
        <v>0</v>
      </c>
      <c r="Q61" s="66">
        <f t="shared" si="15"/>
        <v>820.28571874118666</v>
      </c>
      <c r="R61" s="70">
        <f t="shared" si="8"/>
        <v>863.45865130651225</v>
      </c>
      <c r="S61" s="67">
        <f t="shared" si="9"/>
        <v>906.63158387183785</v>
      </c>
      <c r="T61" s="66">
        <f t="shared" si="22"/>
        <v>2236.2857187411864</v>
      </c>
      <c r="U61" s="89">
        <f t="shared" si="16"/>
        <v>2633.4586513065124</v>
      </c>
      <c r="V61" s="67">
        <f t="shared" si="16"/>
        <v>3030.6315838718378</v>
      </c>
      <c r="W61" s="7">
        <f t="shared" si="17"/>
        <v>0.18828177720916289</v>
      </c>
      <c r="X61" s="66">
        <f t="shared" si="18"/>
        <v>421.05184947206078</v>
      </c>
      <c r="Y61" s="89">
        <f t="shared" si="19"/>
        <v>495.83227507483537</v>
      </c>
      <c r="Z61" s="67">
        <f t="shared" si="20"/>
        <v>570.61270067760984</v>
      </c>
      <c r="AA61" s="14"/>
    </row>
    <row r="62" spans="1:27">
      <c r="A62" s="4">
        <f t="shared" si="21"/>
        <v>2068</v>
      </c>
      <c r="B62" s="4">
        <f t="shared" si="10"/>
        <v>49</v>
      </c>
      <c r="C62" s="63">
        <f t="shared" si="11"/>
        <v>0</v>
      </c>
      <c r="D62" s="64"/>
      <c r="E62" s="65">
        <f t="shared" si="12"/>
        <v>0</v>
      </c>
      <c r="F62" s="63">
        <f t="shared" si="13"/>
        <v>1416</v>
      </c>
      <c r="G62" s="64">
        <f>$AC$9+X8</f>
        <v>1770</v>
      </c>
      <c r="H62" s="65">
        <f t="shared" si="7"/>
        <v>2124</v>
      </c>
      <c r="I62" s="66">
        <f t="shared" si="14"/>
        <v>1416</v>
      </c>
      <c r="J62" s="89">
        <f t="shared" si="14"/>
        <v>1770</v>
      </c>
      <c r="K62" s="67">
        <f t="shared" si="14"/>
        <v>2124</v>
      </c>
      <c r="L62" s="68">
        <f t="shared" si="29"/>
        <v>55</v>
      </c>
      <c r="M62" s="68">
        <f>'Option 2b'!M62</f>
        <v>753.41227298236356</v>
      </c>
      <c r="N62" s="68">
        <f t="shared" si="29"/>
        <v>45</v>
      </c>
      <c r="O62" s="68">
        <f t="shared" si="29"/>
        <v>18.75</v>
      </c>
      <c r="P62" s="68">
        <f t="shared" si="25"/>
        <v>0</v>
      </c>
      <c r="Q62" s="66">
        <f t="shared" si="15"/>
        <v>828.55415933324537</v>
      </c>
      <c r="R62" s="70">
        <f t="shared" si="8"/>
        <v>872.16227298236356</v>
      </c>
      <c r="S62" s="67">
        <f t="shared" si="9"/>
        <v>915.77038663148176</v>
      </c>
      <c r="T62" s="66">
        <f t="shared" si="22"/>
        <v>2244.5541593332455</v>
      </c>
      <c r="U62" s="89">
        <f t="shared" si="16"/>
        <v>2642.1622729823634</v>
      </c>
      <c r="V62" s="67">
        <f t="shared" si="16"/>
        <v>3039.7703866314819</v>
      </c>
      <c r="W62" s="7">
        <f t="shared" si="17"/>
        <v>0.1818444825276829</v>
      </c>
      <c r="X62" s="66">
        <f t="shared" si="18"/>
        <v>408.15978960931233</v>
      </c>
      <c r="Y62" s="89">
        <f t="shared" si="19"/>
        <v>480.46263128464432</v>
      </c>
      <c r="Z62" s="67">
        <f t="shared" si="20"/>
        <v>552.76547295997636</v>
      </c>
      <c r="AA62" s="14"/>
    </row>
    <row r="63" spans="1:27">
      <c r="A63" s="4">
        <f t="shared" si="21"/>
        <v>2069</v>
      </c>
      <c r="B63" s="4">
        <f t="shared" si="10"/>
        <v>50</v>
      </c>
      <c r="C63" s="63">
        <f t="shared" si="11"/>
        <v>0</v>
      </c>
      <c r="D63" s="64"/>
      <c r="E63" s="65">
        <f t="shared" si="12"/>
        <v>0</v>
      </c>
      <c r="F63" s="63">
        <f t="shared" si="13"/>
        <v>1416</v>
      </c>
      <c r="G63" s="64">
        <f t="shared" si="23"/>
        <v>1770</v>
      </c>
      <c r="H63" s="65">
        <f t="shared" si="7"/>
        <v>2124</v>
      </c>
      <c r="I63" s="66">
        <f t="shared" si="14"/>
        <v>1416</v>
      </c>
      <c r="J63" s="89">
        <f t="shared" si="14"/>
        <v>1770</v>
      </c>
      <c r="K63" s="67">
        <f t="shared" si="14"/>
        <v>2124</v>
      </c>
      <c r="L63" s="68">
        <f t="shared" si="29"/>
        <v>55</v>
      </c>
      <c r="M63" s="68">
        <f>'Option 2b'!M63</f>
        <v>762.11589465821487</v>
      </c>
      <c r="N63" s="68">
        <f t="shared" si="29"/>
        <v>45</v>
      </c>
      <c r="O63" s="68">
        <f t="shared" si="29"/>
        <v>18.75</v>
      </c>
      <c r="P63" s="68">
        <f t="shared" si="25"/>
        <v>0</v>
      </c>
      <c r="Q63" s="66">
        <f t="shared" si="15"/>
        <v>836.82259992530408</v>
      </c>
      <c r="R63" s="70">
        <f t="shared" si="8"/>
        <v>880.86589465821487</v>
      </c>
      <c r="S63" s="67">
        <f t="shared" si="9"/>
        <v>924.90918939112566</v>
      </c>
      <c r="T63" s="66">
        <f t="shared" si="22"/>
        <v>2252.8225999253041</v>
      </c>
      <c r="U63" s="89">
        <f t="shared" si="16"/>
        <v>2650.865894658215</v>
      </c>
      <c r="V63" s="67">
        <f t="shared" si="16"/>
        <v>3048.9091893911254</v>
      </c>
      <c r="W63" s="7">
        <f t="shared" si="17"/>
        <v>0.17562727692455368</v>
      </c>
      <c r="X63" s="66">
        <f t="shared" si="18"/>
        <v>395.65709861897437</v>
      </c>
      <c r="Y63" s="89">
        <f t="shared" si="19"/>
        <v>465.56435857099308</v>
      </c>
      <c r="Z63" s="67">
        <f t="shared" si="20"/>
        <v>535.47161852301167</v>
      </c>
      <c r="AA63" s="14" t="s">
        <v>64</v>
      </c>
    </row>
    <row r="64" spans="1:27">
      <c r="A64" s="4">
        <f t="shared" si="21"/>
        <v>2070</v>
      </c>
      <c r="B64" s="4">
        <f t="shared" si="10"/>
        <v>51</v>
      </c>
      <c r="C64" s="63">
        <f t="shared" si="11"/>
        <v>0</v>
      </c>
      <c r="D64" s="64"/>
      <c r="E64" s="65">
        <f t="shared" si="12"/>
        <v>0</v>
      </c>
      <c r="F64" s="63">
        <f t="shared" si="13"/>
        <v>10996.515954843362</v>
      </c>
      <c r="G64" s="64">
        <f>$AC$9+T6+T5+T4+X4+X5+X6</f>
        <v>13745.644943554202</v>
      </c>
      <c r="H64" s="65">
        <f t="shared" si="7"/>
        <v>16494.773932265041</v>
      </c>
      <c r="I64" s="66">
        <f t="shared" si="14"/>
        <v>10996.515954843362</v>
      </c>
      <c r="J64" s="89">
        <f t="shared" si="14"/>
        <v>13745.644943554202</v>
      </c>
      <c r="K64" s="67">
        <f t="shared" si="14"/>
        <v>16494.773932265041</v>
      </c>
      <c r="L64" s="68">
        <f t="shared" ref="L64:O73" si="30">L63</f>
        <v>55</v>
      </c>
      <c r="M64" s="68">
        <f>'Option 2b'!M64</f>
        <v>770.81951633406618</v>
      </c>
      <c r="N64" s="68">
        <f t="shared" si="30"/>
        <v>45</v>
      </c>
      <c r="O64" s="68">
        <f t="shared" si="30"/>
        <v>18.75</v>
      </c>
      <c r="P64" s="68">
        <f t="shared" si="25"/>
        <v>0</v>
      </c>
      <c r="Q64" s="66">
        <f t="shared" si="15"/>
        <v>845.09104051736279</v>
      </c>
      <c r="R64" s="70">
        <f t="shared" si="8"/>
        <v>889.56951633406618</v>
      </c>
      <c r="S64" s="67">
        <f t="shared" si="9"/>
        <v>934.04799215076957</v>
      </c>
      <c r="T64" s="66">
        <f t="shared" si="22"/>
        <v>11841.606995360726</v>
      </c>
      <c r="U64" s="89">
        <f t="shared" si="16"/>
        <v>14635.214459888268</v>
      </c>
      <c r="V64" s="67">
        <f t="shared" si="16"/>
        <v>17428.82192441581</v>
      </c>
      <c r="W64" s="7">
        <f t="shared" si="17"/>
        <v>0.16962263562348243</v>
      </c>
      <c r="X64" s="66">
        <f t="shared" si="18"/>
        <v>2008.604588570553</v>
      </c>
      <c r="Y64" s="89">
        <f t="shared" si="19"/>
        <v>2482.463649601149</v>
      </c>
      <c r="Z64" s="67">
        <f t="shared" si="20"/>
        <v>2956.3227106317445</v>
      </c>
      <c r="AA64" s="14"/>
    </row>
    <row r="65" spans="1:27">
      <c r="A65" s="4">
        <f t="shared" si="21"/>
        <v>2071</v>
      </c>
      <c r="B65" s="4">
        <f t="shared" si="10"/>
        <v>52</v>
      </c>
      <c r="C65" s="63">
        <f t="shared" si="11"/>
        <v>0</v>
      </c>
      <c r="D65" s="64"/>
      <c r="E65" s="65">
        <f t="shared" si="12"/>
        <v>0</v>
      </c>
      <c r="F65" s="63">
        <f t="shared" si="13"/>
        <v>1416</v>
      </c>
      <c r="G65" s="64">
        <f t="shared" si="23"/>
        <v>1770</v>
      </c>
      <c r="H65" s="65">
        <f t="shared" si="7"/>
        <v>2124</v>
      </c>
      <c r="I65" s="66">
        <f t="shared" si="14"/>
        <v>1416</v>
      </c>
      <c r="J65" s="89">
        <f t="shared" si="14"/>
        <v>1770</v>
      </c>
      <c r="K65" s="67">
        <f t="shared" si="14"/>
        <v>2124</v>
      </c>
      <c r="L65" s="68">
        <f t="shared" si="30"/>
        <v>55</v>
      </c>
      <c r="M65" s="68">
        <f>'Option 2b'!M65</f>
        <v>779.52313800991749</v>
      </c>
      <c r="N65" s="68">
        <f t="shared" si="30"/>
        <v>45</v>
      </c>
      <c r="O65" s="68">
        <f t="shared" si="30"/>
        <v>18.75</v>
      </c>
      <c r="P65" s="68">
        <f t="shared" si="25"/>
        <v>0</v>
      </c>
      <c r="Q65" s="66">
        <f t="shared" si="15"/>
        <v>853.35948110942161</v>
      </c>
      <c r="R65" s="70">
        <f t="shared" si="8"/>
        <v>898.27313800991749</v>
      </c>
      <c r="S65" s="67">
        <f t="shared" si="9"/>
        <v>943.18679491041337</v>
      </c>
      <c r="T65" s="66">
        <f t="shared" si="22"/>
        <v>2269.3594811094217</v>
      </c>
      <c r="U65" s="89">
        <f t="shared" si="16"/>
        <v>2668.2731380099176</v>
      </c>
      <c r="V65" s="67">
        <f t="shared" si="16"/>
        <v>3067.1867949104135</v>
      </c>
      <c r="W65" s="7">
        <f t="shared" si="17"/>
        <v>0.16382329111790842</v>
      </c>
      <c r="X65" s="66">
        <f t="shared" si="18"/>
        <v>371.7739389249744</v>
      </c>
      <c r="Y65" s="89">
        <f t="shared" si="19"/>
        <v>437.12528707029372</v>
      </c>
      <c r="Z65" s="67">
        <f t="shared" si="20"/>
        <v>502.4766352156131</v>
      </c>
      <c r="AA65" s="14"/>
    </row>
    <row r="66" spans="1:27">
      <c r="A66" s="4">
        <f t="shared" si="21"/>
        <v>2072</v>
      </c>
      <c r="B66" s="4">
        <f t="shared" si="10"/>
        <v>53</v>
      </c>
      <c r="C66" s="63">
        <f t="shared" si="11"/>
        <v>0</v>
      </c>
      <c r="D66" s="64"/>
      <c r="E66" s="65">
        <f t="shared" si="12"/>
        <v>0</v>
      </c>
      <c r="F66" s="63">
        <f t="shared" si="13"/>
        <v>1416</v>
      </c>
      <c r="G66" s="64">
        <f>$AC$9+X8</f>
        <v>1770</v>
      </c>
      <c r="H66" s="65">
        <f t="shared" si="7"/>
        <v>2124</v>
      </c>
      <c r="I66" s="66">
        <f t="shared" si="14"/>
        <v>1416</v>
      </c>
      <c r="J66" s="89">
        <f t="shared" si="14"/>
        <v>1770</v>
      </c>
      <c r="K66" s="67">
        <f t="shared" si="14"/>
        <v>2124</v>
      </c>
      <c r="L66" s="68">
        <f t="shared" si="30"/>
        <v>55</v>
      </c>
      <c r="M66" s="68">
        <f>'Option 2b'!M66</f>
        <v>788.2267596857688</v>
      </c>
      <c r="N66" s="68">
        <f t="shared" si="30"/>
        <v>45</v>
      </c>
      <c r="O66" s="68">
        <f t="shared" si="30"/>
        <v>18.75</v>
      </c>
      <c r="P66" s="68">
        <f t="shared" si="25"/>
        <v>0</v>
      </c>
      <c r="Q66" s="66">
        <f t="shared" si="15"/>
        <v>861.62792170148032</v>
      </c>
      <c r="R66" s="70">
        <f t="shared" si="8"/>
        <v>906.9767596857688</v>
      </c>
      <c r="S66" s="67">
        <f t="shared" si="9"/>
        <v>952.32559767005728</v>
      </c>
      <c r="T66" s="66">
        <f t="shared" si="22"/>
        <v>2277.6279217014803</v>
      </c>
      <c r="U66" s="89">
        <f t="shared" si="16"/>
        <v>2676.9767596857687</v>
      </c>
      <c r="V66" s="67">
        <f t="shared" si="16"/>
        <v>3076.3255976700575</v>
      </c>
      <c r="W66" s="7">
        <f t="shared" si="17"/>
        <v>0.15822222437503228</v>
      </c>
      <c r="X66" s="66">
        <f t="shared" si="18"/>
        <v>360.37135607029006</v>
      </c>
      <c r="Y66" s="89">
        <f t="shared" si="19"/>
        <v>423.55721751774854</v>
      </c>
      <c r="Z66" s="67">
        <f t="shared" si="20"/>
        <v>486.74307896520713</v>
      </c>
      <c r="AA66" s="14"/>
    </row>
    <row r="67" spans="1:27">
      <c r="A67" s="4">
        <f t="shared" si="21"/>
        <v>2073</v>
      </c>
      <c r="B67" s="4">
        <f t="shared" si="10"/>
        <v>54</v>
      </c>
      <c r="C67" s="63">
        <f t="shared" si="11"/>
        <v>0</v>
      </c>
      <c r="D67" s="64"/>
      <c r="E67" s="65">
        <f t="shared" si="12"/>
        <v>0</v>
      </c>
      <c r="F67" s="63">
        <f t="shared" si="13"/>
        <v>1416</v>
      </c>
      <c r="G67" s="64">
        <f t="shared" si="23"/>
        <v>1770</v>
      </c>
      <c r="H67" s="65">
        <f t="shared" si="7"/>
        <v>2124</v>
      </c>
      <c r="I67" s="66">
        <f t="shared" si="14"/>
        <v>1416</v>
      </c>
      <c r="J67" s="89">
        <f t="shared" si="14"/>
        <v>1770</v>
      </c>
      <c r="K67" s="67">
        <f t="shared" si="14"/>
        <v>2124</v>
      </c>
      <c r="L67" s="68">
        <f t="shared" si="30"/>
        <v>55</v>
      </c>
      <c r="M67" s="68">
        <f>'Option 2b'!M67</f>
        <v>796.93038136161999</v>
      </c>
      <c r="N67" s="68">
        <f t="shared" si="30"/>
        <v>45</v>
      </c>
      <c r="O67" s="68">
        <f t="shared" si="30"/>
        <v>18.75</v>
      </c>
      <c r="P67" s="68">
        <f t="shared" si="25"/>
        <v>0</v>
      </c>
      <c r="Q67" s="66">
        <f t="shared" si="15"/>
        <v>869.89636229353891</v>
      </c>
      <c r="R67" s="70">
        <f t="shared" si="8"/>
        <v>915.68038136161999</v>
      </c>
      <c r="S67" s="67">
        <f t="shared" si="9"/>
        <v>961.46440042970107</v>
      </c>
      <c r="T67" s="66">
        <f t="shared" si="22"/>
        <v>2285.8963622935389</v>
      </c>
      <c r="U67" s="89">
        <f t="shared" si="16"/>
        <v>2685.6803813616198</v>
      </c>
      <c r="V67" s="67">
        <f t="shared" si="16"/>
        <v>3085.4644004297011</v>
      </c>
      <c r="W67" s="7">
        <f t="shared" si="17"/>
        <v>0.15281265634057586</v>
      </c>
      <c r="X67" s="66">
        <f t="shared" si="18"/>
        <v>349.31389524133505</v>
      </c>
      <c r="Y67" s="89">
        <f t="shared" si="19"/>
        <v>410.40595315763994</v>
      </c>
      <c r="Z67" s="67">
        <f t="shared" si="20"/>
        <v>471.49801107394489</v>
      </c>
      <c r="AA67" s="14"/>
    </row>
    <row r="68" spans="1:27">
      <c r="A68" s="4">
        <f t="shared" si="21"/>
        <v>2074</v>
      </c>
      <c r="B68" s="4">
        <f t="shared" si="10"/>
        <v>55</v>
      </c>
      <c r="C68" s="63">
        <f t="shared" si="11"/>
        <v>0</v>
      </c>
      <c r="D68" s="64"/>
      <c r="E68" s="65">
        <f t="shared" si="12"/>
        <v>0</v>
      </c>
      <c r="F68" s="63">
        <f t="shared" si="13"/>
        <v>1416</v>
      </c>
      <c r="G68" s="64">
        <f t="shared" si="23"/>
        <v>1770</v>
      </c>
      <c r="H68" s="65">
        <f t="shared" si="7"/>
        <v>2124</v>
      </c>
      <c r="I68" s="66">
        <f t="shared" si="14"/>
        <v>1416</v>
      </c>
      <c r="J68" s="89">
        <f t="shared" si="14"/>
        <v>1770</v>
      </c>
      <c r="K68" s="67">
        <f t="shared" si="14"/>
        <v>2124</v>
      </c>
      <c r="L68" s="68">
        <f t="shared" si="30"/>
        <v>55</v>
      </c>
      <c r="M68" s="68">
        <f>'Option 2b'!M68</f>
        <v>805.6340030374713</v>
      </c>
      <c r="N68" s="68">
        <f t="shared" si="30"/>
        <v>45</v>
      </c>
      <c r="O68" s="68">
        <f t="shared" si="30"/>
        <v>18.75</v>
      </c>
      <c r="P68" s="68">
        <f t="shared" si="25"/>
        <v>0</v>
      </c>
      <c r="Q68" s="66">
        <f t="shared" si="15"/>
        <v>878.16480288559774</v>
      </c>
      <c r="R68" s="70">
        <f t="shared" si="8"/>
        <v>924.3840030374713</v>
      </c>
      <c r="S68" s="67">
        <f t="shared" si="9"/>
        <v>970.60320318934487</v>
      </c>
      <c r="T68" s="66">
        <f t="shared" si="22"/>
        <v>2294.164802885598</v>
      </c>
      <c r="U68" s="89">
        <f t="shared" si="16"/>
        <v>2694.3840030374713</v>
      </c>
      <c r="V68" s="67">
        <f t="shared" si="16"/>
        <v>3094.6032031893446</v>
      </c>
      <c r="W68" s="7">
        <f t="shared" si="17"/>
        <v>0.14758803973399254</v>
      </c>
      <c r="X68" s="66">
        <f t="shared" si="18"/>
        <v>338.59128608460679</v>
      </c>
      <c r="Y68" s="89">
        <f t="shared" si="19"/>
        <v>397.65885329892819</v>
      </c>
      <c r="Z68" s="67">
        <f t="shared" si="20"/>
        <v>456.72642051324959</v>
      </c>
      <c r="AA68" s="14"/>
    </row>
    <row r="69" spans="1:27">
      <c r="A69" s="4">
        <f t="shared" si="21"/>
        <v>2075</v>
      </c>
      <c r="B69" s="4">
        <f t="shared" si="10"/>
        <v>56</v>
      </c>
      <c r="C69" s="63">
        <f t="shared" si="11"/>
        <v>0</v>
      </c>
      <c r="D69" s="64"/>
      <c r="E69" s="65">
        <f t="shared" si="12"/>
        <v>0</v>
      </c>
      <c r="F69" s="63">
        <f t="shared" si="13"/>
        <v>1416</v>
      </c>
      <c r="G69" s="64">
        <f t="shared" si="23"/>
        <v>1770</v>
      </c>
      <c r="H69" s="65">
        <f t="shared" si="7"/>
        <v>2124</v>
      </c>
      <c r="I69" s="66">
        <f t="shared" si="14"/>
        <v>1416</v>
      </c>
      <c r="J69" s="89">
        <f t="shared" si="14"/>
        <v>1770</v>
      </c>
      <c r="K69" s="67">
        <f t="shared" si="14"/>
        <v>2124</v>
      </c>
      <c r="L69" s="68">
        <f t="shared" si="30"/>
        <v>55</v>
      </c>
      <c r="M69" s="68">
        <f>'Option 2b'!M69</f>
        <v>814.33762471332261</v>
      </c>
      <c r="N69" s="68">
        <f t="shared" si="30"/>
        <v>45</v>
      </c>
      <c r="O69" s="68">
        <f t="shared" si="30"/>
        <v>18.75</v>
      </c>
      <c r="P69" s="68">
        <f t="shared" si="25"/>
        <v>0</v>
      </c>
      <c r="Q69" s="66">
        <f t="shared" si="15"/>
        <v>886.43324347765645</v>
      </c>
      <c r="R69" s="70">
        <f t="shared" si="8"/>
        <v>933.08762471332261</v>
      </c>
      <c r="S69" s="67">
        <f t="shared" si="9"/>
        <v>979.74200594898878</v>
      </c>
      <c r="T69" s="66">
        <f t="shared" si="22"/>
        <v>2302.4332434776566</v>
      </c>
      <c r="U69" s="89">
        <f t="shared" si="16"/>
        <v>2703.0876247133228</v>
      </c>
      <c r="V69" s="67">
        <f t="shared" si="16"/>
        <v>3103.7420059489887</v>
      </c>
      <c r="W69" s="7">
        <f t="shared" si="17"/>
        <v>0.14254205112419596</v>
      </c>
      <c r="X69" s="66">
        <f t="shared" si="18"/>
        <v>328.19355710184044</v>
      </c>
      <c r="Y69" s="89">
        <f t="shared" si="19"/>
        <v>385.30365439506789</v>
      </c>
      <c r="Z69" s="67">
        <f t="shared" si="20"/>
        <v>442.41375168829529</v>
      </c>
      <c r="AA69" s="14"/>
    </row>
    <row r="70" spans="1:27">
      <c r="A70" s="4">
        <f t="shared" si="21"/>
        <v>2076</v>
      </c>
      <c r="B70" s="4">
        <f t="shared" si="10"/>
        <v>57</v>
      </c>
      <c r="C70" s="63">
        <f t="shared" si="11"/>
        <v>0</v>
      </c>
      <c r="D70" s="64"/>
      <c r="E70" s="65">
        <f t="shared" si="12"/>
        <v>0</v>
      </c>
      <c r="F70" s="63">
        <f t="shared" si="13"/>
        <v>1416</v>
      </c>
      <c r="G70" s="64">
        <f>$AC$9+X8</f>
        <v>1770</v>
      </c>
      <c r="H70" s="65">
        <f t="shared" si="7"/>
        <v>2124</v>
      </c>
      <c r="I70" s="66">
        <f t="shared" si="14"/>
        <v>1416</v>
      </c>
      <c r="J70" s="89">
        <f t="shared" si="14"/>
        <v>1770</v>
      </c>
      <c r="K70" s="67">
        <f t="shared" si="14"/>
        <v>2124</v>
      </c>
      <c r="L70" s="68">
        <f t="shared" si="30"/>
        <v>55</v>
      </c>
      <c r="M70" s="68">
        <f>'Option 2b'!M70</f>
        <v>823.04124638917392</v>
      </c>
      <c r="N70" s="68">
        <f t="shared" si="30"/>
        <v>45</v>
      </c>
      <c r="O70" s="68">
        <f t="shared" si="30"/>
        <v>18.75</v>
      </c>
      <c r="P70" s="68">
        <f t="shared" si="25"/>
        <v>0</v>
      </c>
      <c r="Q70" s="66">
        <f t="shared" si="15"/>
        <v>894.70168406971516</v>
      </c>
      <c r="R70" s="70">
        <f t="shared" si="8"/>
        <v>941.79124638917392</v>
      </c>
      <c r="S70" s="67">
        <f t="shared" si="9"/>
        <v>988.88080870863269</v>
      </c>
      <c r="T70" s="66">
        <f t="shared" si="22"/>
        <v>2310.7016840697152</v>
      </c>
      <c r="U70" s="89">
        <f t="shared" si="16"/>
        <v>2711.7912463891739</v>
      </c>
      <c r="V70" s="67">
        <f t="shared" si="16"/>
        <v>3112.8808087086327</v>
      </c>
      <c r="W70" s="7">
        <f t="shared" si="17"/>
        <v>0.13766858327621784</v>
      </c>
      <c r="X70" s="66">
        <f t="shared" si="18"/>
        <v>318.11102721984838</v>
      </c>
      <c r="Y70" s="89">
        <f t="shared" si="19"/>
        <v>373.32845903124655</v>
      </c>
      <c r="Z70" s="67">
        <f t="shared" si="20"/>
        <v>428.54589084264472</v>
      </c>
      <c r="AA70" s="14"/>
    </row>
    <row r="71" spans="1:27">
      <c r="A71" s="4">
        <f t="shared" si="21"/>
        <v>2077</v>
      </c>
      <c r="B71" s="4">
        <f t="shared" si="10"/>
        <v>58</v>
      </c>
      <c r="C71" s="63">
        <f t="shared" si="11"/>
        <v>0</v>
      </c>
      <c r="D71" s="64"/>
      <c r="E71" s="65">
        <f t="shared" si="12"/>
        <v>0</v>
      </c>
      <c r="F71" s="63">
        <f t="shared" si="13"/>
        <v>1416</v>
      </c>
      <c r="G71" s="64">
        <f t="shared" si="23"/>
        <v>1770</v>
      </c>
      <c r="H71" s="65">
        <f t="shared" si="7"/>
        <v>2124</v>
      </c>
      <c r="I71" s="66">
        <f t="shared" si="14"/>
        <v>1416</v>
      </c>
      <c r="J71" s="89">
        <f t="shared" si="14"/>
        <v>1770</v>
      </c>
      <c r="K71" s="67">
        <f t="shared" si="14"/>
        <v>2124</v>
      </c>
      <c r="L71" s="68">
        <f t="shared" si="30"/>
        <v>55</v>
      </c>
      <c r="M71" s="68">
        <f>'Option 2b'!M71</f>
        <v>831.74486806502523</v>
      </c>
      <c r="N71" s="68">
        <f t="shared" si="30"/>
        <v>45</v>
      </c>
      <c r="O71" s="68">
        <f t="shared" si="30"/>
        <v>18.75</v>
      </c>
      <c r="P71" s="68">
        <f t="shared" si="25"/>
        <v>0</v>
      </c>
      <c r="Q71" s="66">
        <f t="shared" si="15"/>
        <v>902.97012466177398</v>
      </c>
      <c r="R71" s="70">
        <f t="shared" si="8"/>
        <v>950.49486806502523</v>
      </c>
      <c r="S71" s="67">
        <f t="shared" si="9"/>
        <v>998.01961146827648</v>
      </c>
      <c r="T71" s="66">
        <f t="shared" si="22"/>
        <v>2318.9701246617742</v>
      </c>
      <c r="U71" s="89">
        <f t="shared" si="16"/>
        <v>2720.494868065025</v>
      </c>
      <c r="V71" s="67">
        <f t="shared" si="16"/>
        <v>3122.0196114682767</v>
      </c>
      <c r="W71" s="7">
        <f t="shared" si="17"/>
        <v>0.13296173775953046</v>
      </c>
      <c r="X71" s="66">
        <f t="shared" si="18"/>
        <v>308.3342975874645</v>
      </c>
      <c r="Y71" s="89">
        <f t="shared" si="19"/>
        <v>361.72172522381027</v>
      </c>
      <c r="Z71" s="67">
        <f t="shared" si="20"/>
        <v>415.1091528601562</v>
      </c>
      <c r="AA71" s="14"/>
    </row>
    <row r="72" spans="1:27">
      <c r="A72" s="4">
        <f t="shared" si="21"/>
        <v>2078</v>
      </c>
      <c r="B72" s="4">
        <f t="shared" si="10"/>
        <v>59</v>
      </c>
      <c r="C72" s="63">
        <f t="shared" si="11"/>
        <v>0</v>
      </c>
      <c r="D72" s="64"/>
      <c r="E72" s="65">
        <f t="shared" si="12"/>
        <v>0</v>
      </c>
      <c r="F72" s="63">
        <f t="shared" si="13"/>
        <v>1416</v>
      </c>
      <c r="G72" s="64">
        <f t="shared" si="23"/>
        <v>1770</v>
      </c>
      <c r="H72" s="65">
        <f t="shared" si="7"/>
        <v>2124</v>
      </c>
      <c r="I72" s="66">
        <f t="shared" si="14"/>
        <v>1416</v>
      </c>
      <c r="J72" s="89">
        <f t="shared" si="14"/>
        <v>1770</v>
      </c>
      <c r="K72" s="67">
        <f t="shared" si="14"/>
        <v>2124</v>
      </c>
      <c r="L72" s="68">
        <f t="shared" si="30"/>
        <v>55</v>
      </c>
      <c r="M72" s="68">
        <f>'Option 2b'!M72</f>
        <v>840.44848974087643</v>
      </c>
      <c r="N72" s="68">
        <f t="shared" si="30"/>
        <v>45</v>
      </c>
      <c r="O72" s="68">
        <f t="shared" si="30"/>
        <v>18.75</v>
      </c>
      <c r="P72" s="68">
        <f t="shared" si="25"/>
        <v>0</v>
      </c>
      <c r="Q72" s="66">
        <f t="shared" si="15"/>
        <v>911.23856525383258</v>
      </c>
      <c r="R72" s="70">
        <f t="shared" si="8"/>
        <v>959.19848974087643</v>
      </c>
      <c r="S72" s="67">
        <f t="shared" si="9"/>
        <v>1007.1584142279203</v>
      </c>
      <c r="T72" s="66">
        <f t="shared" si="22"/>
        <v>2327.2385652538323</v>
      </c>
      <c r="U72" s="89">
        <f t="shared" si="16"/>
        <v>2729.1984897408765</v>
      </c>
      <c r="V72" s="67">
        <f t="shared" si="16"/>
        <v>3131.1584142279203</v>
      </c>
      <c r="W72" s="7">
        <f t="shared" si="17"/>
        <v>0.12841581780908873</v>
      </c>
      <c r="X72" s="66">
        <f t="shared" si="18"/>
        <v>298.85424359392118</v>
      </c>
      <c r="Y72" s="89">
        <f t="shared" si="19"/>
        <v>350.4722560234045</v>
      </c>
      <c r="Z72" s="67">
        <f t="shared" si="20"/>
        <v>402.09026845288781</v>
      </c>
      <c r="AA72" s="90" t="s">
        <v>65</v>
      </c>
    </row>
    <row r="73" spans="1:27">
      <c r="A73" s="26">
        <f t="shared" si="21"/>
        <v>2079</v>
      </c>
      <c r="B73" s="26">
        <f t="shared" si="10"/>
        <v>60</v>
      </c>
      <c r="C73" s="63">
        <f t="shared" si="11"/>
        <v>0</v>
      </c>
      <c r="D73" s="72"/>
      <c r="E73" s="65">
        <f t="shared" si="12"/>
        <v>0</v>
      </c>
      <c r="F73" s="63">
        <f t="shared" si="13"/>
        <v>1416</v>
      </c>
      <c r="G73" s="64">
        <f t="shared" si="23"/>
        <v>1770</v>
      </c>
      <c r="H73" s="65">
        <f t="shared" si="7"/>
        <v>2124</v>
      </c>
      <c r="I73" s="73">
        <f t="shared" si="14"/>
        <v>1416</v>
      </c>
      <c r="J73" s="91">
        <f t="shared" si="14"/>
        <v>1770</v>
      </c>
      <c r="K73" s="74">
        <f t="shared" si="14"/>
        <v>2124</v>
      </c>
      <c r="L73" s="68">
        <f t="shared" si="30"/>
        <v>55</v>
      </c>
      <c r="M73" s="68">
        <f>'Option 2b'!M73</f>
        <v>849.15211141672773</v>
      </c>
      <c r="N73" s="68">
        <f t="shared" si="30"/>
        <v>45</v>
      </c>
      <c r="O73" s="68">
        <f t="shared" si="30"/>
        <v>18.75</v>
      </c>
      <c r="P73" s="68">
        <f t="shared" si="25"/>
        <v>0</v>
      </c>
      <c r="Q73" s="66">
        <f t="shared" si="15"/>
        <v>919.50700584589129</v>
      </c>
      <c r="R73" s="70">
        <f t="shared" si="8"/>
        <v>967.90211141672773</v>
      </c>
      <c r="S73" s="67">
        <f t="shared" si="9"/>
        <v>1016.2972169875642</v>
      </c>
      <c r="T73" s="66">
        <f t="shared" si="22"/>
        <v>2335.5070058458914</v>
      </c>
      <c r="U73" s="89">
        <f t="shared" si="16"/>
        <v>2737.9021114167276</v>
      </c>
      <c r="V73" s="67">
        <f t="shared" si="16"/>
        <v>3140.2972169875643</v>
      </c>
      <c r="W73" s="7">
        <f t="shared" si="17"/>
        <v>0.12402532143045074</v>
      </c>
      <c r="X73" s="73">
        <f t="shared" si="18"/>
        <v>289.66200710310625</v>
      </c>
      <c r="Y73" s="91">
        <f t="shared" si="19"/>
        <v>339.5691894135694</v>
      </c>
      <c r="Z73" s="74">
        <f t="shared" si="20"/>
        <v>389.47637172403256</v>
      </c>
      <c r="AA73" s="15"/>
    </row>
    <row r="74" spans="1:27" ht="13.5" thickBot="1">
      <c r="A74" s="185" t="s">
        <v>58</v>
      </c>
      <c r="B74" s="186"/>
      <c r="C74" s="92">
        <f t="shared" ref="C74:S74" si="31">SUM(C13:C73)</f>
        <v>53786.684830662605</v>
      </c>
      <c r="D74" s="75">
        <f t="shared" si="31"/>
        <v>62429.649811847339</v>
      </c>
      <c r="E74" s="93">
        <f t="shared" si="31"/>
        <v>71072.614793032073</v>
      </c>
      <c r="F74" s="92">
        <f t="shared" si="31"/>
        <v>107078.40669613973</v>
      </c>
      <c r="G74" s="75">
        <f t="shared" si="31"/>
        <v>133848.00837017468</v>
      </c>
      <c r="H74" s="76">
        <f t="shared" si="31"/>
        <v>160617.61004420958</v>
      </c>
      <c r="I74" s="77">
        <f t="shared" si="31"/>
        <v>160865.09152680234</v>
      </c>
      <c r="J74" s="78">
        <f t="shared" si="31"/>
        <v>196277.65818202205</v>
      </c>
      <c r="K74" s="79">
        <f t="shared" si="31"/>
        <v>231690.22483724167</v>
      </c>
      <c r="L74" s="80">
        <f t="shared" si="31"/>
        <v>3325</v>
      </c>
      <c r="M74" s="80">
        <f t="shared" si="31"/>
        <v>33767.32589499389</v>
      </c>
      <c r="N74" s="80">
        <f t="shared" si="31"/>
        <v>2090</v>
      </c>
      <c r="O74" s="80">
        <f t="shared" si="31"/>
        <v>881.25</v>
      </c>
      <c r="P74" s="80">
        <f t="shared" si="31"/>
        <v>0</v>
      </c>
      <c r="Q74" s="77">
        <f t="shared" si="31"/>
        <v>38060.397100244205</v>
      </c>
      <c r="R74" s="78">
        <f t="shared" si="31"/>
        <v>40063.575894993897</v>
      </c>
      <c r="S74" s="79">
        <f t="shared" si="31"/>
        <v>42066.75468974359</v>
      </c>
      <c r="T74" s="77">
        <f>SUM(T13:T73)</f>
        <v>198925.48862704652</v>
      </c>
      <c r="U74" s="78">
        <f>SUM(U13:U73)</f>
        <v>236341.23407701592</v>
      </c>
      <c r="V74" s="79">
        <f>SUM(V13:V73)</f>
        <v>273756.97952698538</v>
      </c>
      <c r="W74" s="81"/>
      <c r="X74" s="77">
        <f>SUM(X13:X73)</f>
        <v>98230.203539333015</v>
      </c>
      <c r="Y74" s="78">
        <f t="shared" ref="Y74:Z74" si="32">SUM(Y13:Y73)</f>
        <v>114728.93650294923</v>
      </c>
      <c r="Z74" s="79">
        <f t="shared" si="32"/>
        <v>131227.66946656545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A1:AC1"/>
    <mergeCell ref="A1:B1"/>
    <mergeCell ref="C1:K1"/>
    <mergeCell ref="O1:Q1"/>
    <mergeCell ref="S1:U1"/>
    <mergeCell ref="W1:Y1"/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82"/>
  <sheetViews>
    <sheetView zoomScale="80" zoomScaleNormal="80" workbookViewId="0">
      <pane xSplit="2" ySplit="12" topLeftCell="I13" activePane="bottomRight" state="frozen"/>
      <selection pane="topRight" activeCell="O65" sqref="O65"/>
      <selection pane="bottomLeft" activeCell="O65" sqref="O65"/>
      <selection pane="bottomRight" activeCell="T10" sqref="T10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0.7304687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5.53125" customWidth="1"/>
    <col min="30" max="30" width="13.265625" customWidth="1"/>
    <col min="33" max="33" width="14.73046875" customWidth="1"/>
    <col min="34" max="34" width="14.19921875" customWidth="1"/>
  </cols>
  <sheetData>
    <row r="1" spans="1:47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213</v>
      </c>
      <c r="T1" s="197"/>
      <c r="U1" s="197"/>
      <c r="W1" s="179" t="s">
        <v>118</v>
      </c>
      <c r="X1" s="180"/>
      <c r="Y1" s="180"/>
      <c r="AA1" s="197" t="str">
        <f>'Base Costs'!Q1</f>
        <v>Existing Coag UF</v>
      </c>
      <c r="AB1" s="197"/>
      <c r="AC1" s="197"/>
    </row>
    <row r="2" spans="1:47" ht="17.25" customHeight="1">
      <c r="A2" s="47" t="s">
        <v>15</v>
      </c>
      <c r="B2" s="48"/>
      <c r="C2" s="190" t="s">
        <v>120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106</v>
      </c>
      <c r="Q2" s="8" t="s">
        <v>14</v>
      </c>
      <c r="S2" s="8" t="s">
        <v>11</v>
      </c>
      <c r="T2" s="8" t="s">
        <v>106</v>
      </c>
      <c r="U2" s="8" t="s">
        <v>74</v>
      </c>
      <c r="W2" s="8" t="s">
        <v>11</v>
      </c>
      <c r="X2" s="8" t="s">
        <v>106</v>
      </c>
      <c r="Y2" s="8" t="s">
        <v>74</v>
      </c>
      <c r="AA2" s="8" t="s">
        <v>11</v>
      </c>
      <c r="AB2" s="8" t="s">
        <v>12</v>
      </c>
      <c r="AC2" s="8" t="s">
        <v>74</v>
      </c>
      <c r="AO2" t="s">
        <v>59</v>
      </c>
    </row>
    <row r="3" spans="1:47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7629.9999999999991</v>
      </c>
      <c r="U3" s="97">
        <v>0</v>
      </c>
      <c r="W3" s="105">
        <v>0.51</v>
      </c>
      <c r="X3" s="97">
        <f t="shared" ref="X3:X7" si="0">W3*$X$9</f>
        <v>20400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O3" t="s">
        <v>60</v>
      </c>
    </row>
    <row r="4" spans="1:47" ht="13.5" thickBot="1">
      <c r="A4" s="191" t="s">
        <v>22</v>
      </c>
      <c r="B4" s="192"/>
      <c r="C4" s="201"/>
      <c r="D4" s="56">
        <f>X74</f>
        <v>104291.63507158401</v>
      </c>
      <c r="E4" s="57">
        <f>Y74</f>
        <v>128698.71640617252</v>
      </c>
      <c r="F4" s="58">
        <f>Z74</f>
        <v>153105.79774076113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1526.0000000000002</v>
      </c>
      <c r="U4" s="97">
        <f>(T4/N4)</f>
        <v>61.040000000000006</v>
      </c>
      <c r="W4" s="105">
        <v>0.28999999999999998</v>
      </c>
      <c r="X4" s="97">
        <f t="shared" si="0"/>
        <v>11600</v>
      </c>
      <c r="Y4" s="97">
        <f>(X4/N4)</f>
        <v>464</v>
      </c>
      <c r="AA4" s="105">
        <f>'Base Costs'!Q4</f>
        <v>0.15</v>
      </c>
      <c r="AB4" s="97">
        <f>'Base Costs'!R4</f>
        <v>7500</v>
      </c>
      <c r="AC4" s="97">
        <f>(AB4/N4)</f>
        <v>300</v>
      </c>
    </row>
    <row r="5" spans="1:47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1417</v>
      </c>
      <c r="U5" s="97">
        <f t="shared" ref="U5:U8" si="1">(T5/N5)</f>
        <v>56.68</v>
      </c>
      <c r="W5" s="105">
        <v>0.08</v>
      </c>
      <c r="X5" s="97">
        <f t="shared" si="0"/>
        <v>3200</v>
      </c>
      <c r="Y5" s="97">
        <f>(X5/N5)</f>
        <v>128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47" ht="12.75" customHeight="1">
      <c r="A6" s="181" t="s">
        <v>92</v>
      </c>
      <c r="B6" s="182"/>
      <c r="I6" s="30">
        <f>SUM(I13:I17)</f>
        <v>46620</v>
      </c>
      <c r="J6" s="84">
        <f t="shared" ref="J6:K6" si="3">SUM(J13:J17)</f>
        <v>58275</v>
      </c>
      <c r="K6" s="31">
        <f t="shared" si="3"/>
        <v>69930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327</v>
      </c>
      <c r="U6" s="97">
        <f t="shared" si="1"/>
        <v>32.700000000000003</v>
      </c>
      <c r="W6" s="105">
        <v>0.06</v>
      </c>
      <c r="X6" s="97">
        <f t="shared" si="0"/>
        <v>2400</v>
      </c>
      <c r="Y6" s="97">
        <f>(X6/N6)</f>
        <v>240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  <c r="AO6" s="205" t="s">
        <v>66</v>
      </c>
      <c r="AP6" s="205"/>
      <c r="AQ6" s="205"/>
      <c r="AR6" s="205"/>
      <c r="AS6" s="205"/>
      <c r="AT6" s="205"/>
      <c r="AU6" s="205"/>
    </row>
    <row r="7" spans="1:47" ht="18.75" customHeight="1">
      <c r="A7" s="181" t="s">
        <v>93</v>
      </c>
      <c r="B7" s="182"/>
      <c r="C7" s="59">
        <f>SUM(C13:C73)</f>
        <v>68103.719849477871</v>
      </c>
      <c r="D7" s="60">
        <f t="shared" ref="D7:E7" si="4">SUM(D13:D73)</f>
        <v>85129.649811847339</v>
      </c>
      <c r="E7" s="61">
        <f t="shared" si="4"/>
        <v>102155.57977421681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0.02</v>
      </c>
      <c r="X7" s="97">
        <f t="shared" si="0"/>
        <v>800</v>
      </c>
      <c r="Y7" s="97">
        <f>(X7/N7)</f>
        <v>0.08</v>
      </c>
      <c r="AA7" s="105">
        <f>'Base Costs'!Q7</f>
        <v>0</v>
      </c>
      <c r="AB7" s="97">
        <f>'Base Costs'!R7</f>
        <v>0</v>
      </c>
      <c r="AC7" s="97">
        <f t="shared" si="2"/>
        <v>0</v>
      </c>
      <c r="AO7" s="205"/>
      <c r="AP7" s="205"/>
      <c r="AQ7" s="205"/>
      <c r="AR7" s="205"/>
      <c r="AS7" s="205"/>
      <c r="AT7" s="205"/>
      <c r="AU7" s="205"/>
    </row>
    <row r="8" spans="1:47" ht="26.25" customHeight="1">
      <c r="A8" s="181" t="s">
        <v>94</v>
      </c>
      <c r="B8" s="182"/>
      <c r="F8" s="59">
        <f>SUM(F13:F73)</f>
        <v>131614.07159548433</v>
      </c>
      <c r="G8" s="59">
        <f t="shared" ref="G8:H8" si="5">SUM(G13:G73)</f>
        <v>164517.58949435543</v>
      </c>
      <c r="H8" s="59">
        <f t="shared" si="5"/>
        <v>197421.1073932265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0.04</v>
      </c>
      <c r="X8" s="97">
        <f>W8*$X$9</f>
        <v>1600</v>
      </c>
      <c r="Y8" s="97">
        <f>(X8/N8)</f>
        <v>320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47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v>10900</v>
      </c>
      <c r="U9" s="98">
        <f>SUM(U3:U8)</f>
        <v>150.42000000000002</v>
      </c>
      <c r="V9" s="1"/>
      <c r="W9" s="106">
        <f>SUM(W3:W8)</f>
        <v>1</v>
      </c>
      <c r="X9" s="98">
        <v>40000</v>
      </c>
      <c r="Y9" s="98">
        <f>SUM(Y3:Y8)</f>
        <v>1152.08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47" ht="13.15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12"/>
      <c r="AG10" s="2" t="s">
        <v>88</v>
      </c>
    </row>
    <row r="11" spans="1:47" ht="13.15">
      <c r="A11" s="196" t="s">
        <v>29</v>
      </c>
      <c r="B11" s="196"/>
      <c r="C11" s="35">
        <v>-0.2</v>
      </c>
      <c r="D11" s="35">
        <v>0</v>
      </c>
      <c r="E11" s="35">
        <v>0.2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179" t="s">
        <v>81</v>
      </c>
      <c r="AD11" s="180"/>
      <c r="AG11" s="179" t="s">
        <v>81</v>
      </c>
      <c r="AH11" s="180"/>
    </row>
    <row r="12" spans="1:47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8" t="s">
        <v>11</v>
      </c>
      <c r="AD12" s="8" t="s">
        <v>12</v>
      </c>
      <c r="AG12" s="8" t="s">
        <v>11</v>
      </c>
      <c r="AH12" s="8" t="s">
        <v>12</v>
      </c>
    </row>
    <row r="13" spans="1:47">
      <c r="A13" s="3">
        <v>2019</v>
      </c>
      <c r="B13" s="3">
        <v>0</v>
      </c>
      <c r="C13" s="63">
        <f>D13*(1+$C$11)</f>
        <v>20360</v>
      </c>
      <c r="D13" s="27">
        <f>(T9+X9)/2</f>
        <v>25450</v>
      </c>
      <c r="E13" s="65">
        <f>D13*(1+$E$11)</f>
        <v>30540</v>
      </c>
      <c r="F13" s="63">
        <f>G13*(1+$F$11)</f>
        <v>1180</v>
      </c>
      <c r="G13" s="64">
        <f>$AC$9</f>
        <v>1475</v>
      </c>
      <c r="H13" s="65">
        <f t="shared" ref="H13:H73" si="6">G13*(1+$H$11)</f>
        <v>1770</v>
      </c>
      <c r="I13" s="66">
        <f>F13+C13</f>
        <v>21540</v>
      </c>
      <c r="J13" s="89">
        <f>G13+D13</f>
        <v>26925</v>
      </c>
      <c r="K13" s="67">
        <f>H13+E13</f>
        <v>32310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v>0</v>
      </c>
      <c r="P13" s="68">
        <f>'Base Costs'!P13</f>
        <v>0</v>
      </c>
      <c r="Q13" s="66">
        <f>R13*(1+$Q$11)</f>
        <v>228</v>
      </c>
      <c r="R13" s="89">
        <f>SUM(L13:P13)*2</f>
        <v>240</v>
      </c>
      <c r="S13" s="67">
        <f t="shared" ref="S13:S73" si="7">R13*(1+$S$11)</f>
        <v>252</v>
      </c>
      <c r="T13" s="66">
        <f>Q13+I13</f>
        <v>21768</v>
      </c>
      <c r="U13" s="89">
        <f>R13+J13</f>
        <v>27165</v>
      </c>
      <c r="V13" s="67">
        <f>S13+K13</f>
        <v>32562</v>
      </c>
      <c r="W13" s="5">
        <v>1</v>
      </c>
      <c r="X13" s="69">
        <f>W13*T13</f>
        <v>21768</v>
      </c>
      <c r="Y13" s="89">
        <f>W13*U13</f>
        <v>27165</v>
      </c>
      <c r="Z13" s="67">
        <f>W13*V13</f>
        <v>32562</v>
      </c>
      <c r="AA13" s="13"/>
      <c r="AC13" s="105">
        <v>0.41</v>
      </c>
      <c r="AD13" s="97">
        <v>5002</v>
      </c>
      <c r="AG13" s="105">
        <f t="shared" ref="AG13:AG18" si="8">AH13/$AH$19</f>
        <v>0.50832786885245906</v>
      </c>
      <c r="AH13" s="97">
        <f>AD13+AG22+AG23+AG24</f>
        <v>7752</v>
      </c>
    </row>
    <row r="14" spans="1:47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20360</v>
      </c>
      <c r="D14" s="27">
        <f>D13</f>
        <v>25450</v>
      </c>
      <c r="E14" s="65">
        <f t="shared" ref="E14:E73" si="11">D14*(1+$E$11)</f>
        <v>30540</v>
      </c>
      <c r="F14" s="63">
        <f t="shared" ref="F14:F73" si="12">G14*(1+$F$11)</f>
        <v>1180</v>
      </c>
      <c r="G14" s="64">
        <f t="shared" ref="G14:G27" si="13">$AC$9</f>
        <v>1475</v>
      </c>
      <c r="H14" s="65">
        <f t="shared" si="6"/>
        <v>1770</v>
      </c>
      <c r="I14" s="66">
        <f t="shared" ref="I14:K73" si="14">F14+C14</f>
        <v>21540</v>
      </c>
      <c r="J14" s="89">
        <f t="shared" si="14"/>
        <v>26925</v>
      </c>
      <c r="K14" s="67">
        <f t="shared" si="14"/>
        <v>32310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v>0</v>
      </c>
      <c r="P14" s="68">
        <f>'Base Costs'!P14</f>
        <v>0</v>
      </c>
      <c r="Q14" s="66">
        <f t="shared" ref="Q14:Q73" si="15">R14*(1+$Q$11)</f>
        <v>228</v>
      </c>
      <c r="R14" s="89">
        <f t="shared" ref="R14:R73" si="16">SUM(L14:P14)*2</f>
        <v>240</v>
      </c>
      <c r="S14" s="67">
        <f t="shared" si="7"/>
        <v>252</v>
      </c>
      <c r="T14" s="66">
        <f>Q14+I14</f>
        <v>21768</v>
      </c>
      <c r="U14" s="89">
        <f t="shared" ref="U14:V73" si="17">R14+J14</f>
        <v>27165</v>
      </c>
      <c r="V14" s="67">
        <f t="shared" si="17"/>
        <v>32562</v>
      </c>
      <c r="W14" s="6">
        <f t="shared" ref="W14:W73" si="18">(1/(1+$C$3))^B14</f>
        <v>0.96581031485416258</v>
      </c>
      <c r="X14" s="66">
        <f t="shared" ref="X14:X73" si="19">W14*T14</f>
        <v>21023.758933745412</v>
      </c>
      <c r="Y14" s="89">
        <f t="shared" ref="Y14:Y73" si="20">W14*U14</f>
        <v>26236.237203013327</v>
      </c>
      <c r="Z14" s="67">
        <f t="shared" ref="Z14:Z73" si="21">W14*V14</f>
        <v>31448.715472281241</v>
      </c>
      <c r="AA14" s="13"/>
      <c r="AC14" s="105">
        <v>0.36</v>
      </c>
      <c r="AD14" s="97">
        <v>4392</v>
      </c>
      <c r="AG14" s="105">
        <f t="shared" si="8"/>
        <v>0.28799999999999998</v>
      </c>
      <c r="AH14" s="97">
        <f>AD14</f>
        <v>4392</v>
      </c>
    </row>
    <row r="15" spans="1:47">
      <c r="A15" s="4">
        <f t="shared" ref="A15:A73" si="22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 t="shared" si="13"/>
        <v>1475</v>
      </c>
      <c r="H15" s="65">
        <f t="shared" si="6"/>
        <v>1770</v>
      </c>
      <c r="I15" s="66">
        <f t="shared" si="14"/>
        <v>1180</v>
      </c>
      <c r="J15" s="89">
        <f t="shared" si="14"/>
        <v>1475</v>
      </c>
      <c r="K15" s="67">
        <f t="shared" si="14"/>
        <v>1770</v>
      </c>
      <c r="L15" s="68">
        <f>164.79/3</f>
        <v>54.93</v>
      </c>
      <c r="M15" s="68">
        <f>12.1+(164.79/3)</f>
        <v>67.03</v>
      </c>
      <c r="N15" s="68">
        <f>164.79/3</f>
        <v>54.93</v>
      </c>
      <c r="O15" s="68">
        <f>O14</f>
        <v>0</v>
      </c>
      <c r="P15" s="68">
        <f t="shared" ref="P15:P73" si="23">P14</f>
        <v>0</v>
      </c>
      <c r="Q15" s="66">
        <f t="shared" si="15"/>
        <v>336.09100000000001</v>
      </c>
      <c r="R15" s="89">
        <f t="shared" si="16"/>
        <v>353.78000000000003</v>
      </c>
      <c r="S15" s="67">
        <f t="shared" si="7"/>
        <v>371.46900000000005</v>
      </c>
      <c r="T15" s="66">
        <f t="shared" ref="T15:T73" si="24">Q15+I15</f>
        <v>1516.0909999999999</v>
      </c>
      <c r="U15" s="89">
        <f t="shared" si="17"/>
        <v>1828.78</v>
      </c>
      <c r="V15" s="67">
        <f t="shared" si="17"/>
        <v>2141.4690000000001</v>
      </c>
      <c r="W15" s="6">
        <f t="shared" si="18"/>
        <v>0.93278956427869664</v>
      </c>
      <c r="X15" s="66">
        <f t="shared" si="19"/>
        <v>1414.1938632968534</v>
      </c>
      <c r="Y15" s="89">
        <f t="shared" si="20"/>
        <v>1705.8668993615947</v>
      </c>
      <c r="Z15" s="67">
        <f t="shared" si="21"/>
        <v>1997.5399354263363</v>
      </c>
      <c r="AA15" s="14"/>
      <c r="AC15" s="105">
        <v>0.1</v>
      </c>
      <c r="AD15" s="97">
        <v>1220</v>
      </c>
      <c r="AG15" s="105">
        <f t="shared" si="8"/>
        <v>0.08</v>
      </c>
      <c r="AH15" s="97">
        <f>AD15</f>
        <v>1220</v>
      </c>
    </row>
    <row r="16" spans="1:47">
      <c r="A16" s="4">
        <f t="shared" si="22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si="13"/>
        <v>1475</v>
      </c>
      <c r="H16" s="65">
        <f t="shared" si="6"/>
        <v>1770</v>
      </c>
      <c r="I16" s="66">
        <f t="shared" si="14"/>
        <v>1180</v>
      </c>
      <c r="J16" s="89">
        <f t="shared" si="14"/>
        <v>1475</v>
      </c>
      <c r="K16" s="67">
        <f t="shared" si="14"/>
        <v>1770</v>
      </c>
      <c r="L16" s="68">
        <f t="shared" ref="L16:L31" si="25">L15</f>
        <v>54.93</v>
      </c>
      <c r="M16" s="68">
        <f t="shared" ref="M16:O73" si="26">M15</f>
        <v>67.03</v>
      </c>
      <c r="N16" s="68">
        <f t="shared" si="26"/>
        <v>54.93</v>
      </c>
      <c r="O16" s="68">
        <f t="shared" si="26"/>
        <v>0</v>
      </c>
      <c r="P16" s="68">
        <f t="shared" si="23"/>
        <v>0</v>
      </c>
      <c r="Q16" s="66">
        <f t="shared" si="15"/>
        <v>336.09100000000001</v>
      </c>
      <c r="R16" s="89">
        <f t="shared" si="16"/>
        <v>353.78000000000003</v>
      </c>
      <c r="S16" s="67">
        <f t="shared" si="7"/>
        <v>371.46900000000005</v>
      </c>
      <c r="T16" s="66">
        <f t="shared" si="24"/>
        <v>1516.0909999999999</v>
      </c>
      <c r="U16" s="89">
        <f t="shared" si="17"/>
        <v>1828.78</v>
      </c>
      <c r="V16" s="67">
        <f t="shared" si="17"/>
        <v>2141.4690000000001</v>
      </c>
      <c r="W16" s="6">
        <f t="shared" si="18"/>
        <v>0.90089778276868515</v>
      </c>
      <c r="X16" s="66">
        <f t="shared" si="19"/>
        <v>1365.8430203755586</v>
      </c>
      <c r="Y16" s="89">
        <f t="shared" si="20"/>
        <v>1647.5438471717159</v>
      </c>
      <c r="Z16" s="67">
        <f t="shared" si="21"/>
        <v>1929.2446739678735</v>
      </c>
      <c r="AA16" s="14"/>
      <c r="AC16" s="105">
        <v>7.0000000000000007E-2</v>
      </c>
      <c r="AD16" s="97">
        <v>854.00000000000011</v>
      </c>
      <c r="AG16" s="105">
        <f t="shared" si="8"/>
        <v>5.6000000000000008E-2</v>
      </c>
      <c r="AH16" s="97">
        <f>AD16</f>
        <v>854.00000000000011</v>
      </c>
    </row>
    <row r="17" spans="1:34">
      <c r="A17" s="4">
        <f t="shared" si="22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13"/>
        <v>1475</v>
      </c>
      <c r="H17" s="65">
        <f t="shared" si="6"/>
        <v>1770</v>
      </c>
      <c r="I17" s="66">
        <f t="shared" si="14"/>
        <v>1180</v>
      </c>
      <c r="J17" s="89">
        <f t="shared" si="14"/>
        <v>1475</v>
      </c>
      <c r="K17" s="67">
        <f t="shared" si="14"/>
        <v>1770</v>
      </c>
      <c r="L17" s="68">
        <f t="shared" si="25"/>
        <v>54.93</v>
      </c>
      <c r="M17" s="68">
        <f t="shared" si="26"/>
        <v>67.03</v>
      </c>
      <c r="N17" s="68">
        <f t="shared" si="26"/>
        <v>54.93</v>
      </c>
      <c r="O17" s="68">
        <f t="shared" si="26"/>
        <v>0</v>
      </c>
      <c r="P17" s="68">
        <f t="shared" si="23"/>
        <v>0</v>
      </c>
      <c r="Q17" s="66">
        <f t="shared" si="15"/>
        <v>336.09100000000001</v>
      </c>
      <c r="R17" s="89">
        <f t="shared" si="16"/>
        <v>353.78000000000003</v>
      </c>
      <c r="S17" s="67">
        <f t="shared" si="7"/>
        <v>371.46900000000005</v>
      </c>
      <c r="T17" s="66">
        <f t="shared" si="24"/>
        <v>1516.0909999999999</v>
      </c>
      <c r="U17" s="89">
        <f t="shared" si="17"/>
        <v>1828.78</v>
      </c>
      <c r="V17" s="67">
        <f t="shared" si="17"/>
        <v>2141.4690000000001</v>
      </c>
      <c r="W17" s="6">
        <f t="shared" si="18"/>
        <v>0.87009637122724071</v>
      </c>
      <c r="X17" s="66">
        <f t="shared" si="19"/>
        <v>1319.1452775502785</v>
      </c>
      <c r="Y17" s="89">
        <f t="shared" si="20"/>
        <v>1591.2148417729532</v>
      </c>
      <c r="Z17" s="67">
        <f t="shared" si="21"/>
        <v>1863.284405995628</v>
      </c>
      <c r="AA17" s="14"/>
      <c r="AC17" s="105">
        <v>0</v>
      </c>
      <c r="AD17" s="97">
        <v>0</v>
      </c>
      <c r="AG17" s="105">
        <f t="shared" si="8"/>
        <v>1.9672131147540985E-2</v>
      </c>
      <c r="AH17" s="97">
        <f>AG25</f>
        <v>300</v>
      </c>
    </row>
    <row r="18" spans="1:34">
      <c r="A18" s="4">
        <f t="shared" si="22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2460</v>
      </c>
      <c r="G18" s="64">
        <f>X8+AC9</f>
        <v>3075</v>
      </c>
      <c r="H18" s="65">
        <f t="shared" si="6"/>
        <v>3690</v>
      </c>
      <c r="I18" s="66">
        <f t="shared" si="14"/>
        <v>2460</v>
      </c>
      <c r="J18" s="89">
        <f t="shared" si="14"/>
        <v>3075</v>
      </c>
      <c r="K18" s="67">
        <f t="shared" si="14"/>
        <v>3690</v>
      </c>
      <c r="L18" s="68">
        <f t="shared" si="25"/>
        <v>54.93</v>
      </c>
      <c r="M18" s="68">
        <f t="shared" si="26"/>
        <v>67.03</v>
      </c>
      <c r="N18" s="68">
        <f t="shared" si="26"/>
        <v>54.93</v>
      </c>
      <c r="O18" s="68">
        <f t="shared" si="26"/>
        <v>0</v>
      </c>
      <c r="P18" s="68">
        <f t="shared" si="23"/>
        <v>0</v>
      </c>
      <c r="Q18" s="66">
        <f t="shared" si="15"/>
        <v>336.09100000000001</v>
      </c>
      <c r="R18" s="89">
        <f t="shared" si="16"/>
        <v>353.78000000000003</v>
      </c>
      <c r="S18" s="67">
        <f t="shared" si="7"/>
        <v>371.46900000000005</v>
      </c>
      <c r="T18" s="66">
        <f t="shared" si="24"/>
        <v>2796.0909999999999</v>
      </c>
      <c r="U18" s="89">
        <f t="shared" si="17"/>
        <v>3428.78</v>
      </c>
      <c r="V18" s="67">
        <f t="shared" si="17"/>
        <v>4061.4690000000001</v>
      </c>
      <c r="W18" s="6">
        <f t="shared" si="18"/>
        <v>0.84034805024844572</v>
      </c>
      <c r="X18" s="66">
        <f t="shared" si="19"/>
        <v>2349.6896201672266</v>
      </c>
      <c r="Y18" s="89">
        <f t="shared" si="20"/>
        <v>2881.3685877308658</v>
      </c>
      <c r="Z18" s="67">
        <f t="shared" si="21"/>
        <v>3413.0475552945045</v>
      </c>
      <c r="AA18" s="14"/>
      <c r="AC18" s="105">
        <v>0.05</v>
      </c>
      <c r="AD18" s="97">
        <v>610</v>
      </c>
      <c r="AG18" s="105">
        <f t="shared" si="8"/>
        <v>0.04</v>
      </c>
      <c r="AH18" s="97">
        <f>AD18</f>
        <v>610</v>
      </c>
    </row>
    <row r="19" spans="1:34" ht="13.15">
      <c r="A19" s="4">
        <f t="shared" si="22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13"/>
        <v>1475</v>
      </c>
      <c r="H19" s="65">
        <f t="shared" si="6"/>
        <v>1770</v>
      </c>
      <c r="I19" s="66">
        <f t="shared" si="14"/>
        <v>1180</v>
      </c>
      <c r="J19" s="89">
        <f t="shared" si="14"/>
        <v>1475</v>
      </c>
      <c r="K19" s="67">
        <f t="shared" si="14"/>
        <v>1770</v>
      </c>
      <c r="L19" s="68">
        <f t="shared" si="25"/>
        <v>54.93</v>
      </c>
      <c r="M19" s="68">
        <f t="shared" si="26"/>
        <v>67.03</v>
      </c>
      <c r="N19" s="68">
        <f t="shared" si="26"/>
        <v>54.93</v>
      </c>
      <c r="O19" s="68">
        <f t="shared" si="26"/>
        <v>0</v>
      </c>
      <c r="P19" s="68">
        <f t="shared" si="23"/>
        <v>0</v>
      </c>
      <c r="Q19" s="66">
        <f t="shared" si="15"/>
        <v>336.09100000000001</v>
      </c>
      <c r="R19" s="89">
        <f t="shared" si="16"/>
        <v>353.78000000000003</v>
      </c>
      <c r="S19" s="67">
        <f t="shared" si="7"/>
        <v>371.46900000000005</v>
      </c>
      <c r="T19" s="66">
        <f t="shared" si="24"/>
        <v>1516.0909999999999</v>
      </c>
      <c r="U19" s="89">
        <f t="shared" si="17"/>
        <v>1828.78</v>
      </c>
      <c r="V19" s="67">
        <f t="shared" si="17"/>
        <v>2141.4690000000001</v>
      </c>
      <c r="W19" s="6">
        <f t="shared" si="18"/>
        <v>0.81161681499753291</v>
      </c>
      <c r="X19" s="66">
        <f t="shared" si="19"/>
        <v>1230.4849486664245</v>
      </c>
      <c r="Y19" s="89">
        <f t="shared" si="20"/>
        <v>1484.2685989311883</v>
      </c>
      <c r="Z19" s="67">
        <f t="shared" si="21"/>
        <v>1738.0522491959518</v>
      </c>
      <c r="AA19" s="14"/>
      <c r="AC19" s="106">
        <v>0.99</v>
      </c>
      <c r="AD19" s="98">
        <v>12200</v>
      </c>
      <c r="AG19" s="106">
        <f>SUM(AG13:AG18)</f>
        <v>0.9920000000000001</v>
      </c>
      <c r="AH19" s="98">
        <f>AD19+AG26</f>
        <v>15250</v>
      </c>
    </row>
    <row r="20" spans="1:34">
      <c r="A20" s="4">
        <f t="shared" si="22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13"/>
        <v>1475</v>
      </c>
      <c r="H20" s="65">
        <f t="shared" si="6"/>
        <v>1770</v>
      </c>
      <c r="I20" s="66">
        <f t="shared" si="14"/>
        <v>1180</v>
      </c>
      <c r="J20" s="89">
        <f t="shared" si="14"/>
        <v>1475</v>
      </c>
      <c r="K20" s="67">
        <f t="shared" si="14"/>
        <v>1770</v>
      </c>
      <c r="L20" s="68">
        <f t="shared" si="25"/>
        <v>54.93</v>
      </c>
      <c r="M20" s="68">
        <f t="shared" si="26"/>
        <v>67.03</v>
      </c>
      <c r="N20" s="68">
        <f t="shared" si="26"/>
        <v>54.93</v>
      </c>
      <c r="O20" s="68">
        <f t="shared" si="26"/>
        <v>0</v>
      </c>
      <c r="P20" s="68">
        <f t="shared" si="23"/>
        <v>0</v>
      </c>
      <c r="Q20" s="66">
        <f t="shared" si="15"/>
        <v>336.09100000000001</v>
      </c>
      <c r="R20" s="89">
        <f t="shared" si="16"/>
        <v>353.78000000000003</v>
      </c>
      <c r="S20" s="67">
        <f t="shared" si="7"/>
        <v>371.46900000000005</v>
      </c>
      <c r="T20" s="66">
        <f t="shared" si="24"/>
        <v>1516.0909999999999</v>
      </c>
      <c r="U20" s="89">
        <f t="shared" si="17"/>
        <v>1828.78</v>
      </c>
      <c r="V20" s="67">
        <f t="shared" si="17"/>
        <v>2141.4690000000001</v>
      </c>
      <c r="W20" s="6">
        <f t="shared" si="18"/>
        <v>0.78386789163369996</v>
      </c>
      <c r="X20" s="66">
        <f t="shared" si="19"/>
        <v>1188.4150556948277</v>
      </c>
      <c r="Y20" s="89">
        <f t="shared" si="20"/>
        <v>1433.5219228618778</v>
      </c>
      <c r="Z20" s="67">
        <f t="shared" si="21"/>
        <v>1678.6287900289278</v>
      </c>
      <c r="AA20" s="14"/>
    </row>
    <row r="21" spans="1:34">
      <c r="A21" s="4">
        <f t="shared" si="22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13"/>
        <v>1475</v>
      </c>
      <c r="H21" s="65">
        <f t="shared" si="6"/>
        <v>1770</v>
      </c>
      <c r="I21" s="66">
        <f t="shared" si="14"/>
        <v>1180</v>
      </c>
      <c r="J21" s="89">
        <f t="shared" si="14"/>
        <v>1475</v>
      </c>
      <c r="K21" s="67">
        <f t="shared" si="14"/>
        <v>1770</v>
      </c>
      <c r="L21" s="68">
        <f t="shared" si="25"/>
        <v>54.93</v>
      </c>
      <c r="M21" s="68">
        <f t="shared" si="26"/>
        <v>67.03</v>
      </c>
      <c r="N21" s="68">
        <f t="shared" si="26"/>
        <v>54.93</v>
      </c>
      <c r="O21" s="68">
        <f t="shared" si="26"/>
        <v>0</v>
      </c>
      <c r="P21" s="68">
        <f t="shared" si="23"/>
        <v>0</v>
      </c>
      <c r="Q21" s="66">
        <f t="shared" si="15"/>
        <v>336.09100000000001</v>
      </c>
      <c r="R21" s="89">
        <f t="shared" si="16"/>
        <v>353.78000000000003</v>
      </c>
      <c r="S21" s="67">
        <f t="shared" si="7"/>
        <v>371.46900000000005</v>
      </c>
      <c r="T21" s="66">
        <f t="shared" si="24"/>
        <v>1516.0909999999999</v>
      </c>
      <c r="U21" s="89">
        <f t="shared" si="17"/>
        <v>1828.78</v>
      </c>
      <c r="V21" s="67">
        <f t="shared" si="17"/>
        <v>2141.4690000000001</v>
      </c>
      <c r="W21" s="6">
        <f t="shared" si="18"/>
        <v>0.75706769522281225</v>
      </c>
      <c r="X21" s="66">
        <f t="shared" si="19"/>
        <v>1147.7835191180486</v>
      </c>
      <c r="Y21" s="89">
        <f t="shared" si="20"/>
        <v>1384.5102596695747</v>
      </c>
      <c r="Z21" s="67">
        <f t="shared" si="21"/>
        <v>1621.2370002211005</v>
      </c>
      <c r="AA21" s="14"/>
      <c r="AC21" t="s">
        <v>86</v>
      </c>
    </row>
    <row r="22" spans="1:34">
      <c r="A22" s="4">
        <f t="shared" si="22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2460</v>
      </c>
      <c r="G22" s="64">
        <f>G18</f>
        <v>3075</v>
      </c>
      <c r="H22" s="65">
        <f t="shared" si="6"/>
        <v>3690</v>
      </c>
      <c r="I22" s="66">
        <f t="shared" si="14"/>
        <v>2460</v>
      </c>
      <c r="J22" s="89">
        <f t="shared" si="14"/>
        <v>3075</v>
      </c>
      <c r="K22" s="67">
        <f t="shared" si="14"/>
        <v>3690</v>
      </c>
      <c r="L22" s="68">
        <f t="shared" si="25"/>
        <v>54.93</v>
      </c>
      <c r="M22" s="68">
        <f t="shared" si="26"/>
        <v>67.03</v>
      </c>
      <c r="N22" s="68">
        <f t="shared" si="26"/>
        <v>54.93</v>
      </c>
      <c r="O22" s="68">
        <f t="shared" si="26"/>
        <v>0</v>
      </c>
      <c r="P22" s="68">
        <f t="shared" si="23"/>
        <v>0</v>
      </c>
      <c r="Q22" s="66">
        <f t="shared" si="15"/>
        <v>336.09100000000001</v>
      </c>
      <c r="R22" s="89">
        <f t="shared" si="16"/>
        <v>353.78000000000003</v>
      </c>
      <c r="S22" s="67">
        <f t="shared" si="7"/>
        <v>371.46900000000005</v>
      </c>
      <c r="T22" s="66">
        <f t="shared" si="24"/>
        <v>2796.0909999999999</v>
      </c>
      <c r="U22" s="89">
        <f t="shared" si="17"/>
        <v>3428.78</v>
      </c>
      <c r="V22" s="67">
        <f t="shared" si="17"/>
        <v>4061.4690000000001</v>
      </c>
      <c r="W22" s="6">
        <f t="shared" si="18"/>
        <v>0.73118378908905945</v>
      </c>
      <c r="X22" s="66">
        <f t="shared" si="19"/>
        <v>2044.4564120178172</v>
      </c>
      <c r="Y22" s="89">
        <f t="shared" si="20"/>
        <v>2507.0683523527855</v>
      </c>
      <c r="Z22" s="67">
        <f t="shared" si="21"/>
        <v>2969.6802926877531</v>
      </c>
      <c r="AA22" s="14"/>
      <c r="AC22" s="83" t="s">
        <v>89</v>
      </c>
      <c r="AG22">
        <v>1300</v>
      </c>
    </row>
    <row r="23" spans="1:34">
      <c r="A23" s="4">
        <f t="shared" si="22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13"/>
        <v>1475</v>
      </c>
      <c r="H23" s="65">
        <f t="shared" si="6"/>
        <v>1770</v>
      </c>
      <c r="I23" s="66">
        <f t="shared" si="14"/>
        <v>1180</v>
      </c>
      <c r="J23" s="89">
        <f t="shared" si="14"/>
        <v>1475</v>
      </c>
      <c r="K23" s="67">
        <f t="shared" si="14"/>
        <v>1770</v>
      </c>
      <c r="L23" s="68">
        <f t="shared" si="25"/>
        <v>54.93</v>
      </c>
      <c r="M23" s="68">
        <f t="shared" si="26"/>
        <v>67.03</v>
      </c>
      <c r="N23" s="68">
        <f t="shared" si="26"/>
        <v>54.93</v>
      </c>
      <c r="O23" s="68">
        <f t="shared" si="26"/>
        <v>0</v>
      </c>
      <c r="P23" s="68">
        <f t="shared" si="23"/>
        <v>0</v>
      </c>
      <c r="Q23" s="66">
        <f t="shared" si="15"/>
        <v>336.09100000000001</v>
      </c>
      <c r="R23" s="89">
        <f t="shared" si="16"/>
        <v>353.78000000000003</v>
      </c>
      <c r="S23" s="67">
        <f t="shared" si="7"/>
        <v>371.46900000000005</v>
      </c>
      <c r="T23" s="66">
        <f t="shared" si="24"/>
        <v>1516.0909999999999</v>
      </c>
      <c r="U23" s="89">
        <f t="shared" si="17"/>
        <v>1828.78</v>
      </c>
      <c r="V23" s="67">
        <f t="shared" si="17"/>
        <v>2141.4690000000001</v>
      </c>
      <c r="W23" s="6">
        <f t="shared" si="18"/>
        <v>0.70618484555636418</v>
      </c>
      <c r="X23" s="66">
        <f t="shared" si="19"/>
        <v>1070.6404886843936</v>
      </c>
      <c r="Y23" s="89">
        <f t="shared" si="20"/>
        <v>1291.4567218565676</v>
      </c>
      <c r="Z23" s="67">
        <f t="shared" si="21"/>
        <v>1512.2729550287418</v>
      </c>
      <c r="AA23" s="14"/>
      <c r="AC23" t="s">
        <v>84</v>
      </c>
      <c r="AG23">
        <f>2*200</f>
        <v>400</v>
      </c>
    </row>
    <row r="24" spans="1:34">
      <c r="A24" s="4">
        <f t="shared" si="22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3361.6000000000004</v>
      </c>
      <c r="G24" s="64">
        <f>X6+T6+AC9</f>
        <v>4202</v>
      </c>
      <c r="H24" s="65">
        <f t="shared" si="6"/>
        <v>5042.3999999999996</v>
      </c>
      <c r="I24" s="66">
        <f t="shared" si="14"/>
        <v>3361.6000000000004</v>
      </c>
      <c r="J24" s="89">
        <f t="shared" si="14"/>
        <v>4202</v>
      </c>
      <c r="K24" s="67">
        <f t="shared" si="14"/>
        <v>5042.3999999999996</v>
      </c>
      <c r="L24" s="68">
        <f t="shared" si="25"/>
        <v>54.93</v>
      </c>
      <c r="M24" s="68">
        <f t="shared" si="26"/>
        <v>67.03</v>
      </c>
      <c r="N24" s="68">
        <f t="shared" si="26"/>
        <v>54.93</v>
      </c>
      <c r="O24" s="68">
        <f t="shared" si="26"/>
        <v>0</v>
      </c>
      <c r="P24" s="68">
        <f t="shared" si="23"/>
        <v>0</v>
      </c>
      <c r="Q24" s="66">
        <f t="shared" si="15"/>
        <v>336.09100000000001</v>
      </c>
      <c r="R24" s="89">
        <f t="shared" si="16"/>
        <v>353.78000000000003</v>
      </c>
      <c r="S24" s="67">
        <f t="shared" si="7"/>
        <v>371.46900000000005</v>
      </c>
      <c r="T24" s="66">
        <f t="shared" si="24"/>
        <v>3697.6910000000003</v>
      </c>
      <c r="U24" s="89">
        <f t="shared" si="17"/>
        <v>4555.78</v>
      </c>
      <c r="V24" s="67">
        <f t="shared" si="17"/>
        <v>5413.8689999999997</v>
      </c>
      <c r="W24" s="6">
        <f t="shared" si="18"/>
        <v>0.68204060803203026</v>
      </c>
      <c r="X24" s="66">
        <f t="shared" si="19"/>
        <v>2521.9754179545662</v>
      </c>
      <c r="Y24" s="89">
        <f t="shared" si="20"/>
        <v>3107.2269612601626</v>
      </c>
      <c r="Z24" s="67">
        <f t="shared" si="21"/>
        <v>3692.4785045657595</v>
      </c>
      <c r="AA24" s="14"/>
      <c r="AC24" t="s">
        <v>85</v>
      </c>
      <c r="AG24">
        <f>3*350</f>
        <v>1050</v>
      </c>
    </row>
    <row r="25" spans="1:34">
      <c r="A25" s="4">
        <f t="shared" si="22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94">
        <f t="shared" si="12"/>
        <v>1180</v>
      </c>
      <c r="G25" s="64">
        <f t="shared" si="13"/>
        <v>1475</v>
      </c>
      <c r="H25" s="95">
        <f t="shared" si="6"/>
        <v>1770</v>
      </c>
      <c r="I25" s="66">
        <f t="shared" si="14"/>
        <v>1180</v>
      </c>
      <c r="J25" s="89">
        <f>G25+D25</f>
        <v>1475</v>
      </c>
      <c r="K25" s="67">
        <f t="shared" si="14"/>
        <v>1770</v>
      </c>
      <c r="L25" s="68">
        <f t="shared" si="25"/>
        <v>54.93</v>
      </c>
      <c r="M25" s="68">
        <f t="shared" si="26"/>
        <v>67.03</v>
      </c>
      <c r="N25" s="68">
        <f t="shared" si="26"/>
        <v>54.93</v>
      </c>
      <c r="O25" s="68">
        <f t="shared" si="26"/>
        <v>0</v>
      </c>
      <c r="P25" s="68">
        <f t="shared" si="23"/>
        <v>0</v>
      </c>
      <c r="Q25" s="66">
        <f t="shared" si="15"/>
        <v>336.09100000000001</v>
      </c>
      <c r="R25" s="89">
        <f t="shared" si="16"/>
        <v>353.78000000000003</v>
      </c>
      <c r="S25" s="67">
        <f t="shared" si="7"/>
        <v>371.46900000000005</v>
      </c>
      <c r="T25" s="66">
        <f t="shared" si="24"/>
        <v>1516.0909999999999</v>
      </c>
      <c r="U25" s="89">
        <f t="shared" si="17"/>
        <v>1828.78</v>
      </c>
      <c r="V25" s="67">
        <f t="shared" si="17"/>
        <v>2141.4690000000001</v>
      </c>
      <c r="W25" s="6">
        <f t="shared" si="18"/>
        <v>0.65872185438673958</v>
      </c>
      <c r="X25" s="66">
        <f t="shared" si="19"/>
        <v>998.68227493904635</v>
      </c>
      <c r="Y25" s="89">
        <f t="shared" si="20"/>
        <v>1204.6573528653817</v>
      </c>
      <c r="Z25" s="67">
        <f t="shared" si="21"/>
        <v>1410.6324307917168</v>
      </c>
      <c r="AA25" s="14"/>
      <c r="AC25" s="83" t="s">
        <v>25</v>
      </c>
      <c r="AG25">
        <v>300</v>
      </c>
    </row>
    <row r="26" spans="1:34">
      <c r="A26" s="4">
        <f t="shared" si="22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2460</v>
      </c>
      <c r="G26" s="64">
        <f>X8+AC9</f>
        <v>3075</v>
      </c>
      <c r="H26" s="65">
        <f t="shared" si="6"/>
        <v>3690</v>
      </c>
      <c r="I26" s="66">
        <f t="shared" si="14"/>
        <v>2460</v>
      </c>
      <c r="J26" s="89">
        <f t="shared" si="14"/>
        <v>3075</v>
      </c>
      <c r="K26" s="67">
        <f t="shared" si="14"/>
        <v>3690</v>
      </c>
      <c r="L26" s="68">
        <f t="shared" si="25"/>
        <v>54.93</v>
      </c>
      <c r="M26" s="68">
        <f t="shared" si="26"/>
        <v>67.03</v>
      </c>
      <c r="N26" s="68">
        <f t="shared" si="26"/>
        <v>54.93</v>
      </c>
      <c r="O26" s="68">
        <f t="shared" si="26"/>
        <v>0</v>
      </c>
      <c r="P26" s="68">
        <f t="shared" si="23"/>
        <v>0</v>
      </c>
      <c r="Q26" s="66">
        <f t="shared" si="15"/>
        <v>336.09100000000001</v>
      </c>
      <c r="R26" s="89">
        <f t="shared" si="16"/>
        <v>353.78000000000003</v>
      </c>
      <c r="S26" s="67">
        <f t="shared" si="7"/>
        <v>371.46900000000005</v>
      </c>
      <c r="T26" s="66">
        <f t="shared" si="24"/>
        <v>2796.0909999999999</v>
      </c>
      <c r="U26" s="89">
        <f t="shared" si="17"/>
        <v>3428.78</v>
      </c>
      <c r="V26" s="67">
        <f t="shared" si="17"/>
        <v>4061.4690000000001</v>
      </c>
      <c r="W26" s="6">
        <f t="shared" si="18"/>
        <v>0.63620036158657478</v>
      </c>
      <c r="X26" s="66">
        <f t="shared" si="19"/>
        <v>1778.8741052289674</v>
      </c>
      <c r="Y26" s="89">
        <f t="shared" si="20"/>
        <v>2181.391075800816</v>
      </c>
      <c r="Z26" s="67">
        <f t="shared" si="21"/>
        <v>2583.9080463726641</v>
      </c>
      <c r="AA26" s="14"/>
      <c r="AG26">
        <f>SUM(AG22:AG25)</f>
        <v>3050</v>
      </c>
    </row>
    <row r="27" spans="1:34">
      <c r="A27" s="4">
        <f t="shared" si="22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13"/>
        <v>1475</v>
      </c>
      <c r="H27" s="65">
        <f t="shared" si="6"/>
        <v>1770</v>
      </c>
      <c r="I27" s="66">
        <f t="shared" si="14"/>
        <v>1180</v>
      </c>
      <c r="J27" s="89">
        <f t="shared" si="14"/>
        <v>1475</v>
      </c>
      <c r="K27" s="67">
        <f t="shared" si="14"/>
        <v>1770</v>
      </c>
      <c r="L27" s="68">
        <f t="shared" si="25"/>
        <v>54.93</v>
      </c>
      <c r="M27" s="68">
        <f t="shared" si="26"/>
        <v>67.03</v>
      </c>
      <c r="N27" s="68">
        <f t="shared" si="26"/>
        <v>54.93</v>
      </c>
      <c r="O27" s="68">
        <f t="shared" si="26"/>
        <v>0</v>
      </c>
      <c r="P27" s="68">
        <f t="shared" si="23"/>
        <v>0</v>
      </c>
      <c r="Q27" s="66">
        <f t="shared" si="15"/>
        <v>336.09100000000001</v>
      </c>
      <c r="R27" s="89">
        <f t="shared" si="16"/>
        <v>353.78000000000003</v>
      </c>
      <c r="S27" s="67">
        <f t="shared" si="7"/>
        <v>371.46900000000005</v>
      </c>
      <c r="T27" s="66">
        <f t="shared" si="24"/>
        <v>1516.0909999999999</v>
      </c>
      <c r="U27" s="89">
        <f t="shared" si="17"/>
        <v>1828.78</v>
      </c>
      <c r="V27" s="67">
        <f t="shared" si="17"/>
        <v>2141.4690000000001</v>
      </c>
      <c r="W27" s="6">
        <f t="shared" si="18"/>
        <v>0.61444887153426186</v>
      </c>
      <c r="X27" s="66">
        <f t="shared" si="19"/>
        <v>931.56040409325055</v>
      </c>
      <c r="Y27" s="89">
        <f t="shared" si="20"/>
        <v>1123.6918072844273</v>
      </c>
      <c r="Z27" s="67">
        <f t="shared" si="21"/>
        <v>1315.8232104756044</v>
      </c>
      <c r="AA27" s="14"/>
    </row>
    <row r="28" spans="1:34">
      <c r="A28" s="4">
        <f t="shared" si="22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>$AC$9</f>
        <v>1475</v>
      </c>
      <c r="H28" s="65">
        <f t="shared" si="6"/>
        <v>1770</v>
      </c>
      <c r="I28" s="66">
        <f t="shared" si="14"/>
        <v>1180</v>
      </c>
      <c r="J28" s="89">
        <f t="shared" si="14"/>
        <v>1475</v>
      </c>
      <c r="K28" s="67">
        <f t="shared" si="14"/>
        <v>1770</v>
      </c>
      <c r="L28" s="68">
        <f t="shared" si="25"/>
        <v>54.93</v>
      </c>
      <c r="M28" s="68">
        <f t="shared" si="26"/>
        <v>67.03</v>
      </c>
      <c r="N28" s="68">
        <f t="shared" si="26"/>
        <v>54.93</v>
      </c>
      <c r="O28" s="68">
        <f t="shared" si="26"/>
        <v>0</v>
      </c>
      <c r="P28" s="68">
        <f t="shared" si="23"/>
        <v>0</v>
      </c>
      <c r="Q28" s="66">
        <f t="shared" si="15"/>
        <v>336.09100000000001</v>
      </c>
      <c r="R28" s="89">
        <f t="shared" si="16"/>
        <v>353.78000000000003</v>
      </c>
      <c r="S28" s="67">
        <f t="shared" si="7"/>
        <v>371.46900000000005</v>
      </c>
      <c r="T28" s="66">
        <f t="shared" si="24"/>
        <v>1516.0909999999999</v>
      </c>
      <c r="U28" s="89">
        <f t="shared" si="17"/>
        <v>1828.78</v>
      </c>
      <c r="V28" s="67">
        <f t="shared" si="17"/>
        <v>2141.4690000000001</v>
      </c>
      <c r="W28" s="6">
        <f t="shared" si="18"/>
        <v>0.5934410580782904</v>
      </c>
      <c r="X28" s="66">
        <f t="shared" si="19"/>
        <v>899.71064718297328</v>
      </c>
      <c r="Y28" s="89">
        <f t="shared" si="20"/>
        <v>1085.2731381924159</v>
      </c>
      <c r="Z28" s="67">
        <f t="shared" si="21"/>
        <v>1270.8356292018584</v>
      </c>
      <c r="AA28" s="14"/>
    </row>
    <row r="29" spans="1:34">
      <c r="A29" s="4">
        <f t="shared" si="22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>$AC$9</f>
        <v>1475</v>
      </c>
      <c r="H29" s="65">
        <f t="shared" si="6"/>
        <v>1770</v>
      </c>
      <c r="I29" s="66">
        <f t="shared" si="14"/>
        <v>1180</v>
      </c>
      <c r="J29" s="89">
        <f t="shared" si="14"/>
        <v>1475</v>
      </c>
      <c r="K29" s="67">
        <f t="shared" si="14"/>
        <v>1770</v>
      </c>
      <c r="L29" s="68">
        <f t="shared" si="25"/>
        <v>54.93</v>
      </c>
      <c r="M29" s="68">
        <f t="shared" si="26"/>
        <v>67.03</v>
      </c>
      <c r="N29" s="68">
        <f t="shared" si="26"/>
        <v>54.93</v>
      </c>
      <c r="O29" s="68">
        <f t="shared" si="26"/>
        <v>0</v>
      </c>
      <c r="P29" s="68">
        <f t="shared" si="23"/>
        <v>0</v>
      </c>
      <c r="Q29" s="66">
        <f t="shared" si="15"/>
        <v>336.09100000000001</v>
      </c>
      <c r="R29" s="89">
        <f t="shared" si="16"/>
        <v>353.78000000000003</v>
      </c>
      <c r="S29" s="67">
        <f t="shared" si="7"/>
        <v>371.46900000000005</v>
      </c>
      <c r="T29" s="66">
        <f t="shared" si="24"/>
        <v>1516.0909999999999</v>
      </c>
      <c r="U29" s="89">
        <f t="shared" si="17"/>
        <v>1828.78</v>
      </c>
      <c r="V29" s="67">
        <f t="shared" si="17"/>
        <v>2141.4690000000001</v>
      </c>
      <c r="W29" s="6">
        <f t="shared" si="18"/>
        <v>0.57315149514998098</v>
      </c>
      <c r="X29" s="66">
        <f t="shared" si="19"/>
        <v>868.94982343342974</v>
      </c>
      <c r="Y29" s="89">
        <f t="shared" si="20"/>
        <v>1048.1679913003823</v>
      </c>
      <c r="Z29" s="67">
        <f t="shared" si="21"/>
        <v>1227.3861591673347</v>
      </c>
      <c r="AA29" s="14"/>
    </row>
    <row r="30" spans="1:34">
      <c r="A30" s="4">
        <f t="shared" si="22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2460</v>
      </c>
      <c r="G30" s="64">
        <f>X8+AC9</f>
        <v>3075</v>
      </c>
      <c r="H30" s="65">
        <f t="shared" si="6"/>
        <v>3690</v>
      </c>
      <c r="I30" s="66">
        <f t="shared" si="14"/>
        <v>2460</v>
      </c>
      <c r="J30" s="89">
        <f t="shared" si="14"/>
        <v>3075</v>
      </c>
      <c r="K30" s="67">
        <f t="shared" si="14"/>
        <v>3690</v>
      </c>
      <c r="L30" s="68">
        <f t="shared" si="25"/>
        <v>54.93</v>
      </c>
      <c r="M30" s="68">
        <f t="shared" si="26"/>
        <v>67.03</v>
      </c>
      <c r="N30" s="68">
        <f t="shared" si="26"/>
        <v>54.93</v>
      </c>
      <c r="O30" s="68">
        <f t="shared" si="26"/>
        <v>0</v>
      </c>
      <c r="P30" s="68">
        <f t="shared" si="23"/>
        <v>0</v>
      </c>
      <c r="Q30" s="66">
        <f t="shared" si="15"/>
        <v>336.09100000000001</v>
      </c>
      <c r="R30" s="89">
        <f t="shared" si="16"/>
        <v>353.78000000000003</v>
      </c>
      <c r="S30" s="67">
        <f t="shared" si="7"/>
        <v>371.46900000000005</v>
      </c>
      <c r="T30" s="66">
        <f t="shared" si="24"/>
        <v>2796.0909999999999</v>
      </c>
      <c r="U30" s="89">
        <f t="shared" si="17"/>
        <v>3428.78</v>
      </c>
      <c r="V30" s="67">
        <f t="shared" si="17"/>
        <v>4061.4690000000001</v>
      </c>
      <c r="W30" s="6">
        <f t="shared" si="18"/>
        <v>0.55355562598993713</v>
      </c>
      <c r="X30" s="66">
        <f t="shared" si="19"/>
        <v>1547.7919038298292</v>
      </c>
      <c r="Y30" s="89">
        <f t="shared" si="20"/>
        <v>1898.0204592817768</v>
      </c>
      <c r="Z30" s="67">
        <f t="shared" si="21"/>
        <v>2248.2490147337239</v>
      </c>
      <c r="AA30" s="14"/>
    </row>
    <row r="31" spans="1:34">
      <c r="A31" s="4">
        <f t="shared" si="22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>$AC$9</f>
        <v>1475</v>
      </c>
      <c r="H31" s="65">
        <f t="shared" si="6"/>
        <v>1770</v>
      </c>
      <c r="I31" s="66">
        <f t="shared" si="14"/>
        <v>1180</v>
      </c>
      <c r="J31" s="89">
        <f t="shared" si="14"/>
        <v>1475</v>
      </c>
      <c r="K31" s="67">
        <f t="shared" si="14"/>
        <v>1770</v>
      </c>
      <c r="L31" s="68">
        <f t="shared" si="25"/>
        <v>54.93</v>
      </c>
      <c r="M31" s="68">
        <f t="shared" si="26"/>
        <v>67.03</v>
      </c>
      <c r="N31" s="68">
        <f t="shared" si="26"/>
        <v>54.93</v>
      </c>
      <c r="O31" s="68">
        <f t="shared" si="26"/>
        <v>0</v>
      </c>
      <c r="P31" s="68">
        <f t="shared" si="23"/>
        <v>0</v>
      </c>
      <c r="Q31" s="66">
        <f t="shared" si="15"/>
        <v>336.09100000000001</v>
      </c>
      <c r="R31" s="89">
        <f t="shared" si="16"/>
        <v>353.78000000000003</v>
      </c>
      <c r="S31" s="67">
        <f t="shared" si="7"/>
        <v>371.46900000000005</v>
      </c>
      <c r="T31" s="66">
        <f t="shared" si="24"/>
        <v>1516.0909999999999</v>
      </c>
      <c r="U31" s="89">
        <f t="shared" si="17"/>
        <v>1828.78</v>
      </c>
      <c r="V31" s="67">
        <f t="shared" si="17"/>
        <v>2141.4690000000001</v>
      </c>
      <c r="W31" s="6">
        <f t="shared" si="18"/>
        <v>0.53462973342663422</v>
      </c>
      <c r="X31" s="66">
        <f t="shared" si="19"/>
        <v>810.54732718051923</v>
      </c>
      <c r="Y31" s="89">
        <f t="shared" si="20"/>
        <v>977.72016389596013</v>
      </c>
      <c r="Z31" s="67">
        <f t="shared" si="21"/>
        <v>1144.893000611401</v>
      </c>
      <c r="AA31" s="14"/>
    </row>
    <row r="32" spans="1:34">
      <c r="A32" s="4">
        <f t="shared" si="22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>$AC$9</f>
        <v>1475</v>
      </c>
      <c r="H32" s="65">
        <f t="shared" si="6"/>
        <v>1770</v>
      </c>
      <c r="I32" s="66">
        <f t="shared" si="14"/>
        <v>1180</v>
      </c>
      <c r="J32" s="89">
        <f t="shared" si="14"/>
        <v>1475</v>
      </c>
      <c r="K32" s="67">
        <f t="shared" si="14"/>
        <v>1770</v>
      </c>
      <c r="L32" s="68">
        <f t="shared" ref="L32:L47" si="27">L31</f>
        <v>54.93</v>
      </c>
      <c r="M32" s="68">
        <f t="shared" si="26"/>
        <v>67.03</v>
      </c>
      <c r="N32" s="68">
        <f t="shared" si="26"/>
        <v>54.93</v>
      </c>
      <c r="O32" s="68">
        <f t="shared" si="26"/>
        <v>0</v>
      </c>
      <c r="P32" s="68">
        <f t="shared" si="23"/>
        <v>0</v>
      </c>
      <c r="Q32" s="66">
        <f t="shared" si="15"/>
        <v>336.09100000000001</v>
      </c>
      <c r="R32" s="89">
        <f t="shared" si="16"/>
        <v>353.78000000000003</v>
      </c>
      <c r="S32" s="67">
        <f t="shared" si="7"/>
        <v>371.46900000000005</v>
      </c>
      <c r="T32" s="66">
        <f t="shared" si="24"/>
        <v>1516.0909999999999</v>
      </c>
      <c r="U32" s="89">
        <f t="shared" si="17"/>
        <v>1828.78</v>
      </c>
      <c r="V32" s="67">
        <f t="shared" si="17"/>
        <v>2141.4690000000001</v>
      </c>
      <c r="W32" s="6">
        <f t="shared" si="18"/>
        <v>0.51635091117117471</v>
      </c>
      <c r="X32" s="66">
        <f t="shared" si="19"/>
        <v>782.83496926841735</v>
      </c>
      <c r="Y32" s="89">
        <f t="shared" si="20"/>
        <v>944.29221933162091</v>
      </c>
      <c r="Z32" s="67">
        <f t="shared" si="21"/>
        <v>1105.7494693948242</v>
      </c>
      <c r="AA32" s="14"/>
    </row>
    <row r="33" spans="1:27">
      <c r="A33" s="4">
        <f t="shared" si="22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>$AC$9</f>
        <v>1475</v>
      </c>
      <c r="H33" s="65">
        <f t="shared" si="6"/>
        <v>1770</v>
      </c>
      <c r="I33" s="66">
        <f t="shared" si="14"/>
        <v>1180</v>
      </c>
      <c r="J33" s="89">
        <f t="shared" si="14"/>
        <v>1475</v>
      </c>
      <c r="K33" s="67">
        <f t="shared" si="14"/>
        <v>1770</v>
      </c>
      <c r="L33" s="68">
        <f t="shared" si="27"/>
        <v>54.93</v>
      </c>
      <c r="M33" s="68">
        <f t="shared" si="26"/>
        <v>67.03</v>
      </c>
      <c r="N33" s="68">
        <f t="shared" si="26"/>
        <v>54.93</v>
      </c>
      <c r="O33" s="68">
        <f t="shared" si="26"/>
        <v>0</v>
      </c>
      <c r="P33" s="68">
        <f t="shared" si="23"/>
        <v>0</v>
      </c>
      <c r="Q33" s="66">
        <f t="shared" si="15"/>
        <v>336.09100000000001</v>
      </c>
      <c r="R33" s="89">
        <f t="shared" si="16"/>
        <v>353.78000000000003</v>
      </c>
      <c r="S33" s="67">
        <f t="shared" si="7"/>
        <v>371.46900000000005</v>
      </c>
      <c r="T33" s="66">
        <f t="shared" si="24"/>
        <v>1516.0909999999999</v>
      </c>
      <c r="U33" s="89">
        <f t="shared" si="17"/>
        <v>1828.78</v>
      </c>
      <c r="V33" s="67">
        <f t="shared" si="17"/>
        <v>2141.4690000000001</v>
      </c>
      <c r="W33" s="6">
        <f t="shared" si="18"/>
        <v>0.49869703609346588</v>
      </c>
      <c r="X33" s="66">
        <f t="shared" si="19"/>
        <v>756.07008814797871</v>
      </c>
      <c r="Y33" s="89">
        <f t="shared" si="20"/>
        <v>912.00716566700851</v>
      </c>
      <c r="Z33" s="67">
        <f t="shared" si="21"/>
        <v>1067.9442431860384</v>
      </c>
      <c r="AA33" s="14"/>
    </row>
    <row r="34" spans="1:27">
      <c r="A34" s="4">
        <f t="shared" si="22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4641.6000000000004</v>
      </c>
      <c r="G34" s="64">
        <f>X8+X6+T6+AC9</f>
        <v>5802</v>
      </c>
      <c r="H34" s="65">
        <f t="shared" si="6"/>
        <v>6962.4</v>
      </c>
      <c r="I34" s="66">
        <f t="shared" si="14"/>
        <v>4641.6000000000004</v>
      </c>
      <c r="J34" s="89">
        <f t="shared" si="14"/>
        <v>5802</v>
      </c>
      <c r="K34" s="67">
        <f t="shared" si="14"/>
        <v>6962.4</v>
      </c>
      <c r="L34" s="68">
        <f t="shared" si="27"/>
        <v>54.93</v>
      </c>
      <c r="M34" s="68">
        <f t="shared" si="26"/>
        <v>67.03</v>
      </c>
      <c r="N34" s="68">
        <f t="shared" si="26"/>
        <v>54.93</v>
      </c>
      <c r="O34" s="68">
        <f t="shared" si="26"/>
        <v>0</v>
      </c>
      <c r="P34" s="68">
        <f t="shared" si="23"/>
        <v>0</v>
      </c>
      <c r="Q34" s="66">
        <f t="shared" si="15"/>
        <v>336.09100000000001</v>
      </c>
      <c r="R34" s="89">
        <f t="shared" si="16"/>
        <v>353.78000000000003</v>
      </c>
      <c r="S34" s="67">
        <f t="shared" si="7"/>
        <v>371.46900000000005</v>
      </c>
      <c r="T34" s="66">
        <f t="shared" si="24"/>
        <v>4977.6910000000007</v>
      </c>
      <c r="U34" s="89">
        <f t="shared" si="17"/>
        <v>6155.78</v>
      </c>
      <c r="V34" s="67">
        <f t="shared" si="17"/>
        <v>7333.8689999999997</v>
      </c>
      <c r="W34" s="6">
        <f t="shared" si="18"/>
        <v>0.48164674144626801</v>
      </c>
      <c r="X34" s="66">
        <f t="shared" si="19"/>
        <v>2397.4886500764155</v>
      </c>
      <c r="Y34" s="89">
        <f t="shared" si="20"/>
        <v>2964.9113780601074</v>
      </c>
      <c r="Z34" s="67">
        <f t="shared" si="21"/>
        <v>3532.3341060438001</v>
      </c>
      <c r="AA34" s="14"/>
    </row>
    <row r="35" spans="1:27">
      <c r="A35" s="4">
        <f t="shared" si="22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>$AC$9</f>
        <v>1475</v>
      </c>
      <c r="H35" s="65">
        <f t="shared" si="6"/>
        <v>1770</v>
      </c>
      <c r="I35" s="66">
        <f t="shared" si="14"/>
        <v>1180</v>
      </c>
      <c r="J35" s="89">
        <f t="shared" si="14"/>
        <v>1475</v>
      </c>
      <c r="K35" s="67">
        <f t="shared" si="14"/>
        <v>1770</v>
      </c>
      <c r="L35" s="68">
        <f t="shared" si="27"/>
        <v>54.93</v>
      </c>
      <c r="M35" s="68">
        <f t="shared" si="26"/>
        <v>67.03</v>
      </c>
      <c r="N35" s="68">
        <f t="shared" si="26"/>
        <v>54.93</v>
      </c>
      <c r="O35" s="68">
        <f t="shared" si="26"/>
        <v>0</v>
      </c>
      <c r="P35" s="68">
        <f t="shared" si="23"/>
        <v>0</v>
      </c>
      <c r="Q35" s="66">
        <f t="shared" si="15"/>
        <v>336.09100000000001</v>
      </c>
      <c r="R35" s="89">
        <f t="shared" si="16"/>
        <v>353.78000000000003</v>
      </c>
      <c r="S35" s="67">
        <f t="shared" si="7"/>
        <v>371.46900000000005</v>
      </c>
      <c r="T35" s="66">
        <f t="shared" si="24"/>
        <v>1516.0909999999999</v>
      </c>
      <c r="U35" s="89">
        <f t="shared" si="17"/>
        <v>1828.78</v>
      </c>
      <c r="V35" s="67">
        <f t="shared" si="17"/>
        <v>2141.4690000000001</v>
      </c>
      <c r="W35" s="6">
        <f t="shared" si="18"/>
        <v>0.46517939100470151</v>
      </c>
      <c r="X35" s="66">
        <f t="shared" si="19"/>
        <v>705.25428808770891</v>
      </c>
      <c r="Y35" s="89">
        <f t="shared" si="20"/>
        <v>850.71076668157798</v>
      </c>
      <c r="Z35" s="67">
        <f t="shared" si="21"/>
        <v>996.16724527544716</v>
      </c>
      <c r="AA35" s="14"/>
    </row>
    <row r="36" spans="1:27">
      <c r="A36" s="4">
        <f t="shared" si="22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>$AC$9</f>
        <v>1475</v>
      </c>
      <c r="H36" s="65">
        <f t="shared" si="6"/>
        <v>1770</v>
      </c>
      <c r="I36" s="66">
        <f t="shared" si="14"/>
        <v>1180</v>
      </c>
      <c r="J36" s="89">
        <f t="shared" si="14"/>
        <v>1475</v>
      </c>
      <c r="K36" s="67">
        <f t="shared" si="14"/>
        <v>1770</v>
      </c>
      <c r="L36" s="68">
        <f t="shared" si="27"/>
        <v>54.93</v>
      </c>
      <c r="M36" s="68">
        <f t="shared" si="26"/>
        <v>67.03</v>
      </c>
      <c r="N36" s="68">
        <f t="shared" si="26"/>
        <v>54.93</v>
      </c>
      <c r="O36" s="68">
        <f t="shared" si="26"/>
        <v>0</v>
      </c>
      <c r="P36" s="68">
        <f t="shared" si="23"/>
        <v>0</v>
      </c>
      <c r="Q36" s="66">
        <f t="shared" si="15"/>
        <v>336.09100000000001</v>
      </c>
      <c r="R36" s="89">
        <f t="shared" si="16"/>
        <v>353.78000000000003</v>
      </c>
      <c r="S36" s="67">
        <f t="shared" si="7"/>
        <v>371.46900000000005</v>
      </c>
      <c r="T36" s="66">
        <f t="shared" si="24"/>
        <v>1516.0909999999999</v>
      </c>
      <c r="U36" s="89">
        <f t="shared" si="17"/>
        <v>1828.78</v>
      </c>
      <c r="V36" s="67">
        <f t="shared" si="17"/>
        <v>2141.4690000000001</v>
      </c>
      <c r="W36" s="6">
        <f t="shared" si="18"/>
        <v>0.44927505408991841</v>
      </c>
      <c r="X36" s="66">
        <f t="shared" si="19"/>
        <v>681.14186603023848</v>
      </c>
      <c r="Y36" s="89">
        <f t="shared" si="20"/>
        <v>821.62523341856104</v>
      </c>
      <c r="Z36" s="67">
        <f t="shared" si="21"/>
        <v>962.10860080688349</v>
      </c>
      <c r="AA36" s="14"/>
    </row>
    <row r="37" spans="1:27">
      <c r="A37" s="4">
        <f t="shared" si="22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>$AC$9</f>
        <v>1475</v>
      </c>
      <c r="H37" s="65">
        <f t="shared" si="6"/>
        <v>1770</v>
      </c>
      <c r="I37" s="66">
        <f t="shared" si="14"/>
        <v>1180</v>
      </c>
      <c r="J37" s="89">
        <f t="shared" si="14"/>
        <v>1475</v>
      </c>
      <c r="K37" s="67">
        <f t="shared" si="14"/>
        <v>1770</v>
      </c>
      <c r="L37" s="68">
        <f t="shared" si="27"/>
        <v>54.93</v>
      </c>
      <c r="M37" s="68">
        <f t="shared" si="26"/>
        <v>67.03</v>
      </c>
      <c r="N37" s="68">
        <f t="shared" si="26"/>
        <v>54.93</v>
      </c>
      <c r="O37" s="68">
        <f t="shared" si="26"/>
        <v>0</v>
      </c>
      <c r="P37" s="68">
        <f t="shared" si="23"/>
        <v>0</v>
      </c>
      <c r="Q37" s="66">
        <f t="shared" si="15"/>
        <v>336.09100000000001</v>
      </c>
      <c r="R37" s="89">
        <f t="shared" si="16"/>
        <v>353.78000000000003</v>
      </c>
      <c r="S37" s="67">
        <f t="shared" si="7"/>
        <v>371.46900000000005</v>
      </c>
      <c r="T37" s="66">
        <f t="shared" si="24"/>
        <v>1516.0909999999999</v>
      </c>
      <c r="U37" s="89">
        <f t="shared" si="17"/>
        <v>1828.78</v>
      </c>
      <c r="V37" s="67">
        <f t="shared" si="17"/>
        <v>2141.4690000000001</v>
      </c>
      <c r="W37" s="6">
        <f t="shared" si="18"/>
        <v>0.43391448144670497</v>
      </c>
      <c r="X37" s="66">
        <f t="shared" si="19"/>
        <v>657.85384009101631</v>
      </c>
      <c r="Y37" s="89">
        <f t="shared" si="20"/>
        <v>793.53412538010514</v>
      </c>
      <c r="Z37" s="67">
        <f t="shared" si="21"/>
        <v>929.21441066919385</v>
      </c>
      <c r="AA37" s="14"/>
    </row>
    <row r="38" spans="1:27">
      <c r="A38" s="4">
        <f t="shared" si="22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2460</v>
      </c>
      <c r="G38" s="64">
        <f>X8+AC9</f>
        <v>3075</v>
      </c>
      <c r="H38" s="65">
        <f t="shared" si="6"/>
        <v>3690</v>
      </c>
      <c r="I38" s="66">
        <f t="shared" si="14"/>
        <v>2460</v>
      </c>
      <c r="J38" s="89">
        <f t="shared" si="14"/>
        <v>3075</v>
      </c>
      <c r="K38" s="67">
        <f t="shared" si="14"/>
        <v>3690</v>
      </c>
      <c r="L38" s="68">
        <f t="shared" si="27"/>
        <v>54.93</v>
      </c>
      <c r="M38" s="68">
        <f t="shared" si="26"/>
        <v>67.03</v>
      </c>
      <c r="N38" s="68">
        <f t="shared" si="26"/>
        <v>54.93</v>
      </c>
      <c r="O38" s="68">
        <f t="shared" si="26"/>
        <v>0</v>
      </c>
      <c r="P38" s="68">
        <f t="shared" si="23"/>
        <v>0</v>
      </c>
      <c r="Q38" s="66">
        <f t="shared" si="15"/>
        <v>336.09100000000001</v>
      </c>
      <c r="R38" s="89">
        <f t="shared" si="16"/>
        <v>353.78000000000003</v>
      </c>
      <c r="S38" s="67">
        <f t="shared" si="7"/>
        <v>371.46900000000005</v>
      </c>
      <c r="T38" s="66">
        <f t="shared" si="24"/>
        <v>2796.0909999999999</v>
      </c>
      <c r="U38" s="89">
        <f t="shared" si="17"/>
        <v>3428.78</v>
      </c>
      <c r="V38" s="67">
        <f t="shared" si="17"/>
        <v>4061.4690000000001</v>
      </c>
      <c r="W38" s="7">
        <f t="shared" si="18"/>
        <v>0.41907908194582277</v>
      </c>
      <c r="X38" s="66">
        <f t="shared" si="19"/>
        <v>1171.7832493169774</v>
      </c>
      <c r="Y38" s="89">
        <f t="shared" si="20"/>
        <v>1436.9299745941983</v>
      </c>
      <c r="Z38" s="67">
        <f t="shared" si="21"/>
        <v>1702.0766998714189</v>
      </c>
      <c r="AA38" s="14"/>
    </row>
    <row r="39" spans="1:27">
      <c r="A39" s="4">
        <f t="shared" si="22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15374.400000000001</v>
      </c>
      <c r="G39" s="64">
        <f>T4+T5+X4+X5+AC9</f>
        <v>19218</v>
      </c>
      <c r="H39" s="65">
        <f t="shared" si="6"/>
        <v>23061.599999999999</v>
      </c>
      <c r="I39" s="66">
        <f t="shared" si="14"/>
        <v>15374.400000000001</v>
      </c>
      <c r="J39" s="89">
        <f t="shared" si="14"/>
        <v>19218</v>
      </c>
      <c r="K39" s="67">
        <f t="shared" si="14"/>
        <v>23061.599999999999</v>
      </c>
      <c r="L39" s="68">
        <f t="shared" si="27"/>
        <v>54.93</v>
      </c>
      <c r="M39" s="68">
        <f t="shared" si="26"/>
        <v>67.03</v>
      </c>
      <c r="N39" s="68">
        <f t="shared" si="26"/>
        <v>54.93</v>
      </c>
      <c r="O39" s="68">
        <f t="shared" si="26"/>
        <v>0</v>
      </c>
      <c r="P39" s="68">
        <f t="shared" si="23"/>
        <v>0</v>
      </c>
      <c r="Q39" s="66">
        <f t="shared" si="15"/>
        <v>336.09100000000001</v>
      </c>
      <c r="R39" s="89">
        <f t="shared" si="16"/>
        <v>353.78000000000003</v>
      </c>
      <c r="S39" s="67">
        <f t="shared" si="7"/>
        <v>371.46900000000005</v>
      </c>
      <c r="T39" s="66">
        <f t="shared" si="24"/>
        <v>15710.491000000002</v>
      </c>
      <c r="U39" s="89">
        <f t="shared" si="17"/>
        <v>19571.78</v>
      </c>
      <c r="V39" s="67">
        <f t="shared" si="17"/>
        <v>23433.069</v>
      </c>
      <c r="W39" s="7">
        <f t="shared" si="18"/>
        <v>0.40475090008288855</v>
      </c>
      <c r="X39" s="66">
        <f t="shared" si="19"/>
        <v>6358.8353729941209</v>
      </c>
      <c r="Y39" s="89">
        <f t="shared" si="20"/>
        <v>7921.6955712242761</v>
      </c>
      <c r="Z39" s="67">
        <f t="shared" si="21"/>
        <v>9484.5557694544332</v>
      </c>
      <c r="AA39" s="14"/>
    </row>
    <row r="40" spans="1:27">
      <c r="A40" s="4">
        <f t="shared" si="22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 t="shared" si="12"/>
        <v>1180</v>
      </c>
      <c r="G40" s="64">
        <f>$AC$9</f>
        <v>1475</v>
      </c>
      <c r="H40" s="65">
        <f t="shared" si="6"/>
        <v>1770</v>
      </c>
      <c r="I40" s="66">
        <f t="shared" si="14"/>
        <v>1180</v>
      </c>
      <c r="J40" s="89">
        <f t="shared" si="14"/>
        <v>1475</v>
      </c>
      <c r="K40" s="67">
        <f t="shared" si="14"/>
        <v>1770</v>
      </c>
      <c r="L40" s="68">
        <f t="shared" si="27"/>
        <v>54.93</v>
      </c>
      <c r="M40" s="68">
        <f t="shared" si="26"/>
        <v>67.03</v>
      </c>
      <c r="N40" s="68">
        <f t="shared" si="26"/>
        <v>54.93</v>
      </c>
      <c r="O40" s="68">
        <f t="shared" si="26"/>
        <v>0</v>
      </c>
      <c r="P40" s="68">
        <f t="shared" si="23"/>
        <v>0</v>
      </c>
      <c r="Q40" s="66">
        <f t="shared" si="15"/>
        <v>336.09100000000001</v>
      </c>
      <c r="R40" s="89">
        <f t="shared" si="16"/>
        <v>353.78000000000003</v>
      </c>
      <c r="S40" s="67">
        <f t="shared" si="7"/>
        <v>371.46900000000005</v>
      </c>
      <c r="T40" s="66">
        <f t="shared" si="24"/>
        <v>1516.0909999999999</v>
      </c>
      <c r="U40" s="89">
        <f t="shared" si="17"/>
        <v>1828.78</v>
      </c>
      <c r="V40" s="67">
        <f t="shared" si="17"/>
        <v>2141.4690000000001</v>
      </c>
      <c r="W40" s="7">
        <f t="shared" si="18"/>
        <v>0.39091259424656027</v>
      </c>
      <c r="X40" s="66">
        <f t="shared" si="19"/>
        <v>592.65906592386182</v>
      </c>
      <c r="Y40" s="89">
        <f t="shared" si="20"/>
        <v>714.89313410622447</v>
      </c>
      <c r="Z40" s="67">
        <f t="shared" si="21"/>
        <v>837.12720228858723</v>
      </c>
      <c r="AA40" s="90" t="s">
        <v>62</v>
      </c>
    </row>
    <row r="41" spans="1:27">
      <c r="A41" s="4">
        <f t="shared" si="22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>$AC$9</f>
        <v>1475</v>
      </c>
      <c r="H41" s="65">
        <f t="shared" si="6"/>
        <v>1770</v>
      </c>
      <c r="I41" s="66">
        <f t="shared" si="14"/>
        <v>1180</v>
      </c>
      <c r="J41" s="89">
        <f t="shared" si="14"/>
        <v>1475</v>
      </c>
      <c r="K41" s="67">
        <f t="shared" si="14"/>
        <v>1770</v>
      </c>
      <c r="L41" s="68">
        <f t="shared" si="27"/>
        <v>54.93</v>
      </c>
      <c r="M41" s="68">
        <f t="shared" si="26"/>
        <v>67.03</v>
      </c>
      <c r="N41" s="68">
        <f t="shared" si="26"/>
        <v>54.93</v>
      </c>
      <c r="O41" s="68">
        <f t="shared" si="26"/>
        <v>0</v>
      </c>
      <c r="P41" s="68">
        <f t="shared" si="23"/>
        <v>0</v>
      </c>
      <c r="Q41" s="66">
        <f t="shared" si="15"/>
        <v>336.09100000000001</v>
      </c>
      <c r="R41" s="89">
        <f t="shared" si="16"/>
        <v>353.78000000000003</v>
      </c>
      <c r="S41" s="67">
        <f t="shared" si="7"/>
        <v>371.46900000000005</v>
      </c>
      <c r="T41" s="66">
        <f t="shared" si="24"/>
        <v>1516.0909999999999</v>
      </c>
      <c r="U41" s="89">
        <f t="shared" si="17"/>
        <v>1828.78</v>
      </c>
      <c r="V41" s="67">
        <f t="shared" si="17"/>
        <v>2141.4690000000001</v>
      </c>
      <c r="W41" s="7">
        <f t="shared" si="18"/>
        <v>0.37754741572972783</v>
      </c>
      <c r="X41" s="66">
        <f t="shared" si="19"/>
        <v>572.39623906109875</v>
      </c>
      <c r="Y41" s="89">
        <f t="shared" si="20"/>
        <v>690.45116293821161</v>
      </c>
      <c r="Z41" s="67">
        <f t="shared" si="21"/>
        <v>808.50608681532458</v>
      </c>
      <c r="AA41" s="14"/>
    </row>
    <row r="42" spans="1:27">
      <c r="A42" s="4">
        <f t="shared" si="22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2460</v>
      </c>
      <c r="G42" s="64">
        <f>X8+AC9</f>
        <v>3075</v>
      </c>
      <c r="H42" s="65">
        <f t="shared" si="6"/>
        <v>3690</v>
      </c>
      <c r="I42" s="66">
        <f t="shared" si="14"/>
        <v>2460</v>
      </c>
      <c r="J42" s="89">
        <f t="shared" si="14"/>
        <v>3075</v>
      </c>
      <c r="K42" s="67">
        <f t="shared" si="14"/>
        <v>3690</v>
      </c>
      <c r="L42" s="68">
        <f t="shared" si="27"/>
        <v>54.93</v>
      </c>
      <c r="M42" s="68">
        <f t="shared" si="26"/>
        <v>67.03</v>
      </c>
      <c r="N42" s="68">
        <f t="shared" si="26"/>
        <v>54.93</v>
      </c>
      <c r="O42" s="68">
        <f t="shared" si="26"/>
        <v>0</v>
      </c>
      <c r="P42" s="68">
        <f t="shared" si="23"/>
        <v>0</v>
      </c>
      <c r="Q42" s="66">
        <f t="shared" si="15"/>
        <v>336.09100000000001</v>
      </c>
      <c r="R42" s="89">
        <f t="shared" si="16"/>
        <v>353.78000000000003</v>
      </c>
      <c r="S42" s="67">
        <f t="shared" si="7"/>
        <v>371.46900000000005</v>
      </c>
      <c r="T42" s="66">
        <f t="shared" si="24"/>
        <v>2796.0909999999999</v>
      </c>
      <c r="U42" s="89">
        <f t="shared" si="17"/>
        <v>3428.78</v>
      </c>
      <c r="V42" s="67">
        <f t="shared" si="17"/>
        <v>4061.4690000000001</v>
      </c>
      <c r="W42" s="7">
        <f t="shared" si="18"/>
        <v>0.36463918845830384</v>
      </c>
      <c r="X42" s="66">
        <f t="shared" si="19"/>
        <v>1019.5643530955672</v>
      </c>
      <c r="Y42" s="89">
        <f t="shared" si="20"/>
        <v>1250.2675566020632</v>
      </c>
      <c r="Z42" s="67">
        <f t="shared" si="21"/>
        <v>1480.9707601085588</v>
      </c>
      <c r="AA42" s="14"/>
    </row>
    <row r="43" spans="1:27">
      <c r="A43" s="4">
        <f t="shared" si="22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>$AC$9</f>
        <v>1475</v>
      </c>
      <c r="H43" s="65">
        <f t="shared" si="6"/>
        <v>1770</v>
      </c>
      <c r="I43" s="66">
        <f t="shared" si="14"/>
        <v>1180</v>
      </c>
      <c r="J43" s="89">
        <f t="shared" si="14"/>
        <v>1475</v>
      </c>
      <c r="K43" s="67">
        <f t="shared" si="14"/>
        <v>1770</v>
      </c>
      <c r="L43" s="68">
        <f t="shared" si="27"/>
        <v>54.93</v>
      </c>
      <c r="M43" s="68">
        <f t="shared" si="26"/>
        <v>67.03</v>
      </c>
      <c r="N43" s="68">
        <f t="shared" si="26"/>
        <v>54.93</v>
      </c>
      <c r="O43" s="68">
        <f t="shared" si="26"/>
        <v>0</v>
      </c>
      <c r="P43" s="68">
        <f t="shared" si="23"/>
        <v>0</v>
      </c>
      <c r="Q43" s="66">
        <f t="shared" si="15"/>
        <v>336.09100000000001</v>
      </c>
      <c r="R43" s="89">
        <f t="shared" si="16"/>
        <v>353.78000000000003</v>
      </c>
      <c r="S43" s="67">
        <f t="shared" si="7"/>
        <v>371.46900000000005</v>
      </c>
      <c r="T43" s="66">
        <f t="shared" si="24"/>
        <v>1516.0909999999999</v>
      </c>
      <c r="U43" s="89">
        <f t="shared" si="17"/>
        <v>1828.78</v>
      </c>
      <c r="V43" s="67">
        <f t="shared" si="17"/>
        <v>2141.4690000000001</v>
      </c>
      <c r="W43" s="7">
        <f t="shared" si="18"/>
        <v>0.35217228941308076</v>
      </c>
      <c r="X43" s="66">
        <f t="shared" si="19"/>
        <v>533.92523842856701</v>
      </c>
      <c r="Y43" s="89">
        <f t="shared" si="20"/>
        <v>644.04563943285382</v>
      </c>
      <c r="Z43" s="67">
        <f t="shared" si="21"/>
        <v>754.16604043714062</v>
      </c>
      <c r="AA43" s="14"/>
    </row>
    <row r="44" spans="1:27">
      <c r="A44" s="4">
        <f t="shared" si="22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3361.6000000000004</v>
      </c>
      <c r="G44" s="64">
        <f>T6+X6+AC9</f>
        <v>4202</v>
      </c>
      <c r="H44" s="65">
        <f t="shared" si="6"/>
        <v>5042.3999999999996</v>
      </c>
      <c r="I44" s="66">
        <f t="shared" si="14"/>
        <v>3361.6000000000004</v>
      </c>
      <c r="J44" s="89">
        <f t="shared" si="14"/>
        <v>4202</v>
      </c>
      <c r="K44" s="67">
        <f t="shared" si="14"/>
        <v>5042.3999999999996</v>
      </c>
      <c r="L44" s="68">
        <f t="shared" si="27"/>
        <v>54.93</v>
      </c>
      <c r="M44" s="68">
        <f t="shared" si="26"/>
        <v>67.03</v>
      </c>
      <c r="N44" s="68">
        <f t="shared" si="26"/>
        <v>54.93</v>
      </c>
      <c r="O44" s="68">
        <f t="shared" si="26"/>
        <v>0</v>
      </c>
      <c r="P44" s="68">
        <f t="shared" si="23"/>
        <v>0</v>
      </c>
      <c r="Q44" s="66">
        <f t="shared" si="15"/>
        <v>336.09100000000001</v>
      </c>
      <c r="R44" s="89">
        <f t="shared" si="16"/>
        <v>353.78000000000003</v>
      </c>
      <c r="S44" s="67">
        <f t="shared" si="7"/>
        <v>371.46900000000005</v>
      </c>
      <c r="T44" s="66">
        <f t="shared" si="24"/>
        <v>3697.6910000000003</v>
      </c>
      <c r="U44" s="89">
        <f t="shared" si="17"/>
        <v>4555.78</v>
      </c>
      <c r="V44" s="67">
        <f t="shared" si="17"/>
        <v>5413.8689999999997</v>
      </c>
      <c r="W44" s="7">
        <f t="shared" si="18"/>
        <v>0.34013162972095884</v>
      </c>
      <c r="X44" s="66">
        <f t="shared" si="19"/>
        <v>1257.7016660345221</v>
      </c>
      <c r="Y44" s="89">
        <f t="shared" si="20"/>
        <v>1549.5648760501497</v>
      </c>
      <c r="Z44" s="67">
        <f t="shared" si="21"/>
        <v>1841.4280860657775</v>
      </c>
      <c r="AA44" s="90"/>
    </row>
    <row r="45" spans="1:27">
      <c r="A45" s="4">
        <f t="shared" si="22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2460</v>
      </c>
      <c r="G45" s="64">
        <f>X8+AC9</f>
        <v>3075</v>
      </c>
      <c r="H45" s="65">
        <f t="shared" si="6"/>
        <v>3690</v>
      </c>
      <c r="I45" s="66">
        <f t="shared" si="14"/>
        <v>2460</v>
      </c>
      <c r="J45" s="89">
        <f t="shared" si="14"/>
        <v>3075</v>
      </c>
      <c r="K45" s="67">
        <f t="shared" si="14"/>
        <v>3690</v>
      </c>
      <c r="L45" s="68">
        <f t="shared" si="27"/>
        <v>54.93</v>
      </c>
      <c r="M45" s="68">
        <f t="shared" si="26"/>
        <v>67.03</v>
      </c>
      <c r="N45" s="68">
        <f t="shared" si="26"/>
        <v>54.93</v>
      </c>
      <c r="O45" s="68">
        <f t="shared" si="26"/>
        <v>0</v>
      </c>
      <c r="P45" s="68">
        <f t="shared" si="23"/>
        <v>0</v>
      </c>
      <c r="Q45" s="66">
        <f t="shared" si="15"/>
        <v>336.09100000000001</v>
      </c>
      <c r="R45" s="89">
        <f t="shared" si="16"/>
        <v>353.78000000000003</v>
      </c>
      <c r="S45" s="67">
        <f t="shared" si="7"/>
        <v>371.46900000000005</v>
      </c>
      <c r="T45" s="66">
        <f t="shared" si="24"/>
        <v>2796.0909999999999</v>
      </c>
      <c r="U45" s="89">
        <f t="shared" si="17"/>
        <v>3428.78</v>
      </c>
      <c r="V45" s="67">
        <f t="shared" si="17"/>
        <v>4061.4690000000001</v>
      </c>
      <c r="W45" s="7">
        <f t="shared" si="18"/>
        <v>0.3285026363926587</v>
      </c>
      <c r="X45" s="66">
        <f t="shared" si="19"/>
        <v>918.52326509378543</v>
      </c>
      <c r="Y45" s="89">
        <f t="shared" si="20"/>
        <v>1126.3632696104203</v>
      </c>
      <c r="Z45" s="67">
        <f t="shared" si="21"/>
        <v>1334.2032741270552</v>
      </c>
      <c r="AA45" s="14"/>
    </row>
    <row r="46" spans="1:27">
      <c r="A46" s="4">
        <f t="shared" si="22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 t="shared" ref="G46:G52" si="28">$AC$9</f>
        <v>1475</v>
      </c>
      <c r="H46" s="65">
        <f t="shared" si="6"/>
        <v>1770</v>
      </c>
      <c r="I46" s="66">
        <f t="shared" si="14"/>
        <v>1180</v>
      </c>
      <c r="J46" s="89">
        <f t="shared" si="14"/>
        <v>1475</v>
      </c>
      <c r="K46" s="67">
        <f t="shared" si="14"/>
        <v>1770</v>
      </c>
      <c r="L46" s="68">
        <f t="shared" si="27"/>
        <v>54.93</v>
      </c>
      <c r="M46" s="68">
        <f t="shared" si="26"/>
        <v>67.03</v>
      </c>
      <c r="N46" s="68">
        <f t="shared" si="26"/>
        <v>54.93</v>
      </c>
      <c r="O46" s="68">
        <f t="shared" si="26"/>
        <v>0</v>
      </c>
      <c r="P46" s="68">
        <f t="shared" si="23"/>
        <v>0</v>
      </c>
      <c r="Q46" s="66">
        <f t="shared" si="15"/>
        <v>336.09100000000001</v>
      </c>
      <c r="R46" s="89">
        <f t="shared" si="16"/>
        <v>353.78000000000003</v>
      </c>
      <c r="S46" s="67">
        <f t="shared" si="7"/>
        <v>371.46900000000005</v>
      </c>
      <c r="T46" s="66">
        <f t="shared" si="24"/>
        <v>1516.0909999999999</v>
      </c>
      <c r="U46" s="89">
        <f t="shared" si="17"/>
        <v>1828.78</v>
      </c>
      <c r="V46" s="67">
        <f t="shared" si="17"/>
        <v>2141.4690000000001</v>
      </c>
      <c r="W46" s="7">
        <f t="shared" si="18"/>
        <v>0.31727123468481616</v>
      </c>
      <c r="X46" s="66">
        <f t="shared" si="19"/>
        <v>481.01206346453756</v>
      </c>
      <c r="Y46" s="89">
        <f t="shared" si="20"/>
        <v>580.21928856689806</v>
      </c>
      <c r="Z46" s="67">
        <f t="shared" si="21"/>
        <v>679.42651366925861</v>
      </c>
      <c r="AA46" s="14"/>
    </row>
    <row r="47" spans="1:27">
      <c r="A47" s="4">
        <f t="shared" si="22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8"/>
        <v>1475</v>
      </c>
      <c r="H47" s="65">
        <f t="shared" si="6"/>
        <v>1770</v>
      </c>
      <c r="I47" s="66">
        <f t="shared" si="14"/>
        <v>1180</v>
      </c>
      <c r="J47" s="89">
        <f t="shared" si="14"/>
        <v>1475</v>
      </c>
      <c r="K47" s="67">
        <f t="shared" si="14"/>
        <v>1770</v>
      </c>
      <c r="L47" s="68">
        <f t="shared" si="27"/>
        <v>54.93</v>
      </c>
      <c r="M47" s="68">
        <f t="shared" si="26"/>
        <v>67.03</v>
      </c>
      <c r="N47" s="68">
        <f t="shared" si="26"/>
        <v>54.93</v>
      </c>
      <c r="O47" s="68">
        <f t="shared" si="26"/>
        <v>0</v>
      </c>
      <c r="P47" s="68">
        <f t="shared" si="23"/>
        <v>0</v>
      </c>
      <c r="Q47" s="66">
        <f t="shared" si="15"/>
        <v>336.09100000000001</v>
      </c>
      <c r="R47" s="89">
        <f t="shared" si="16"/>
        <v>353.78000000000003</v>
      </c>
      <c r="S47" s="67">
        <f t="shared" si="7"/>
        <v>371.46900000000005</v>
      </c>
      <c r="T47" s="66">
        <f t="shared" si="24"/>
        <v>1516.0909999999999</v>
      </c>
      <c r="U47" s="89">
        <f t="shared" si="17"/>
        <v>1828.78</v>
      </c>
      <c r="V47" s="67">
        <f t="shared" si="17"/>
        <v>2141.4690000000001</v>
      </c>
      <c r="W47" s="7">
        <f t="shared" si="18"/>
        <v>0.30642383106511123</v>
      </c>
      <c r="X47" s="66">
        <f t="shared" si="19"/>
        <v>464.5664124633355</v>
      </c>
      <c r="Y47" s="89">
        <f t="shared" si="20"/>
        <v>560.38177377525415</v>
      </c>
      <c r="Z47" s="67">
        <f t="shared" si="21"/>
        <v>656.19713508717268</v>
      </c>
      <c r="AA47" s="14"/>
    </row>
    <row r="48" spans="1:27">
      <c r="A48" s="4">
        <f t="shared" si="22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8"/>
        <v>1475</v>
      </c>
      <c r="H48" s="65">
        <f t="shared" si="6"/>
        <v>1770</v>
      </c>
      <c r="I48" s="66">
        <f t="shared" si="14"/>
        <v>1180</v>
      </c>
      <c r="J48" s="89">
        <f t="shared" si="14"/>
        <v>1475</v>
      </c>
      <c r="K48" s="67">
        <f t="shared" si="14"/>
        <v>1770</v>
      </c>
      <c r="L48" s="68">
        <f t="shared" ref="L48:L63" si="29">L47</f>
        <v>54.93</v>
      </c>
      <c r="M48" s="68">
        <f t="shared" si="26"/>
        <v>67.03</v>
      </c>
      <c r="N48" s="68">
        <f t="shared" si="26"/>
        <v>54.93</v>
      </c>
      <c r="O48" s="68">
        <f t="shared" si="26"/>
        <v>0</v>
      </c>
      <c r="P48" s="68">
        <f t="shared" si="23"/>
        <v>0</v>
      </c>
      <c r="Q48" s="66">
        <f t="shared" si="15"/>
        <v>336.09100000000001</v>
      </c>
      <c r="R48" s="89">
        <f t="shared" si="16"/>
        <v>353.78000000000003</v>
      </c>
      <c r="S48" s="67">
        <f t="shared" si="7"/>
        <v>371.46900000000005</v>
      </c>
      <c r="T48" s="66">
        <f t="shared" si="24"/>
        <v>1516.0909999999999</v>
      </c>
      <c r="U48" s="89">
        <f t="shared" si="17"/>
        <v>1828.78</v>
      </c>
      <c r="V48" s="67">
        <f t="shared" si="17"/>
        <v>2141.4690000000001</v>
      </c>
      <c r="W48" s="7">
        <f t="shared" si="18"/>
        <v>0.29594729675981379</v>
      </c>
      <c r="X48" s="66">
        <f t="shared" si="19"/>
        <v>448.68303309188281</v>
      </c>
      <c r="Y48" s="89">
        <f t="shared" si="20"/>
        <v>541.22249736841229</v>
      </c>
      <c r="Z48" s="67">
        <f t="shared" si="21"/>
        <v>633.76196164494172</v>
      </c>
      <c r="AA48" s="14"/>
    </row>
    <row r="49" spans="1:27">
      <c r="A49" s="4">
        <f t="shared" si="22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2460</v>
      </c>
      <c r="G49" s="64">
        <f>X8+AC9</f>
        <v>3075</v>
      </c>
      <c r="H49" s="65">
        <f t="shared" si="6"/>
        <v>3690</v>
      </c>
      <c r="I49" s="66">
        <f t="shared" si="14"/>
        <v>2460</v>
      </c>
      <c r="J49" s="89">
        <f t="shared" si="14"/>
        <v>3075</v>
      </c>
      <c r="K49" s="67">
        <f t="shared" si="14"/>
        <v>3690</v>
      </c>
      <c r="L49" s="68">
        <f t="shared" si="29"/>
        <v>54.93</v>
      </c>
      <c r="M49" s="68">
        <f t="shared" si="26"/>
        <v>67.03</v>
      </c>
      <c r="N49" s="68">
        <f t="shared" si="26"/>
        <v>54.93</v>
      </c>
      <c r="O49" s="68">
        <f t="shared" si="26"/>
        <v>0</v>
      </c>
      <c r="P49" s="68">
        <f t="shared" si="23"/>
        <v>0</v>
      </c>
      <c r="Q49" s="66">
        <f t="shared" si="15"/>
        <v>336.09100000000001</v>
      </c>
      <c r="R49" s="89">
        <f t="shared" si="16"/>
        <v>353.78000000000003</v>
      </c>
      <c r="S49" s="67">
        <f t="shared" si="7"/>
        <v>371.46900000000005</v>
      </c>
      <c r="T49" s="66">
        <f t="shared" si="24"/>
        <v>2796.0909999999999</v>
      </c>
      <c r="U49" s="89">
        <f t="shared" si="17"/>
        <v>3428.78</v>
      </c>
      <c r="V49" s="67">
        <f t="shared" si="17"/>
        <v>4061.4690000000001</v>
      </c>
      <c r="W49" s="7">
        <f t="shared" si="18"/>
        <v>0.28582895186383406</v>
      </c>
      <c r="X49" s="66">
        <f t="shared" si="19"/>
        <v>799.20375984589964</v>
      </c>
      <c r="Y49" s="89">
        <f t="shared" si="20"/>
        <v>980.04459357167696</v>
      </c>
      <c r="Z49" s="67">
        <f t="shared" si="21"/>
        <v>1160.8854272974543</v>
      </c>
      <c r="AA49" s="14"/>
    </row>
    <row r="50" spans="1:27">
      <c r="A50" s="4">
        <f t="shared" si="22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 t="shared" si="28"/>
        <v>1475</v>
      </c>
      <c r="H50" s="65">
        <f t="shared" si="6"/>
        <v>1770</v>
      </c>
      <c r="I50" s="66">
        <f t="shared" si="14"/>
        <v>1180</v>
      </c>
      <c r="J50" s="89">
        <f t="shared" si="14"/>
        <v>1475</v>
      </c>
      <c r="K50" s="67">
        <f t="shared" si="14"/>
        <v>1770</v>
      </c>
      <c r="L50" s="68">
        <f t="shared" si="29"/>
        <v>54.93</v>
      </c>
      <c r="M50" s="68">
        <f t="shared" si="26"/>
        <v>67.03</v>
      </c>
      <c r="N50" s="68">
        <f t="shared" si="26"/>
        <v>54.93</v>
      </c>
      <c r="O50" s="68">
        <f t="shared" si="26"/>
        <v>0</v>
      </c>
      <c r="P50" s="68">
        <f t="shared" si="23"/>
        <v>0</v>
      </c>
      <c r="Q50" s="66">
        <f t="shared" si="15"/>
        <v>336.09100000000001</v>
      </c>
      <c r="R50" s="89">
        <f t="shared" si="16"/>
        <v>353.78000000000003</v>
      </c>
      <c r="S50" s="67">
        <f t="shared" si="7"/>
        <v>371.46900000000005</v>
      </c>
      <c r="T50" s="66">
        <f t="shared" si="24"/>
        <v>1516.0909999999999</v>
      </c>
      <c r="U50" s="89">
        <f t="shared" si="17"/>
        <v>1828.78</v>
      </c>
      <c r="V50" s="67">
        <f t="shared" si="17"/>
        <v>2141.4690000000001</v>
      </c>
      <c r="W50" s="7">
        <f t="shared" si="18"/>
        <v>0.27605654999404483</v>
      </c>
      <c r="X50" s="66">
        <f t="shared" si="19"/>
        <v>418.52685093702138</v>
      </c>
      <c r="Y50" s="89">
        <f t="shared" si="20"/>
        <v>504.84669749810928</v>
      </c>
      <c r="Z50" s="67">
        <f t="shared" si="21"/>
        <v>591.16654405919724</v>
      </c>
      <c r="AA50" s="14"/>
    </row>
    <row r="51" spans="1:27">
      <c r="A51" s="4">
        <f t="shared" si="22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8"/>
        <v>1475</v>
      </c>
      <c r="H51" s="65">
        <f t="shared" si="6"/>
        <v>1770</v>
      </c>
      <c r="I51" s="66">
        <f t="shared" si="14"/>
        <v>1180</v>
      </c>
      <c r="J51" s="89">
        <f t="shared" si="14"/>
        <v>1475</v>
      </c>
      <c r="K51" s="67">
        <f t="shared" si="14"/>
        <v>1770</v>
      </c>
      <c r="L51" s="68">
        <f t="shared" si="29"/>
        <v>54.93</v>
      </c>
      <c r="M51" s="68">
        <f t="shared" si="26"/>
        <v>67.03</v>
      </c>
      <c r="N51" s="68">
        <f t="shared" si="26"/>
        <v>54.93</v>
      </c>
      <c r="O51" s="68">
        <f t="shared" si="26"/>
        <v>0</v>
      </c>
      <c r="P51" s="68">
        <f t="shared" si="23"/>
        <v>0</v>
      </c>
      <c r="Q51" s="66">
        <f t="shared" si="15"/>
        <v>336.09100000000001</v>
      </c>
      <c r="R51" s="89">
        <f t="shared" si="16"/>
        <v>353.78000000000003</v>
      </c>
      <c r="S51" s="67">
        <f t="shared" si="7"/>
        <v>371.46900000000005</v>
      </c>
      <c r="T51" s="66">
        <f t="shared" si="24"/>
        <v>1516.0909999999999</v>
      </c>
      <c r="U51" s="89">
        <f t="shared" si="17"/>
        <v>1828.78</v>
      </c>
      <c r="V51" s="67">
        <f t="shared" si="17"/>
        <v>2141.4690000000001</v>
      </c>
      <c r="W51" s="7">
        <f t="shared" si="18"/>
        <v>0.26661826346730227</v>
      </c>
      <c r="X51" s="66">
        <f t="shared" si="19"/>
        <v>404.21754967840576</v>
      </c>
      <c r="Y51" s="89">
        <f t="shared" si="20"/>
        <v>487.58614786373306</v>
      </c>
      <c r="Z51" s="67">
        <f t="shared" si="21"/>
        <v>570.9547460490603</v>
      </c>
      <c r="AA51" s="14"/>
    </row>
    <row r="52" spans="1:27">
      <c r="A52" s="4">
        <f t="shared" si="22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8"/>
        <v>1475</v>
      </c>
      <c r="H52" s="65">
        <f t="shared" si="6"/>
        <v>1770</v>
      </c>
      <c r="I52" s="66">
        <f t="shared" si="14"/>
        <v>1180</v>
      </c>
      <c r="J52" s="89">
        <f t="shared" si="14"/>
        <v>1475</v>
      </c>
      <c r="K52" s="67">
        <f t="shared" si="14"/>
        <v>1770</v>
      </c>
      <c r="L52" s="68">
        <f t="shared" si="29"/>
        <v>54.93</v>
      </c>
      <c r="M52" s="68">
        <f t="shared" si="26"/>
        <v>67.03</v>
      </c>
      <c r="N52" s="68">
        <f t="shared" si="26"/>
        <v>54.93</v>
      </c>
      <c r="O52" s="68">
        <f t="shared" si="26"/>
        <v>0</v>
      </c>
      <c r="P52" s="68">
        <f t="shared" si="23"/>
        <v>0</v>
      </c>
      <c r="Q52" s="66">
        <f t="shared" si="15"/>
        <v>336.09100000000001</v>
      </c>
      <c r="R52" s="89">
        <f t="shared" si="16"/>
        <v>353.78000000000003</v>
      </c>
      <c r="S52" s="67">
        <f t="shared" si="7"/>
        <v>371.46900000000005</v>
      </c>
      <c r="T52" s="66">
        <f t="shared" si="24"/>
        <v>1516.0909999999999</v>
      </c>
      <c r="U52" s="89">
        <f t="shared" si="17"/>
        <v>1828.78</v>
      </c>
      <c r="V52" s="67">
        <f t="shared" si="17"/>
        <v>2141.4690000000001</v>
      </c>
      <c r="W52" s="7">
        <f t="shared" si="18"/>
        <v>0.25750266898522534</v>
      </c>
      <c r="X52" s="66">
        <f t="shared" si="19"/>
        <v>390.39747892447923</v>
      </c>
      <c r="Y52" s="89">
        <f t="shared" si="20"/>
        <v>470.91573098680038</v>
      </c>
      <c r="Z52" s="67">
        <f t="shared" si="21"/>
        <v>551.43398304912148</v>
      </c>
      <c r="AA52" s="14"/>
    </row>
    <row r="53" spans="1:27">
      <c r="A53" s="4">
        <f t="shared" si="22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2460</v>
      </c>
      <c r="G53" s="64">
        <f>X8+AC9</f>
        <v>3075</v>
      </c>
      <c r="H53" s="65">
        <f t="shared" si="6"/>
        <v>3690</v>
      </c>
      <c r="I53" s="66">
        <f t="shared" si="14"/>
        <v>2460</v>
      </c>
      <c r="J53" s="89">
        <f t="shared" si="14"/>
        <v>3075</v>
      </c>
      <c r="K53" s="67">
        <f t="shared" si="14"/>
        <v>3690</v>
      </c>
      <c r="L53" s="68">
        <f t="shared" si="29"/>
        <v>54.93</v>
      </c>
      <c r="M53" s="68">
        <f t="shared" si="26"/>
        <v>67.03</v>
      </c>
      <c r="N53" s="68">
        <f t="shared" si="26"/>
        <v>54.93</v>
      </c>
      <c r="O53" s="68">
        <f t="shared" si="26"/>
        <v>0</v>
      </c>
      <c r="P53" s="68">
        <f t="shared" si="23"/>
        <v>0</v>
      </c>
      <c r="Q53" s="66">
        <f t="shared" si="15"/>
        <v>336.09100000000001</v>
      </c>
      <c r="R53" s="89">
        <f t="shared" si="16"/>
        <v>353.78000000000003</v>
      </c>
      <c r="S53" s="67">
        <f t="shared" si="7"/>
        <v>371.46900000000005</v>
      </c>
      <c r="T53" s="66">
        <f t="shared" si="24"/>
        <v>2796.0909999999999</v>
      </c>
      <c r="U53" s="89">
        <f t="shared" si="17"/>
        <v>3428.78</v>
      </c>
      <c r="V53" s="67">
        <f t="shared" si="17"/>
        <v>4061.4690000000001</v>
      </c>
      <c r="W53" s="7">
        <f t="shared" si="18"/>
        <v>0.24869873380840765</v>
      </c>
      <c r="X53" s="66">
        <f t="shared" si="19"/>
        <v>695.3842913130843</v>
      </c>
      <c r="Y53" s="89">
        <f t="shared" si="20"/>
        <v>852.73324450759208</v>
      </c>
      <c r="Z53" s="67">
        <f t="shared" si="21"/>
        <v>1010.0821977020996</v>
      </c>
      <c r="AA53" s="14"/>
    </row>
    <row r="54" spans="1:27">
      <c r="A54" s="4">
        <f t="shared" si="22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3361.6000000000004</v>
      </c>
      <c r="G54" s="64">
        <f>T6+X6+AC9</f>
        <v>4202</v>
      </c>
      <c r="H54" s="65">
        <f t="shared" si="6"/>
        <v>5042.3999999999996</v>
      </c>
      <c r="I54" s="66">
        <f t="shared" si="14"/>
        <v>3361.6000000000004</v>
      </c>
      <c r="J54" s="89">
        <f t="shared" si="14"/>
        <v>4202</v>
      </c>
      <c r="K54" s="67">
        <f t="shared" si="14"/>
        <v>5042.3999999999996</v>
      </c>
      <c r="L54" s="68">
        <f t="shared" si="29"/>
        <v>54.93</v>
      </c>
      <c r="M54" s="68">
        <f t="shared" si="26"/>
        <v>67.03</v>
      </c>
      <c r="N54" s="68">
        <f t="shared" si="26"/>
        <v>54.93</v>
      </c>
      <c r="O54" s="68">
        <f t="shared" si="26"/>
        <v>0</v>
      </c>
      <c r="P54" s="68">
        <f t="shared" si="23"/>
        <v>0</v>
      </c>
      <c r="Q54" s="66">
        <f t="shared" si="15"/>
        <v>336.09100000000001</v>
      </c>
      <c r="R54" s="89">
        <f t="shared" si="16"/>
        <v>353.78000000000003</v>
      </c>
      <c r="S54" s="67">
        <f t="shared" si="7"/>
        <v>371.46900000000005</v>
      </c>
      <c r="T54" s="66">
        <f t="shared" si="24"/>
        <v>3697.6910000000003</v>
      </c>
      <c r="U54" s="89">
        <f t="shared" si="17"/>
        <v>4555.78</v>
      </c>
      <c r="V54" s="67">
        <f t="shared" si="17"/>
        <v>5413.8689999999997</v>
      </c>
      <c r="W54" s="7">
        <f t="shared" si="18"/>
        <v>0.24019580240332974</v>
      </c>
      <c r="X54" s="66">
        <f t="shared" si="19"/>
        <v>888.16985678457081</v>
      </c>
      <c r="Y54" s="89">
        <f t="shared" si="20"/>
        <v>1094.2792326730416</v>
      </c>
      <c r="Z54" s="67">
        <f t="shared" si="21"/>
        <v>1300.3886085615122</v>
      </c>
      <c r="AA54" s="14"/>
    </row>
    <row r="55" spans="1:27">
      <c r="A55" s="4">
        <f t="shared" si="22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>$AC$9</f>
        <v>1475</v>
      </c>
      <c r="H55" s="65">
        <f t="shared" si="6"/>
        <v>1770</v>
      </c>
      <c r="I55" s="66">
        <f t="shared" si="14"/>
        <v>1180</v>
      </c>
      <c r="J55" s="89">
        <f t="shared" si="14"/>
        <v>1475</v>
      </c>
      <c r="K55" s="67">
        <f t="shared" si="14"/>
        <v>1770</v>
      </c>
      <c r="L55" s="68">
        <f t="shared" si="29"/>
        <v>54.93</v>
      </c>
      <c r="M55" s="68">
        <f t="shared" si="26"/>
        <v>67.03</v>
      </c>
      <c r="N55" s="68">
        <f t="shared" si="26"/>
        <v>54.93</v>
      </c>
      <c r="O55" s="68">
        <f t="shared" si="26"/>
        <v>0</v>
      </c>
      <c r="P55" s="68">
        <f t="shared" si="23"/>
        <v>0</v>
      </c>
      <c r="Q55" s="66">
        <f t="shared" si="15"/>
        <v>336.09100000000001</v>
      </c>
      <c r="R55" s="89">
        <f t="shared" si="16"/>
        <v>353.78000000000003</v>
      </c>
      <c r="S55" s="67">
        <f t="shared" si="7"/>
        <v>371.46900000000005</v>
      </c>
      <c r="T55" s="66">
        <f t="shared" si="24"/>
        <v>1516.0909999999999</v>
      </c>
      <c r="U55" s="89">
        <f t="shared" si="17"/>
        <v>1828.78</v>
      </c>
      <c r="V55" s="67">
        <f t="shared" si="17"/>
        <v>2141.4690000000001</v>
      </c>
      <c r="W55" s="7">
        <f t="shared" si="18"/>
        <v>0.23198358354580814</v>
      </c>
      <c r="X55" s="66">
        <f t="shared" si="19"/>
        <v>351.70822316154778</v>
      </c>
      <c r="Y55" s="89">
        <f t="shared" si="20"/>
        <v>424.24693791690299</v>
      </c>
      <c r="Z55" s="67">
        <f t="shared" si="21"/>
        <v>496.78565267225821</v>
      </c>
      <c r="AA55" s="14"/>
    </row>
    <row r="56" spans="1:27">
      <c r="A56" s="4">
        <f t="shared" si="22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>$AC$9</f>
        <v>1475</v>
      </c>
      <c r="H56" s="65">
        <f t="shared" si="6"/>
        <v>1770</v>
      </c>
      <c r="I56" s="66">
        <f t="shared" si="14"/>
        <v>1180</v>
      </c>
      <c r="J56" s="89">
        <f t="shared" si="14"/>
        <v>1475</v>
      </c>
      <c r="K56" s="67">
        <f t="shared" si="14"/>
        <v>1770</v>
      </c>
      <c r="L56" s="68">
        <f t="shared" si="29"/>
        <v>54.93</v>
      </c>
      <c r="M56" s="68">
        <f t="shared" si="26"/>
        <v>67.03</v>
      </c>
      <c r="N56" s="68">
        <f t="shared" si="26"/>
        <v>54.93</v>
      </c>
      <c r="O56" s="68">
        <f t="shared" si="26"/>
        <v>0</v>
      </c>
      <c r="P56" s="68">
        <f t="shared" si="23"/>
        <v>0</v>
      </c>
      <c r="Q56" s="66">
        <f t="shared" si="15"/>
        <v>336.09100000000001</v>
      </c>
      <c r="R56" s="89">
        <f t="shared" si="16"/>
        <v>353.78000000000003</v>
      </c>
      <c r="S56" s="67">
        <f t="shared" si="7"/>
        <v>371.46900000000005</v>
      </c>
      <c r="T56" s="66">
        <f t="shared" si="24"/>
        <v>1516.0909999999999</v>
      </c>
      <c r="U56" s="89">
        <f t="shared" si="17"/>
        <v>1828.78</v>
      </c>
      <c r="V56" s="67">
        <f t="shared" si="17"/>
        <v>2141.4690000000001</v>
      </c>
      <c r="W56" s="7">
        <f t="shared" si="18"/>
        <v>0.2240521378653739</v>
      </c>
      <c r="X56" s="66">
        <f t="shared" si="19"/>
        <v>339.68342974845257</v>
      </c>
      <c r="Y56" s="89">
        <f t="shared" si="20"/>
        <v>409.74206868543848</v>
      </c>
      <c r="Z56" s="67">
        <f t="shared" si="21"/>
        <v>479.8007076224244</v>
      </c>
      <c r="AA56" s="14"/>
    </row>
    <row r="57" spans="1:27">
      <c r="A57" s="4">
        <f t="shared" si="22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2460</v>
      </c>
      <c r="G57" s="64">
        <f>X8+AC9</f>
        <v>3075</v>
      </c>
      <c r="H57" s="65">
        <f t="shared" si="6"/>
        <v>3690</v>
      </c>
      <c r="I57" s="66">
        <f t="shared" si="14"/>
        <v>2460</v>
      </c>
      <c r="J57" s="89">
        <f t="shared" si="14"/>
        <v>3075</v>
      </c>
      <c r="K57" s="67">
        <f t="shared" si="14"/>
        <v>3690</v>
      </c>
      <c r="L57" s="68">
        <f t="shared" si="29"/>
        <v>54.93</v>
      </c>
      <c r="M57" s="68">
        <f t="shared" si="26"/>
        <v>67.03</v>
      </c>
      <c r="N57" s="68">
        <f t="shared" si="26"/>
        <v>54.93</v>
      </c>
      <c r="O57" s="68">
        <f t="shared" si="26"/>
        <v>0</v>
      </c>
      <c r="P57" s="68">
        <f t="shared" si="23"/>
        <v>0</v>
      </c>
      <c r="Q57" s="66">
        <f t="shared" si="15"/>
        <v>336.09100000000001</v>
      </c>
      <c r="R57" s="89">
        <f t="shared" si="16"/>
        <v>353.78000000000003</v>
      </c>
      <c r="S57" s="67">
        <f t="shared" si="7"/>
        <v>371.46900000000005</v>
      </c>
      <c r="T57" s="66">
        <f t="shared" si="24"/>
        <v>2796.0909999999999</v>
      </c>
      <c r="U57" s="89">
        <f t="shared" si="17"/>
        <v>3428.78</v>
      </c>
      <c r="V57" s="67">
        <f t="shared" si="17"/>
        <v>4061.4690000000001</v>
      </c>
      <c r="W57" s="7">
        <f t="shared" si="18"/>
        <v>0.21639186581550499</v>
      </c>
      <c r="X57" s="66">
        <f t="shared" si="19"/>
        <v>605.05134847994111</v>
      </c>
      <c r="Y57" s="89">
        <f t="shared" si="20"/>
        <v>741.96010167088718</v>
      </c>
      <c r="Z57" s="67">
        <f t="shared" si="21"/>
        <v>878.86885486183326</v>
      </c>
      <c r="AA57" s="14"/>
    </row>
    <row r="58" spans="1:27">
      <c r="A58" s="4">
        <f t="shared" si="22"/>
        <v>2064</v>
      </c>
      <c r="B58" s="4">
        <f t="shared" si="9"/>
        <v>45</v>
      </c>
      <c r="C58" s="63">
        <f t="shared" si="10"/>
        <v>13691.859924738936</v>
      </c>
      <c r="D58" s="64">
        <f>'Option 2a'!D13</f>
        <v>17114.82490592367</v>
      </c>
      <c r="E58" s="65">
        <f t="shared" si="11"/>
        <v>20537.789887108403</v>
      </c>
      <c r="F58" s="63">
        <f t="shared" si="12"/>
        <v>1180</v>
      </c>
      <c r="G58" s="64">
        <f t="shared" ref="G58:G60" si="30">$AC$9</f>
        <v>1475</v>
      </c>
      <c r="H58" s="65">
        <f t="shared" si="6"/>
        <v>1770</v>
      </c>
      <c r="I58" s="66">
        <f t="shared" si="14"/>
        <v>14871.859924738936</v>
      </c>
      <c r="J58" s="89">
        <f t="shared" si="14"/>
        <v>18589.82490592367</v>
      </c>
      <c r="K58" s="67">
        <f t="shared" si="14"/>
        <v>22307.789887108403</v>
      </c>
      <c r="L58" s="68">
        <f t="shared" si="29"/>
        <v>54.93</v>
      </c>
      <c r="M58" s="68">
        <f t="shared" si="26"/>
        <v>67.03</v>
      </c>
      <c r="N58" s="68">
        <f t="shared" si="26"/>
        <v>54.93</v>
      </c>
      <c r="O58" s="68">
        <f t="shared" si="26"/>
        <v>0</v>
      </c>
      <c r="P58" s="68">
        <f t="shared" si="23"/>
        <v>0</v>
      </c>
      <c r="Q58" s="66">
        <f t="shared" si="15"/>
        <v>336.09100000000001</v>
      </c>
      <c r="R58" s="89">
        <f t="shared" si="16"/>
        <v>353.78000000000003</v>
      </c>
      <c r="S58" s="67">
        <f t="shared" si="7"/>
        <v>371.46900000000005</v>
      </c>
      <c r="T58" s="66">
        <f t="shared" si="24"/>
        <v>15207.950924738936</v>
      </c>
      <c r="U58" s="89">
        <f t="shared" si="17"/>
        <v>18943.604905923668</v>
      </c>
      <c r="V58" s="67">
        <f t="shared" si="17"/>
        <v>22679.258887108404</v>
      </c>
      <c r="W58" s="7">
        <f t="shared" si="18"/>
        <v>0.20899349605515255</v>
      </c>
      <c r="X58" s="66">
        <f t="shared" si="19"/>
        <v>3178.3628315963806</v>
      </c>
      <c r="Y58" s="89">
        <f t="shared" si="20"/>
        <v>3959.0902171765265</v>
      </c>
      <c r="Z58" s="67">
        <f t="shared" si="21"/>
        <v>4739.8176027566733</v>
      </c>
      <c r="AA58" s="14"/>
    </row>
    <row r="59" spans="1:27">
      <c r="A59" s="4">
        <f t="shared" si="22"/>
        <v>2065</v>
      </c>
      <c r="B59" s="4">
        <f t="shared" si="9"/>
        <v>46</v>
      </c>
      <c r="C59" s="63">
        <f t="shared" si="10"/>
        <v>13691.859924738936</v>
      </c>
      <c r="D59" s="64">
        <f>'Option 2a'!D14</f>
        <v>17114.82490592367</v>
      </c>
      <c r="E59" s="65">
        <f t="shared" si="11"/>
        <v>20537.789887108403</v>
      </c>
      <c r="F59" s="63">
        <f t="shared" si="12"/>
        <v>1180</v>
      </c>
      <c r="G59" s="64">
        <f t="shared" si="30"/>
        <v>1475</v>
      </c>
      <c r="H59" s="65">
        <f t="shared" si="6"/>
        <v>1770</v>
      </c>
      <c r="I59" s="66">
        <f t="shared" si="14"/>
        <v>14871.859924738936</v>
      </c>
      <c r="J59" s="89">
        <f t="shared" si="14"/>
        <v>18589.82490592367</v>
      </c>
      <c r="K59" s="67">
        <f t="shared" si="14"/>
        <v>22307.789887108403</v>
      </c>
      <c r="L59" s="68">
        <f t="shared" si="29"/>
        <v>54.93</v>
      </c>
      <c r="M59" s="68">
        <f t="shared" si="26"/>
        <v>67.03</v>
      </c>
      <c r="N59" s="68">
        <f t="shared" si="26"/>
        <v>54.93</v>
      </c>
      <c r="O59" s="68">
        <f t="shared" si="26"/>
        <v>0</v>
      </c>
      <c r="P59" s="68">
        <f t="shared" si="23"/>
        <v>0</v>
      </c>
      <c r="Q59" s="66">
        <f t="shared" si="15"/>
        <v>336.09100000000001</v>
      </c>
      <c r="R59" s="89">
        <f t="shared" si="16"/>
        <v>353.78000000000003</v>
      </c>
      <c r="S59" s="67">
        <f t="shared" si="7"/>
        <v>371.46900000000005</v>
      </c>
      <c r="T59" s="66">
        <f t="shared" si="24"/>
        <v>15207.950924738936</v>
      </c>
      <c r="U59" s="89">
        <f t="shared" si="17"/>
        <v>18943.604905923668</v>
      </c>
      <c r="V59" s="67">
        <f t="shared" si="17"/>
        <v>22679.258887108404</v>
      </c>
      <c r="W59" s="7">
        <f t="shared" si="18"/>
        <v>0.20184807422749909</v>
      </c>
      <c r="X59" s="66">
        <f t="shared" si="19"/>
        <v>3069.695607104868</v>
      </c>
      <c r="Y59" s="89">
        <f t="shared" si="20"/>
        <v>3823.7301691872967</v>
      </c>
      <c r="Z59" s="67">
        <f t="shared" si="21"/>
        <v>4577.7647312697254</v>
      </c>
      <c r="AA59" s="14"/>
    </row>
    <row r="60" spans="1:27">
      <c r="A60" s="4">
        <f t="shared" si="22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30"/>
        <v>1475</v>
      </c>
      <c r="H60" s="65">
        <f t="shared" si="6"/>
        <v>1770</v>
      </c>
      <c r="I60" s="66">
        <f t="shared" si="14"/>
        <v>1180</v>
      </c>
      <c r="J60" s="89">
        <f t="shared" si="14"/>
        <v>1475</v>
      </c>
      <c r="K60" s="67">
        <f t="shared" si="14"/>
        <v>1770</v>
      </c>
      <c r="L60" s="68">
        <f t="shared" si="29"/>
        <v>54.93</v>
      </c>
      <c r="M60" s="68">
        <f t="shared" si="26"/>
        <v>67.03</v>
      </c>
      <c r="N60" s="68">
        <f t="shared" si="26"/>
        <v>54.93</v>
      </c>
      <c r="O60" s="68">
        <f t="shared" si="26"/>
        <v>0</v>
      </c>
      <c r="P60" s="68">
        <f t="shared" si="23"/>
        <v>0</v>
      </c>
      <c r="Q60" s="66">
        <f t="shared" si="15"/>
        <v>336.09100000000001</v>
      </c>
      <c r="R60" s="89">
        <f t="shared" si="16"/>
        <v>353.78000000000003</v>
      </c>
      <c r="S60" s="67">
        <f t="shared" si="7"/>
        <v>371.46900000000005</v>
      </c>
      <c r="T60" s="66">
        <f t="shared" si="24"/>
        <v>1516.0909999999999</v>
      </c>
      <c r="U60" s="89">
        <f t="shared" si="17"/>
        <v>1828.78</v>
      </c>
      <c r="V60" s="67">
        <f t="shared" si="17"/>
        <v>2141.4690000000001</v>
      </c>
      <c r="W60" s="7">
        <f t="shared" si="18"/>
        <v>0.19494695212236729</v>
      </c>
      <c r="X60" s="66">
        <f t="shared" si="19"/>
        <v>295.55731959015191</v>
      </c>
      <c r="Y60" s="89">
        <f t="shared" si="20"/>
        <v>356.51508710234287</v>
      </c>
      <c r="Z60" s="67">
        <f t="shared" si="21"/>
        <v>417.47285461453379</v>
      </c>
      <c r="AA60" s="14"/>
    </row>
    <row r="61" spans="1:27">
      <c r="A61" s="4">
        <f t="shared" si="22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2460</v>
      </c>
      <c r="G61" s="64">
        <f>X8+AC9</f>
        <v>3075</v>
      </c>
      <c r="H61" s="65">
        <f t="shared" si="6"/>
        <v>3690</v>
      </c>
      <c r="I61" s="66">
        <f t="shared" si="14"/>
        <v>2460</v>
      </c>
      <c r="J61" s="89">
        <f t="shared" si="14"/>
        <v>3075</v>
      </c>
      <c r="K61" s="67">
        <f t="shared" si="14"/>
        <v>3690</v>
      </c>
      <c r="L61" s="68">
        <f t="shared" si="29"/>
        <v>54.93</v>
      </c>
      <c r="M61" s="68">
        <f t="shared" si="26"/>
        <v>67.03</v>
      </c>
      <c r="N61" s="68">
        <f t="shared" si="26"/>
        <v>54.93</v>
      </c>
      <c r="O61" s="68">
        <f t="shared" si="26"/>
        <v>0</v>
      </c>
      <c r="P61" s="68">
        <f t="shared" si="23"/>
        <v>0</v>
      </c>
      <c r="Q61" s="66">
        <f t="shared" si="15"/>
        <v>336.09100000000001</v>
      </c>
      <c r="R61" s="89">
        <f t="shared" si="16"/>
        <v>353.78000000000003</v>
      </c>
      <c r="S61" s="67">
        <f t="shared" si="7"/>
        <v>371.46900000000005</v>
      </c>
      <c r="T61" s="66">
        <f t="shared" si="24"/>
        <v>2796.0909999999999</v>
      </c>
      <c r="U61" s="89">
        <f t="shared" si="17"/>
        <v>3428.78</v>
      </c>
      <c r="V61" s="67">
        <f t="shared" si="17"/>
        <v>4061.4690000000001</v>
      </c>
      <c r="W61" s="7">
        <f t="shared" si="18"/>
        <v>0.18828177720916289</v>
      </c>
      <c r="X61" s="66">
        <f t="shared" si="19"/>
        <v>526.45298271854551</v>
      </c>
      <c r="Y61" s="89">
        <f t="shared" si="20"/>
        <v>645.57679205923353</v>
      </c>
      <c r="Z61" s="67">
        <f t="shared" si="21"/>
        <v>764.70060139992165</v>
      </c>
      <c r="AA61" s="14"/>
    </row>
    <row r="62" spans="1:27">
      <c r="A62" s="4">
        <f t="shared" si="22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 t="shared" ref="G62:G63" si="31">$AC$9</f>
        <v>1475</v>
      </c>
      <c r="H62" s="65">
        <f t="shared" si="6"/>
        <v>1770</v>
      </c>
      <c r="I62" s="66">
        <f t="shared" si="14"/>
        <v>1180</v>
      </c>
      <c r="J62" s="89">
        <f t="shared" si="14"/>
        <v>1475</v>
      </c>
      <c r="K62" s="67">
        <f t="shared" si="14"/>
        <v>1770</v>
      </c>
      <c r="L62" s="68">
        <f t="shared" si="29"/>
        <v>54.93</v>
      </c>
      <c r="M62" s="68">
        <f t="shared" si="26"/>
        <v>67.03</v>
      </c>
      <c r="N62" s="68">
        <f t="shared" si="26"/>
        <v>54.93</v>
      </c>
      <c r="O62" s="68">
        <f t="shared" si="26"/>
        <v>0</v>
      </c>
      <c r="P62" s="68">
        <f t="shared" si="23"/>
        <v>0</v>
      </c>
      <c r="Q62" s="66">
        <f t="shared" si="15"/>
        <v>336.09100000000001</v>
      </c>
      <c r="R62" s="89">
        <f t="shared" si="16"/>
        <v>353.78000000000003</v>
      </c>
      <c r="S62" s="67">
        <f t="shared" si="7"/>
        <v>371.46900000000005</v>
      </c>
      <c r="T62" s="66">
        <f t="shared" si="24"/>
        <v>1516.0909999999999</v>
      </c>
      <c r="U62" s="89">
        <f t="shared" si="17"/>
        <v>1828.78</v>
      </c>
      <c r="V62" s="67">
        <f t="shared" si="17"/>
        <v>2141.4690000000001</v>
      </c>
      <c r="W62" s="7">
        <f t="shared" si="18"/>
        <v>0.1818444825276829</v>
      </c>
      <c r="X62" s="66">
        <f t="shared" si="19"/>
        <v>275.6927833598773</v>
      </c>
      <c r="Y62" s="89">
        <f t="shared" si="20"/>
        <v>332.55355275697593</v>
      </c>
      <c r="Z62" s="67">
        <f t="shared" si="21"/>
        <v>389.41432215407457</v>
      </c>
      <c r="AA62" s="14"/>
    </row>
    <row r="63" spans="1:27">
      <c r="A63" s="4">
        <f t="shared" si="22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31"/>
        <v>1475</v>
      </c>
      <c r="H63" s="65">
        <f t="shared" si="6"/>
        <v>1770</v>
      </c>
      <c r="I63" s="66">
        <f t="shared" si="14"/>
        <v>1180</v>
      </c>
      <c r="J63" s="89">
        <f t="shared" si="14"/>
        <v>1475</v>
      </c>
      <c r="K63" s="67">
        <f t="shared" si="14"/>
        <v>1770</v>
      </c>
      <c r="L63" s="68">
        <f t="shared" si="29"/>
        <v>54.93</v>
      </c>
      <c r="M63" s="68">
        <f t="shared" si="26"/>
        <v>67.03</v>
      </c>
      <c r="N63" s="68">
        <f t="shared" si="26"/>
        <v>54.93</v>
      </c>
      <c r="O63" s="68">
        <f t="shared" si="26"/>
        <v>0</v>
      </c>
      <c r="P63" s="68">
        <f t="shared" si="23"/>
        <v>0</v>
      </c>
      <c r="Q63" s="66">
        <f t="shared" si="15"/>
        <v>336.09100000000001</v>
      </c>
      <c r="R63" s="89">
        <f t="shared" si="16"/>
        <v>353.78000000000003</v>
      </c>
      <c r="S63" s="67">
        <f t="shared" si="7"/>
        <v>371.46900000000005</v>
      </c>
      <c r="T63" s="66">
        <f t="shared" si="24"/>
        <v>1516.0909999999999</v>
      </c>
      <c r="U63" s="89">
        <f t="shared" si="17"/>
        <v>1828.78</v>
      </c>
      <c r="V63" s="67">
        <f t="shared" si="17"/>
        <v>2141.4690000000001</v>
      </c>
      <c r="W63" s="7">
        <f t="shared" si="18"/>
        <v>0.17562727692455368</v>
      </c>
      <c r="X63" s="66">
        <f t="shared" si="19"/>
        <v>266.26693389982347</v>
      </c>
      <c r="Y63" s="89">
        <f t="shared" si="20"/>
        <v>321.18365149408527</v>
      </c>
      <c r="Z63" s="67">
        <f t="shared" si="21"/>
        <v>376.10036908834707</v>
      </c>
      <c r="AA63" s="14"/>
    </row>
    <row r="64" spans="1:27">
      <c r="A64" s="4">
        <f t="shared" si="22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17556</v>
      </c>
      <c r="G64" s="64">
        <f>T6+X6+T4+T5+X4+X5+AC9</f>
        <v>21945</v>
      </c>
      <c r="H64" s="65">
        <f t="shared" si="6"/>
        <v>26334</v>
      </c>
      <c r="I64" s="66">
        <f t="shared" si="14"/>
        <v>17556</v>
      </c>
      <c r="J64" s="89">
        <f t="shared" si="14"/>
        <v>21945</v>
      </c>
      <c r="K64" s="67">
        <f t="shared" si="14"/>
        <v>26334</v>
      </c>
      <c r="L64" s="68">
        <f t="shared" ref="L64:L73" si="32">L63</f>
        <v>54.93</v>
      </c>
      <c r="M64" s="68">
        <f t="shared" si="26"/>
        <v>67.03</v>
      </c>
      <c r="N64" s="68">
        <f t="shared" si="26"/>
        <v>54.93</v>
      </c>
      <c r="O64" s="68">
        <f t="shared" si="26"/>
        <v>0</v>
      </c>
      <c r="P64" s="68">
        <f t="shared" si="23"/>
        <v>0</v>
      </c>
      <c r="Q64" s="66">
        <f t="shared" si="15"/>
        <v>336.09100000000001</v>
      </c>
      <c r="R64" s="89">
        <f t="shared" si="16"/>
        <v>353.78000000000003</v>
      </c>
      <c r="S64" s="67">
        <f t="shared" si="7"/>
        <v>371.46900000000005</v>
      </c>
      <c r="T64" s="66">
        <f t="shared" si="24"/>
        <v>17892.091</v>
      </c>
      <c r="U64" s="89">
        <f t="shared" si="17"/>
        <v>22298.78</v>
      </c>
      <c r="V64" s="67">
        <f t="shared" si="17"/>
        <v>26705.469000000001</v>
      </c>
      <c r="W64" s="7">
        <f t="shared" si="18"/>
        <v>0.16962263562348243</v>
      </c>
      <c r="X64" s="66">
        <f t="shared" si="19"/>
        <v>3034.9036322351894</v>
      </c>
      <c r="Y64" s="89">
        <f t="shared" si="20"/>
        <v>3782.3778347881971</v>
      </c>
      <c r="Z64" s="67">
        <f t="shared" si="21"/>
        <v>4529.8520373412057</v>
      </c>
      <c r="AA64" s="14"/>
    </row>
    <row r="65" spans="1:27">
      <c r="A65" s="4">
        <f t="shared" si="22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2460</v>
      </c>
      <c r="G65" s="64">
        <f>X8+AC9</f>
        <v>3075</v>
      </c>
      <c r="H65" s="65">
        <f t="shared" si="6"/>
        <v>3690</v>
      </c>
      <c r="I65" s="66">
        <f t="shared" si="14"/>
        <v>2460</v>
      </c>
      <c r="J65" s="89">
        <f t="shared" si="14"/>
        <v>3075</v>
      </c>
      <c r="K65" s="67">
        <f t="shared" si="14"/>
        <v>3690</v>
      </c>
      <c r="L65" s="68">
        <f t="shared" si="32"/>
        <v>54.93</v>
      </c>
      <c r="M65" s="68">
        <f t="shared" si="26"/>
        <v>67.03</v>
      </c>
      <c r="N65" s="68">
        <f t="shared" si="26"/>
        <v>54.93</v>
      </c>
      <c r="O65" s="68">
        <f t="shared" si="26"/>
        <v>0</v>
      </c>
      <c r="P65" s="68">
        <f t="shared" si="23"/>
        <v>0</v>
      </c>
      <c r="Q65" s="66">
        <f t="shared" si="15"/>
        <v>336.09100000000001</v>
      </c>
      <c r="R65" s="89">
        <f t="shared" si="16"/>
        <v>353.78000000000003</v>
      </c>
      <c r="S65" s="67">
        <f t="shared" si="7"/>
        <v>371.46900000000005</v>
      </c>
      <c r="T65" s="66">
        <f t="shared" si="24"/>
        <v>2796.0909999999999</v>
      </c>
      <c r="U65" s="89">
        <f t="shared" si="17"/>
        <v>3428.78</v>
      </c>
      <c r="V65" s="67">
        <f t="shared" si="17"/>
        <v>4061.4690000000001</v>
      </c>
      <c r="W65" s="7">
        <f t="shared" si="18"/>
        <v>0.16382329111790842</v>
      </c>
      <c r="X65" s="66">
        <f t="shared" si="19"/>
        <v>458.06482988516365</v>
      </c>
      <c r="Y65" s="89">
        <f t="shared" si="20"/>
        <v>561.71402411926204</v>
      </c>
      <c r="Z65" s="67">
        <f t="shared" si="21"/>
        <v>665.36321835336037</v>
      </c>
      <c r="AA65" s="14"/>
    </row>
    <row r="66" spans="1:27">
      <c r="A66" s="4">
        <f t="shared" si="22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 t="shared" ref="G66:G72" si="33">$AC$9</f>
        <v>1475</v>
      </c>
      <c r="H66" s="65">
        <f t="shared" si="6"/>
        <v>1770</v>
      </c>
      <c r="I66" s="66">
        <f t="shared" si="14"/>
        <v>1180</v>
      </c>
      <c r="J66" s="89">
        <f t="shared" si="14"/>
        <v>1475</v>
      </c>
      <c r="K66" s="67">
        <f t="shared" si="14"/>
        <v>1770</v>
      </c>
      <c r="L66" s="68">
        <f t="shared" si="32"/>
        <v>54.93</v>
      </c>
      <c r="M66" s="68">
        <f t="shared" si="26"/>
        <v>67.03</v>
      </c>
      <c r="N66" s="68">
        <f t="shared" si="26"/>
        <v>54.93</v>
      </c>
      <c r="O66" s="68">
        <f t="shared" si="26"/>
        <v>0</v>
      </c>
      <c r="P66" s="68">
        <f t="shared" si="23"/>
        <v>0</v>
      </c>
      <c r="Q66" s="66">
        <f t="shared" si="15"/>
        <v>336.09100000000001</v>
      </c>
      <c r="R66" s="89">
        <f t="shared" si="16"/>
        <v>353.78000000000003</v>
      </c>
      <c r="S66" s="67">
        <f t="shared" si="7"/>
        <v>371.46900000000005</v>
      </c>
      <c r="T66" s="66">
        <f t="shared" si="24"/>
        <v>1516.0909999999999</v>
      </c>
      <c r="U66" s="89">
        <f t="shared" si="17"/>
        <v>1828.78</v>
      </c>
      <c r="V66" s="67">
        <f t="shared" si="17"/>
        <v>2141.4690000000001</v>
      </c>
      <c r="W66" s="7">
        <f t="shared" si="18"/>
        <v>0.15822222437503228</v>
      </c>
      <c r="X66" s="66">
        <f t="shared" si="19"/>
        <v>239.87929037496704</v>
      </c>
      <c r="Y66" s="89">
        <f t="shared" si="20"/>
        <v>289.35363949257152</v>
      </c>
      <c r="Z66" s="67">
        <f t="shared" si="21"/>
        <v>338.82798861017602</v>
      </c>
      <c r="AA66" s="14"/>
    </row>
    <row r="67" spans="1:27">
      <c r="A67" s="4">
        <f t="shared" si="22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33"/>
        <v>1475</v>
      </c>
      <c r="H67" s="65">
        <f t="shared" si="6"/>
        <v>1770</v>
      </c>
      <c r="I67" s="66">
        <f t="shared" si="14"/>
        <v>1180</v>
      </c>
      <c r="J67" s="89">
        <f t="shared" si="14"/>
        <v>1475</v>
      </c>
      <c r="K67" s="67">
        <f t="shared" si="14"/>
        <v>1770</v>
      </c>
      <c r="L67" s="68">
        <f t="shared" si="32"/>
        <v>54.93</v>
      </c>
      <c r="M67" s="68">
        <f t="shared" si="26"/>
        <v>67.03</v>
      </c>
      <c r="N67" s="68">
        <f t="shared" si="26"/>
        <v>54.93</v>
      </c>
      <c r="O67" s="68">
        <f t="shared" si="26"/>
        <v>0</v>
      </c>
      <c r="P67" s="68">
        <f t="shared" si="23"/>
        <v>0</v>
      </c>
      <c r="Q67" s="66">
        <f t="shared" si="15"/>
        <v>336.09100000000001</v>
      </c>
      <c r="R67" s="89">
        <f t="shared" si="16"/>
        <v>353.78000000000003</v>
      </c>
      <c r="S67" s="67">
        <f t="shared" si="7"/>
        <v>371.46900000000005</v>
      </c>
      <c r="T67" s="66">
        <f t="shared" si="24"/>
        <v>1516.0909999999999</v>
      </c>
      <c r="U67" s="89">
        <f t="shared" si="17"/>
        <v>1828.78</v>
      </c>
      <c r="V67" s="67">
        <f t="shared" si="17"/>
        <v>2141.4690000000001</v>
      </c>
      <c r="W67" s="7">
        <f t="shared" si="18"/>
        <v>0.15281265634057586</v>
      </c>
      <c r="X67" s="66">
        <f t="shared" si="19"/>
        <v>231.67789296403998</v>
      </c>
      <c r="Y67" s="89">
        <f t="shared" si="20"/>
        <v>279.4607296625183</v>
      </c>
      <c r="Z67" s="67">
        <f t="shared" si="21"/>
        <v>327.24356636099668</v>
      </c>
      <c r="AA67" s="90" t="s">
        <v>67</v>
      </c>
    </row>
    <row r="68" spans="1:27">
      <c r="A68" s="4">
        <f t="shared" si="22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2317.2715954843366</v>
      </c>
      <c r="G68" s="64">
        <f>$AC$9+'Option 2a'!X6+'Option 2a'!T6</f>
        <v>2896.5894943554204</v>
      </c>
      <c r="H68" s="65">
        <f t="shared" si="6"/>
        <v>3475.9073932265042</v>
      </c>
      <c r="I68" s="66">
        <f t="shared" si="14"/>
        <v>2317.2715954843366</v>
      </c>
      <c r="J68" s="89">
        <f t="shared" si="14"/>
        <v>2896.5894943554204</v>
      </c>
      <c r="K68" s="67">
        <f t="shared" si="14"/>
        <v>3475.9073932265042</v>
      </c>
      <c r="L68" s="68">
        <f t="shared" si="32"/>
        <v>54.93</v>
      </c>
      <c r="M68" s="68">
        <f t="shared" si="26"/>
        <v>67.03</v>
      </c>
      <c r="N68" s="68">
        <f t="shared" si="26"/>
        <v>54.93</v>
      </c>
      <c r="O68" s="68">
        <f t="shared" si="26"/>
        <v>0</v>
      </c>
      <c r="P68" s="68">
        <f t="shared" si="23"/>
        <v>0</v>
      </c>
      <c r="Q68" s="66">
        <f t="shared" si="15"/>
        <v>336.09100000000001</v>
      </c>
      <c r="R68" s="89">
        <f t="shared" si="16"/>
        <v>353.78000000000003</v>
      </c>
      <c r="S68" s="67">
        <f t="shared" si="7"/>
        <v>371.46900000000005</v>
      </c>
      <c r="T68" s="66">
        <f t="shared" si="24"/>
        <v>2653.3625954843365</v>
      </c>
      <c r="U68" s="89">
        <f t="shared" si="17"/>
        <v>3250.3694943554206</v>
      </c>
      <c r="V68" s="67">
        <f t="shared" si="17"/>
        <v>3847.3763932265042</v>
      </c>
      <c r="W68" s="7">
        <f t="shared" si="18"/>
        <v>0.14758803973399254</v>
      </c>
      <c r="X68" s="66">
        <f t="shared" si="19"/>
        <v>391.60458417103183</v>
      </c>
      <c r="Y68" s="89">
        <f t="shared" si="20"/>
        <v>479.71566208308502</v>
      </c>
      <c r="Z68" s="67">
        <f t="shared" si="21"/>
        <v>567.82673999513815</v>
      </c>
      <c r="AA68" s="14"/>
    </row>
    <row r="69" spans="1:27">
      <c r="A69" s="4">
        <f t="shared" si="22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2460</v>
      </c>
      <c r="G69" s="64">
        <f>X8+AC9</f>
        <v>3075</v>
      </c>
      <c r="H69" s="65">
        <f t="shared" si="6"/>
        <v>3690</v>
      </c>
      <c r="I69" s="66">
        <f t="shared" si="14"/>
        <v>2460</v>
      </c>
      <c r="J69" s="89">
        <f t="shared" si="14"/>
        <v>3075</v>
      </c>
      <c r="K69" s="67">
        <f t="shared" si="14"/>
        <v>3690</v>
      </c>
      <c r="L69" s="68">
        <f t="shared" si="32"/>
        <v>54.93</v>
      </c>
      <c r="M69" s="68">
        <f t="shared" si="26"/>
        <v>67.03</v>
      </c>
      <c r="N69" s="68">
        <f t="shared" si="26"/>
        <v>54.93</v>
      </c>
      <c r="O69" s="68">
        <f t="shared" si="26"/>
        <v>0</v>
      </c>
      <c r="P69" s="68">
        <f t="shared" si="23"/>
        <v>0</v>
      </c>
      <c r="Q69" s="66">
        <f t="shared" si="15"/>
        <v>336.09100000000001</v>
      </c>
      <c r="R69" s="89">
        <f t="shared" si="16"/>
        <v>353.78000000000003</v>
      </c>
      <c r="S69" s="67">
        <f t="shared" si="7"/>
        <v>371.46900000000005</v>
      </c>
      <c r="T69" s="66">
        <f t="shared" si="24"/>
        <v>2796.0909999999999</v>
      </c>
      <c r="U69" s="89">
        <f t="shared" si="17"/>
        <v>3428.78</v>
      </c>
      <c r="V69" s="67">
        <f t="shared" si="17"/>
        <v>4061.4690000000001</v>
      </c>
      <c r="W69" s="7">
        <f t="shared" si="18"/>
        <v>0.14254205112419596</v>
      </c>
      <c r="X69" s="66">
        <f t="shared" si="19"/>
        <v>398.56054626990419</v>
      </c>
      <c r="Y69" s="89">
        <f t="shared" si="20"/>
        <v>488.74533405362064</v>
      </c>
      <c r="Z69" s="67">
        <f t="shared" si="21"/>
        <v>578.93012183733708</v>
      </c>
      <c r="AA69" s="14"/>
    </row>
    <row r="70" spans="1:27">
      <c r="A70" s="4">
        <f t="shared" si="22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 t="shared" si="33"/>
        <v>1475</v>
      </c>
      <c r="H70" s="65">
        <f t="shared" si="6"/>
        <v>1770</v>
      </c>
      <c r="I70" s="66">
        <f t="shared" si="14"/>
        <v>1180</v>
      </c>
      <c r="J70" s="89">
        <f t="shared" si="14"/>
        <v>1475</v>
      </c>
      <c r="K70" s="67">
        <f t="shared" si="14"/>
        <v>1770</v>
      </c>
      <c r="L70" s="68">
        <f t="shared" si="32"/>
        <v>54.93</v>
      </c>
      <c r="M70" s="68">
        <f t="shared" si="26"/>
        <v>67.03</v>
      </c>
      <c r="N70" s="68">
        <f t="shared" si="26"/>
        <v>54.93</v>
      </c>
      <c r="O70" s="68">
        <f t="shared" si="26"/>
        <v>0</v>
      </c>
      <c r="P70" s="68">
        <f t="shared" si="23"/>
        <v>0</v>
      </c>
      <c r="Q70" s="66">
        <f t="shared" si="15"/>
        <v>336.09100000000001</v>
      </c>
      <c r="R70" s="89">
        <f t="shared" si="16"/>
        <v>353.78000000000003</v>
      </c>
      <c r="S70" s="67">
        <f t="shared" si="7"/>
        <v>371.46900000000005</v>
      </c>
      <c r="T70" s="66">
        <f t="shared" si="24"/>
        <v>1516.0909999999999</v>
      </c>
      <c r="U70" s="89">
        <f t="shared" si="17"/>
        <v>1828.78</v>
      </c>
      <c r="V70" s="67">
        <f t="shared" si="17"/>
        <v>2141.4690000000001</v>
      </c>
      <c r="W70" s="7">
        <f t="shared" si="18"/>
        <v>0.13766858327621784</v>
      </c>
      <c r="X70" s="66">
        <f t="shared" si="19"/>
        <v>208.71810008782435</v>
      </c>
      <c r="Y70" s="89">
        <f t="shared" si="20"/>
        <v>251.76555172388166</v>
      </c>
      <c r="Z70" s="67">
        <f t="shared" si="21"/>
        <v>294.81300335993893</v>
      </c>
      <c r="AA70" s="14"/>
    </row>
    <row r="71" spans="1:27">
      <c r="A71" s="4">
        <f t="shared" si="22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33"/>
        <v>1475</v>
      </c>
      <c r="H71" s="65">
        <f t="shared" si="6"/>
        <v>1770</v>
      </c>
      <c r="I71" s="66">
        <f t="shared" si="14"/>
        <v>1180</v>
      </c>
      <c r="J71" s="89">
        <f t="shared" si="14"/>
        <v>1475</v>
      </c>
      <c r="K71" s="67">
        <f t="shared" si="14"/>
        <v>1770</v>
      </c>
      <c r="L71" s="68">
        <f t="shared" si="32"/>
        <v>54.93</v>
      </c>
      <c r="M71" s="68">
        <f t="shared" si="26"/>
        <v>67.03</v>
      </c>
      <c r="N71" s="68">
        <f t="shared" si="26"/>
        <v>54.93</v>
      </c>
      <c r="O71" s="68">
        <f t="shared" si="26"/>
        <v>0</v>
      </c>
      <c r="P71" s="68">
        <f t="shared" si="23"/>
        <v>0</v>
      </c>
      <c r="Q71" s="66">
        <f t="shared" si="15"/>
        <v>336.09100000000001</v>
      </c>
      <c r="R71" s="89">
        <f t="shared" si="16"/>
        <v>353.78000000000003</v>
      </c>
      <c r="S71" s="67">
        <f t="shared" si="7"/>
        <v>371.46900000000005</v>
      </c>
      <c r="T71" s="66">
        <f t="shared" si="24"/>
        <v>1516.0909999999999</v>
      </c>
      <c r="U71" s="89">
        <f t="shared" si="17"/>
        <v>1828.78</v>
      </c>
      <c r="V71" s="67">
        <f t="shared" si="17"/>
        <v>2141.4690000000001</v>
      </c>
      <c r="W71" s="7">
        <f t="shared" si="18"/>
        <v>0.13296173775953046</v>
      </c>
      <c r="X71" s="66">
        <f t="shared" si="19"/>
        <v>201.58209396158429</v>
      </c>
      <c r="Y71" s="89">
        <f t="shared" si="20"/>
        <v>243.15776677987412</v>
      </c>
      <c r="Z71" s="67">
        <f t="shared" si="21"/>
        <v>284.73343959816395</v>
      </c>
      <c r="AA71" s="14"/>
    </row>
    <row r="72" spans="1:27">
      <c r="A72" s="4">
        <f t="shared" si="22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33"/>
        <v>1475</v>
      </c>
      <c r="H72" s="65">
        <f t="shared" si="6"/>
        <v>1770</v>
      </c>
      <c r="I72" s="66">
        <f t="shared" si="14"/>
        <v>1180</v>
      </c>
      <c r="J72" s="89">
        <f t="shared" si="14"/>
        <v>1475</v>
      </c>
      <c r="K72" s="67">
        <f t="shared" si="14"/>
        <v>1770</v>
      </c>
      <c r="L72" s="68">
        <f t="shared" si="32"/>
        <v>54.93</v>
      </c>
      <c r="M72" s="68">
        <f t="shared" si="26"/>
        <v>67.03</v>
      </c>
      <c r="N72" s="68">
        <f t="shared" si="26"/>
        <v>54.93</v>
      </c>
      <c r="O72" s="68">
        <f t="shared" si="26"/>
        <v>0</v>
      </c>
      <c r="P72" s="68">
        <f t="shared" si="23"/>
        <v>0</v>
      </c>
      <c r="Q72" s="66">
        <f t="shared" si="15"/>
        <v>336.09100000000001</v>
      </c>
      <c r="R72" s="89">
        <f t="shared" si="16"/>
        <v>353.78000000000003</v>
      </c>
      <c r="S72" s="67">
        <f t="shared" si="7"/>
        <v>371.46900000000005</v>
      </c>
      <c r="T72" s="66">
        <f t="shared" si="24"/>
        <v>1516.0909999999999</v>
      </c>
      <c r="U72" s="89">
        <f t="shared" si="17"/>
        <v>1828.78</v>
      </c>
      <c r="V72" s="67">
        <f t="shared" si="17"/>
        <v>2141.4690000000001</v>
      </c>
      <c r="W72" s="7">
        <f t="shared" si="18"/>
        <v>0.12841581780908873</v>
      </c>
      <c r="X72" s="66">
        <f t="shared" si="19"/>
        <v>194.69006563799911</v>
      </c>
      <c r="Y72" s="89">
        <f t="shared" si="20"/>
        <v>234.84427929290527</v>
      </c>
      <c r="Z72" s="67">
        <f t="shared" si="21"/>
        <v>274.99849294781143</v>
      </c>
      <c r="AA72" s="90"/>
    </row>
    <row r="73" spans="1:27">
      <c r="A73" s="26">
        <f t="shared" si="22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2460</v>
      </c>
      <c r="G73" s="64">
        <f>X8+AC9</f>
        <v>3075</v>
      </c>
      <c r="H73" s="65">
        <f t="shared" si="6"/>
        <v>3690</v>
      </c>
      <c r="I73" s="73">
        <f t="shared" si="14"/>
        <v>2460</v>
      </c>
      <c r="J73" s="91">
        <f t="shared" si="14"/>
        <v>3075</v>
      </c>
      <c r="K73" s="74">
        <f t="shared" si="14"/>
        <v>3690</v>
      </c>
      <c r="L73" s="68">
        <f t="shared" si="32"/>
        <v>54.93</v>
      </c>
      <c r="M73" s="68">
        <f t="shared" si="26"/>
        <v>67.03</v>
      </c>
      <c r="N73" s="68">
        <f t="shared" si="26"/>
        <v>54.93</v>
      </c>
      <c r="O73" s="68">
        <f t="shared" si="26"/>
        <v>0</v>
      </c>
      <c r="P73" s="68">
        <f t="shared" si="23"/>
        <v>0</v>
      </c>
      <c r="Q73" s="66">
        <f t="shared" si="15"/>
        <v>336.09100000000001</v>
      </c>
      <c r="R73" s="89">
        <f t="shared" si="16"/>
        <v>353.78000000000003</v>
      </c>
      <c r="S73" s="67">
        <f t="shared" si="7"/>
        <v>371.46900000000005</v>
      </c>
      <c r="T73" s="66">
        <f t="shared" si="24"/>
        <v>2796.0909999999999</v>
      </c>
      <c r="U73" s="89">
        <f t="shared" si="17"/>
        <v>3428.78</v>
      </c>
      <c r="V73" s="67">
        <f t="shared" si="17"/>
        <v>4061.4690000000001</v>
      </c>
      <c r="W73" s="7">
        <f t="shared" si="18"/>
        <v>0.12402532143045074</v>
      </c>
      <c r="X73" s="73">
        <f t="shared" si="19"/>
        <v>346.78608502379041</v>
      </c>
      <c r="Y73" s="91">
        <f t="shared" si="20"/>
        <v>425.25554161430091</v>
      </c>
      <c r="Z73" s="74">
        <f t="shared" si="21"/>
        <v>503.72499820481136</v>
      </c>
      <c r="AA73" s="15"/>
    </row>
    <row r="74" spans="1:27" ht="13.5" thickBot="1">
      <c r="A74" s="185" t="s">
        <v>58</v>
      </c>
      <c r="B74" s="186"/>
      <c r="C74" s="92">
        <f t="shared" ref="C74:S74" si="34">SUM(C13:C73)</f>
        <v>68103.719849477871</v>
      </c>
      <c r="D74" s="75">
        <f t="shared" si="34"/>
        <v>85129.649811847339</v>
      </c>
      <c r="E74" s="93">
        <f t="shared" si="34"/>
        <v>102155.57977421681</v>
      </c>
      <c r="F74" s="92">
        <f t="shared" si="34"/>
        <v>131614.07159548433</v>
      </c>
      <c r="G74" s="75">
        <f t="shared" si="34"/>
        <v>164517.58949435543</v>
      </c>
      <c r="H74" s="76">
        <f t="shared" si="34"/>
        <v>197421.1073932265</v>
      </c>
      <c r="I74" s="77">
        <f t="shared" si="34"/>
        <v>199717.79144496223</v>
      </c>
      <c r="J74" s="78">
        <f t="shared" si="34"/>
        <v>249647.2393062028</v>
      </c>
      <c r="K74" s="79">
        <f t="shared" si="34"/>
        <v>299576.68716744334</v>
      </c>
      <c r="L74" s="80">
        <f t="shared" si="34"/>
        <v>3320.8699999999967</v>
      </c>
      <c r="M74" s="80">
        <f t="shared" si="34"/>
        <v>4034.7700000000054</v>
      </c>
      <c r="N74" s="80">
        <f t="shared" si="34"/>
        <v>3320.8699999999967</v>
      </c>
      <c r="O74" s="80">
        <f t="shared" si="34"/>
        <v>0</v>
      </c>
      <c r="P74" s="80">
        <f t="shared" si="34"/>
        <v>0</v>
      </c>
      <c r="Q74" s="77">
        <f t="shared" si="34"/>
        <v>20285.369000000013</v>
      </c>
      <c r="R74" s="78">
        <f t="shared" si="34"/>
        <v>21353.019999999997</v>
      </c>
      <c r="S74" s="79">
        <f t="shared" si="34"/>
        <v>22420.671000000038</v>
      </c>
      <c r="T74" s="77">
        <f>SUM(T13:T73)</f>
        <v>220003.16044496201</v>
      </c>
      <c r="U74" s="78">
        <f>SUM(U13:U73)</f>
        <v>271000.25930620282</v>
      </c>
      <c r="V74" s="79">
        <f>SUM(V13:V73)</f>
        <v>321997.35816744331</v>
      </c>
      <c r="W74" s="81"/>
      <c r="X74" s="77">
        <f>SUM(X13:X73)</f>
        <v>104291.63507158401</v>
      </c>
      <c r="Y74" s="78">
        <f t="shared" ref="Y74:Z74" si="35">SUM(Y13:Y73)</f>
        <v>128698.71640617252</v>
      </c>
      <c r="Z74" s="79">
        <f t="shared" si="35"/>
        <v>153105.79774076113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11:B11"/>
    <mergeCell ref="A12:B12"/>
    <mergeCell ref="A74:B74"/>
    <mergeCell ref="C2:K2"/>
    <mergeCell ref="AO6:AU7"/>
    <mergeCell ref="A8:B8"/>
    <mergeCell ref="AC11:AD11"/>
    <mergeCell ref="AG11:AH11"/>
    <mergeCell ref="S1:U1"/>
    <mergeCell ref="W1:Y1"/>
    <mergeCell ref="AA1:AC1"/>
    <mergeCell ref="A6:B6"/>
    <mergeCell ref="A7:B7"/>
    <mergeCell ref="A1:B1"/>
    <mergeCell ref="C1:K1"/>
    <mergeCell ref="A3:B3"/>
    <mergeCell ref="A4:C4"/>
    <mergeCell ref="O1:Q1"/>
  </mergeCells>
  <pageMargins left="0.75" right="0.75" top="1" bottom="1" header="0.5" footer="0.5"/>
  <pageSetup paperSize="9" scale="15" orientation="portrait" r:id="rId1"/>
  <headerFooter alignWithMargins="0">
    <oddFooter>&amp;L&amp;1#&amp;"Arial"&amp;11&amp;K000000SW Internal Personal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topLeftCell="D3" workbookViewId="0">
      <selection activeCell="F32" sqref="F27:F32"/>
    </sheetView>
  </sheetViews>
  <sheetFormatPr defaultRowHeight="12.75"/>
  <cols>
    <col min="1" max="1" width="26.265625" bestFit="1" customWidth="1"/>
    <col min="2" max="2" width="27" bestFit="1" customWidth="1"/>
    <col min="3" max="5" width="13.796875" bestFit="1" customWidth="1"/>
    <col min="7" max="7" width="13.796875" bestFit="1" customWidth="1"/>
    <col min="10" max="10" width="51.19921875" bestFit="1" customWidth="1"/>
    <col min="11" max="11" width="64.19921875" bestFit="1" customWidth="1"/>
    <col min="12" max="12" width="16.53125" bestFit="1" customWidth="1"/>
    <col min="13" max="13" width="20" bestFit="1" customWidth="1"/>
    <col min="14" max="14" width="13.46484375" bestFit="1" customWidth="1"/>
    <col min="16" max="16" width="13.796875" customWidth="1"/>
    <col min="19" max="19" width="15.19921875" customWidth="1"/>
    <col min="21" max="21" width="12.73046875" bestFit="1" customWidth="1"/>
  </cols>
  <sheetData>
    <row r="2" spans="1:16" ht="13.15">
      <c r="A2" s="2" t="s">
        <v>124</v>
      </c>
      <c r="B2" t="s">
        <v>125</v>
      </c>
    </row>
    <row r="3" spans="1:16" ht="14.65" thickBot="1">
      <c r="J3" s="131" t="s">
        <v>141</v>
      </c>
      <c r="K3" s="131" t="s">
        <v>142</v>
      </c>
      <c r="L3" s="131" t="s">
        <v>143</v>
      </c>
      <c r="M3" s="131" t="s">
        <v>144</v>
      </c>
      <c r="N3" s="131" t="s">
        <v>145</v>
      </c>
      <c r="P3" s="83" t="s">
        <v>195</v>
      </c>
    </row>
    <row r="4" spans="1:16" ht="14.25">
      <c r="A4" s="121" t="s">
        <v>126</v>
      </c>
      <c r="B4" t="s">
        <v>127</v>
      </c>
      <c r="C4" s="122">
        <f>'[2]Cost Breakdown'!AB36</f>
        <v>4249817.93</v>
      </c>
      <c r="J4" s="132" t="s">
        <v>146</v>
      </c>
      <c r="K4" s="133" t="s">
        <v>147</v>
      </c>
      <c r="L4" s="134">
        <v>254975</v>
      </c>
      <c r="M4" s="135">
        <v>152985</v>
      </c>
      <c r="N4" t="s">
        <v>148</v>
      </c>
      <c r="P4">
        <v>0</v>
      </c>
    </row>
    <row r="5" spans="1:16">
      <c r="B5" t="s">
        <v>128</v>
      </c>
      <c r="C5" s="122">
        <f>'[2]Cost Breakdown'!AB83</f>
        <v>2921339.1152499998</v>
      </c>
      <c r="J5" s="136" t="s">
        <v>149</v>
      </c>
      <c r="K5" s="137" t="s">
        <v>150</v>
      </c>
      <c r="L5" s="134">
        <v>669651</v>
      </c>
      <c r="M5" s="138">
        <v>15000</v>
      </c>
      <c r="N5" t="s">
        <v>151</v>
      </c>
      <c r="P5">
        <v>0</v>
      </c>
    </row>
    <row r="6" spans="1:16" ht="14.65" thickBot="1">
      <c r="B6" s="123" t="s">
        <v>129</v>
      </c>
      <c r="C6" s="124">
        <f>SUM(C4:C5)</f>
        <v>7171157.0452499995</v>
      </c>
      <c r="E6" s="122">
        <f>C6+C17</f>
        <v>8613366.7136160396</v>
      </c>
      <c r="G6" s="122">
        <f>E6+($E$20*(E6/$E$14))</f>
        <v>13636703.24299402</v>
      </c>
      <c r="J6" s="136" t="s">
        <v>152</v>
      </c>
      <c r="K6" s="137" t="s">
        <v>153</v>
      </c>
      <c r="L6" s="134">
        <v>72138</v>
      </c>
      <c r="M6" s="138">
        <v>24000</v>
      </c>
      <c r="N6" t="s">
        <v>154</v>
      </c>
      <c r="P6">
        <f>Table1[[#This Row],[Potential Saving]]</f>
        <v>24000</v>
      </c>
    </row>
    <row r="7" spans="1:16">
      <c r="J7" s="136" t="s">
        <v>155</v>
      </c>
      <c r="K7" s="137" t="s">
        <v>156</v>
      </c>
      <c r="L7" s="134">
        <v>1200000</v>
      </c>
      <c r="M7" s="138">
        <v>300000</v>
      </c>
      <c r="N7" t="s">
        <v>154</v>
      </c>
      <c r="P7">
        <v>0</v>
      </c>
    </row>
    <row r="8" spans="1:16" ht="14.25">
      <c r="A8" s="121" t="s">
        <v>130</v>
      </c>
      <c r="B8" t="s">
        <v>131</v>
      </c>
      <c r="C8" s="125">
        <f>SUM('[2]Cost Breakdown'!AB87:AB99)</f>
        <v>1173536.95</v>
      </c>
      <c r="E8" s="122">
        <f>C8</f>
        <v>1173536.95</v>
      </c>
      <c r="G8" s="122">
        <f>E8+($E$20*(E8/$E$14))</f>
        <v>1857946.5688533192</v>
      </c>
      <c r="J8" s="136" t="s">
        <v>157</v>
      </c>
      <c r="K8" s="137" t="s">
        <v>158</v>
      </c>
      <c r="L8" s="134">
        <v>38585</v>
      </c>
      <c r="M8" s="138">
        <v>5787</v>
      </c>
      <c r="N8" t="s">
        <v>154</v>
      </c>
      <c r="P8">
        <v>0</v>
      </c>
    </row>
    <row r="9" spans="1:16" ht="14.25">
      <c r="A9" s="121"/>
      <c r="C9" s="122"/>
      <c r="J9" s="136" t="s">
        <v>159</v>
      </c>
      <c r="K9" s="137" t="s">
        <v>160</v>
      </c>
      <c r="L9" s="134">
        <v>47899</v>
      </c>
      <c r="M9" s="138">
        <v>7184</v>
      </c>
      <c r="N9" t="s">
        <v>154</v>
      </c>
      <c r="P9">
        <v>0</v>
      </c>
    </row>
    <row r="10" spans="1:16" ht="14.25">
      <c r="A10" s="121" t="s">
        <v>132</v>
      </c>
      <c r="B10" t="s">
        <v>131</v>
      </c>
      <c r="C10" s="122">
        <f>SUM('[2]Cost Breakdown'!AB100:AB145)-'[2]Cost Breakdown'!AB126</f>
        <v>8185354.0915143099</v>
      </c>
      <c r="D10" s="113">
        <f>C10/C12</f>
        <v>0.57000489196598791</v>
      </c>
      <c r="J10" s="136" t="s">
        <v>161</v>
      </c>
      <c r="K10" s="137" t="s">
        <v>162</v>
      </c>
      <c r="L10" s="134">
        <v>368421</v>
      </c>
      <c r="M10" s="138">
        <v>147000</v>
      </c>
      <c r="N10" t="s">
        <v>154</v>
      </c>
      <c r="P10">
        <v>0</v>
      </c>
    </row>
    <row r="11" spans="1:16">
      <c r="B11" t="s">
        <v>133</v>
      </c>
      <c r="C11" s="122">
        <f>'[2]Cost Breakdown'!AB126</f>
        <v>6174793</v>
      </c>
      <c r="D11" s="113">
        <f>C11/C12</f>
        <v>0.42999510803401209</v>
      </c>
      <c r="J11" s="136" t="s">
        <v>163</v>
      </c>
      <c r="K11" s="139" t="s">
        <v>164</v>
      </c>
      <c r="L11" s="134">
        <v>634000</v>
      </c>
      <c r="M11" s="138">
        <v>126800</v>
      </c>
      <c r="N11" t="s">
        <v>154</v>
      </c>
      <c r="P11">
        <v>0</v>
      </c>
    </row>
    <row r="12" spans="1:16" ht="14.65" thickBot="1">
      <c r="B12" s="123" t="s">
        <v>129</v>
      </c>
      <c r="C12" s="124">
        <f>SUM(C10:C11)</f>
        <v>14360147.09151431</v>
      </c>
      <c r="D12" s="113"/>
      <c r="E12" s="122">
        <f>C12</f>
        <v>14360147.09151431</v>
      </c>
      <c r="G12" s="122">
        <f>E12+($E$20*(E12/$E$14))</f>
        <v>22735019.989705466</v>
      </c>
      <c r="J12" s="136" t="s">
        <v>165</v>
      </c>
      <c r="K12" s="137" t="s">
        <v>166</v>
      </c>
      <c r="L12" s="134">
        <v>34599</v>
      </c>
      <c r="M12" s="138">
        <v>5500</v>
      </c>
      <c r="N12" t="s">
        <v>154</v>
      </c>
      <c r="P12">
        <v>0</v>
      </c>
    </row>
    <row r="13" spans="1:16" ht="14.65" thickBot="1">
      <c r="B13" s="126"/>
      <c r="C13" s="127"/>
      <c r="J13" s="136" t="s">
        <v>167</v>
      </c>
      <c r="K13" s="139" t="s">
        <v>168</v>
      </c>
      <c r="L13" s="134">
        <v>330935</v>
      </c>
      <c r="M13" s="138">
        <v>132374</v>
      </c>
      <c r="N13" t="s">
        <v>154</v>
      </c>
      <c r="P13">
        <f>Table1[[#This Row],[Potential Saving]]</f>
        <v>132374</v>
      </c>
    </row>
    <row r="14" spans="1:16" ht="14.65" thickBot="1">
      <c r="A14" s="128" t="s">
        <v>134</v>
      </c>
      <c r="B14" s="129"/>
      <c r="C14" s="130">
        <f>C6+C8+C12</f>
        <v>22704841.08676431</v>
      </c>
      <c r="E14" s="122">
        <f>SUM(E6:E12)</f>
        <v>24147050.755130351</v>
      </c>
      <c r="G14" s="122">
        <f>SUM(G6:G12)</f>
        <v>38229669.801552802</v>
      </c>
      <c r="J14" s="136" t="s">
        <v>169</v>
      </c>
      <c r="K14" s="139" t="s">
        <v>170</v>
      </c>
      <c r="L14" s="134">
        <v>71306</v>
      </c>
      <c r="M14" s="138">
        <v>17826</v>
      </c>
      <c r="N14" t="s">
        <v>154</v>
      </c>
      <c r="P14">
        <f>Table1[[#This Row],[Potential Saving]]</f>
        <v>17826</v>
      </c>
    </row>
    <row r="15" spans="1:16">
      <c r="J15" s="136" t="s">
        <v>171</v>
      </c>
      <c r="K15" s="139" t="s">
        <v>172</v>
      </c>
      <c r="L15" s="134">
        <v>434492</v>
      </c>
      <c r="M15" s="138">
        <v>86898</v>
      </c>
      <c r="N15" t="s">
        <v>154</v>
      </c>
      <c r="P15">
        <v>0</v>
      </c>
    </row>
    <row r="16" spans="1:16">
      <c r="A16" t="s">
        <v>135</v>
      </c>
      <c r="C16" s="122">
        <f>SUM('[2]Cost Breakdown'!AB149:AB162)-'[2]Cost Breakdown'!AB157</f>
        <v>6559395.0951540321</v>
      </c>
      <c r="J16" s="136" t="s">
        <v>173</v>
      </c>
      <c r="K16" s="140" t="s">
        <v>174</v>
      </c>
      <c r="L16" s="134">
        <v>481363</v>
      </c>
      <c r="M16" s="138">
        <v>481363</v>
      </c>
      <c r="N16" t="s">
        <v>154</v>
      </c>
      <c r="P16">
        <f>Table1[[#This Row],[Potential Saving]]</f>
        <v>481363</v>
      </c>
    </row>
    <row r="17" spans="1:21">
      <c r="A17" t="s">
        <v>136</v>
      </c>
      <c r="C17" s="122">
        <f>SUM('[2]Cost Breakdown'!AB166:AB175)</f>
        <v>1442209.6683660403</v>
      </c>
      <c r="J17" s="136" t="s">
        <v>175</v>
      </c>
      <c r="K17" s="137" t="s">
        <v>176</v>
      </c>
      <c r="L17" s="134">
        <v>528902</v>
      </c>
      <c r="M17" s="138">
        <v>343216</v>
      </c>
      <c r="N17" t="s">
        <v>151</v>
      </c>
      <c r="P17">
        <v>0</v>
      </c>
    </row>
    <row r="18" spans="1:21" ht="14.65" thickBot="1">
      <c r="J18" s="136" t="s">
        <v>177</v>
      </c>
      <c r="K18" s="137" t="s">
        <v>178</v>
      </c>
      <c r="L18" s="141">
        <v>430580</v>
      </c>
      <c r="M18" s="142">
        <v>0</v>
      </c>
      <c r="N18" t="s">
        <v>151</v>
      </c>
      <c r="P18">
        <v>0</v>
      </c>
    </row>
    <row r="19" spans="1:21" ht="14.65" thickBot="1">
      <c r="A19" s="128" t="s">
        <v>137</v>
      </c>
      <c r="B19" s="129"/>
      <c r="C19" s="130">
        <f>SUM(C14:C18)</f>
        <v>30706445.850284383</v>
      </c>
      <c r="J19" s="136" t="s">
        <v>179</v>
      </c>
      <c r="K19" s="137" t="s">
        <v>180</v>
      </c>
      <c r="L19" s="141">
        <v>300000</v>
      </c>
      <c r="M19" s="142">
        <v>60000</v>
      </c>
      <c r="N19" t="s">
        <v>151</v>
      </c>
      <c r="P19">
        <v>0</v>
      </c>
    </row>
    <row r="20" spans="1:21">
      <c r="E20" s="122">
        <f>C16+C21+C22</f>
        <v>14082619.046422455</v>
      </c>
      <c r="J20" s="136" t="s">
        <v>181</v>
      </c>
      <c r="K20" s="137" t="s">
        <v>182</v>
      </c>
      <c r="L20" s="134">
        <v>302400</v>
      </c>
      <c r="M20" s="138">
        <v>60494</v>
      </c>
      <c r="N20" t="s">
        <v>151</v>
      </c>
      <c r="P20">
        <v>0</v>
      </c>
      <c r="R20" s="162" t="s">
        <v>199</v>
      </c>
      <c r="S20" s="12" t="s">
        <v>200</v>
      </c>
    </row>
    <row r="21" spans="1:21">
      <c r="A21" t="s">
        <v>138</v>
      </c>
      <c r="C21" s="122">
        <f>SUM('[2]Cost Breakdown'!AB187)</f>
        <v>1277000</v>
      </c>
      <c r="J21" s="136" t="s">
        <v>183</v>
      </c>
      <c r="K21" s="137" t="s">
        <v>184</v>
      </c>
      <c r="L21" s="134">
        <v>27400</v>
      </c>
      <c r="M21" s="138">
        <v>10000</v>
      </c>
      <c r="N21" t="s">
        <v>151</v>
      </c>
      <c r="P21">
        <v>0</v>
      </c>
      <c r="R21" s="161" t="s">
        <v>148</v>
      </c>
      <c r="S21" s="12">
        <v>152985</v>
      </c>
      <c r="U21" s="122">
        <f>GETPIVOTDATA("Potential Saving",$R$20,"Column1","intake?")/GETPIVOTDATA("Potential Saving",$R$20)*(M32+M36)+GETPIVOTDATA("Potential Saving",$R$20,"Column1","intake?")</f>
        <v>211525.62815999999</v>
      </c>
    </row>
    <row r="22" spans="1:21">
      <c r="A22" t="s">
        <v>139</v>
      </c>
      <c r="C22" s="122">
        <f>SUM('[2]Cost Breakdown'!AB188:AB200)</f>
        <v>6246223.9512684233</v>
      </c>
      <c r="J22" s="136" t="s">
        <v>185</v>
      </c>
      <c r="K22" s="139" t="s">
        <v>186</v>
      </c>
      <c r="L22" s="134">
        <v>231000</v>
      </c>
      <c r="M22" s="138">
        <v>69300</v>
      </c>
      <c r="N22" t="s">
        <v>151</v>
      </c>
      <c r="P22">
        <v>0</v>
      </c>
      <c r="R22" s="161" t="s">
        <v>151</v>
      </c>
      <c r="S22" s="12">
        <v>558010</v>
      </c>
      <c r="U22" s="122">
        <f>GETPIVOTDATA("Potential Saving",$R$20,"Column1","pipe")/GETPIVOTDATA("Potential Saving",$R$20)*(M32+M36)+GETPIVOTDATA("Potential Saving",$R$20,"Column1","pipe")</f>
        <v>771535.87456000003</v>
      </c>
    </row>
    <row r="23" spans="1:21" ht="14.65" thickBot="1">
      <c r="J23" s="136" t="s">
        <v>173</v>
      </c>
      <c r="K23" s="143" t="s">
        <v>187</v>
      </c>
      <c r="L23" s="144">
        <v>2289950</v>
      </c>
      <c r="M23" s="145">
        <v>1500000</v>
      </c>
      <c r="N23" t="s">
        <v>154</v>
      </c>
      <c r="P23">
        <f>Table1[[#This Row],[Potential Saving]]</f>
        <v>1500000</v>
      </c>
      <c r="R23" s="161" t="s">
        <v>154</v>
      </c>
      <c r="S23" s="12">
        <v>2834732</v>
      </c>
      <c r="U23" s="122">
        <f>GETPIVOTDATA("Potential Saving",$R$20,"Column1","pump")/GETPIVOTDATA("Potential Saving",$R$20)*(M32+M36)+GETPIVOTDATA("Potential Saving",$R$20,"Column1","pump")</f>
        <v>3919459.2081920002</v>
      </c>
    </row>
    <row r="24" spans="1:21" ht="14.65" thickBot="1">
      <c r="A24" s="128" t="s">
        <v>140</v>
      </c>
      <c r="B24" s="129"/>
      <c r="C24" s="130">
        <f>SUM(C19:C23)</f>
        <v>38229669.801552802</v>
      </c>
      <c r="J24" s="143" t="s">
        <v>188</v>
      </c>
      <c r="K24" s="139" t="s">
        <v>189</v>
      </c>
      <c r="L24" s="146"/>
      <c r="M24" s="147">
        <v>200000</v>
      </c>
      <c r="P24">
        <v>0</v>
      </c>
      <c r="R24" s="161" t="s">
        <v>201</v>
      </c>
      <c r="S24" s="12">
        <v>-100000</v>
      </c>
      <c r="U24" s="122">
        <f>GETPIVOTDATA("Potential Saving",$R$20,"Column1",)/GETPIVOTDATA("Potential Saving",$R$20)*(M32+M36)+GETPIVOTDATA("Potential Saving",$R$20,"Column1",)</f>
        <v>-138265.60000000001</v>
      </c>
    </row>
    <row r="25" spans="1:21">
      <c r="J25" s="143" t="s">
        <v>190</v>
      </c>
      <c r="K25" s="139" t="s">
        <v>191</v>
      </c>
      <c r="L25" s="146"/>
      <c r="M25" s="147">
        <v>-300000</v>
      </c>
      <c r="P25">
        <v>0</v>
      </c>
      <c r="R25" s="161" t="s">
        <v>202</v>
      </c>
      <c r="S25" s="12">
        <v>3445727</v>
      </c>
      <c r="U25" s="122">
        <f>SUM(U21:U24)</f>
        <v>4764255.1109120008</v>
      </c>
    </row>
    <row r="26" spans="1:21">
      <c r="J26" s="136"/>
      <c r="K26" s="137"/>
      <c r="L26" s="146"/>
      <c r="M26" s="136"/>
    </row>
    <row r="27" spans="1:21">
      <c r="D27" t="s">
        <v>206</v>
      </c>
      <c r="E27" t="s">
        <v>207</v>
      </c>
      <c r="F27" t="s">
        <v>208</v>
      </c>
      <c r="J27" s="136"/>
      <c r="K27" s="137"/>
      <c r="L27" s="146"/>
      <c r="M27" s="136"/>
    </row>
    <row r="28" spans="1:21">
      <c r="B28" t="str">
        <f>A8</f>
        <v>Intake</v>
      </c>
      <c r="C28" s="165">
        <f>C8/1000000</f>
        <v>1.1735369499999999</v>
      </c>
      <c r="D28" s="165">
        <f>G8/1000000</f>
        <v>1.8579465688533192</v>
      </c>
      <c r="E28" s="122">
        <f>D28-U21/1000000</f>
        <v>1.6464209406933192</v>
      </c>
      <c r="F28" s="165">
        <f>D28</f>
        <v>1.8579465688533192</v>
      </c>
      <c r="J28" s="148"/>
      <c r="K28" s="149"/>
      <c r="L28" s="150"/>
      <c r="M28" s="148"/>
    </row>
    <row r="29" spans="1:21">
      <c r="B29" t="str">
        <f>A10</f>
        <v>Dores RWP</v>
      </c>
      <c r="C29" s="165">
        <f>C12/1000000</f>
        <v>14.36014709151431</v>
      </c>
      <c r="D29" s="165">
        <f>G12/1000000</f>
        <v>22.735019989705467</v>
      </c>
      <c r="E29" s="122">
        <f>D29-U23/1000000</f>
        <v>18.815560781513469</v>
      </c>
      <c r="F29" s="122">
        <f>D29-P38/1000000</f>
        <v>19.622174798793466</v>
      </c>
      <c r="M29" s="151"/>
    </row>
    <row r="30" spans="1:21">
      <c r="B30" t="str">
        <f>A4</f>
        <v>Pipelines</v>
      </c>
      <c r="C30" s="165">
        <f>C6/1000000</f>
        <v>7.1711570452499993</v>
      </c>
      <c r="D30" s="165">
        <f>G6/1000000</f>
        <v>13.63670324299402</v>
      </c>
      <c r="E30" s="122">
        <f>D30-U22/1000000</f>
        <v>12.865167368434021</v>
      </c>
      <c r="F30" s="165">
        <f>D30</f>
        <v>13.63670324299402</v>
      </c>
      <c r="L30" s="152">
        <f>SUM(L4:L29)</f>
        <v>8748596</v>
      </c>
      <c r="M30" s="152">
        <f>SUM(M4:M29)</f>
        <v>3445727</v>
      </c>
      <c r="P30" s="152">
        <f>SUM(P4:P29)</f>
        <v>2155563</v>
      </c>
    </row>
    <row r="31" spans="1:21">
      <c r="B31" t="s">
        <v>205</v>
      </c>
      <c r="C31" s="165">
        <f>(C22+C21+C17+C16)/1000000</f>
        <v>15.524828714788496</v>
      </c>
      <c r="D31" s="165"/>
    </row>
    <row r="32" spans="1:21">
      <c r="B32" t="s">
        <v>129</v>
      </c>
      <c r="C32" s="165">
        <f>SUM(C28:C31)</f>
        <v>38.229669801552802</v>
      </c>
      <c r="D32" s="165">
        <f>SUM(D28:D31)</f>
        <v>38.229669801552802</v>
      </c>
      <c r="E32" s="165">
        <f>SUM(E28:E31)</f>
        <v>33.327149090640809</v>
      </c>
      <c r="F32" s="165">
        <f>SUM(F28:F31)</f>
        <v>35.116824610640805</v>
      </c>
      <c r="K32" t="s">
        <v>192</v>
      </c>
      <c r="L32" s="153">
        <v>0.28000000000000003</v>
      </c>
      <c r="M32" s="154">
        <f>M30*L32</f>
        <v>964803.56</v>
      </c>
      <c r="P32" s="122">
        <f>L32*P30</f>
        <v>603557.64</v>
      </c>
    </row>
    <row r="33" spans="11:16">
      <c r="L33" s="154"/>
      <c r="M33" s="155"/>
    </row>
    <row r="34" spans="11:16">
      <c r="L34" s="154"/>
      <c r="M34" s="154">
        <f>M30+M32</f>
        <v>4410530.5600000005</v>
      </c>
      <c r="P34" s="122">
        <f>+P30+P32</f>
        <v>2759120.64</v>
      </c>
    </row>
    <row r="35" spans="11:16">
      <c r="L35" s="154"/>
      <c r="M35" s="154"/>
    </row>
    <row r="36" spans="11:16">
      <c r="K36" t="s">
        <v>193</v>
      </c>
      <c r="L36" s="153">
        <v>8.0199999999999994E-2</v>
      </c>
      <c r="M36" s="154">
        <f>M34*L36</f>
        <v>353724.55091200001</v>
      </c>
      <c r="P36" s="122">
        <f>L36*M34</f>
        <v>353724.55091200001</v>
      </c>
    </row>
    <row r="37" spans="11:16">
      <c r="L37" s="154"/>
      <c r="M37" s="154"/>
    </row>
    <row r="38" spans="11:16" ht="14.65" thickBot="1">
      <c r="K38" s="121" t="s">
        <v>194</v>
      </c>
      <c r="L38" s="154"/>
      <c r="M38" s="156">
        <f>M34+M36</f>
        <v>4764255.1109120008</v>
      </c>
      <c r="P38" s="156">
        <f>P34+P36</f>
        <v>3112845.1909119999</v>
      </c>
    </row>
    <row r="39" spans="11:16" ht="13.15" thickTop="1"/>
  </sheetData>
  <pageMargins left="0.7" right="0.7" top="0.75" bottom="0.75" header="0.3" footer="0.3"/>
  <pageSetup paperSize="9" orientation="portrait" r:id="rId2"/>
  <headerFooter>
    <oddFooter>&amp;L&amp;1#&amp;"Arial"&amp;11&amp;K000000SW Internal Personal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82"/>
  <sheetViews>
    <sheetView zoomScale="140" zoomScaleNormal="80" workbookViewId="0">
      <pane xSplit="2" ySplit="12" topLeftCell="L13" activePane="bottomRight" state="frozen"/>
      <selection pane="topRight" activeCell="C1" sqref="C1"/>
      <selection pane="bottomLeft" activeCell="A7" sqref="A7"/>
      <selection pane="bottomRight" activeCell="P8" sqref="P8"/>
    </sheetView>
  </sheetViews>
  <sheetFormatPr defaultRowHeight="12.75"/>
  <cols>
    <col min="1" max="1" width="11.531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8.796875" customWidth="1"/>
    <col min="14" max="15" width="10.53125" customWidth="1"/>
    <col min="16" max="16" width="12.46484375" customWidth="1"/>
    <col min="17" max="17" width="11.46484375" customWidth="1"/>
    <col min="18" max="18" width="10.265625" customWidth="1"/>
    <col min="19" max="19" width="13.1992187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</cols>
  <sheetData>
    <row r="1" spans="1:29" ht="17.25" customHeight="1">
      <c r="A1" s="194" t="s">
        <v>3</v>
      </c>
      <c r="B1" s="195"/>
      <c r="C1" s="187" t="s">
        <v>97</v>
      </c>
      <c r="D1" s="188"/>
      <c r="E1" s="188"/>
      <c r="F1" s="188"/>
      <c r="G1" s="188"/>
      <c r="H1" s="188"/>
      <c r="I1" s="188"/>
      <c r="J1" s="188"/>
      <c r="K1" s="189"/>
      <c r="O1" s="83"/>
      <c r="Q1" s="179" t="s">
        <v>98</v>
      </c>
      <c r="R1" s="180"/>
      <c r="S1" s="180"/>
    </row>
    <row r="2" spans="1:29" ht="30" customHeight="1">
      <c r="A2" s="47" t="s">
        <v>15</v>
      </c>
      <c r="B2" s="48"/>
      <c r="C2" s="190" t="s">
        <v>110</v>
      </c>
      <c r="D2" s="188"/>
      <c r="E2" s="188"/>
      <c r="F2" s="188"/>
      <c r="G2" s="188"/>
      <c r="H2" s="188"/>
      <c r="I2" s="188"/>
      <c r="J2" s="188"/>
      <c r="K2" s="189"/>
      <c r="O2" s="8" t="s">
        <v>10</v>
      </c>
      <c r="P2" s="8" t="s">
        <v>13</v>
      </c>
      <c r="Q2" s="8" t="s">
        <v>75</v>
      </c>
      <c r="R2" s="8" t="s">
        <v>12</v>
      </c>
      <c r="S2" s="8" t="s">
        <v>74</v>
      </c>
    </row>
    <row r="3" spans="1:29" ht="13.15">
      <c r="A3" s="191" t="s">
        <v>17</v>
      </c>
      <c r="B3" s="193"/>
      <c r="C3" s="17">
        <v>3.5400000000000001E-2</v>
      </c>
      <c r="D3" s="49" t="s">
        <v>18</v>
      </c>
      <c r="E3" s="25" t="s">
        <v>19</v>
      </c>
      <c r="F3" s="25" t="s">
        <v>20</v>
      </c>
      <c r="O3" s="8" t="s">
        <v>16</v>
      </c>
      <c r="P3" s="100">
        <v>60</v>
      </c>
      <c r="Q3" s="105">
        <v>0.6</v>
      </c>
      <c r="R3" s="97">
        <f t="shared" ref="R3:R8" si="0">Q3*$R$9</f>
        <v>30000</v>
      </c>
      <c r="S3" s="97">
        <f>(R3/P3)*25%</f>
        <v>125</v>
      </c>
      <c r="T3" s="110" t="s">
        <v>76</v>
      </c>
    </row>
    <row r="4" spans="1:29" ht="13.5" thickBot="1">
      <c r="A4" s="191" t="s">
        <v>22</v>
      </c>
      <c r="B4" s="192"/>
      <c r="C4" s="193"/>
      <c r="D4" s="24">
        <f>X74</f>
        <v>32628.101426236386</v>
      </c>
      <c r="E4" s="44">
        <f>Y74</f>
        <v>40085.183306139843</v>
      </c>
      <c r="F4" s="45">
        <f>Z74</f>
        <v>47542.265186043296</v>
      </c>
      <c r="O4" s="8" t="s">
        <v>21</v>
      </c>
      <c r="P4" s="100">
        <v>25</v>
      </c>
      <c r="Q4" s="105">
        <v>0.15</v>
      </c>
      <c r="R4" s="97">
        <f t="shared" si="0"/>
        <v>7500</v>
      </c>
      <c r="S4" s="97">
        <f t="shared" ref="S4:S8" si="1">R4/P4</f>
        <v>300</v>
      </c>
    </row>
    <row r="5" spans="1:29" ht="13.15">
      <c r="O5" s="8" t="s">
        <v>23</v>
      </c>
      <c r="P5" s="100">
        <v>25</v>
      </c>
      <c r="Q5" s="105">
        <v>0.15</v>
      </c>
      <c r="R5" s="97">
        <f t="shared" si="0"/>
        <v>7500</v>
      </c>
      <c r="S5" s="97">
        <f t="shared" si="1"/>
        <v>300</v>
      </c>
    </row>
    <row r="6" spans="1:29" ht="12.75" customHeight="1">
      <c r="A6" s="181" t="s">
        <v>92</v>
      </c>
      <c r="B6" s="182"/>
      <c r="I6" s="30">
        <f>SUM(I13:I17)</f>
        <v>4580</v>
      </c>
      <c r="J6" s="84">
        <f t="shared" ref="J6:K6" si="2">SUM(J13:J17)</f>
        <v>5725</v>
      </c>
      <c r="K6" s="31">
        <f t="shared" si="2"/>
        <v>6870</v>
      </c>
      <c r="O6" s="8" t="s">
        <v>24</v>
      </c>
      <c r="P6" s="100">
        <v>10</v>
      </c>
      <c r="Q6" s="105">
        <v>0.05</v>
      </c>
      <c r="R6" s="97">
        <f t="shared" si="0"/>
        <v>2500</v>
      </c>
      <c r="S6" s="97">
        <f t="shared" si="1"/>
        <v>250</v>
      </c>
    </row>
    <row r="7" spans="1:29" ht="13.15">
      <c r="A7" s="181" t="s">
        <v>93</v>
      </c>
      <c r="B7" s="182"/>
      <c r="C7" s="59">
        <f>SUM(C13:C73)</f>
        <v>0</v>
      </c>
      <c r="D7" s="60">
        <f t="shared" ref="D7:E7" si="3">SUM(D13:D73)</f>
        <v>0</v>
      </c>
      <c r="E7" s="61">
        <f t="shared" si="3"/>
        <v>0</v>
      </c>
      <c r="O7" s="8" t="s">
        <v>25</v>
      </c>
      <c r="P7" s="101">
        <v>10000</v>
      </c>
      <c r="Q7" s="105">
        <v>0</v>
      </c>
      <c r="R7" s="97">
        <f t="shared" si="0"/>
        <v>0</v>
      </c>
      <c r="S7" s="97">
        <f t="shared" si="1"/>
        <v>0</v>
      </c>
    </row>
    <row r="8" spans="1:29" ht="30.75" customHeight="1">
      <c r="A8" s="181" t="s">
        <v>94</v>
      </c>
      <c r="B8" s="182"/>
      <c r="F8" s="59">
        <f>SUM(F13:F73)</f>
        <v>70660</v>
      </c>
      <c r="G8" s="59">
        <f t="shared" ref="G8:H8" si="4">SUM(G13:G73)</f>
        <v>88325</v>
      </c>
      <c r="H8" s="59">
        <f t="shared" si="4"/>
        <v>105990</v>
      </c>
      <c r="O8" s="8" t="s">
        <v>26</v>
      </c>
      <c r="P8" s="101">
        <v>5</v>
      </c>
      <c r="Q8" s="105">
        <v>0.05</v>
      </c>
      <c r="R8" s="97">
        <f t="shared" si="0"/>
        <v>2500</v>
      </c>
      <c r="S8" s="97">
        <f t="shared" si="1"/>
        <v>500</v>
      </c>
    </row>
    <row r="9" spans="1:29" ht="26.25">
      <c r="B9" s="1"/>
      <c r="F9" s="51">
        <f>F8/R9</f>
        <v>1.4132</v>
      </c>
      <c r="G9" s="51">
        <f>G8/R9</f>
        <v>1.7665</v>
      </c>
      <c r="H9" s="51">
        <f>H8/R9</f>
        <v>2.1198000000000001</v>
      </c>
      <c r="I9" s="83" t="s">
        <v>68</v>
      </c>
      <c r="J9" s="1"/>
      <c r="K9" s="1"/>
      <c r="L9" s="1"/>
      <c r="M9" s="1"/>
      <c r="N9" s="1"/>
      <c r="O9" s="8" t="s">
        <v>27</v>
      </c>
      <c r="P9" s="102"/>
      <c r="Q9" s="106">
        <f>SUM(Q3:Q8)</f>
        <v>1</v>
      </c>
      <c r="R9" s="98">
        <v>50000</v>
      </c>
      <c r="S9" s="98">
        <f>SUM(S3:S8)</f>
        <v>1475</v>
      </c>
      <c r="U9" t="s">
        <v>100</v>
      </c>
      <c r="Z9" s="1"/>
    </row>
    <row r="10" spans="1:29">
      <c r="B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t="s">
        <v>99</v>
      </c>
      <c r="V10" s="9"/>
      <c r="Y10" s="1"/>
      <c r="Z10" s="1"/>
    </row>
    <row r="11" spans="1:29" ht="13.15">
      <c r="A11" s="196" t="s">
        <v>29</v>
      </c>
      <c r="B11" s="196"/>
      <c r="C11" s="35">
        <v>-0.3</v>
      </c>
      <c r="D11" s="35">
        <v>0</v>
      </c>
      <c r="E11" s="35">
        <v>0.3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9"/>
    </row>
    <row r="12" spans="1:29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12"/>
    </row>
    <row r="13" spans="1:29">
      <c r="A13" s="3">
        <v>2019</v>
      </c>
      <c r="B13" s="3">
        <v>0</v>
      </c>
      <c r="C13" s="28">
        <f>D13*(1+$C$11)</f>
        <v>0</v>
      </c>
      <c r="D13" s="27"/>
      <c r="E13" s="29">
        <f>D13*(1+$E$11)</f>
        <v>0</v>
      </c>
      <c r="F13" s="28">
        <f>G13*(1+$F$11)</f>
        <v>520</v>
      </c>
      <c r="G13" s="27">
        <f>1300/2</f>
        <v>650</v>
      </c>
      <c r="H13" s="29">
        <f t="shared" ref="H13:H44" si="5">G13*(1+$H$11)</f>
        <v>780</v>
      </c>
      <c r="I13" s="30">
        <f>F13+C13</f>
        <v>520</v>
      </c>
      <c r="J13" s="84">
        <f>G13+D13</f>
        <v>650</v>
      </c>
      <c r="K13" s="31">
        <f>H13+E13</f>
        <v>780</v>
      </c>
      <c r="L13" s="11">
        <v>40</v>
      </c>
      <c r="M13" s="11">
        <v>40</v>
      </c>
      <c r="N13" s="11">
        <v>40</v>
      </c>
      <c r="O13" s="11">
        <v>25</v>
      </c>
      <c r="P13" s="11">
        <v>0</v>
      </c>
      <c r="Q13" s="30">
        <f>R13*(1+$Q$11)</f>
        <v>137.75</v>
      </c>
      <c r="R13" s="84">
        <f>SUM(L13:P13)</f>
        <v>145</v>
      </c>
      <c r="S13" s="31">
        <f t="shared" ref="S13:S44" si="6">R13*(1+$S$11)</f>
        <v>152.25</v>
      </c>
      <c r="T13" s="30">
        <f>Q13+I13</f>
        <v>657.75</v>
      </c>
      <c r="U13" s="84">
        <f>R13+J13</f>
        <v>795</v>
      </c>
      <c r="V13" s="31">
        <f>S13+K13</f>
        <v>932.25</v>
      </c>
      <c r="W13" s="5">
        <v>1</v>
      </c>
      <c r="X13" s="43">
        <f>W13*T13</f>
        <v>657.75</v>
      </c>
      <c r="Y13" s="84">
        <f>W13*U13</f>
        <v>795</v>
      </c>
      <c r="Z13" s="31">
        <f>W13*V13</f>
        <v>932.25</v>
      </c>
      <c r="AA13" s="13" t="s">
        <v>55</v>
      </c>
      <c r="AC13" s="12"/>
    </row>
    <row r="14" spans="1:29">
      <c r="A14" s="4">
        <f>A13+1</f>
        <v>2020</v>
      </c>
      <c r="B14" s="4">
        <f t="shared" ref="B14:B73" si="7">(B13+1)</f>
        <v>1</v>
      </c>
      <c r="C14" s="28">
        <f t="shared" ref="C14:C73" si="8">D14*(1+$C$11)</f>
        <v>0</v>
      </c>
      <c r="D14" s="27"/>
      <c r="E14" s="29">
        <f t="shared" ref="E14:E73" si="9">D14*(1+$E$11)</f>
        <v>0</v>
      </c>
      <c r="F14" s="28">
        <f t="shared" ref="F14:F73" si="10">G14*(1+$F$11)</f>
        <v>520</v>
      </c>
      <c r="G14" s="27">
        <f>G13</f>
        <v>650</v>
      </c>
      <c r="H14" s="29">
        <f t="shared" si="5"/>
        <v>780</v>
      </c>
      <c r="I14" s="30">
        <f t="shared" ref="I14:K73" si="11">F14+C14</f>
        <v>520</v>
      </c>
      <c r="J14" s="84">
        <f t="shared" si="11"/>
        <v>650</v>
      </c>
      <c r="K14" s="31">
        <f t="shared" si="11"/>
        <v>780</v>
      </c>
      <c r="L14" s="11">
        <f>L13</f>
        <v>40</v>
      </c>
      <c r="M14" s="11">
        <f>M13</f>
        <v>40</v>
      </c>
      <c r="N14" s="11">
        <f>N13</f>
        <v>40</v>
      </c>
      <c r="O14" s="11">
        <f>O13</f>
        <v>25</v>
      </c>
      <c r="P14" s="11">
        <f>P13</f>
        <v>0</v>
      </c>
      <c r="Q14" s="30">
        <f t="shared" ref="Q14:Q73" si="12">R14*(1+$Q$11)</f>
        <v>137.75</v>
      </c>
      <c r="R14" s="10">
        <f t="shared" ref="R14:R44" si="13">SUM(L14:P14)</f>
        <v>145</v>
      </c>
      <c r="S14" s="31">
        <f t="shared" si="6"/>
        <v>152.25</v>
      </c>
      <c r="T14" s="30">
        <f>Q14+I14</f>
        <v>657.75</v>
      </c>
      <c r="U14" s="84">
        <f t="shared" ref="U14:V73" si="14">R14+J14</f>
        <v>795</v>
      </c>
      <c r="V14" s="31">
        <f t="shared" si="14"/>
        <v>932.25</v>
      </c>
      <c r="W14" s="6">
        <f t="shared" ref="W14:W45" si="15">(1/(1+$C$3))^B14</f>
        <v>0.96581031485416258</v>
      </c>
      <c r="X14" s="30">
        <f t="shared" ref="X14:X73" si="16">W14*T14</f>
        <v>635.26173459532538</v>
      </c>
      <c r="Y14" s="84">
        <f t="shared" ref="Y14:Y73" si="17">W14*U14</f>
        <v>767.81920030905928</v>
      </c>
      <c r="Z14" s="31">
        <f t="shared" ref="Z14:Z73" si="18">W14*V14</f>
        <v>900.37666602279307</v>
      </c>
      <c r="AA14" s="13" t="s">
        <v>69</v>
      </c>
    </row>
    <row r="15" spans="1:29">
      <c r="A15" s="4">
        <f t="shared" ref="A15:A73" si="19">A14+1</f>
        <v>2021</v>
      </c>
      <c r="B15" s="4">
        <f t="shared" si="7"/>
        <v>2</v>
      </c>
      <c r="C15" s="28">
        <f t="shared" si="8"/>
        <v>0</v>
      </c>
      <c r="D15" s="27"/>
      <c r="E15" s="29">
        <f t="shared" si="9"/>
        <v>0</v>
      </c>
      <c r="F15" s="28">
        <f t="shared" si="10"/>
        <v>1180</v>
      </c>
      <c r="G15" s="27">
        <f>S9</f>
        <v>1475</v>
      </c>
      <c r="H15" s="29">
        <f t="shared" si="5"/>
        <v>1770</v>
      </c>
      <c r="I15" s="30">
        <f t="shared" si="11"/>
        <v>1180</v>
      </c>
      <c r="J15" s="84">
        <f t="shared" si="11"/>
        <v>1475</v>
      </c>
      <c r="K15" s="31">
        <f t="shared" si="11"/>
        <v>1770</v>
      </c>
      <c r="L15" s="11">
        <f t="shared" ref="L15:L73" si="20">L14</f>
        <v>40</v>
      </c>
      <c r="M15" s="11">
        <f t="shared" ref="M15:M73" si="21">M14</f>
        <v>40</v>
      </c>
      <c r="N15" s="11">
        <f t="shared" ref="N15:N73" si="22">N14</f>
        <v>40</v>
      </c>
      <c r="O15" s="11">
        <f t="shared" ref="O15:O73" si="23">O14</f>
        <v>25</v>
      </c>
      <c r="P15" s="11">
        <f t="shared" ref="P15:P73" si="24">P14</f>
        <v>0</v>
      </c>
      <c r="Q15" s="30">
        <f t="shared" si="12"/>
        <v>137.75</v>
      </c>
      <c r="R15" s="10">
        <f t="shared" si="13"/>
        <v>145</v>
      </c>
      <c r="S15" s="31">
        <f t="shared" si="6"/>
        <v>152.25</v>
      </c>
      <c r="T15" s="30">
        <f t="shared" ref="T15:T73" si="25">Q15+I15</f>
        <v>1317.75</v>
      </c>
      <c r="U15" s="84">
        <f t="shared" si="14"/>
        <v>1620</v>
      </c>
      <c r="V15" s="31">
        <f t="shared" si="14"/>
        <v>1922.25</v>
      </c>
      <c r="W15" s="6">
        <f t="shared" si="15"/>
        <v>0.93278956427869664</v>
      </c>
      <c r="X15" s="30">
        <f t="shared" si="16"/>
        <v>1229.1834483282526</v>
      </c>
      <c r="Y15" s="84">
        <f t="shared" si="17"/>
        <v>1511.1190941314885</v>
      </c>
      <c r="Z15" s="31">
        <f t="shared" si="18"/>
        <v>1793.0547399347247</v>
      </c>
      <c r="AA15" s="14"/>
    </row>
    <row r="16" spans="1:29">
      <c r="A16" s="4">
        <f t="shared" si="19"/>
        <v>2022</v>
      </c>
      <c r="B16" s="4">
        <f t="shared" si="7"/>
        <v>3</v>
      </c>
      <c r="C16" s="28">
        <f t="shared" si="8"/>
        <v>0</v>
      </c>
      <c r="D16" s="27"/>
      <c r="E16" s="29">
        <f t="shared" si="9"/>
        <v>0</v>
      </c>
      <c r="F16" s="28">
        <f t="shared" si="10"/>
        <v>1180</v>
      </c>
      <c r="G16" s="27">
        <f>S9</f>
        <v>1475</v>
      </c>
      <c r="H16" s="29">
        <f t="shared" si="5"/>
        <v>1770</v>
      </c>
      <c r="I16" s="30">
        <f t="shared" si="11"/>
        <v>1180</v>
      </c>
      <c r="J16" s="84">
        <f t="shared" si="11"/>
        <v>1475</v>
      </c>
      <c r="K16" s="31">
        <f t="shared" si="11"/>
        <v>1770</v>
      </c>
      <c r="L16" s="11">
        <f t="shared" si="20"/>
        <v>40</v>
      </c>
      <c r="M16" s="11">
        <f t="shared" si="21"/>
        <v>40</v>
      </c>
      <c r="N16" s="11">
        <f t="shared" si="22"/>
        <v>40</v>
      </c>
      <c r="O16" s="11">
        <f t="shared" si="23"/>
        <v>25</v>
      </c>
      <c r="P16" s="11">
        <f t="shared" si="24"/>
        <v>0</v>
      </c>
      <c r="Q16" s="30">
        <f t="shared" si="12"/>
        <v>137.75</v>
      </c>
      <c r="R16" s="10">
        <f t="shared" si="13"/>
        <v>145</v>
      </c>
      <c r="S16" s="31">
        <f t="shared" si="6"/>
        <v>152.25</v>
      </c>
      <c r="T16" s="30">
        <f t="shared" si="25"/>
        <v>1317.75</v>
      </c>
      <c r="U16" s="84">
        <f t="shared" si="14"/>
        <v>1620</v>
      </c>
      <c r="V16" s="31">
        <f t="shared" si="14"/>
        <v>1922.25</v>
      </c>
      <c r="W16" s="6">
        <f t="shared" si="15"/>
        <v>0.90089778276868515</v>
      </c>
      <c r="X16" s="30">
        <f t="shared" si="16"/>
        <v>1187.1580532434348</v>
      </c>
      <c r="Y16" s="84">
        <f t="shared" si="17"/>
        <v>1459.45440808527</v>
      </c>
      <c r="Z16" s="31">
        <f t="shared" si="18"/>
        <v>1731.7507629271051</v>
      </c>
      <c r="AA16" s="14"/>
    </row>
    <row r="17" spans="1:29">
      <c r="A17" s="4">
        <f t="shared" si="19"/>
        <v>2023</v>
      </c>
      <c r="B17" s="4">
        <f t="shared" si="7"/>
        <v>4</v>
      </c>
      <c r="C17" s="28">
        <f t="shared" si="8"/>
        <v>0</v>
      </c>
      <c r="D17" s="27"/>
      <c r="E17" s="29">
        <f t="shared" si="9"/>
        <v>0</v>
      </c>
      <c r="F17" s="28">
        <f t="shared" si="10"/>
        <v>1180</v>
      </c>
      <c r="G17" s="27">
        <f t="shared" ref="G17:G73" si="26">G16</f>
        <v>1475</v>
      </c>
      <c r="H17" s="29">
        <f t="shared" si="5"/>
        <v>1770</v>
      </c>
      <c r="I17" s="30">
        <f t="shared" si="11"/>
        <v>1180</v>
      </c>
      <c r="J17" s="84">
        <f t="shared" si="11"/>
        <v>1475</v>
      </c>
      <c r="K17" s="31">
        <f t="shared" si="11"/>
        <v>1770</v>
      </c>
      <c r="L17" s="11">
        <f t="shared" si="20"/>
        <v>40</v>
      </c>
      <c r="M17" s="11">
        <f t="shared" si="21"/>
        <v>40</v>
      </c>
      <c r="N17" s="11">
        <f t="shared" si="22"/>
        <v>40</v>
      </c>
      <c r="O17" s="11">
        <f t="shared" si="23"/>
        <v>25</v>
      </c>
      <c r="P17" s="11">
        <f t="shared" si="24"/>
        <v>0</v>
      </c>
      <c r="Q17" s="30">
        <f t="shared" si="12"/>
        <v>137.75</v>
      </c>
      <c r="R17" s="10">
        <f t="shared" si="13"/>
        <v>145</v>
      </c>
      <c r="S17" s="31">
        <f t="shared" si="6"/>
        <v>152.25</v>
      </c>
      <c r="T17" s="30">
        <f t="shared" si="25"/>
        <v>1317.75</v>
      </c>
      <c r="U17" s="84">
        <f t="shared" si="14"/>
        <v>1620</v>
      </c>
      <c r="V17" s="31">
        <f t="shared" si="14"/>
        <v>1922.25</v>
      </c>
      <c r="W17" s="6">
        <f t="shared" si="15"/>
        <v>0.87009637122724071</v>
      </c>
      <c r="X17" s="30">
        <f t="shared" si="16"/>
        <v>1146.5694931846965</v>
      </c>
      <c r="Y17" s="84">
        <f t="shared" si="17"/>
        <v>1409.5561213881299</v>
      </c>
      <c r="Z17" s="31">
        <f t="shared" si="18"/>
        <v>1672.5427495915635</v>
      </c>
      <c r="AA17" s="14"/>
    </row>
    <row r="18" spans="1:29">
      <c r="A18" s="4">
        <f t="shared" si="19"/>
        <v>2024</v>
      </c>
      <c r="B18" s="4">
        <f t="shared" si="7"/>
        <v>5</v>
      </c>
      <c r="C18" s="28">
        <f t="shared" si="8"/>
        <v>0</v>
      </c>
      <c r="D18" s="27"/>
      <c r="E18" s="29">
        <f t="shared" si="9"/>
        <v>0</v>
      </c>
      <c r="F18" s="28">
        <f t="shared" si="10"/>
        <v>1180</v>
      </c>
      <c r="G18" s="27">
        <f t="shared" si="26"/>
        <v>1475</v>
      </c>
      <c r="H18" s="29">
        <f t="shared" si="5"/>
        <v>1770</v>
      </c>
      <c r="I18" s="30">
        <f t="shared" si="11"/>
        <v>1180</v>
      </c>
      <c r="J18" s="84">
        <f t="shared" si="11"/>
        <v>1475</v>
      </c>
      <c r="K18" s="31">
        <f t="shared" si="11"/>
        <v>1770</v>
      </c>
      <c r="L18" s="11">
        <f t="shared" si="20"/>
        <v>40</v>
      </c>
      <c r="M18" s="11">
        <f t="shared" si="21"/>
        <v>40</v>
      </c>
      <c r="N18" s="11">
        <f t="shared" si="22"/>
        <v>40</v>
      </c>
      <c r="O18" s="11">
        <f t="shared" si="23"/>
        <v>25</v>
      </c>
      <c r="P18" s="11">
        <f t="shared" si="24"/>
        <v>0</v>
      </c>
      <c r="Q18" s="30">
        <f t="shared" si="12"/>
        <v>137.75</v>
      </c>
      <c r="R18" s="10">
        <f t="shared" si="13"/>
        <v>145</v>
      </c>
      <c r="S18" s="31">
        <f t="shared" si="6"/>
        <v>152.25</v>
      </c>
      <c r="T18" s="30">
        <f t="shared" si="25"/>
        <v>1317.75</v>
      </c>
      <c r="U18" s="84">
        <f t="shared" si="14"/>
        <v>1620</v>
      </c>
      <c r="V18" s="31">
        <f t="shared" si="14"/>
        <v>1922.25</v>
      </c>
      <c r="W18" s="6">
        <f t="shared" si="15"/>
        <v>0.84034805024844572</v>
      </c>
      <c r="X18" s="30">
        <f t="shared" si="16"/>
        <v>1107.3686432148893</v>
      </c>
      <c r="Y18" s="84">
        <f t="shared" si="17"/>
        <v>1361.363841402482</v>
      </c>
      <c r="Z18" s="31">
        <f t="shared" si="18"/>
        <v>1615.3590395900749</v>
      </c>
      <c r="AA18" s="14"/>
    </row>
    <row r="19" spans="1:29">
      <c r="A19" s="4">
        <f t="shared" si="19"/>
        <v>2025</v>
      </c>
      <c r="B19" s="4">
        <f t="shared" si="7"/>
        <v>6</v>
      </c>
      <c r="C19" s="28">
        <f t="shared" si="8"/>
        <v>0</v>
      </c>
      <c r="D19" s="27"/>
      <c r="E19" s="29">
        <f t="shared" si="9"/>
        <v>0</v>
      </c>
      <c r="F19" s="28">
        <f t="shared" si="10"/>
        <v>1180</v>
      </c>
      <c r="G19" s="27">
        <f t="shared" si="26"/>
        <v>1475</v>
      </c>
      <c r="H19" s="29">
        <f t="shared" si="5"/>
        <v>1770</v>
      </c>
      <c r="I19" s="30">
        <f t="shared" si="11"/>
        <v>1180</v>
      </c>
      <c r="J19" s="84">
        <f t="shared" si="11"/>
        <v>1475</v>
      </c>
      <c r="K19" s="31">
        <f t="shared" si="11"/>
        <v>1770</v>
      </c>
      <c r="L19" s="11">
        <f t="shared" si="20"/>
        <v>40</v>
      </c>
      <c r="M19" s="11">
        <f t="shared" si="21"/>
        <v>40</v>
      </c>
      <c r="N19" s="11">
        <f t="shared" si="22"/>
        <v>40</v>
      </c>
      <c r="O19" s="11">
        <f t="shared" si="23"/>
        <v>25</v>
      </c>
      <c r="P19" s="11">
        <f t="shared" si="24"/>
        <v>0</v>
      </c>
      <c r="Q19" s="30">
        <f t="shared" si="12"/>
        <v>137.75</v>
      </c>
      <c r="R19" s="10">
        <f t="shared" si="13"/>
        <v>145</v>
      </c>
      <c r="S19" s="31">
        <f t="shared" si="6"/>
        <v>152.25</v>
      </c>
      <c r="T19" s="30">
        <f t="shared" si="25"/>
        <v>1317.75</v>
      </c>
      <c r="U19" s="84">
        <f t="shared" si="14"/>
        <v>1620</v>
      </c>
      <c r="V19" s="31">
        <f t="shared" si="14"/>
        <v>1922.25</v>
      </c>
      <c r="W19" s="6">
        <f t="shared" si="15"/>
        <v>0.81161681499753291</v>
      </c>
      <c r="X19" s="30">
        <f t="shared" si="16"/>
        <v>1069.5080579629989</v>
      </c>
      <c r="Y19" s="84">
        <f t="shared" si="17"/>
        <v>1314.8192402960033</v>
      </c>
      <c r="Z19" s="31">
        <f t="shared" si="18"/>
        <v>1560.1304226290076</v>
      </c>
      <c r="AA19" s="14"/>
    </row>
    <row r="20" spans="1:29">
      <c r="A20" s="4">
        <f t="shared" si="19"/>
        <v>2026</v>
      </c>
      <c r="B20" s="4">
        <f t="shared" si="7"/>
        <v>7</v>
      </c>
      <c r="C20" s="28">
        <f t="shared" si="8"/>
        <v>0</v>
      </c>
      <c r="D20" s="27"/>
      <c r="E20" s="29">
        <f t="shared" si="9"/>
        <v>0</v>
      </c>
      <c r="F20" s="28">
        <f t="shared" si="10"/>
        <v>1180</v>
      </c>
      <c r="G20" s="27">
        <f t="shared" si="26"/>
        <v>1475</v>
      </c>
      <c r="H20" s="29">
        <f t="shared" si="5"/>
        <v>1770</v>
      </c>
      <c r="I20" s="30">
        <f t="shared" si="11"/>
        <v>1180</v>
      </c>
      <c r="J20" s="84">
        <f t="shared" si="11"/>
        <v>1475</v>
      </c>
      <c r="K20" s="31">
        <f t="shared" si="11"/>
        <v>1770</v>
      </c>
      <c r="L20" s="11">
        <f t="shared" si="20"/>
        <v>40</v>
      </c>
      <c r="M20" s="11">
        <f t="shared" si="21"/>
        <v>40</v>
      </c>
      <c r="N20" s="11">
        <f t="shared" si="22"/>
        <v>40</v>
      </c>
      <c r="O20" s="11">
        <f t="shared" si="23"/>
        <v>25</v>
      </c>
      <c r="P20" s="11">
        <f t="shared" si="24"/>
        <v>0</v>
      </c>
      <c r="Q20" s="30">
        <f t="shared" si="12"/>
        <v>137.75</v>
      </c>
      <c r="R20" s="10">
        <f t="shared" si="13"/>
        <v>145</v>
      </c>
      <c r="S20" s="31">
        <f t="shared" si="6"/>
        <v>152.25</v>
      </c>
      <c r="T20" s="30">
        <f t="shared" si="25"/>
        <v>1317.75</v>
      </c>
      <c r="U20" s="84">
        <f t="shared" si="14"/>
        <v>1620</v>
      </c>
      <c r="V20" s="31">
        <f t="shared" si="14"/>
        <v>1922.25</v>
      </c>
      <c r="W20" s="6">
        <f t="shared" si="15"/>
        <v>0.78386789163369996</v>
      </c>
      <c r="X20" s="30">
        <f t="shared" si="16"/>
        <v>1032.941914200308</v>
      </c>
      <c r="Y20" s="84">
        <f t="shared" si="17"/>
        <v>1269.865984446594</v>
      </c>
      <c r="Z20" s="31">
        <f t="shared" si="18"/>
        <v>1506.7900546928797</v>
      </c>
      <c r="AA20" s="14"/>
    </row>
    <row r="21" spans="1:29">
      <c r="A21" s="4">
        <f t="shared" si="19"/>
        <v>2027</v>
      </c>
      <c r="B21" s="4">
        <f t="shared" si="7"/>
        <v>8</v>
      </c>
      <c r="C21" s="28">
        <f t="shared" si="8"/>
        <v>0</v>
      </c>
      <c r="D21" s="27"/>
      <c r="E21" s="29">
        <f t="shared" si="9"/>
        <v>0</v>
      </c>
      <c r="F21" s="28">
        <f t="shared" si="10"/>
        <v>1180</v>
      </c>
      <c r="G21" s="27">
        <f t="shared" si="26"/>
        <v>1475</v>
      </c>
      <c r="H21" s="29">
        <f t="shared" si="5"/>
        <v>1770</v>
      </c>
      <c r="I21" s="30">
        <f t="shared" si="11"/>
        <v>1180</v>
      </c>
      <c r="J21" s="84">
        <f t="shared" si="11"/>
        <v>1475</v>
      </c>
      <c r="K21" s="31">
        <f t="shared" si="11"/>
        <v>1770</v>
      </c>
      <c r="L21" s="11">
        <f t="shared" si="20"/>
        <v>40</v>
      </c>
      <c r="M21" s="11">
        <f t="shared" si="21"/>
        <v>40</v>
      </c>
      <c r="N21" s="11">
        <f t="shared" si="22"/>
        <v>40</v>
      </c>
      <c r="O21" s="11">
        <f t="shared" si="23"/>
        <v>25</v>
      </c>
      <c r="P21" s="11">
        <f t="shared" si="24"/>
        <v>0</v>
      </c>
      <c r="Q21" s="30">
        <f t="shared" si="12"/>
        <v>137.75</v>
      </c>
      <c r="R21" s="10">
        <f t="shared" si="13"/>
        <v>145</v>
      </c>
      <c r="S21" s="31">
        <f t="shared" si="6"/>
        <v>152.25</v>
      </c>
      <c r="T21" s="30">
        <f t="shared" si="25"/>
        <v>1317.75</v>
      </c>
      <c r="U21" s="84">
        <f t="shared" si="14"/>
        <v>1620</v>
      </c>
      <c r="V21" s="31">
        <f t="shared" si="14"/>
        <v>1922.25</v>
      </c>
      <c r="W21" s="6">
        <f t="shared" si="15"/>
        <v>0.75706769522281225</v>
      </c>
      <c r="X21" s="30">
        <f t="shared" si="16"/>
        <v>997.6259553798609</v>
      </c>
      <c r="Y21" s="84">
        <f t="shared" si="17"/>
        <v>1226.4496662609558</v>
      </c>
      <c r="Z21" s="31">
        <f t="shared" si="18"/>
        <v>1455.2733771420508</v>
      </c>
      <c r="AA21" s="14"/>
    </row>
    <row r="22" spans="1:29">
      <c r="A22" s="4">
        <f t="shared" si="19"/>
        <v>2028</v>
      </c>
      <c r="B22" s="4">
        <f t="shared" si="7"/>
        <v>9</v>
      </c>
      <c r="C22" s="28">
        <f t="shared" si="8"/>
        <v>0</v>
      </c>
      <c r="D22" s="27"/>
      <c r="E22" s="29">
        <f t="shared" si="9"/>
        <v>0</v>
      </c>
      <c r="F22" s="28">
        <f t="shared" si="10"/>
        <v>1180</v>
      </c>
      <c r="G22" s="27">
        <f t="shared" si="26"/>
        <v>1475</v>
      </c>
      <c r="H22" s="29">
        <f t="shared" si="5"/>
        <v>1770</v>
      </c>
      <c r="I22" s="30">
        <f t="shared" si="11"/>
        <v>1180</v>
      </c>
      <c r="J22" s="84">
        <f t="shared" si="11"/>
        <v>1475</v>
      </c>
      <c r="K22" s="31">
        <f t="shared" si="11"/>
        <v>1770</v>
      </c>
      <c r="L22" s="11">
        <f t="shared" si="20"/>
        <v>40</v>
      </c>
      <c r="M22" s="11">
        <f t="shared" si="21"/>
        <v>40</v>
      </c>
      <c r="N22" s="11">
        <f t="shared" si="22"/>
        <v>40</v>
      </c>
      <c r="O22" s="11">
        <f t="shared" si="23"/>
        <v>25</v>
      </c>
      <c r="P22" s="11">
        <f t="shared" si="24"/>
        <v>0</v>
      </c>
      <c r="Q22" s="30">
        <f t="shared" si="12"/>
        <v>137.75</v>
      </c>
      <c r="R22" s="10">
        <f t="shared" si="13"/>
        <v>145</v>
      </c>
      <c r="S22" s="31">
        <f t="shared" si="6"/>
        <v>152.25</v>
      </c>
      <c r="T22" s="30">
        <f t="shared" si="25"/>
        <v>1317.75</v>
      </c>
      <c r="U22" s="84">
        <f t="shared" si="14"/>
        <v>1620</v>
      </c>
      <c r="V22" s="31">
        <f t="shared" si="14"/>
        <v>1922.25</v>
      </c>
      <c r="W22" s="6">
        <f t="shared" si="15"/>
        <v>0.73118378908905945</v>
      </c>
      <c r="X22" s="30">
        <f t="shared" si="16"/>
        <v>963.51743807210812</v>
      </c>
      <c r="Y22" s="84">
        <f t="shared" si="17"/>
        <v>1184.5177383242763</v>
      </c>
      <c r="Z22" s="31">
        <f t="shared" si="18"/>
        <v>1405.5180385764445</v>
      </c>
      <c r="AA22" s="14"/>
      <c r="AC22" s="12"/>
    </row>
    <row r="23" spans="1:29">
      <c r="A23" s="4">
        <f t="shared" si="19"/>
        <v>2029</v>
      </c>
      <c r="B23" s="4">
        <f t="shared" si="7"/>
        <v>10</v>
      </c>
      <c r="C23" s="28">
        <f t="shared" si="8"/>
        <v>0</v>
      </c>
      <c r="D23" s="27"/>
      <c r="E23" s="29">
        <f t="shared" si="9"/>
        <v>0</v>
      </c>
      <c r="F23" s="28">
        <f t="shared" si="10"/>
        <v>1180</v>
      </c>
      <c r="G23" s="27">
        <f t="shared" si="26"/>
        <v>1475</v>
      </c>
      <c r="H23" s="29">
        <f t="shared" si="5"/>
        <v>1770</v>
      </c>
      <c r="I23" s="30">
        <f t="shared" si="11"/>
        <v>1180</v>
      </c>
      <c r="J23" s="84">
        <f t="shared" si="11"/>
        <v>1475</v>
      </c>
      <c r="K23" s="31">
        <f t="shared" si="11"/>
        <v>1770</v>
      </c>
      <c r="L23" s="11">
        <f t="shared" si="20"/>
        <v>40</v>
      </c>
      <c r="M23" s="11">
        <f t="shared" si="21"/>
        <v>40</v>
      </c>
      <c r="N23" s="11">
        <f t="shared" si="22"/>
        <v>40</v>
      </c>
      <c r="O23" s="11">
        <f t="shared" si="23"/>
        <v>25</v>
      </c>
      <c r="P23" s="11">
        <f t="shared" si="24"/>
        <v>0</v>
      </c>
      <c r="Q23" s="30">
        <f t="shared" si="12"/>
        <v>137.75</v>
      </c>
      <c r="R23" s="10">
        <f t="shared" si="13"/>
        <v>145</v>
      </c>
      <c r="S23" s="31">
        <f t="shared" si="6"/>
        <v>152.25</v>
      </c>
      <c r="T23" s="30">
        <f t="shared" si="25"/>
        <v>1317.75</v>
      </c>
      <c r="U23" s="84">
        <f t="shared" si="14"/>
        <v>1620</v>
      </c>
      <c r="V23" s="31">
        <f t="shared" si="14"/>
        <v>1922.25</v>
      </c>
      <c r="W23" s="6">
        <f t="shared" si="15"/>
        <v>0.70618484555636418</v>
      </c>
      <c r="X23" s="30">
        <f t="shared" si="16"/>
        <v>930.57508023189894</v>
      </c>
      <c r="Y23" s="84">
        <f t="shared" si="17"/>
        <v>1144.01944980131</v>
      </c>
      <c r="Z23" s="31">
        <f t="shared" si="18"/>
        <v>1357.463819370721</v>
      </c>
      <c r="AA23" s="14"/>
    </row>
    <row r="24" spans="1:29">
      <c r="A24" s="4">
        <f t="shared" si="19"/>
        <v>2030</v>
      </c>
      <c r="B24" s="4">
        <f t="shared" si="7"/>
        <v>11</v>
      </c>
      <c r="C24" s="28">
        <f t="shared" si="8"/>
        <v>0</v>
      </c>
      <c r="D24" s="27"/>
      <c r="E24" s="29">
        <f t="shared" si="9"/>
        <v>0</v>
      </c>
      <c r="F24" s="28">
        <f t="shared" si="10"/>
        <v>1180</v>
      </c>
      <c r="G24" s="27">
        <f t="shared" si="26"/>
        <v>1475</v>
      </c>
      <c r="H24" s="29">
        <f t="shared" si="5"/>
        <v>1770</v>
      </c>
      <c r="I24" s="30">
        <f t="shared" si="11"/>
        <v>1180</v>
      </c>
      <c r="J24" s="84">
        <f t="shared" si="11"/>
        <v>1475</v>
      </c>
      <c r="K24" s="31">
        <f t="shared" si="11"/>
        <v>1770</v>
      </c>
      <c r="L24" s="11">
        <f t="shared" si="20"/>
        <v>40</v>
      </c>
      <c r="M24" s="11">
        <f t="shared" si="21"/>
        <v>40</v>
      </c>
      <c r="N24" s="11">
        <f t="shared" si="22"/>
        <v>40</v>
      </c>
      <c r="O24" s="11">
        <f t="shared" si="23"/>
        <v>25</v>
      </c>
      <c r="P24" s="11">
        <f t="shared" si="24"/>
        <v>0</v>
      </c>
      <c r="Q24" s="30">
        <f t="shared" si="12"/>
        <v>137.75</v>
      </c>
      <c r="R24" s="10">
        <f t="shared" si="13"/>
        <v>145</v>
      </c>
      <c r="S24" s="31">
        <f t="shared" si="6"/>
        <v>152.25</v>
      </c>
      <c r="T24" s="30">
        <f t="shared" si="25"/>
        <v>1317.75</v>
      </c>
      <c r="U24" s="84">
        <f t="shared" si="14"/>
        <v>1620</v>
      </c>
      <c r="V24" s="31">
        <f t="shared" si="14"/>
        <v>1922.25</v>
      </c>
      <c r="W24" s="6">
        <f t="shared" si="15"/>
        <v>0.68204060803203026</v>
      </c>
      <c r="X24" s="30">
        <f t="shared" si="16"/>
        <v>898.75901123420783</v>
      </c>
      <c r="Y24" s="84">
        <f t="shared" si="17"/>
        <v>1104.9057850118891</v>
      </c>
      <c r="Z24" s="31">
        <f t="shared" si="18"/>
        <v>1311.0525587895702</v>
      </c>
      <c r="AA24" s="14" t="s">
        <v>70</v>
      </c>
    </row>
    <row r="25" spans="1:29">
      <c r="A25" s="4">
        <f t="shared" si="19"/>
        <v>2031</v>
      </c>
      <c r="B25" s="4">
        <f t="shared" si="7"/>
        <v>12</v>
      </c>
      <c r="C25" s="28">
        <f t="shared" si="8"/>
        <v>0</v>
      </c>
      <c r="D25" s="27"/>
      <c r="E25" s="29">
        <f t="shared" si="9"/>
        <v>0</v>
      </c>
      <c r="F25" s="28">
        <f t="shared" si="10"/>
        <v>1180</v>
      </c>
      <c r="G25" s="27">
        <f t="shared" si="26"/>
        <v>1475</v>
      </c>
      <c r="H25" s="29">
        <f t="shared" si="5"/>
        <v>1770</v>
      </c>
      <c r="I25" s="30">
        <f t="shared" si="11"/>
        <v>1180</v>
      </c>
      <c r="J25" s="84">
        <f t="shared" si="11"/>
        <v>1475</v>
      </c>
      <c r="K25" s="31">
        <f t="shared" si="11"/>
        <v>1770</v>
      </c>
      <c r="L25" s="11">
        <f t="shared" si="20"/>
        <v>40</v>
      </c>
      <c r="M25" s="11">
        <f t="shared" si="21"/>
        <v>40</v>
      </c>
      <c r="N25" s="11">
        <f t="shared" si="22"/>
        <v>40</v>
      </c>
      <c r="O25" s="11">
        <f t="shared" si="23"/>
        <v>25</v>
      </c>
      <c r="P25" s="11">
        <f t="shared" si="24"/>
        <v>0</v>
      </c>
      <c r="Q25" s="30">
        <f t="shared" si="12"/>
        <v>137.75</v>
      </c>
      <c r="R25" s="10">
        <f t="shared" si="13"/>
        <v>145</v>
      </c>
      <c r="S25" s="31">
        <f t="shared" si="6"/>
        <v>152.25</v>
      </c>
      <c r="T25" s="30">
        <f t="shared" si="25"/>
        <v>1317.75</v>
      </c>
      <c r="U25" s="84">
        <f t="shared" si="14"/>
        <v>1620</v>
      </c>
      <c r="V25" s="31">
        <f t="shared" si="14"/>
        <v>1922.25</v>
      </c>
      <c r="W25" s="6">
        <f t="shared" si="15"/>
        <v>0.65872185438673958</v>
      </c>
      <c r="X25" s="30">
        <f t="shared" si="16"/>
        <v>868.0307236181261</v>
      </c>
      <c r="Y25" s="84">
        <f t="shared" si="17"/>
        <v>1067.1294041065182</v>
      </c>
      <c r="Z25" s="31">
        <f t="shared" si="18"/>
        <v>1266.2280845949101</v>
      </c>
      <c r="AA25" s="14"/>
    </row>
    <row r="26" spans="1:29">
      <c r="A26" s="4">
        <f t="shared" si="19"/>
        <v>2032</v>
      </c>
      <c r="B26" s="4">
        <f t="shared" si="7"/>
        <v>13</v>
      </c>
      <c r="C26" s="28">
        <f t="shared" si="8"/>
        <v>0</v>
      </c>
      <c r="D26" s="27"/>
      <c r="E26" s="29">
        <f t="shared" si="9"/>
        <v>0</v>
      </c>
      <c r="F26" s="28">
        <f t="shared" si="10"/>
        <v>1180</v>
      </c>
      <c r="G26" s="27">
        <f t="shared" si="26"/>
        <v>1475</v>
      </c>
      <c r="H26" s="29">
        <f t="shared" si="5"/>
        <v>1770</v>
      </c>
      <c r="I26" s="30">
        <f t="shared" si="11"/>
        <v>1180</v>
      </c>
      <c r="J26" s="84">
        <f t="shared" si="11"/>
        <v>1475</v>
      </c>
      <c r="K26" s="31">
        <f t="shared" si="11"/>
        <v>1770</v>
      </c>
      <c r="L26" s="11">
        <f t="shared" si="20"/>
        <v>40</v>
      </c>
      <c r="M26" s="11">
        <f t="shared" si="21"/>
        <v>40</v>
      </c>
      <c r="N26" s="11">
        <f t="shared" si="22"/>
        <v>40</v>
      </c>
      <c r="O26" s="11">
        <f t="shared" si="23"/>
        <v>25</v>
      </c>
      <c r="P26" s="11">
        <f t="shared" si="24"/>
        <v>0</v>
      </c>
      <c r="Q26" s="30">
        <f t="shared" si="12"/>
        <v>137.75</v>
      </c>
      <c r="R26" s="10">
        <f t="shared" si="13"/>
        <v>145</v>
      </c>
      <c r="S26" s="31">
        <f t="shared" si="6"/>
        <v>152.25</v>
      </c>
      <c r="T26" s="30">
        <f t="shared" si="25"/>
        <v>1317.75</v>
      </c>
      <c r="U26" s="84">
        <f t="shared" si="14"/>
        <v>1620</v>
      </c>
      <c r="V26" s="31">
        <f t="shared" si="14"/>
        <v>1922.25</v>
      </c>
      <c r="W26" s="6">
        <f t="shared" si="15"/>
        <v>0.63620036158657478</v>
      </c>
      <c r="X26" s="30">
        <f t="shared" si="16"/>
        <v>838.35302648070888</v>
      </c>
      <c r="Y26" s="84">
        <f t="shared" si="17"/>
        <v>1030.6445857702511</v>
      </c>
      <c r="Z26" s="31">
        <f t="shared" si="18"/>
        <v>1222.9361450597933</v>
      </c>
      <c r="AA26" s="14"/>
    </row>
    <row r="27" spans="1:29">
      <c r="A27" s="4">
        <f t="shared" si="19"/>
        <v>2033</v>
      </c>
      <c r="B27" s="4">
        <f t="shared" si="7"/>
        <v>14</v>
      </c>
      <c r="C27" s="28">
        <f t="shared" si="8"/>
        <v>0</v>
      </c>
      <c r="D27" s="27"/>
      <c r="E27" s="29">
        <f t="shared" si="9"/>
        <v>0</v>
      </c>
      <c r="F27" s="28">
        <f t="shared" si="10"/>
        <v>1180</v>
      </c>
      <c r="G27" s="27">
        <f t="shared" si="26"/>
        <v>1475</v>
      </c>
      <c r="H27" s="29">
        <f t="shared" si="5"/>
        <v>1770</v>
      </c>
      <c r="I27" s="30">
        <f t="shared" si="11"/>
        <v>1180</v>
      </c>
      <c r="J27" s="84">
        <f t="shared" si="11"/>
        <v>1475</v>
      </c>
      <c r="K27" s="31">
        <f t="shared" si="11"/>
        <v>1770</v>
      </c>
      <c r="L27" s="11">
        <f t="shared" si="20"/>
        <v>40</v>
      </c>
      <c r="M27" s="11">
        <f t="shared" si="21"/>
        <v>40</v>
      </c>
      <c r="N27" s="11">
        <f t="shared" si="22"/>
        <v>40</v>
      </c>
      <c r="O27" s="11">
        <f t="shared" si="23"/>
        <v>25</v>
      </c>
      <c r="P27" s="11">
        <f t="shared" si="24"/>
        <v>0</v>
      </c>
      <c r="Q27" s="30">
        <f t="shared" si="12"/>
        <v>137.75</v>
      </c>
      <c r="R27" s="10">
        <f t="shared" si="13"/>
        <v>145</v>
      </c>
      <c r="S27" s="31">
        <f t="shared" si="6"/>
        <v>152.25</v>
      </c>
      <c r="T27" s="30">
        <f t="shared" si="25"/>
        <v>1317.75</v>
      </c>
      <c r="U27" s="84">
        <f t="shared" si="14"/>
        <v>1620</v>
      </c>
      <c r="V27" s="31">
        <f t="shared" si="14"/>
        <v>1922.25</v>
      </c>
      <c r="W27" s="6">
        <f t="shared" si="15"/>
        <v>0.61444887153426186</v>
      </c>
      <c r="X27" s="30">
        <f t="shared" si="16"/>
        <v>809.69000046427357</v>
      </c>
      <c r="Y27" s="84">
        <f t="shared" si="17"/>
        <v>995.40717188550423</v>
      </c>
      <c r="Z27" s="31">
        <f t="shared" si="18"/>
        <v>1181.1243433067348</v>
      </c>
      <c r="AA27" s="14"/>
    </row>
    <row r="28" spans="1:29">
      <c r="A28" s="4">
        <f t="shared" si="19"/>
        <v>2034</v>
      </c>
      <c r="B28" s="4">
        <f t="shared" si="7"/>
        <v>15</v>
      </c>
      <c r="C28" s="28">
        <f t="shared" si="8"/>
        <v>0</v>
      </c>
      <c r="D28" s="27"/>
      <c r="E28" s="29">
        <f t="shared" si="9"/>
        <v>0</v>
      </c>
      <c r="F28" s="28">
        <f t="shared" si="10"/>
        <v>1180</v>
      </c>
      <c r="G28" s="27">
        <f t="shared" si="26"/>
        <v>1475</v>
      </c>
      <c r="H28" s="29">
        <f t="shared" si="5"/>
        <v>1770</v>
      </c>
      <c r="I28" s="30">
        <f t="shared" si="11"/>
        <v>1180</v>
      </c>
      <c r="J28" s="84">
        <f t="shared" si="11"/>
        <v>1475</v>
      </c>
      <c r="K28" s="31">
        <f t="shared" si="11"/>
        <v>1770</v>
      </c>
      <c r="L28" s="11">
        <f t="shared" si="20"/>
        <v>40</v>
      </c>
      <c r="M28" s="11">
        <f t="shared" si="21"/>
        <v>40</v>
      </c>
      <c r="N28" s="11">
        <f t="shared" si="22"/>
        <v>40</v>
      </c>
      <c r="O28" s="11">
        <f t="shared" si="23"/>
        <v>25</v>
      </c>
      <c r="P28" s="11">
        <f t="shared" si="24"/>
        <v>0</v>
      </c>
      <c r="Q28" s="30">
        <f t="shared" si="12"/>
        <v>137.75</v>
      </c>
      <c r="R28" s="10">
        <f t="shared" si="13"/>
        <v>145</v>
      </c>
      <c r="S28" s="31">
        <f t="shared" si="6"/>
        <v>152.25</v>
      </c>
      <c r="T28" s="30">
        <f t="shared" si="25"/>
        <v>1317.75</v>
      </c>
      <c r="U28" s="84">
        <f t="shared" si="14"/>
        <v>1620</v>
      </c>
      <c r="V28" s="31">
        <f t="shared" si="14"/>
        <v>1922.25</v>
      </c>
      <c r="W28" s="6">
        <f t="shared" si="15"/>
        <v>0.5934410580782904</v>
      </c>
      <c r="X28" s="30">
        <f t="shared" si="16"/>
        <v>782.00695428266715</v>
      </c>
      <c r="Y28" s="84">
        <f t="shared" si="17"/>
        <v>961.37451408683046</v>
      </c>
      <c r="Z28" s="31">
        <f t="shared" si="18"/>
        <v>1140.7420738909937</v>
      </c>
      <c r="AA28" s="14"/>
    </row>
    <row r="29" spans="1:29">
      <c r="A29" s="4">
        <f t="shared" si="19"/>
        <v>2035</v>
      </c>
      <c r="B29" s="4">
        <f t="shared" si="7"/>
        <v>16</v>
      </c>
      <c r="C29" s="28">
        <f t="shared" si="8"/>
        <v>0</v>
      </c>
      <c r="D29" s="27"/>
      <c r="E29" s="29">
        <f t="shared" si="9"/>
        <v>0</v>
      </c>
      <c r="F29" s="28">
        <f t="shared" si="10"/>
        <v>1180</v>
      </c>
      <c r="G29" s="27">
        <f t="shared" si="26"/>
        <v>1475</v>
      </c>
      <c r="H29" s="29">
        <f t="shared" si="5"/>
        <v>1770</v>
      </c>
      <c r="I29" s="30">
        <f t="shared" si="11"/>
        <v>1180</v>
      </c>
      <c r="J29" s="84">
        <f t="shared" si="11"/>
        <v>1475</v>
      </c>
      <c r="K29" s="31">
        <f t="shared" si="11"/>
        <v>1770</v>
      </c>
      <c r="L29" s="11">
        <f t="shared" si="20"/>
        <v>40</v>
      </c>
      <c r="M29" s="11">
        <f t="shared" si="21"/>
        <v>40</v>
      </c>
      <c r="N29" s="11">
        <f t="shared" si="22"/>
        <v>40</v>
      </c>
      <c r="O29" s="11">
        <f t="shared" si="23"/>
        <v>25</v>
      </c>
      <c r="P29" s="11">
        <f t="shared" si="24"/>
        <v>0</v>
      </c>
      <c r="Q29" s="30">
        <f t="shared" si="12"/>
        <v>137.75</v>
      </c>
      <c r="R29" s="10">
        <f t="shared" si="13"/>
        <v>145</v>
      </c>
      <c r="S29" s="31">
        <f t="shared" si="6"/>
        <v>152.25</v>
      </c>
      <c r="T29" s="30">
        <f t="shared" si="25"/>
        <v>1317.75</v>
      </c>
      <c r="U29" s="84">
        <f t="shared" si="14"/>
        <v>1620</v>
      </c>
      <c r="V29" s="31">
        <f t="shared" si="14"/>
        <v>1922.25</v>
      </c>
      <c r="W29" s="6">
        <f t="shared" si="15"/>
        <v>0.57315149514998098</v>
      </c>
      <c r="X29" s="30">
        <f t="shared" si="16"/>
        <v>755.27038273388746</v>
      </c>
      <c r="Y29" s="84">
        <f t="shared" si="17"/>
        <v>928.50542214296922</v>
      </c>
      <c r="Z29" s="31">
        <f t="shared" si="18"/>
        <v>1101.7404615520509</v>
      </c>
      <c r="AA29" s="14"/>
    </row>
    <row r="30" spans="1:29">
      <c r="A30" s="4">
        <f t="shared" si="19"/>
        <v>2036</v>
      </c>
      <c r="B30" s="4">
        <f t="shared" si="7"/>
        <v>17</v>
      </c>
      <c r="C30" s="28">
        <f t="shared" si="8"/>
        <v>0</v>
      </c>
      <c r="D30" s="27"/>
      <c r="E30" s="29">
        <f t="shared" si="9"/>
        <v>0</v>
      </c>
      <c r="F30" s="28">
        <f t="shared" si="10"/>
        <v>1180</v>
      </c>
      <c r="G30" s="27">
        <f t="shared" si="26"/>
        <v>1475</v>
      </c>
      <c r="H30" s="29">
        <f t="shared" si="5"/>
        <v>1770</v>
      </c>
      <c r="I30" s="30">
        <f t="shared" si="11"/>
        <v>1180</v>
      </c>
      <c r="J30" s="84">
        <f t="shared" si="11"/>
        <v>1475</v>
      </c>
      <c r="K30" s="31">
        <f t="shared" si="11"/>
        <v>1770</v>
      </c>
      <c r="L30" s="11">
        <f t="shared" si="20"/>
        <v>40</v>
      </c>
      <c r="M30" s="11">
        <f t="shared" si="21"/>
        <v>40</v>
      </c>
      <c r="N30" s="11">
        <f t="shared" si="22"/>
        <v>40</v>
      </c>
      <c r="O30" s="11">
        <f t="shared" si="23"/>
        <v>25</v>
      </c>
      <c r="P30" s="11">
        <f t="shared" si="24"/>
        <v>0</v>
      </c>
      <c r="Q30" s="30">
        <f t="shared" si="12"/>
        <v>137.75</v>
      </c>
      <c r="R30" s="10">
        <f t="shared" si="13"/>
        <v>145</v>
      </c>
      <c r="S30" s="31">
        <f t="shared" si="6"/>
        <v>152.25</v>
      </c>
      <c r="T30" s="30">
        <f t="shared" si="25"/>
        <v>1317.75</v>
      </c>
      <c r="U30" s="84">
        <f t="shared" si="14"/>
        <v>1620</v>
      </c>
      <c r="V30" s="31">
        <f t="shared" si="14"/>
        <v>1922.25</v>
      </c>
      <c r="W30" s="6">
        <f t="shared" si="15"/>
        <v>0.55355562598993713</v>
      </c>
      <c r="X30" s="30">
        <f t="shared" si="16"/>
        <v>729.44792614823962</v>
      </c>
      <c r="Y30" s="84">
        <f t="shared" si="17"/>
        <v>896.76011410369813</v>
      </c>
      <c r="Z30" s="31">
        <f t="shared" si="18"/>
        <v>1064.0723020591568</v>
      </c>
      <c r="AA30" s="14"/>
    </row>
    <row r="31" spans="1:29">
      <c r="A31" s="4">
        <f t="shared" si="19"/>
        <v>2037</v>
      </c>
      <c r="B31" s="4">
        <f t="shared" si="7"/>
        <v>18</v>
      </c>
      <c r="C31" s="28">
        <f t="shared" si="8"/>
        <v>0</v>
      </c>
      <c r="D31" s="27"/>
      <c r="E31" s="29">
        <f t="shared" si="9"/>
        <v>0</v>
      </c>
      <c r="F31" s="28">
        <f t="shared" si="10"/>
        <v>1180</v>
      </c>
      <c r="G31" s="27">
        <f t="shared" si="26"/>
        <v>1475</v>
      </c>
      <c r="H31" s="29">
        <f t="shared" si="5"/>
        <v>1770</v>
      </c>
      <c r="I31" s="30">
        <f t="shared" si="11"/>
        <v>1180</v>
      </c>
      <c r="J31" s="84">
        <f t="shared" si="11"/>
        <v>1475</v>
      </c>
      <c r="K31" s="31">
        <f t="shared" si="11"/>
        <v>1770</v>
      </c>
      <c r="L31" s="11">
        <f t="shared" si="20"/>
        <v>40</v>
      </c>
      <c r="M31" s="11">
        <f t="shared" si="21"/>
        <v>40</v>
      </c>
      <c r="N31" s="11">
        <f t="shared" si="22"/>
        <v>40</v>
      </c>
      <c r="O31" s="11">
        <f t="shared" si="23"/>
        <v>25</v>
      </c>
      <c r="P31" s="11">
        <f t="shared" si="24"/>
        <v>0</v>
      </c>
      <c r="Q31" s="30">
        <f t="shared" si="12"/>
        <v>137.75</v>
      </c>
      <c r="R31" s="10">
        <f t="shared" si="13"/>
        <v>145</v>
      </c>
      <c r="S31" s="31">
        <f t="shared" si="6"/>
        <v>152.25</v>
      </c>
      <c r="T31" s="30">
        <f t="shared" si="25"/>
        <v>1317.75</v>
      </c>
      <c r="U31" s="84">
        <f t="shared" si="14"/>
        <v>1620</v>
      </c>
      <c r="V31" s="31">
        <f t="shared" si="14"/>
        <v>1922.25</v>
      </c>
      <c r="W31" s="6">
        <f t="shared" si="15"/>
        <v>0.53462973342663422</v>
      </c>
      <c r="X31" s="30">
        <f t="shared" si="16"/>
        <v>704.50833122294728</v>
      </c>
      <c r="Y31" s="84">
        <f t="shared" si="17"/>
        <v>866.10016815114739</v>
      </c>
      <c r="Z31" s="31">
        <f t="shared" si="18"/>
        <v>1027.6920050793476</v>
      </c>
      <c r="AA31" s="14"/>
    </row>
    <row r="32" spans="1:29">
      <c r="A32" s="4">
        <f t="shared" si="19"/>
        <v>2038</v>
      </c>
      <c r="B32" s="4">
        <f t="shared" si="7"/>
        <v>19</v>
      </c>
      <c r="C32" s="28">
        <f t="shared" si="8"/>
        <v>0</v>
      </c>
      <c r="D32" s="27"/>
      <c r="E32" s="29">
        <f t="shared" si="9"/>
        <v>0</v>
      </c>
      <c r="F32" s="28">
        <f t="shared" si="10"/>
        <v>1180</v>
      </c>
      <c r="G32" s="27">
        <f t="shared" si="26"/>
        <v>1475</v>
      </c>
      <c r="H32" s="29">
        <f t="shared" si="5"/>
        <v>1770</v>
      </c>
      <c r="I32" s="30">
        <f t="shared" si="11"/>
        <v>1180</v>
      </c>
      <c r="J32" s="84">
        <f t="shared" si="11"/>
        <v>1475</v>
      </c>
      <c r="K32" s="31">
        <f t="shared" si="11"/>
        <v>1770</v>
      </c>
      <c r="L32" s="11">
        <f t="shared" si="20"/>
        <v>40</v>
      </c>
      <c r="M32" s="11">
        <f t="shared" si="21"/>
        <v>40</v>
      </c>
      <c r="N32" s="11">
        <f t="shared" si="22"/>
        <v>40</v>
      </c>
      <c r="O32" s="11">
        <f t="shared" si="23"/>
        <v>25</v>
      </c>
      <c r="P32" s="11">
        <f t="shared" si="24"/>
        <v>0</v>
      </c>
      <c r="Q32" s="30">
        <f t="shared" si="12"/>
        <v>137.75</v>
      </c>
      <c r="R32" s="10">
        <f t="shared" si="13"/>
        <v>145</v>
      </c>
      <c r="S32" s="31">
        <f t="shared" si="6"/>
        <v>152.25</v>
      </c>
      <c r="T32" s="30">
        <f t="shared" si="25"/>
        <v>1317.75</v>
      </c>
      <c r="U32" s="84">
        <f t="shared" si="14"/>
        <v>1620</v>
      </c>
      <c r="V32" s="31">
        <f t="shared" si="14"/>
        <v>1922.25</v>
      </c>
      <c r="W32" s="6">
        <f t="shared" si="15"/>
        <v>0.51635091117117471</v>
      </c>
      <c r="X32" s="30">
        <f t="shared" si="16"/>
        <v>680.42141319581549</v>
      </c>
      <c r="Y32" s="84">
        <f t="shared" si="17"/>
        <v>836.48847609730308</v>
      </c>
      <c r="Z32" s="31">
        <f t="shared" si="18"/>
        <v>992.55553899879055</v>
      </c>
      <c r="AA32" s="14"/>
    </row>
    <row r="33" spans="1:27">
      <c r="A33" s="4">
        <f t="shared" si="19"/>
        <v>2039</v>
      </c>
      <c r="B33" s="4">
        <f t="shared" si="7"/>
        <v>20</v>
      </c>
      <c r="C33" s="28">
        <f t="shared" si="8"/>
        <v>0</v>
      </c>
      <c r="D33" s="27"/>
      <c r="E33" s="29">
        <f t="shared" si="9"/>
        <v>0</v>
      </c>
      <c r="F33" s="28">
        <f t="shared" si="10"/>
        <v>1180</v>
      </c>
      <c r="G33" s="27">
        <f t="shared" si="26"/>
        <v>1475</v>
      </c>
      <c r="H33" s="29">
        <f t="shared" si="5"/>
        <v>1770</v>
      </c>
      <c r="I33" s="30">
        <f t="shared" si="11"/>
        <v>1180</v>
      </c>
      <c r="J33" s="84">
        <f t="shared" si="11"/>
        <v>1475</v>
      </c>
      <c r="K33" s="31">
        <f t="shared" si="11"/>
        <v>1770</v>
      </c>
      <c r="L33" s="11">
        <f t="shared" si="20"/>
        <v>40</v>
      </c>
      <c r="M33" s="11">
        <f t="shared" si="21"/>
        <v>40</v>
      </c>
      <c r="N33" s="11">
        <f t="shared" si="22"/>
        <v>40</v>
      </c>
      <c r="O33" s="11">
        <f t="shared" si="23"/>
        <v>25</v>
      </c>
      <c r="P33" s="11">
        <f t="shared" si="24"/>
        <v>0</v>
      </c>
      <c r="Q33" s="30">
        <f t="shared" si="12"/>
        <v>137.75</v>
      </c>
      <c r="R33" s="10">
        <f t="shared" si="13"/>
        <v>145</v>
      </c>
      <c r="S33" s="31">
        <f t="shared" si="6"/>
        <v>152.25</v>
      </c>
      <c r="T33" s="30">
        <f t="shared" si="25"/>
        <v>1317.75</v>
      </c>
      <c r="U33" s="84">
        <f t="shared" si="14"/>
        <v>1620</v>
      </c>
      <c r="V33" s="31">
        <f t="shared" si="14"/>
        <v>1922.25</v>
      </c>
      <c r="W33" s="6">
        <f t="shared" si="15"/>
        <v>0.49869703609346588</v>
      </c>
      <c r="X33" s="30">
        <f t="shared" si="16"/>
        <v>657.1580193121647</v>
      </c>
      <c r="Y33" s="84">
        <f t="shared" si="17"/>
        <v>807.88919847141472</v>
      </c>
      <c r="Z33" s="31">
        <f t="shared" si="18"/>
        <v>958.62037763066485</v>
      </c>
      <c r="AA33" s="14"/>
    </row>
    <row r="34" spans="1:27">
      <c r="A34" s="4">
        <f t="shared" si="19"/>
        <v>2040</v>
      </c>
      <c r="B34" s="4">
        <f t="shared" si="7"/>
        <v>21</v>
      </c>
      <c r="C34" s="28">
        <f t="shared" si="8"/>
        <v>0</v>
      </c>
      <c r="D34" s="27"/>
      <c r="E34" s="29">
        <f t="shared" si="9"/>
        <v>0</v>
      </c>
      <c r="F34" s="28">
        <f t="shared" si="10"/>
        <v>1180</v>
      </c>
      <c r="G34" s="27">
        <f t="shared" si="26"/>
        <v>1475</v>
      </c>
      <c r="H34" s="29">
        <f t="shared" si="5"/>
        <v>1770</v>
      </c>
      <c r="I34" s="30">
        <f t="shared" si="11"/>
        <v>1180</v>
      </c>
      <c r="J34" s="84">
        <f t="shared" si="11"/>
        <v>1475</v>
      </c>
      <c r="K34" s="31">
        <f t="shared" si="11"/>
        <v>1770</v>
      </c>
      <c r="L34" s="11">
        <f t="shared" si="20"/>
        <v>40</v>
      </c>
      <c r="M34" s="11">
        <f t="shared" si="21"/>
        <v>40</v>
      </c>
      <c r="N34" s="11">
        <f t="shared" si="22"/>
        <v>40</v>
      </c>
      <c r="O34" s="11">
        <f t="shared" si="23"/>
        <v>25</v>
      </c>
      <c r="P34" s="11">
        <f t="shared" si="24"/>
        <v>0</v>
      </c>
      <c r="Q34" s="30">
        <f t="shared" si="12"/>
        <v>137.75</v>
      </c>
      <c r="R34" s="10">
        <f t="shared" si="13"/>
        <v>145</v>
      </c>
      <c r="S34" s="31">
        <f t="shared" si="6"/>
        <v>152.25</v>
      </c>
      <c r="T34" s="30">
        <f t="shared" si="25"/>
        <v>1317.75</v>
      </c>
      <c r="U34" s="84">
        <f t="shared" si="14"/>
        <v>1620</v>
      </c>
      <c r="V34" s="31">
        <f t="shared" si="14"/>
        <v>1922.25</v>
      </c>
      <c r="W34" s="6">
        <f t="shared" si="15"/>
        <v>0.48164674144626801</v>
      </c>
      <c r="X34" s="30">
        <f t="shared" si="16"/>
        <v>634.68999354081973</v>
      </c>
      <c r="Y34" s="84">
        <f t="shared" si="17"/>
        <v>780.2677211429542</v>
      </c>
      <c r="Z34" s="31">
        <f t="shared" si="18"/>
        <v>925.84544874508867</v>
      </c>
      <c r="AA34" s="14"/>
    </row>
    <row r="35" spans="1:27">
      <c r="A35" s="4">
        <f t="shared" si="19"/>
        <v>2041</v>
      </c>
      <c r="B35" s="4">
        <f t="shared" si="7"/>
        <v>22</v>
      </c>
      <c r="C35" s="28">
        <f t="shared" si="8"/>
        <v>0</v>
      </c>
      <c r="D35" s="27"/>
      <c r="E35" s="29">
        <f t="shared" si="9"/>
        <v>0</v>
      </c>
      <c r="F35" s="28">
        <f t="shared" si="10"/>
        <v>1180</v>
      </c>
      <c r="G35" s="27">
        <f t="shared" si="26"/>
        <v>1475</v>
      </c>
      <c r="H35" s="29">
        <f t="shared" si="5"/>
        <v>1770</v>
      </c>
      <c r="I35" s="30">
        <f t="shared" si="11"/>
        <v>1180</v>
      </c>
      <c r="J35" s="84">
        <f t="shared" si="11"/>
        <v>1475</v>
      </c>
      <c r="K35" s="31">
        <f t="shared" si="11"/>
        <v>1770</v>
      </c>
      <c r="L35" s="11">
        <f t="shared" si="20"/>
        <v>40</v>
      </c>
      <c r="M35" s="11">
        <f t="shared" si="21"/>
        <v>40</v>
      </c>
      <c r="N35" s="11">
        <f t="shared" si="22"/>
        <v>40</v>
      </c>
      <c r="O35" s="11">
        <f t="shared" si="23"/>
        <v>25</v>
      </c>
      <c r="P35" s="11">
        <f t="shared" si="24"/>
        <v>0</v>
      </c>
      <c r="Q35" s="30">
        <f t="shared" si="12"/>
        <v>137.75</v>
      </c>
      <c r="R35" s="10">
        <f t="shared" si="13"/>
        <v>145</v>
      </c>
      <c r="S35" s="31">
        <f t="shared" si="6"/>
        <v>152.25</v>
      </c>
      <c r="T35" s="30">
        <f t="shared" si="25"/>
        <v>1317.75</v>
      </c>
      <c r="U35" s="84">
        <f t="shared" si="14"/>
        <v>1620</v>
      </c>
      <c r="V35" s="31">
        <f t="shared" si="14"/>
        <v>1922.25</v>
      </c>
      <c r="W35" s="6">
        <f t="shared" si="15"/>
        <v>0.46517939100470151</v>
      </c>
      <c r="X35" s="30">
        <f t="shared" si="16"/>
        <v>612.9901424964454</v>
      </c>
      <c r="Y35" s="84">
        <f t="shared" si="17"/>
        <v>753.5906134276164</v>
      </c>
      <c r="Z35" s="31">
        <f t="shared" si="18"/>
        <v>894.19108435878752</v>
      </c>
      <c r="AA35" s="14"/>
    </row>
    <row r="36" spans="1:27">
      <c r="A36" s="4">
        <f t="shared" si="19"/>
        <v>2042</v>
      </c>
      <c r="B36" s="4">
        <f t="shared" si="7"/>
        <v>23</v>
      </c>
      <c r="C36" s="28">
        <f t="shared" si="8"/>
        <v>0</v>
      </c>
      <c r="D36" s="27"/>
      <c r="E36" s="29">
        <f t="shared" si="9"/>
        <v>0</v>
      </c>
      <c r="F36" s="28">
        <f t="shared" si="10"/>
        <v>1180</v>
      </c>
      <c r="G36" s="27">
        <f t="shared" si="26"/>
        <v>1475</v>
      </c>
      <c r="H36" s="29">
        <f t="shared" si="5"/>
        <v>1770</v>
      </c>
      <c r="I36" s="30">
        <f t="shared" si="11"/>
        <v>1180</v>
      </c>
      <c r="J36" s="84">
        <f t="shared" si="11"/>
        <v>1475</v>
      </c>
      <c r="K36" s="31">
        <f t="shared" si="11"/>
        <v>1770</v>
      </c>
      <c r="L36" s="11">
        <f t="shared" si="20"/>
        <v>40</v>
      </c>
      <c r="M36" s="11">
        <f t="shared" si="21"/>
        <v>40</v>
      </c>
      <c r="N36" s="11">
        <f t="shared" si="22"/>
        <v>40</v>
      </c>
      <c r="O36" s="11">
        <f t="shared" si="23"/>
        <v>25</v>
      </c>
      <c r="P36" s="11">
        <f t="shared" si="24"/>
        <v>0</v>
      </c>
      <c r="Q36" s="30">
        <f t="shared" si="12"/>
        <v>137.75</v>
      </c>
      <c r="R36" s="10">
        <f t="shared" si="13"/>
        <v>145</v>
      </c>
      <c r="S36" s="31">
        <f t="shared" si="6"/>
        <v>152.25</v>
      </c>
      <c r="T36" s="30">
        <f t="shared" si="25"/>
        <v>1317.75</v>
      </c>
      <c r="U36" s="84">
        <f t="shared" si="14"/>
        <v>1620</v>
      </c>
      <c r="V36" s="31">
        <f t="shared" si="14"/>
        <v>1922.25</v>
      </c>
      <c r="W36" s="6">
        <f t="shared" si="15"/>
        <v>0.44927505408991841</v>
      </c>
      <c r="X36" s="30">
        <f t="shared" si="16"/>
        <v>592.03220252698998</v>
      </c>
      <c r="Y36" s="84">
        <f t="shared" si="17"/>
        <v>727.82558762566782</v>
      </c>
      <c r="Z36" s="31">
        <f t="shared" si="18"/>
        <v>863.61897272434567</v>
      </c>
      <c r="AA36" s="14"/>
    </row>
    <row r="37" spans="1:27">
      <c r="A37" s="4">
        <f t="shared" si="19"/>
        <v>2043</v>
      </c>
      <c r="B37" s="4">
        <f t="shared" si="7"/>
        <v>24</v>
      </c>
      <c r="C37" s="28">
        <f t="shared" si="8"/>
        <v>0</v>
      </c>
      <c r="D37" s="27"/>
      <c r="E37" s="29">
        <f t="shared" si="9"/>
        <v>0</v>
      </c>
      <c r="F37" s="28">
        <f t="shared" si="10"/>
        <v>1180</v>
      </c>
      <c r="G37" s="27">
        <f t="shared" si="26"/>
        <v>1475</v>
      </c>
      <c r="H37" s="29">
        <f t="shared" si="5"/>
        <v>1770</v>
      </c>
      <c r="I37" s="30">
        <f t="shared" si="11"/>
        <v>1180</v>
      </c>
      <c r="J37" s="84">
        <f t="shared" si="11"/>
        <v>1475</v>
      </c>
      <c r="K37" s="31">
        <f t="shared" si="11"/>
        <v>1770</v>
      </c>
      <c r="L37" s="11">
        <f t="shared" si="20"/>
        <v>40</v>
      </c>
      <c r="M37" s="11">
        <f t="shared" si="21"/>
        <v>40</v>
      </c>
      <c r="N37" s="11">
        <f t="shared" si="22"/>
        <v>40</v>
      </c>
      <c r="O37" s="11">
        <f t="shared" si="23"/>
        <v>25</v>
      </c>
      <c r="P37" s="11">
        <f t="shared" si="24"/>
        <v>0</v>
      </c>
      <c r="Q37" s="30">
        <f t="shared" si="12"/>
        <v>137.75</v>
      </c>
      <c r="R37" s="10">
        <f t="shared" si="13"/>
        <v>145</v>
      </c>
      <c r="S37" s="31">
        <f t="shared" si="6"/>
        <v>152.25</v>
      </c>
      <c r="T37" s="30">
        <f t="shared" si="25"/>
        <v>1317.75</v>
      </c>
      <c r="U37" s="84">
        <f t="shared" si="14"/>
        <v>1620</v>
      </c>
      <c r="V37" s="31">
        <f t="shared" si="14"/>
        <v>1922.25</v>
      </c>
      <c r="W37" s="6">
        <f t="shared" si="15"/>
        <v>0.43391448144670497</v>
      </c>
      <c r="X37" s="30">
        <f t="shared" si="16"/>
        <v>571.79080792639547</v>
      </c>
      <c r="Y37" s="84">
        <f t="shared" si="17"/>
        <v>702.94145994366204</v>
      </c>
      <c r="Z37" s="31">
        <f t="shared" si="18"/>
        <v>834.09211196092861</v>
      </c>
      <c r="AA37" s="14"/>
    </row>
    <row r="38" spans="1:27">
      <c r="A38" s="4">
        <f t="shared" si="19"/>
        <v>2044</v>
      </c>
      <c r="B38" s="4">
        <f t="shared" si="7"/>
        <v>25</v>
      </c>
      <c r="C38" s="28">
        <f t="shared" si="8"/>
        <v>0</v>
      </c>
      <c r="D38" s="27"/>
      <c r="E38" s="29">
        <f t="shared" si="9"/>
        <v>0</v>
      </c>
      <c r="F38" s="28">
        <f t="shared" si="10"/>
        <v>1180</v>
      </c>
      <c r="G38" s="27">
        <f t="shared" si="26"/>
        <v>1475</v>
      </c>
      <c r="H38" s="29">
        <f t="shared" si="5"/>
        <v>1770</v>
      </c>
      <c r="I38" s="30">
        <f t="shared" si="11"/>
        <v>1180</v>
      </c>
      <c r="J38" s="84">
        <f t="shared" si="11"/>
        <v>1475</v>
      </c>
      <c r="K38" s="31">
        <f t="shared" si="11"/>
        <v>1770</v>
      </c>
      <c r="L38" s="11">
        <f t="shared" si="20"/>
        <v>40</v>
      </c>
      <c r="M38" s="11">
        <f t="shared" si="21"/>
        <v>40</v>
      </c>
      <c r="N38" s="11">
        <f t="shared" si="22"/>
        <v>40</v>
      </c>
      <c r="O38" s="11">
        <f t="shared" si="23"/>
        <v>25</v>
      </c>
      <c r="P38" s="11">
        <f t="shared" si="24"/>
        <v>0</v>
      </c>
      <c r="Q38" s="30">
        <f t="shared" si="12"/>
        <v>137.75</v>
      </c>
      <c r="R38" s="10">
        <f t="shared" si="13"/>
        <v>145</v>
      </c>
      <c r="S38" s="31">
        <f t="shared" si="6"/>
        <v>152.25</v>
      </c>
      <c r="T38" s="30">
        <f t="shared" si="25"/>
        <v>1317.75</v>
      </c>
      <c r="U38" s="84">
        <f t="shared" si="14"/>
        <v>1620</v>
      </c>
      <c r="V38" s="31">
        <f t="shared" si="14"/>
        <v>1922.25</v>
      </c>
      <c r="W38" s="7">
        <f t="shared" si="15"/>
        <v>0.41907908194582277</v>
      </c>
      <c r="X38" s="30">
        <f t="shared" si="16"/>
        <v>552.24146023410799</v>
      </c>
      <c r="Y38" s="84">
        <f t="shared" si="17"/>
        <v>678.90811275223291</v>
      </c>
      <c r="Z38" s="31">
        <f t="shared" si="18"/>
        <v>805.57476527035783</v>
      </c>
      <c r="AA38" s="14"/>
    </row>
    <row r="39" spans="1:27">
      <c r="A39" s="4">
        <f t="shared" si="19"/>
        <v>2045</v>
      </c>
      <c r="B39" s="4">
        <f t="shared" si="7"/>
        <v>26</v>
      </c>
      <c r="C39" s="28">
        <f t="shared" si="8"/>
        <v>0</v>
      </c>
      <c r="D39" s="27"/>
      <c r="E39" s="29">
        <f t="shared" si="9"/>
        <v>0</v>
      </c>
      <c r="F39" s="28">
        <f t="shared" si="10"/>
        <v>1180</v>
      </c>
      <c r="G39" s="27">
        <f t="shared" si="26"/>
        <v>1475</v>
      </c>
      <c r="H39" s="29">
        <f t="shared" si="5"/>
        <v>1770</v>
      </c>
      <c r="I39" s="30">
        <f t="shared" si="11"/>
        <v>1180</v>
      </c>
      <c r="J39" s="84">
        <f t="shared" si="11"/>
        <v>1475</v>
      </c>
      <c r="K39" s="31">
        <f t="shared" si="11"/>
        <v>1770</v>
      </c>
      <c r="L39" s="11">
        <f t="shared" si="20"/>
        <v>40</v>
      </c>
      <c r="M39" s="11">
        <f t="shared" si="21"/>
        <v>40</v>
      </c>
      <c r="N39" s="11">
        <f t="shared" si="22"/>
        <v>40</v>
      </c>
      <c r="O39" s="11">
        <f t="shared" si="23"/>
        <v>25</v>
      </c>
      <c r="P39" s="11">
        <f t="shared" si="24"/>
        <v>0</v>
      </c>
      <c r="Q39" s="30">
        <f t="shared" si="12"/>
        <v>137.75</v>
      </c>
      <c r="R39" s="10">
        <f t="shared" si="13"/>
        <v>145</v>
      </c>
      <c r="S39" s="31">
        <f t="shared" si="6"/>
        <v>152.25</v>
      </c>
      <c r="T39" s="30">
        <f t="shared" si="25"/>
        <v>1317.75</v>
      </c>
      <c r="U39" s="84">
        <f t="shared" si="14"/>
        <v>1620</v>
      </c>
      <c r="V39" s="31">
        <f t="shared" si="14"/>
        <v>1922.25</v>
      </c>
      <c r="W39" s="7">
        <f t="shared" si="15"/>
        <v>0.40475090008288855</v>
      </c>
      <c r="X39" s="30">
        <f t="shared" si="16"/>
        <v>533.36049858422643</v>
      </c>
      <c r="Y39" s="84">
        <f t="shared" si="17"/>
        <v>655.69645813427951</v>
      </c>
      <c r="Z39" s="31">
        <f t="shared" si="18"/>
        <v>778.03241768433247</v>
      </c>
      <c r="AA39" s="14"/>
    </row>
    <row r="40" spans="1:27">
      <c r="A40" s="4">
        <f t="shared" si="19"/>
        <v>2046</v>
      </c>
      <c r="B40" s="4">
        <f t="shared" si="7"/>
        <v>27</v>
      </c>
      <c r="C40" s="28">
        <f t="shared" si="8"/>
        <v>0</v>
      </c>
      <c r="D40" s="27"/>
      <c r="E40" s="29">
        <f t="shared" si="9"/>
        <v>0</v>
      </c>
      <c r="F40" s="28">
        <f t="shared" si="10"/>
        <v>1180</v>
      </c>
      <c r="G40" s="27">
        <f t="shared" si="26"/>
        <v>1475</v>
      </c>
      <c r="H40" s="29">
        <f t="shared" si="5"/>
        <v>1770</v>
      </c>
      <c r="I40" s="30">
        <f t="shared" si="11"/>
        <v>1180</v>
      </c>
      <c r="J40" s="84">
        <f t="shared" si="11"/>
        <v>1475</v>
      </c>
      <c r="K40" s="31">
        <f t="shared" si="11"/>
        <v>1770</v>
      </c>
      <c r="L40" s="11">
        <f t="shared" si="20"/>
        <v>40</v>
      </c>
      <c r="M40" s="11">
        <f t="shared" si="21"/>
        <v>40</v>
      </c>
      <c r="N40" s="11">
        <f t="shared" si="22"/>
        <v>40</v>
      </c>
      <c r="O40" s="11">
        <f t="shared" si="23"/>
        <v>25</v>
      </c>
      <c r="P40" s="11">
        <f t="shared" si="24"/>
        <v>0</v>
      </c>
      <c r="Q40" s="30">
        <f t="shared" si="12"/>
        <v>137.75</v>
      </c>
      <c r="R40" s="10">
        <f t="shared" si="13"/>
        <v>145</v>
      </c>
      <c r="S40" s="31">
        <f t="shared" si="6"/>
        <v>152.25</v>
      </c>
      <c r="T40" s="30">
        <f t="shared" si="25"/>
        <v>1317.75</v>
      </c>
      <c r="U40" s="84">
        <f t="shared" si="14"/>
        <v>1620</v>
      </c>
      <c r="V40" s="31">
        <f t="shared" si="14"/>
        <v>1922.25</v>
      </c>
      <c r="W40" s="7">
        <f t="shared" si="15"/>
        <v>0.39091259424656027</v>
      </c>
      <c r="X40" s="30">
        <f t="shared" si="16"/>
        <v>515.12507106840485</v>
      </c>
      <c r="Y40" s="84">
        <f t="shared" si="17"/>
        <v>633.2784026794277</v>
      </c>
      <c r="Z40" s="31">
        <f t="shared" si="18"/>
        <v>751.43173429045044</v>
      </c>
      <c r="AA40" s="14"/>
    </row>
    <row r="41" spans="1:27">
      <c r="A41" s="4">
        <f t="shared" si="19"/>
        <v>2047</v>
      </c>
      <c r="B41" s="4">
        <f t="shared" si="7"/>
        <v>28</v>
      </c>
      <c r="C41" s="28">
        <f t="shared" si="8"/>
        <v>0</v>
      </c>
      <c r="D41" s="27"/>
      <c r="E41" s="29">
        <f t="shared" si="9"/>
        <v>0</v>
      </c>
      <c r="F41" s="28">
        <f t="shared" si="10"/>
        <v>1180</v>
      </c>
      <c r="G41" s="27">
        <f t="shared" si="26"/>
        <v>1475</v>
      </c>
      <c r="H41" s="29">
        <f t="shared" si="5"/>
        <v>1770</v>
      </c>
      <c r="I41" s="30">
        <f t="shared" si="11"/>
        <v>1180</v>
      </c>
      <c r="J41" s="84">
        <f t="shared" si="11"/>
        <v>1475</v>
      </c>
      <c r="K41" s="31">
        <f t="shared" si="11"/>
        <v>1770</v>
      </c>
      <c r="L41" s="11">
        <f t="shared" si="20"/>
        <v>40</v>
      </c>
      <c r="M41" s="11">
        <f t="shared" si="21"/>
        <v>40</v>
      </c>
      <c r="N41" s="11">
        <f t="shared" si="22"/>
        <v>40</v>
      </c>
      <c r="O41" s="11">
        <f t="shared" si="23"/>
        <v>25</v>
      </c>
      <c r="P41" s="11">
        <f t="shared" si="24"/>
        <v>0</v>
      </c>
      <c r="Q41" s="30">
        <f t="shared" si="12"/>
        <v>137.75</v>
      </c>
      <c r="R41" s="10">
        <f t="shared" si="13"/>
        <v>145</v>
      </c>
      <c r="S41" s="31">
        <f t="shared" si="6"/>
        <v>152.25</v>
      </c>
      <c r="T41" s="30">
        <f t="shared" si="25"/>
        <v>1317.75</v>
      </c>
      <c r="U41" s="84">
        <f t="shared" si="14"/>
        <v>1620</v>
      </c>
      <c r="V41" s="31">
        <f t="shared" si="14"/>
        <v>1922.25</v>
      </c>
      <c r="W41" s="7">
        <f t="shared" si="15"/>
        <v>0.37754741572972783</v>
      </c>
      <c r="X41" s="30">
        <f t="shared" si="16"/>
        <v>497.51310707784887</v>
      </c>
      <c r="Y41" s="84">
        <f t="shared" si="17"/>
        <v>611.62681348215904</v>
      </c>
      <c r="Z41" s="31">
        <f t="shared" si="18"/>
        <v>725.74051988646931</v>
      </c>
      <c r="AA41" s="14"/>
    </row>
    <row r="42" spans="1:27">
      <c r="A42" s="4">
        <f t="shared" si="19"/>
        <v>2048</v>
      </c>
      <c r="B42" s="4">
        <f t="shared" si="7"/>
        <v>29</v>
      </c>
      <c r="C42" s="28">
        <f t="shared" si="8"/>
        <v>0</v>
      </c>
      <c r="D42" s="27"/>
      <c r="E42" s="29">
        <f t="shared" si="9"/>
        <v>0</v>
      </c>
      <c r="F42" s="28">
        <f t="shared" si="10"/>
        <v>1180</v>
      </c>
      <c r="G42" s="27">
        <f t="shared" si="26"/>
        <v>1475</v>
      </c>
      <c r="H42" s="29">
        <f t="shared" si="5"/>
        <v>1770</v>
      </c>
      <c r="I42" s="30">
        <f t="shared" si="11"/>
        <v>1180</v>
      </c>
      <c r="J42" s="84">
        <f t="shared" si="11"/>
        <v>1475</v>
      </c>
      <c r="K42" s="31">
        <f t="shared" si="11"/>
        <v>1770</v>
      </c>
      <c r="L42" s="11">
        <f t="shared" si="20"/>
        <v>40</v>
      </c>
      <c r="M42" s="11">
        <f t="shared" si="21"/>
        <v>40</v>
      </c>
      <c r="N42" s="11">
        <f t="shared" si="22"/>
        <v>40</v>
      </c>
      <c r="O42" s="11">
        <f t="shared" si="23"/>
        <v>25</v>
      </c>
      <c r="P42" s="11">
        <f t="shared" si="24"/>
        <v>0</v>
      </c>
      <c r="Q42" s="30">
        <f t="shared" si="12"/>
        <v>137.75</v>
      </c>
      <c r="R42" s="10">
        <f t="shared" si="13"/>
        <v>145</v>
      </c>
      <c r="S42" s="31">
        <f t="shared" si="6"/>
        <v>152.25</v>
      </c>
      <c r="T42" s="30">
        <f t="shared" si="25"/>
        <v>1317.75</v>
      </c>
      <c r="U42" s="84">
        <f t="shared" si="14"/>
        <v>1620</v>
      </c>
      <c r="V42" s="31">
        <f t="shared" si="14"/>
        <v>1922.25</v>
      </c>
      <c r="W42" s="7">
        <f t="shared" si="15"/>
        <v>0.36463918845830384</v>
      </c>
      <c r="X42" s="30">
        <f t="shared" si="16"/>
        <v>480.50329059092991</v>
      </c>
      <c r="Y42" s="84">
        <f t="shared" si="17"/>
        <v>590.71548530245218</v>
      </c>
      <c r="Z42" s="31">
        <f t="shared" si="18"/>
        <v>700.92768001397451</v>
      </c>
      <c r="AA42" s="14"/>
    </row>
    <row r="43" spans="1:27">
      <c r="A43" s="4">
        <f t="shared" si="19"/>
        <v>2049</v>
      </c>
      <c r="B43" s="4">
        <f t="shared" si="7"/>
        <v>30</v>
      </c>
      <c r="C43" s="28">
        <f t="shared" si="8"/>
        <v>0</v>
      </c>
      <c r="D43" s="27"/>
      <c r="E43" s="29">
        <f t="shared" si="9"/>
        <v>0</v>
      </c>
      <c r="F43" s="28">
        <f t="shared" si="10"/>
        <v>1180</v>
      </c>
      <c r="G43" s="27">
        <f t="shared" si="26"/>
        <v>1475</v>
      </c>
      <c r="H43" s="29">
        <f t="shared" si="5"/>
        <v>1770</v>
      </c>
      <c r="I43" s="30">
        <f t="shared" si="11"/>
        <v>1180</v>
      </c>
      <c r="J43" s="84">
        <f t="shared" si="11"/>
        <v>1475</v>
      </c>
      <c r="K43" s="31">
        <f t="shared" si="11"/>
        <v>1770</v>
      </c>
      <c r="L43" s="11">
        <f t="shared" si="20"/>
        <v>40</v>
      </c>
      <c r="M43" s="11">
        <f t="shared" si="21"/>
        <v>40</v>
      </c>
      <c r="N43" s="11">
        <f t="shared" si="22"/>
        <v>40</v>
      </c>
      <c r="O43" s="11">
        <f t="shared" si="23"/>
        <v>25</v>
      </c>
      <c r="P43" s="11">
        <f t="shared" si="24"/>
        <v>0</v>
      </c>
      <c r="Q43" s="30">
        <f t="shared" si="12"/>
        <v>137.75</v>
      </c>
      <c r="R43" s="10">
        <f t="shared" si="13"/>
        <v>145</v>
      </c>
      <c r="S43" s="31">
        <f t="shared" si="6"/>
        <v>152.25</v>
      </c>
      <c r="T43" s="30">
        <f t="shared" si="25"/>
        <v>1317.75</v>
      </c>
      <c r="U43" s="84">
        <f t="shared" si="14"/>
        <v>1620</v>
      </c>
      <c r="V43" s="31">
        <f t="shared" si="14"/>
        <v>1922.25</v>
      </c>
      <c r="W43" s="7">
        <f t="shared" si="15"/>
        <v>0.35217228941308076</v>
      </c>
      <c r="X43" s="30">
        <f t="shared" si="16"/>
        <v>464.07503437408718</v>
      </c>
      <c r="Y43" s="84">
        <f t="shared" si="17"/>
        <v>570.51910884919084</v>
      </c>
      <c r="Z43" s="31">
        <f t="shared" si="18"/>
        <v>676.9631833242945</v>
      </c>
      <c r="AA43" s="14"/>
    </row>
    <row r="44" spans="1:27">
      <c r="A44" s="4">
        <f t="shared" si="19"/>
        <v>2050</v>
      </c>
      <c r="B44" s="4">
        <f t="shared" si="7"/>
        <v>31</v>
      </c>
      <c r="C44" s="28">
        <f t="shared" si="8"/>
        <v>0</v>
      </c>
      <c r="D44" s="27"/>
      <c r="E44" s="29">
        <f t="shared" si="9"/>
        <v>0</v>
      </c>
      <c r="F44" s="28">
        <f t="shared" si="10"/>
        <v>1180</v>
      </c>
      <c r="G44" s="27">
        <f t="shared" si="26"/>
        <v>1475</v>
      </c>
      <c r="H44" s="29">
        <f t="shared" si="5"/>
        <v>1770</v>
      </c>
      <c r="I44" s="30">
        <f t="shared" si="11"/>
        <v>1180</v>
      </c>
      <c r="J44" s="84">
        <f t="shared" si="11"/>
        <v>1475</v>
      </c>
      <c r="K44" s="31">
        <f t="shared" si="11"/>
        <v>1770</v>
      </c>
      <c r="L44" s="11">
        <f t="shared" si="20"/>
        <v>40</v>
      </c>
      <c r="M44" s="11">
        <f t="shared" si="21"/>
        <v>40</v>
      </c>
      <c r="N44" s="11">
        <f t="shared" si="22"/>
        <v>40</v>
      </c>
      <c r="O44" s="11">
        <f t="shared" si="23"/>
        <v>25</v>
      </c>
      <c r="P44" s="11">
        <f t="shared" si="24"/>
        <v>0</v>
      </c>
      <c r="Q44" s="30">
        <f t="shared" si="12"/>
        <v>137.75</v>
      </c>
      <c r="R44" s="10">
        <f t="shared" si="13"/>
        <v>145</v>
      </c>
      <c r="S44" s="31">
        <f t="shared" si="6"/>
        <v>152.25</v>
      </c>
      <c r="T44" s="30">
        <f t="shared" si="25"/>
        <v>1317.75</v>
      </c>
      <c r="U44" s="84">
        <f t="shared" si="14"/>
        <v>1620</v>
      </c>
      <c r="V44" s="31">
        <f t="shared" si="14"/>
        <v>1922.25</v>
      </c>
      <c r="W44" s="7">
        <f t="shared" si="15"/>
        <v>0.34013162972095884</v>
      </c>
      <c r="X44" s="30">
        <f t="shared" si="16"/>
        <v>448.2084550647935</v>
      </c>
      <c r="Y44" s="84">
        <f t="shared" si="17"/>
        <v>551.0132401479533</v>
      </c>
      <c r="Z44" s="31">
        <f t="shared" si="18"/>
        <v>653.8180252311131</v>
      </c>
      <c r="AA44" s="14" t="s">
        <v>71</v>
      </c>
    </row>
    <row r="45" spans="1:27">
      <c r="A45" s="4">
        <f t="shared" si="19"/>
        <v>2051</v>
      </c>
      <c r="B45" s="4">
        <f t="shared" si="7"/>
        <v>32</v>
      </c>
      <c r="C45" s="28">
        <f t="shared" si="8"/>
        <v>0</v>
      </c>
      <c r="D45" s="27"/>
      <c r="E45" s="29">
        <f t="shared" si="9"/>
        <v>0</v>
      </c>
      <c r="F45" s="28">
        <f t="shared" si="10"/>
        <v>1180</v>
      </c>
      <c r="G45" s="27">
        <f t="shared" si="26"/>
        <v>1475</v>
      </c>
      <c r="H45" s="29">
        <f t="shared" ref="H45:H73" si="27">G45*(1+$H$11)</f>
        <v>1770</v>
      </c>
      <c r="I45" s="30">
        <f t="shared" si="11"/>
        <v>1180</v>
      </c>
      <c r="J45" s="84">
        <f t="shared" si="11"/>
        <v>1475</v>
      </c>
      <c r="K45" s="31">
        <f t="shared" si="11"/>
        <v>1770</v>
      </c>
      <c r="L45" s="11">
        <f t="shared" si="20"/>
        <v>40</v>
      </c>
      <c r="M45" s="11">
        <f t="shared" si="21"/>
        <v>40</v>
      </c>
      <c r="N45" s="11">
        <f t="shared" si="22"/>
        <v>40</v>
      </c>
      <c r="O45" s="11">
        <f t="shared" si="23"/>
        <v>25</v>
      </c>
      <c r="P45" s="11">
        <f t="shared" si="24"/>
        <v>0</v>
      </c>
      <c r="Q45" s="30">
        <f t="shared" si="12"/>
        <v>137.75</v>
      </c>
      <c r="R45" s="10">
        <f t="shared" ref="R45:R73" si="28">SUM(L45:P45)</f>
        <v>145</v>
      </c>
      <c r="S45" s="31">
        <f t="shared" ref="S45:S73" si="29">R45*(1+$S$11)</f>
        <v>152.25</v>
      </c>
      <c r="T45" s="30">
        <f t="shared" si="25"/>
        <v>1317.75</v>
      </c>
      <c r="U45" s="84">
        <f t="shared" si="14"/>
        <v>1620</v>
      </c>
      <c r="V45" s="31">
        <f t="shared" si="14"/>
        <v>1922.25</v>
      </c>
      <c r="W45" s="7">
        <f t="shared" si="15"/>
        <v>0.3285026363926587</v>
      </c>
      <c r="X45" s="30">
        <f t="shared" si="16"/>
        <v>432.88434910642599</v>
      </c>
      <c r="Y45" s="84">
        <f t="shared" si="17"/>
        <v>532.17427095610708</v>
      </c>
      <c r="Z45" s="31">
        <f t="shared" si="18"/>
        <v>631.46419280578823</v>
      </c>
      <c r="AA45" s="14"/>
    </row>
    <row r="46" spans="1:27">
      <c r="A46" s="4">
        <f t="shared" si="19"/>
        <v>2052</v>
      </c>
      <c r="B46" s="4">
        <f t="shared" si="7"/>
        <v>33</v>
      </c>
      <c r="C46" s="28">
        <f t="shared" si="8"/>
        <v>0</v>
      </c>
      <c r="D46" s="27"/>
      <c r="E46" s="29">
        <f t="shared" si="9"/>
        <v>0</v>
      </c>
      <c r="F46" s="28">
        <f t="shared" si="10"/>
        <v>1180</v>
      </c>
      <c r="G46" s="27">
        <f t="shared" si="26"/>
        <v>1475</v>
      </c>
      <c r="H46" s="29">
        <f t="shared" si="27"/>
        <v>1770</v>
      </c>
      <c r="I46" s="30">
        <f t="shared" si="11"/>
        <v>1180</v>
      </c>
      <c r="J46" s="84">
        <f t="shared" si="11"/>
        <v>1475</v>
      </c>
      <c r="K46" s="31">
        <f t="shared" si="11"/>
        <v>1770</v>
      </c>
      <c r="L46" s="11">
        <f t="shared" si="20"/>
        <v>40</v>
      </c>
      <c r="M46" s="11">
        <f t="shared" si="21"/>
        <v>40</v>
      </c>
      <c r="N46" s="11">
        <f t="shared" si="22"/>
        <v>40</v>
      </c>
      <c r="O46" s="11">
        <f t="shared" si="23"/>
        <v>25</v>
      </c>
      <c r="P46" s="11">
        <f t="shared" si="24"/>
        <v>0</v>
      </c>
      <c r="Q46" s="30">
        <f t="shared" si="12"/>
        <v>137.75</v>
      </c>
      <c r="R46" s="10">
        <f t="shared" si="28"/>
        <v>145</v>
      </c>
      <c r="S46" s="31">
        <f t="shared" si="29"/>
        <v>152.25</v>
      </c>
      <c r="T46" s="30">
        <f t="shared" si="25"/>
        <v>1317.75</v>
      </c>
      <c r="U46" s="84">
        <f t="shared" si="14"/>
        <v>1620</v>
      </c>
      <c r="V46" s="31">
        <f t="shared" si="14"/>
        <v>1922.25</v>
      </c>
      <c r="W46" s="7">
        <f t="shared" ref="W46:W73" si="30">(1/(1+$C$3))^B46</f>
        <v>0.31727123468481616</v>
      </c>
      <c r="X46" s="30">
        <f t="shared" si="16"/>
        <v>418.08416950591652</v>
      </c>
      <c r="Y46" s="84">
        <f t="shared" si="17"/>
        <v>513.97940018940221</v>
      </c>
      <c r="Z46" s="31">
        <f t="shared" si="18"/>
        <v>609.87463087288791</v>
      </c>
      <c r="AA46" s="14"/>
    </row>
    <row r="47" spans="1:27">
      <c r="A47" s="4">
        <f t="shared" si="19"/>
        <v>2053</v>
      </c>
      <c r="B47" s="4">
        <f t="shared" si="7"/>
        <v>34</v>
      </c>
      <c r="C47" s="28">
        <f t="shared" si="8"/>
        <v>0</v>
      </c>
      <c r="D47" s="27"/>
      <c r="E47" s="29">
        <f t="shared" si="9"/>
        <v>0</v>
      </c>
      <c r="F47" s="28">
        <f t="shared" si="10"/>
        <v>1180</v>
      </c>
      <c r="G47" s="27">
        <f t="shared" si="26"/>
        <v>1475</v>
      </c>
      <c r="H47" s="29">
        <f t="shared" si="27"/>
        <v>1770</v>
      </c>
      <c r="I47" s="30">
        <f t="shared" si="11"/>
        <v>1180</v>
      </c>
      <c r="J47" s="84">
        <f t="shared" si="11"/>
        <v>1475</v>
      </c>
      <c r="K47" s="31">
        <f t="shared" si="11"/>
        <v>1770</v>
      </c>
      <c r="L47" s="11">
        <f t="shared" si="20"/>
        <v>40</v>
      </c>
      <c r="M47" s="11">
        <f t="shared" si="21"/>
        <v>40</v>
      </c>
      <c r="N47" s="11">
        <f t="shared" si="22"/>
        <v>40</v>
      </c>
      <c r="O47" s="11">
        <f t="shared" si="23"/>
        <v>25</v>
      </c>
      <c r="P47" s="11">
        <f t="shared" si="24"/>
        <v>0</v>
      </c>
      <c r="Q47" s="30">
        <f t="shared" si="12"/>
        <v>137.75</v>
      </c>
      <c r="R47" s="10">
        <f t="shared" si="28"/>
        <v>145</v>
      </c>
      <c r="S47" s="31">
        <f t="shared" si="29"/>
        <v>152.25</v>
      </c>
      <c r="T47" s="30">
        <f t="shared" si="25"/>
        <v>1317.75</v>
      </c>
      <c r="U47" s="84">
        <f t="shared" si="14"/>
        <v>1620</v>
      </c>
      <c r="V47" s="31">
        <f t="shared" si="14"/>
        <v>1922.25</v>
      </c>
      <c r="W47" s="7">
        <f t="shared" si="30"/>
        <v>0.30642383106511123</v>
      </c>
      <c r="X47" s="30">
        <f t="shared" si="16"/>
        <v>403.79000338605033</v>
      </c>
      <c r="Y47" s="84">
        <f t="shared" si="17"/>
        <v>496.4066063254802</v>
      </c>
      <c r="Z47" s="31">
        <f t="shared" si="18"/>
        <v>589.02320926491007</v>
      </c>
      <c r="AA47" s="14"/>
    </row>
    <row r="48" spans="1:27">
      <c r="A48" s="4">
        <f t="shared" si="19"/>
        <v>2054</v>
      </c>
      <c r="B48" s="4">
        <f t="shared" si="7"/>
        <v>35</v>
      </c>
      <c r="C48" s="28">
        <f t="shared" si="8"/>
        <v>0</v>
      </c>
      <c r="D48" s="27"/>
      <c r="E48" s="29">
        <f t="shared" si="9"/>
        <v>0</v>
      </c>
      <c r="F48" s="28">
        <f t="shared" si="10"/>
        <v>1180</v>
      </c>
      <c r="G48" s="27">
        <f t="shared" si="26"/>
        <v>1475</v>
      </c>
      <c r="H48" s="29">
        <f t="shared" si="27"/>
        <v>1770</v>
      </c>
      <c r="I48" s="30">
        <f t="shared" si="11"/>
        <v>1180</v>
      </c>
      <c r="J48" s="84">
        <f t="shared" si="11"/>
        <v>1475</v>
      </c>
      <c r="K48" s="31">
        <f t="shared" si="11"/>
        <v>1770</v>
      </c>
      <c r="L48" s="11">
        <f t="shared" si="20"/>
        <v>40</v>
      </c>
      <c r="M48" s="11">
        <f t="shared" si="21"/>
        <v>40</v>
      </c>
      <c r="N48" s="11">
        <f t="shared" si="22"/>
        <v>40</v>
      </c>
      <c r="O48" s="11">
        <f t="shared" si="23"/>
        <v>25</v>
      </c>
      <c r="P48" s="11">
        <f t="shared" si="24"/>
        <v>0</v>
      </c>
      <c r="Q48" s="30">
        <f t="shared" si="12"/>
        <v>137.75</v>
      </c>
      <c r="R48" s="10">
        <f t="shared" si="28"/>
        <v>145</v>
      </c>
      <c r="S48" s="31">
        <f t="shared" si="29"/>
        <v>152.25</v>
      </c>
      <c r="T48" s="30">
        <f t="shared" si="25"/>
        <v>1317.75</v>
      </c>
      <c r="U48" s="84">
        <f t="shared" si="14"/>
        <v>1620</v>
      </c>
      <c r="V48" s="31">
        <f t="shared" si="14"/>
        <v>1922.25</v>
      </c>
      <c r="W48" s="7">
        <f t="shared" si="30"/>
        <v>0.29594729675981379</v>
      </c>
      <c r="X48" s="30">
        <f t="shared" si="16"/>
        <v>389.98455030524462</v>
      </c>
      <c r="Y48" s="84">
        <f t="shared" si="17"/>
        <v>479.43462075089832</v>
      </c>
      <c r="Z48" s="31">
        <f t="shared" si="18"/>
        <v>568.88469119655201</v>
      </c>
      <c r="AA48" s="14"/>
    </row>
    <row r="49" spans="1:27">
      <c r="A49" s="4">
        <f t="shared" si="19"/>
        <v>2055</v>
      </c>
      <c r="B49" s="4">
        <f t="shared" si="7"/>
        <v>36</v>
      </c>
      <c r="C49" s="28">
        <f t="shared" si="8"/>
        <v>0</v>
      </c>
      <c r="D49" s="27"/>
      <c r="E49" s="29">
        <f t="shared" si="9"/>
        <v>0</v>
      </c>
      <c r="F49" s="28">
        <f t="shared" si="10"/>
        <v>1180</v>
      </c>
      <c r="G49" s="27">
        <f t="shared" si="26"/>
        <v>1475</v>
      </c>
      <c r="H49" s="29">
        <f t="shared" si="27"/>
        <v>1770</v>
      </c>
      <c r="I49" s="30">
        <f t="shared" si="11"/>
        <v>1180</v>
      </c>
      <c r="J49" s="84">
        <f t="shared" si="11"/>
        <v>1475</v>
      </c>
      <c r="K49" s="31">
        <f t="shared" si="11"/>
        <v>1770</v>
      </c>
      <c r="L49" s="11">
        <f t="shared" si="20"/>
        <v>40</v>
      </c>
      <c r="M49" s="11">
        <f t="shared" si="21"/>
        <v>40</v>
      </c>
      <c r="N49" s="11">
        <f t="shared" si="22"/>
        <v>40</v>
      </c>
      <c r="O49" s="11">
        <f t="shared" si="23"/>
        <v>25</v>
      </c>
      <c r="P49" s="11">
        <f t="shared" si="24"/>
        <v>0</v>
      </c>
      <c r="Q49" s="30">
        <f t="shared" si="12"/>
        <v>137.75</v>
      </c>
      <c r="R49" s="10">
        <f t="shared" si="28"/>
        <v>145</v>
      </c>
      <c r="S49" s="31">
        <f t="shared" si="29"/>
        <v>152.25</v>
      </c>
      <c r="T49" s="30">
        <f t="shared" si="25"/>
        <v>1317.75</v>
      </c>
      <c r="U49" s="84">
        <f t="shared" si="14"/>
        <v>1620</v>
      </c>
      <c r="V49" s="31">
        <f t="shared" si="14"/>
        <v>1922.25</v>
      </c>
      <c r="W49" s="7">
        <f t="shared" si="30"/>
        <v>0.28582895186383406</v>
      </c>
      <c r="X49" s="30">
        <f t="shared" si="16"/>
        <v>376.65110131856733</v>
      </c>
      <c r="Y49" s="84">
        <f t="shared" si="17"/>
        <v>463.0429020194112</v>
      </c>
      <c r="Z49" s="31">
        <f t="shared" si="18"/>
        <v>549.43470272025502</v>
      </c>
      <c r="AA49" s="14"/>
    </row>
    <row r="50" spans="1:27">
      <c r="A50" s="4">
        <f t="shared" si="19"/>
        <v>2056</v>
      </c>
      <c r="B50" s="4">
        <f t="shared" si="7"/>
        <v>37</v>
      </c>
      <c r="C50" s="28">
        <f t="shared" si="8"/>
        <v>0</v>
      </c>
      <c r="D50" s="27"/>
      <c r="E50" s="29">
        <f t="shared" si="9"/>
        <v>0</v>
      </c>
      <c r="F50" s="28">
        <f t="shared" si="10"/>
        <v>1180</v>
      </c>
      <c r="G50" s="27">
        <f t="shared" si="26"/>
        <v>1475</v>
      </c>
      <c r="H50" s="29">
        <f t="shared" si="27"/>
        <v>1770</v>
      </c>
      <c r="I50" s="30">
        <f t="shared" si="11"/>
        <v>1180</v>
      </c>
      <c r="J50" s="84">
        <f t="shared" si="11"/>
        <v>1475</v>
      </c>
      <c r="K50" s="31">
        <f t="shared" si="11"/>
        <v>1770</v>
      </c>
      <c r="L50" s="11">
        <f t="shared" si="20"/>
        <v>40</v>
      </c>
      <c r="M50" s="11">
        <f t="shared" si="21"/>
        <v>40</v>
      </c>
      <c r="N50" s="11">
        <f t="shared" si="22"/>
        <v>40</v>
      </c>
      <c r="O50" s="11">
        <f t="shared" si="23"/>
        <v>25</v>
      </c>
      <c r="P50" s="11">
        <f t="shared" si="24"/>
        <v>0</v>
      </c>
      <c r="Q50" s="30">
        <f t="shared" si="12"/>
        <v>137.75</v>
      </c>
      <c r="R50" s="10">
        <f t="shared" si="28"/>
        <v>145</v>
      </c>
      <c r="S50" s="31">
        <f t="shared" si="29"/>
        <v>152.25</v>
      </c>
      <c r="T50" s="30">
        <f t="shared" si="25"/>
        <v>1317.75</v>
      </c>
      <c r="U50" s="84">
        <f t="shared" si="14"/>
        <v>1620</v>
      </c>
      <c r="V50" s="31">
        <f t="shared" si="14"/>
        <v>1922.25</v>
      </c>
      <c r="W50" s="7">
        <f t="shared" si="30"/>
        <v>0.27605654999404483</v>
      </c>
      <c r="X50" s="30">
        <f t="shared" si="16"/>
        <v>363.77351875465257</v>
      </c>
      <c r="Y50" s="84">
        <f t="shared" si="17"/>
        <v>447.21161099035265</v>
      </c>
      <c r="Z50" s="31">
        <f t="shared" si="18"/>
        <v>530.64970322605268</v>
      </c>
      <c r="AA50" s="14"/>
    </row>
    <row r="51" spans="1:27">
      <c r="A51" s="4">
        <f t="shared" si="19"/>
        <v>2057</v>
      </c>
      <c r="B51" s="4">
        <f t="shared" si="7"/>
        <v>38</v>
      </c>
      <c r="C51" s="28">
        <f t="shared" si="8"/>
        <v>0</v>
      </c>
      <c r="D51" s="27"/>
      <c r="E51" s="29">
        <f t="shared" si="9"/>
        <v>0</v>
      </c>
      <c r="F51" s="28">
        <f t="shared" si="10"/>
        <v>1180</v>
      </c>
      <c r="G51" s="27">
        <f t="shared" si="26"/>
        <v>1475</v>
      </c>
      <c r="H51" s="29">
        <f t="shared" si="27"/>
        <v>1770</v>
      </c>
      <c r="I51" s="30">
        <f t="shared" si="11"/>
        <v>1180</v>
      </c>
      <c r="J51" s="84">
        <f t="shared" si="11"/>
        <v>1475</v>
      </c>
      <c r="K51" s="31">
        <f t="shared" si="11"/>
        <v>1770</v>
      </c>
      <c r="L51" s="11">
        <f t="shared" si="20"/>
        <v>40</v>
      </c>
      <c r="M51" s="11">
        <f t="shared" si="21"/>
        <v>40</v>
      </c>
      <c r="N51" s="11">
        <f t="shared" si="22"/>
        <v>40</v>
      </c>
      <c r="O51" s="11">
        <f t="shared" si="23"/>
        <v>25</v>
      </c>
      <c r="P51" s="11">
        <f t="shared" si="24"/>
        <v>0</v>
      </c>
      <c r="Q51" s="30">
        <f t="shared" si="12"/>
        <v>137.75</v>
      </c>
      <c r="R51" s="10">
        <f t="shared" si="28"/>
        <v>145</v>
      </c>
      <c r="S51" s="31">
        <f t="shared" si="29"/>
        <v>152.25</v>
      </c>
      <c r="T51" s="30">
        <f t="shared" si="25"/>
        <v>1317.75</v>
      </c>
      <c r="U51" s="84">
        <f t="shared" si="14"/>
        <v>1620</v>
      </c>
      <c r="V51" s="31">
        <f t="shared" si="14"/>
        <v>1922.25</v>
      </c>
      <c r="W51" s="7">
        <f t="shared" si="30"/>
        <v>0.26661826346730227</v>
      </c>
      <c r="X51" s="30">
        <f t="shared" si="16"/>
        <v>351.33621668403759</v>
      </c>
      <c r="Y51" s="84">
        <f t="shared" si="17"/>
        <v>431.92158681702966</v>
      </c>
      <c r="Z51" s="31">
        <f t="shared" si="18"/>
        <v>512.50695695002184</v>
      </c>
      <c r="AA51" s="14"/>
    </row>
    <row r="52" spans="1:27">
      <c r="A52" s="4">
        <f t="shared" si="19"/>
        <v>2058</v>
      </c>
      <c r="B52" s="4">
        <f t="shared" si="7"/>
        <v>39</v>
      </c>
      <c r="C52" s="28">
        <f t="shared" si="8"/>
        <v>0</v>
      </c>
      <c r="D52" s="27"/>
      <c r="E52" s="29">
        <f t="shared" si="9"/>
        <v>0</v>
      </c>
      <c r="F52" s="28">
        <f t="shared" si="10"/>
        <v>1180</v>
      </c>
      <c r="G52" s="27">
        <f t="shared" si="26"/>
        <v>1475</v>
      </c>
      <c r="H52" s="29">
        <f t="shared" si="27"/>
        <v>1770</v>
      </c>
      <c r="I52" s="30">
        <f t="shared" si="11"/>
        <v>1180</v>
      </c>
      <c r="J52" s="84">
        <f t="shared" si="11"/>
        <v>1475</v>
      </c>
      <c r="K52" s="31">
        <f t="shared" si="11"/>
        <v>1770</v>
      </c>
      <c r="L52" s="11">
        <f t="shared" si="20"/>
        <v>40</v>
      </c>
      <c r="M52" s="11">
        <f t="shared" si="21"/>
        <v>40</v>
      </c>
      <c r="N52" s="11">
        <f t="shared" si="22"/>
        <v>40</v>
      </c>
      <c r="O52" s="11">
        <f t="shared" si="23"/>
        <v>25</v>
      </c>
      <c r="P52" s="11">
        <f t="shared" si="24"/>
        <v>0</v>
      </c>
      <c r="Q52" s="30">
        <f t="shared" si="12"/>
        <v>137.75</v>
      </c>
      <c r="R52" s="10">
        <f t="shared" si="28"/>
        <v>145</v>
      </c>
      <c r="S52" s="31">
        <f t="shared" si="29"/>
        <v>152.25</v>
      </c>
      <c r="T52" s="30">
        <f t="shared" si="25"/>
        <v>1317.75</v>
      </c>
      <c r="U52" s="84">
        <f t="shared" si="14"/>
        <v>1620</v>
      </c>
      <c r="V52" s="31">
        <f t="shared" si="14"/>
        <v>1922.25</v>
      </c>
      <c r="W52" s="7">
        <f t="shared" si="30"/>
        <v>0.25750266898522534</v>
      </c>
      <c r="X52" s="30">
        <f t="shared" si="16"/>
        <v>339.32414205528067</v>
      </c>
      <c r="Y52" s="84">
        <f t="shared" si="17"/>
        <v>417.15432375606503</v>
      </c>
      <c r="Z52" s="31">
        <f t="shared" si="18"/>
        <v>494.98450545684938</v>
      </c>
      <c r="AA52" s="14"/>
    </row>
    <row r="53" spans="1:27">
      <c r="A53" s="4">
        <f t="shared" si="19"/>
        <v>2059</v>
      </c>
      <c r="B53" s="4">
        <f t="shared" si="7"/>
        <v>40</v>
      </c>
      <c r="C53" s="28">
        <f t="shared" si="8"/>
        <v>0</v>
      </c>
      <c r="D53" s="27"/>
      <c r="E53" s="29">
        <f t="shared" si="9"/>
        <v>0</v>
      </c>
      <c r="F53" s="28">
        <f t="shared" si="10"/>
        <v>1180</v>
      </c>
      <c r="G53" s="27">
        <f t="shared" si="26"/>
        <v>1475</v>
      </c>
      <c r="H53" s="29">
        <f t="shared" si="27"/>
        <v>1770</v>
      </c>
      <c r="I53" s="30">
        <f t="shared" si="11"/>
        <v>1180</v>
      </c>
      <c r="J53" s="84">
        <f t="shared" si="11"/>
        <v>1475</v>
      </c>
      <c r="K53" s="31">
        <f t="shared" si="11"/>
        <v>1770</v>
      </c>
      <c r="L53" s="11">
        <f t="shared" si="20"/>
        <v>40</v>
      </c>
      <c r="M53" s="11">
        <f t="shared" si="21"/>
        <v>40</v>
      </c>
      <c r="N53" s="11">
        <f t="shared" si="22"/>
        <v>40</v>
      </c>
      <c r="O53" s="11">
        <f t="shared" si="23"/>
        <v>25</v>
      </c>
      <c r="P53" s="11">
        <f t="shared" si="24"/>
        <v>0</v>
      </c>
      <c r="Q53" s="30">
        <f t="shared" si="12"/>
        <v>137.75</v>
      </c>
      <c r="R53" s="10">
        <f t="shared" si="28"/>
        <v>145</v>
      </c>
      <c r="S53" s="31">
        <f t="shared" si="29"/>
        <v>152.25</v>
      </c>
      <c r="T53" s="30">
        <f t="shared" si="25"/>
        <v>1317.75</v>
      </c>
      <c r="U53" s="84">
        <f t="shared" si="14"/>
        <v>1620</v>
      </c>
      <c r="V53" s="31">
        <f t="shared" si="14"/>
        <v>1922.25</v>
      </c>
      <c r="W53" s="7">
        <f t="shared" si="30"/>
        <v>0.24869873380840765</v>
      </c>
      <c r="X53" s="30">
        <f t="shared" si="16"/>
        <v>327.72275647602919</v>
      </c>
      <c r="Y53" s="84">
        <f t="shared" si="17"/>
        <v>402.8919487696204</v>
      </c>
      <c r="Z53" s="31">
        <f t="shared" si="18"/>
        <v>478.06114106321161</v>
      </c>
      <c r="AA53" s="14"/>
    </row>
    <row r="54" spans="1:27">
      <c r="A54" s="4">
        <f t="shared" si="19"/>
        <v>2060</v>
      </c>
      <c r="B54" s="4">
        <f t="shared" si="7"/>
        <v>41</v>
      </c>
      <c r="C54" s="28">
        <f t="shared" si="8"/>
        <v>0</v>
      </c>
      <c r="D54" s="27"/>
      <c r="E54" s="29">
        <f t="shared" si="9"/>
        <v>0</v>
      </c>
      <c r="F54" s="28">
        <f t="shared" si="10"/>
        <v>1180</v>
      </c>
      <c r="G54" s="27">
        <f t="shared" si="26"/>
        <v>1475</v>
      </c>
      <c r="H54" s="29">
        <f t="shared" si="27"/>
        <v>1770</v>
      </c>
      <c r="I54" s="30">
        <f t="shared" si="11"/>
        <v>1180</v>
      </c>
      <c r="J54" s="84">
        <f t="shared" si="11"/>
        <v>1475</v>
      </c>
      <c r="K54" s="31">
        <f t="shared" si="11"/>
        <v>1770</v>
      </c>
      <c r="L54" s="11">
        <f t="shared" si="20"/>
        <v>40</v>
      </c>
      <c r="M54" s="11">
        <f t="shared" si="21"/>
        <v>40</v>
      </c>
      <c r="N54" s="11">
        <f t="shared" si="22"/>
        <v>40</v>
      </c>
      <c r="O54" s="11">
        <f t="shared" si="23"/>
        <v>25</v>
      </c>
      <c r="P54" s="11">
        <f t="shared" si="24"/>
        <v>0</v>
      </c>
      <c r="Q54" s="30">
        <f t="shared" si="12"/>
        <v>137.75</v>
      </c>
      <c r="R54" s="10">
        <f t="shared" si="28"/>
        <v>145</v>
      </c>
      <c r="S54" s="31">
        <f t="shared" si="29"/>
        <v>152.25</v>
      </c>
      <c r="T54" s="30">
        <f t="shared" si="25"/>
        <v>1317.75</v>
      </c>
      <c r="U54" s="84">
        <f t="shared" si="14"/>
        <v>1620</v>
      </c>
      <c r="V54" s="31">
        <f t="shared" si="14"/>
        <v>1922.25</v>
      </c>
      <c r="W54" s="7">
        <f t="shared" si="30"/>
        <v>0.24019580240332974</v>
      </c>
      <c r="X54" s="30">
        <f t="shared" si="16"/>
        <v>316.51801861698777</v>
      </c>
      <c r="Y54" s="84">
        <f t="shared" si="17"/>
        <v>389.11719989339417</v>
      </c>
      <c r="Z54" s="31">
        <f t="shared" si="18"/>
        <v>461.71638116980063</v>
      </c>
      <c r="AA54" s="14"/>
    </row>
    <row r="55" spans="1:27">
      <c r="A55" s="4">
        <f t="shared" si="19"/>
        <v>2061</v>
      </c>
      <c r="B55" s="4">
        <f t="shared" si="7"/>
        <v>42</v>
      </c>
      <c r="C55" s="28">
        <f t="shared" si="8"/>
        <v>0</v>
      </c>
      <c r="D55" s="27"/>
      <c r="E55" s="29">
        <f t="shared" si="9"/>
        <v>0</v>
      </c>
      <c r="F55" s="28">
        <f t="shared" si="10"/>
        <v>1180</v>
      </c>
      <c r="G55" s="27">
        <f t="shared" si="26"/>
        <v>1475</v>
      </c>
      <c r="H55" s="29">
        <f t="shared" si="27"/>
        <v>1770</v>
      </c>
      <c r="I55" s="30">
        <f t="shared" si="11"/>
        <v>1180</v>
      </c>
      <c r="J55" s="84">
        <f t="shared" si="11"/>
        <v>1475</v>
      </c>
      <c r="K55" s="31">
        <f t="shared" si="11"/>
        <v>1770</v>
      </c>
      <c r="L55" s="11">
        <f t="shared" si="20"/>
        <v>40</v>
      </c>
      <c r="M55" s="11">
        <f t="shared" si="21"/>
        <v>40</v>
      </c>
      <c r="N55" s="11">
        <f t="shared" si="22"/>
        <v>40</v>
      </c>
      <c r="O55" s="11">
        <f t="shared" si="23"/>
        <v>25</v>
      </c>
      <c r="P55" s="11">
        <f t="shared" si="24"/>
        <v>0</v>
      </c>
      <c r="Q55" s="30">
        <f t="shared" si="12"/>
        <v>137.75</v>
      </c>
      <c r="R55" s="10">
        <f t="shared" si="28"/>
        <v>145</v>
      </c>
      <c r="S55" s="31">
        <f t="shared" si="29"/>
        <v>152.25</v>
      </c>
      <c r="T55" s="30">
        <f t="shared" si="25"/>
        <v>1317.75</v>
      </c>
      <c r="U55" s="84">
        <f t="shared" si="14"/>
        <v>1620</v>
      </c>
      <c r="V55" s="31">
        <f t="shared" si="14"/>
        <v>1922.25</v>
      </c>
      <c r="W55" s="7">
        <f t="shared" si="30"/>
        <v>0.23198358354580814</v>
      </c>
      <c r="X55" s="30">
        <f t="shared" si="16"/>
        <v>305.69636721748867</v>
      </c>
      <c r="Y55" s="84">
        <f t="shared" si="17"/>
        <v>375.81340534420917</v>
      </c>
      <c r="Z55" s="31">
        <f t="shared" si="18"/>
        <v>445.93044347092967</v>
      </c>
      <c r="AA55" s="14"/>
    </row>
    <row r="56" spans="1:27">
      <c r="A56" s="4">
        <f t="shared" si="19"/>
        <v>2062</v>
      </c>
      <c r="B56" s="4">
        <f t="shared" si="7"/>
        <v>43</v>
      </c>
      <c r="C56" s="28">
        <f t="shared" si="8"/>
        <v>0</v>
      </c>
      <c r="D56" s="27"/>
      <c r="E56" s="29">
        <f t="shared" si="9"/>
        <v>0</v>
      </c>
      <c r="F56" s="28">
        <f t="shared" si="10"/>
        <v>1180</v>
      </c>
      <c r="G56" s="27">
        <f t="shared" si="26"/>
        <v>1475</v>
      </c>
      <c r="H56" s="29">
        <f t="shared" si="27"/>
        <v>1770</v>
      </c>
      <c r="I56" s="30">
        <f t="shared" si="11"/>
        <v>1180</v>
      </c>
      <c r="J56" s="84">
        <f t="shared" si="11"/>
        <v>1475</v>
      </c>
      <c r="K56" s="31">
        <f t="shared" si="11"/>
        <v>1770</v>
      </c>
      <c r="L56" s="11">
        <f t="shared" si="20"/>
        <v>40</v>
      </c>
      <c r="M56" s="11">
        <f t="shared" si="21"/>
        <v>40</v>
      </c>
      <c r="N56" s="11">
        <f t="shared" si="22"/>
        <v>40</v>
      </c>
      <c r="O56" s="11">
        <f t="shared" si="23"/>
        <v>25</v>
      </c>
      <c r="P56" s="11">
        <f t="shared" si="24"/>
        <v>0</v>
      </c>
      <c r="Q56" s="30">
        <f t="shared" si="12"/>
        <v>137.75</v>
      </c>
      <c r="R56" s="10">
        <f t="shared" si="28"/>
        <v>145</v>
      </c>
      <c r="S56" s="31">
        <f t="shared" si="29"/>
        <v>152.25</v>
      </c>
      <c r="T56" s="30">
        <f t="shared" si="25"/>
        <v>1317.75</v>
      </c>
      <c r="U56" s="84">
        <f t="shared" si="14"/>
        <v>1620</v>
      </c>
      <c r="V56" s="31">
        <f t="shared" si="14"/>
        <v>1922.25</v>
      </c>
      <c r="W56" s="7">
        <f t="shared" si="30"/>
        <v>0.2240521378653739</v>
      </c>
      <c r="X56" s="30">
        <f t="shared" si="16"/>
        <v>295.24470467209647</v>
      </c>
      <c r="Y56" s="84">
        <f t="shared" si="17"/>
        <v>362.96446334190568</v>
      </c>
      <c r="Z56" s="31">
        <f t="shared" si="18"/>
        <v>430.68422201171495</v>
      </c>
      <c r="AA56" s="14"/>
    </row>
    <row r="57" spans="1:27">
      <c r="A57" s="4">
        <f t="shared" si="19"/>
        <v>2063</v>
      </c>
      <c r="B57" s="4">
        <f t="shared" si="7"/>
        <v>44</v>
      </c>
      <c r="C57" s="28">
        <f t="shared" si="8"/>
        <v>0</v>
      </c>
      <c r="D57" s="27"/>
      <c r="E57" s="29">
        <f t="shared" si="9"/>
        <v>0</v>
      </c>
      <c r="F57" s="28">
        <f t="shared" si="10"/>
        <v>1180</v>
      </c>
      <c r="G57" s="27">
        <f t="shared" si="26"/>
        <v>1475</v>
      </c>
      <c r="H57" s="29">
        <f t="shared" si="27"/>
        <v>1770</v>
      </c>
      <c r="I57" s="30">
        <f t="shared" si="11"/>
        <v>1180</v>
      </c>
      <c r="J57" s="84">
        <f t="shared" si="11"/>
        <v>1475</v>
      </c>
      <c r="K57" s="31">
        <f t="shared" si="11"/>
        <v>1770</v>
      </c>
      <c r="L57" s="11">
        <f t="shared" si="20"/>
        <v>40</v>
      </c>
      <c r="M57" s="11">
        <f t="shared" si="21"/>
        <v>40</v>
      </c>
      <c r="N57" s="11">
        <f t="shared" si="22"/>
        <v>40</v>
      </c>
      <c r="O57" s="11">
        <f t="shared" si="23"/>
        <v>25</v>
      </c>
      <c r="P57" s="11">
        <f t="shared" si="24"/>
        <v>0</v>
      </c>
      <c r="Q57" s="30">
        <f t="shared" si="12"/>
        <v>137.75</v>
      </c>
      <c r="R57" s="10">
        <f t="shared" si="28"/>
        <v>145</v>
      </c>
      <c r="S57" s="31">
        <f t="shared" si="29"/>
        <v>152.25</v>
      </c>
      <c r="T57" s="30">
        <f t="shared" si="25"/>
        <v>1317.75</v>
      </c>
      <c r="U57" s="84">
        <f t="shared" si="14"/>
        <v>1620</v>
      </c>
      <c r="V57" s="31">
        <f t="shared" si="14"/>
        <v>1922.25</v>
      </c>
      <c r="W57" s="7">
        <f t="shared" si="30"/>
        <v>0.21639186581550499</v>
      </c>
      <c r="X57" s="30">
        <f t="shared" si="16"/>
        <v>285.15038117838168</v>
      </c>
      <c r="Y57" s="84">
        <f t="shared" si="17"/>
        <v>350.55482262111809</v>
      </c>
      <c r="Z57" s="31">
        <f t="shared" si="18"/>
        <v>415.95926406385445</v>
      </c>
      <c r="AA57" s="14"/>
    </row>
    <row r="58" spans="1:27">
      <c r="A58" s="4">
        <f t="shared" si="19"/>
        <v>2064</v>
      </c>
      <c r="B58" s="4">
        <f t="shared" si="7"/>
        <v>45</v>
      </c>
      <c r="C58" s="28">
        <f t="shared" si="8"/>
        <v>0</v>
      </c>
      <c r="D58" s="27"/>
      <c r="E58" s="29">
        <f t="shared" si="9"/>
        <v>0</v>
      </c>
      <c r="F58" s="28">
        <f t="shared" si="10"/>
        <v>1180</v>
      </c>
      <c r="G58" s="27">
        <f t="shared" si="26"/>
        <v>1475</v>
      </c>
      <c r="H58" s="29">
        <f t="shared" si="27"/>
        <v>1770</v>
      </c>
      <c r="I58" s="30">
        <f t="shared" si="11"/>
        <v>1180</v>
      </c>
      <c r="J58" s="84">
        <f t="shared" si="11"/>
        <v>1475</v>
      </c>
      <c r="K58" s="31">
        <f t="shared" si="11"/>
        <v>1770</v>
      </c>
      <c r="L58" s="11">
        <f t="shared" si="20"/>
        <v>40</v>
      </c>
      <c r="M58" s="11">
        <f t="shared" si="21"/>
        <v>40</v>
      </c>
      <c r="N58" s="11">
        <f t="shared" si="22"/>
        <v>40</v>
      </c>
      <c r="O58" s="11">
        <f t="shared" si="23"/>
        <v>25</v>
      </c>
      <c r="P58" s="11">
        <f t="shared" si="24"/>
        <v>0</v>
      </c>
      <c r="Q58" s="30">
        <f t="shared" si="12"/>
        <v>137.75</v>
      </c>
      <c r="R58" s="10">
        <f t="shared" si="28"/>
        <v>145</v>
      </c>
      <c r="S58" s="31">
        <f t="shared" si="29"/>
        <v>152.25</v>
      </c>
      <c r="T58" s="30">
        <f t="shared" si="25"/>
        <v>1317.75</v>
      </c>
      <c r="U58" s="84">
        <f t="shared" si="14"/>
        <v>1620</v>
      </c>
      <c r="V58" s="31">
        <f t="shared" si="14"/>
        <v>1922.25</v>
      </c>
      <c r="W58" s="7">
        <f t="shared" si="30"/>
        <v>0.20899349605515255</v>
      </c>
      <c r="X58" s="30">
        <f t="shared" si="16"/>
        <v>275.40117942667729</v>
      </c>
      <c r="Y58" s="84">
        <f t="shared" si="17"/>
        <v>338.56946360934711</v>
      </c>
      <c r="Z58" s="31">
        <f t="shared" si="18"/>
        <v>401.73774779201699</v>
      </c>
      <c r="AA58" s="14"/>
    </row>
    <row r="59" spans="1:27">
      <c r="A59" s="4">
        <f t="shared" si="19"/>
        <v>2065</v>
      </c>
      <c r="B59" s="4">
        <f t="shared" si="7"/>
        <v>46</v>
      </c>
      <c r="C59" s="28">
        <f t="shared" si="8"/>
        <v>0</v>
      </c>
      <c r="D59" s="27"/>
      <c r="E59" s="29">
        <f t="shared" si="9"/>
        <v>0</v>
      </c>
      <c r="F59" s="28">
        <f t="shared" si="10"/>
        <v>1180</v>
      </c>
      <c r="G59" s="27">
        <f t="shared" si="26"/>
        <v>1475</v>
      </c>
      <c r="H59" s="29">
        <f t="shared" si="27"/>
        <v>1770</v>
      </c>
      <c r="I59" s="30">
        <f t="shared" si="11"/>
        <v>1180</v>
      </c>
      <c r="J59" s="84">
        <f t="shared" si="11"/>
        <v>1475</v>
      </c>
      <c r="K59" s="31">
        <f t="shared" si="11"/>
        <v>1770</v>
      </c>
      <c r="L59" s="11">
        <f t="shared" si="20"/>
        <v>40</v>
      </c>
      <c r="M59" s="11">
        <f t="shared" si="21"/>
        <v>40</v>
      </c>
      <c r="N59" s="11">
        <f t="shared" si="22"/>
        <v>40</v>
      </c>
      <c r="O59" s="11">
        <f t="shared" si="23"/>
        <v>25</v>
      </c>
      <c r="P59" s="11">
        <f t="shared" si="24"/>
        <v>0</v>
      </c>
      <c r="Q59" s="30">
        <f t="shared" si="12"/>
        <v>137.75</v>
      </c>
      <c r="R59" s="10">
        <f t="shared" si="28"/>
        <v>145</v>
      </c>
      <c r="S59" s="31">
        <f t="shared" si="29"/>
        <v>152.25</v>
      </c>
      <c r="T59" s="30">
        <f t="shared" si="25"/>
        <v>1317.75</v>
      </c>
      <c r="U59" s="84">
        <f t="shared" si="14"/>
        <v>1620</v>
      </c>
      <c r="V59" s="31">
        <f t="shared" si="14"/>
        <v>1922.25</v>
      </c>
      <c r="W59" s="7">
        <f t="shared" si="30"/>
        <v>0.20184807422749909</v>
      </c>
      <c r="X59" s="30">
        <f t="shared" si="16"/>
        <v>265.98529981328693</v>
      </c>
      <c r="Y59" s="84">
        <f t="shared" si="17"/>
        <v>326.99388024854852</v>
      </c>
      <c r="Z59" s="31">
        <f t="shared" si="18"/>
        <v>388.00246068381011</v>
      </c>
      <c r="AA59" s="14"/>
    </row>
    <row r="60" spans="1:27">
      <c r="A60" s="4">
        <f t="shared" si="19"/>
        <v>2066</v>
      </c>
      <c r="B60" s="4">
        <f t="shared" si="7"/>
        <v>47</v>
      </c>
      <c r="C60" s="28">
        <f t="shared" si="8"/>
        <v>0</v>
      </c>
      <c r="D60" s="27"/>
      <c r="E60" s="29">
        <f t="shared" si="9"/>
        <v>0</v>
      </c>
      <c r="F60" s="28">
        <f t="shared" si="10"/>
        <v>1180</v>
      </c>
      <c r="G60" s="27">
        <f t="shared" si="26"/>
        <v>1475</v>
      </c>
      <c r="H60" s="29">
        <f t="shared" si="27"/>
        <v>1770</v>
      </c>
      <c r="I60" s="30">
        <f t="shared" si="11"/>
        <v>1180</v>
      </c>
      <c r="J60" s="84">
        <f t="shared" si="11"/>
        <v>1475</v>
      </c>
      <c r="K60" s="31">
        <f t="shared" si="11"/>
        <v>1770</v>
      </c>
      <c r="L60" s="11">
        <f t="shared" si="20"/>
        <v>40</v>
      </c>
      <c r="M60" s="11">
        <f t="shared" si="21"/>
        <v>40</v>
      </c>
      <c r="N60" s="11">
        <f t="shared" si="22"/>
        <v>40</v>
      </c>
      <c r="O60" s="11">
        <f t="shared" si="23"/>
        <v>25</v>
      </c>
      <c r="P60" s="11">
        <f t="shared" si="24"/>
        <v>0</v>
      </c>
      <c r="Q60" s="30">
        <f t="shared" si="12"/>
        <v>137.75</v>
      </c>
      <c r="R60" s="10">
        <f t="shared" si="28"/>
        <v>145</v>
      </c>
      <c r="S60" s="31">
        <f t="shared" si="29"/>
        <v>152.25</v>
      </c>
      <c r="T60" s="30">
        <f t="shared" si="25"/>
        <v>1317.75</v>
      </c>
      <c r="U60" s="84">
        <f t="shared" si="14"/>
        <v>1620</v>
      </c>
      <c r="V60" s="31">
        <f t="shared" si="14"/>
        <v>1922.25</v>
      </c>
      <c r="W60" s="7">
        <f t="shared" si="30"/>
        <v>0.19494695212236729</v>
      </c>
      <c r="X60" s="30">
        <f t="shared" si="16"/>
        <v>256.89134615924951</v>
      </c>
      <c r="Y60" s="84">
        <f t="shared" si="17"/>
        <v>315.814062438235</v>
      </c>
      <c r="Z60" s="31">
        <f t="shared" si="18"/>
        <v>374.73677871722055</v>
      </c>
      <c r="AA60" s="14"/>
    </row>
    <row r="61" spans="1:27">
      <c r="A61" s="4">
        <f t="shared" si="19"/>
        <v>2067</v>
      </c>
      <c r="B61" s="4">
        <f t="shared" si="7"/>
        <v>48</v>
      </c>
      <c r="C61" s="28">
        <f t="shared" si="8"/>
        <v>0</v>
      </c>
      <c r="D61" s="27"/>
      <c r="E61" s="29">
        <f t="shared" si="9"/>
        <v>0</v>
      </c>
      <c r="F61" s="28">
        <f t="shared" si="10"/>
        <v>1180</v>
      </c>
      <c r="G61" s="27">
        <f t="shared" si="26"/>
        <v>1475</v>
      </c>
      <c r="H61" s="29">
        <f t="shared" si="27"/>
        <v>1770</v>
      </c>
      <c r="I61" s="30">
        <f t="shared" si="11"/>
        <v>1180</v>
      </c>
      <c r="J61" s="84">
        <f t="shared" si="11"/>
        <v>1475</v>
      </c>
      <c r="K61" s="31">
        <f t="shared" si="11"/>
        <v>1770</v>
      </c>
      <c r="L61" s="11">
        <f t="shared" si="20"/>
        <v>40</v>
      </c>
      <c r="M61" s="11">
        <f t="shared" si="21"/>
        <v>40</v>
      </c>
      <c r="N61" s="11">
        <f t="shared" si="22"/>
        <v>40</v>
      </c>
      <c r="O61" s="11">
        <f t="shared" si="23"/>
        <v>25</v>
      </c>
      <c r="P61" s="11">
        <f t="shared" si="24"/>
        <v>0</v>
      </c>
      <c r="Q61" s="30">
        <f t="shared" si="12"/>
        <v>137.75</v>
      </c>
      <c r="R61" s="10">
        <f t="shared" si="28"/>
        <v>145</v>
      </c>
      <c r="S61" s="31">
        <f t="shared" si="29"/>
        <v>152.25</v>
      </c>
      <c r="T61" s="30">
        <f t="shared" si="25"/>
        <v>1317.75</v>
      </c>
      <c r="U61" s="84">
        <f t="shared" si="14"/>
        <v>1620</v>
      </c>
      <c r="V61" s="31">
        <f t="shared" si="14"/>
        <v>1922.25</v>
      </c>
      <c r="W61" s="7">
        <f t="shared" si="30"/>
        <v>0.18828177720916289</v>
      </c>
      <c r="X61" s="30">
        <f t="shared" si="16"/>
        <v>248.10831191737441</v>
      </c>
      <c r="Y61" s="84">
        <f t="shared" si="17"/>
        <v>305.01647907884387</v>
      </c>
      <c r="Z61" s="31">
        <f t="shared" si="18"/>
        <v>361.92464624031339</v>
      </c>
      <c r="AA61" s="14"/>
    </row>
    <row r="62" spans="1:27">
      <c r="A62" s="4">
        <f t="shared" si="19"/>
        <v>2068</v>
      </c>
      <c r="B62" s="4">
        <f t="shared" si="7"/>
        <v>49</v>
      </c>
      <c r="C62" s="28">
        <f t="shared" si="8"/>
        <v>0</v>
      </c>
      <c r="D62" s="27"/>
      <c r="E62" s="29">
        <f t="shared" si="9"/>
        <v>0</v>
      </c>
      <c r="F62" s="28">
        <f t="shared" si="10"/>
        <v>1180</v>
      </c>
      <c r="G62" s="27">
        <f t="shared" si="26"/>
        <v>1475</v>
      </c>
      <c r="H62" s="29">
        <f t="shared" si="27"/>
        <v>1770</v>
      </c>
      <c r="I62" s="30">
        <f t="shared" si="11"/>
        <v>1180</v>
      </c>
      <c r="J62" s="84">
        <f t="shared" si="11"/>
        <v>1475</v>
      </c>
      <c r="K62" s="31">
        <f t="shared" si="11"/>
        <v>1770</v>
      </c>
      <c r="L62" s="11">
        <f t="shared" si="20"/>
        <v>40</v>
      </c>
      <c r="M62" s="11">
        <f t="shared" si="21"/>
        <v>40</v>
      </c>
      <c r="N62" s="11">
        <f t="shared" si="22"/>
        <v>40</v>
      </c>
      <c r="O62" s="11">
        <f t="shared" si="23"/>
        <v>25</v>
      </c>
      <c r="P62" s="11">
        <f t="shared" si="24"/>
        <v>0</v>
      </c>
      <c r="Q62" s="30">
        <f t="shared" si="12"/>
        <v>137.75</v>
      </c>
      <c r="R62" s="10">
        <f t="shared" si="28"/>
        <v>145</v>
      </c>
      <c r="S62" s="31">
        <f t="shared" si="29"/>
        <v>152.25</v>
      </c>
      <c r="T62" s="30">
        <f t="shared" si="25"/>
        <v>1317.75</v>
      </c>
      <c r="U62" s="84">
        <f t="shared" si="14"/>
        <v>1620</v>
      </c>
      <c r="V62" s="31">
        <f t="shared" si="14"/>
        <v>1922.25</v>
      </c>
      <c r="W62" s="7">
        <f t="shared" si="30"/>
        <v>0.1818444825276829</v>
      </c>
      <c r="X62" s="30">
        <f t="shared" si="16"/>
        <v>239.62556685085414</v>
      </c>
      <c r="Y62" s="84">
        <f t="shared" si="17"/>
        <v>294.58806169484632</v>
      </c>
      <c r="Z62" s="31">
        <f t="shared" si="18"/>
        <v>349.55055653883846</v>
      </c>
      <c r="AA62" s="14"/>
    </row>
    <row r="63" spans="1:27">
      <c r="A63" s="4">
        <f t="shared" si="19"/>
        <v>2069</v>
      </c>
      <c r="B63" s="4">
        <f t="shared" si="7"/>
        <v>50</v>
      </c>
      <c r="C63" s="28">
        <f t="shared" si="8"/>
        <v>0</v>
      </c>
      <c r="D63" s="27"/>
      <c r="E63" s="29">
        <f t="shared" si="9"/>
        <v>0</v>
      </c>
      <c r="F63" s="28">
        <f t="shared" si="10"/>
        <v>1180</v>
      </c>
      <c r="G63" s="27">
        <f t="shared" si="26"/>
        <v>1475</v>
      </c>
      <c r="H63" s="29">
        <f t="shared" si="27"/>
        <v>1770</v>
      </c>
      <c r="I63" s="30">
        <f t="shared" si="11"/>
        <v>1180</v>
      </c>
      <c r="J63" s="84">
        <f t="shared" si="11"/>
        <v>1475</v>
      </c>
      <c r="K63" s="31">
        <f t="shared" si="11"/>
        <v>1770</v>
      </c>
      <c r="L63" s="11">
        <f t="shared" si="20"/>
        <v>40</v>
      </c>
      <c r="M63" s="11">
        <f t="shared" si="21"/>
        <v>40</v>
      </c>
      <c r="N63" s="11">
        <f t="shared" si="22"/>
        <v>40</v>
      </c>
      <c r="O63" s="11">
        <f t="shared" si="23"/>
        <v>25</v>
      </c>
      <c r="P63" s="11">
        <f t="shared" si="24"/>
        <v>0</v>
      </c>
      <c r="Q63" s="30">
        <f t="shared" si="12"/>
        <v>137.75</v>
      </c>
      <c r="R63" s="10">
        <f t="shared" si="28"/>
        <v>145</v>
      </c>
      <c r="S63" s="31">
        <f t="shared" si="29"/>
        <v>152.25</v>
      </c>
      <c r="T63" s="30">
        <f t="shared" si="25"/>
        <v>1317.75</v>
      </c>
      <c r="U63" s="84">
        <f t="shared" si="14"/>
        <v>1620</v>
      </c>
      <c r="V63" s="31">
        <f t="shared" si="14"/>
        <v>1922.25</v>
      </c>
      <c r="W63" s="7">
        <f t="shared" si="30"/>
        <v>0.17562727692455368</v>
      </c>
      <c r="X63" s="30">
        <f t="shared" si="16"/>
        <v>231.43284416733061</v>
      </c>
      <c r="Y63" s="84">
        <f t="shared" si="17"/>
        <v>284.51618861777695</v>
      </c>
      <c r="Z63" s="31">
        <f t="shared" si="18"/>
        <v>337.59953306822331</v>
      </c>
      <c r="AA63" s="14"/>
    </row>
    <row r="64" spans="1:27">
      <c r="A64" s="4">
        <f t="shared" si="19"/>
        <v>2070</v>
      </c>
      <c r="B64" s="4">
        <f t="shared" si="7"/>
        <v>51</v>
      </c>
      <c r="C64" s="28">
        <f t="shared" si="8"/>
        <v>0</v>
      </c>
      <c r="D64" s="27"/>
      <c r="E64" s="29">
        <f t="shared" si="9"/>
        <v>0</v>
      </c>
      <c r="F64" s="28">
        <f t="shared" si="10"/>
        <v>1180</v>
      </c>
      <c r="G64" s="27">
        <f t="shared" si="26"/>
        <v>1475</v>
      </c>
      <c r="H64" s="29">
        <f t="shared" si="27"/>
        <v>1770</v>
      </c>
      <c r="I64" s="30">
        <f t="shared" si="11"/>
        <v>1180</v>
      </c>
      <c r="J64" s="84">
        <f t="shared" si="11"/>
        <v>1475</v>
      </c>
      <c r="K64" s="31">
        <f t="shared" si="11"/>
        <v>1770</v>
      </c>
      <c r="L64" s="11">
        <f t="shared" si="20"/>
        <v>40</v>
      </c>
      <c r="M64" s="11">
        <f t="shared" si="21"/>
        <v>40</v>
      </c>
      <c r="N64" s="11">
        <f t="shared" si="22"/>
        <v>40</v>
      </c>
      <c r="O64" s="11">
        <f t="shared" si="23"/>
        <v>25</v>
      </c>
      <c r="P64" s="11">
        <f t="shared" si="24"/>
        <v>0</v>
      </c>
      <c r="Q64" s="30">
        <f t="shared" si="12"/>
        <v>137.75</v>
      </c>
      <c r="R64" s="10">
        <f t="shared" si="28"/>
        <v>145</v>
      </c>
      <c r="S64" s="31">
        <f t="shared" si="29"/>
        <v>152.25</v>
      </c>
      <c r="T64" s="30">
        <f t="shared" si="25"/>
        <v>1317.75</v>
      </c>
      <c r="U64" s="84">
        <f t="shared" si="14"/>
        <v>1620</v>
      </c>
      <c r="V64" s="31">
        <f t="shared" si="14"/>
        <v>1922.25</v>
      </c>
      <c r="W64" s="7">
        <f t="shared" si="30"/>
        <v>0.16962263562348243</v>
      </c>
      <c r="X64" s="30">
        <f t="shared" si="16"/>
        <v>223.52022809284398</v>
      </c>
      <c r="Y64" s="84">
        <f t="shared" si="17"/>
        <v>274.78866971004152</v>
      </c>
      <c r="Z64" s="31">
        <f t="shared" si="18"/>
        <v>326.05711132723911</v>
      </c>
      <c r="AA64" s="14" t="s">
        <v>72</v>
      </c>
    </row>
    <row r="65" spans="1:27">
      <c r="A65" s="4">
        <f t="shared" si="19"/>
        <v>2071</v>
      </c>
      <c r="B65" s="4">
        <f t="shared" si="7"/>
        <v>52</v>
      </c>
      <c r="C65" s="28">
        <f t="shared" si="8"/>
        <v>0</v>
      </c>
      <c r="D65" s="27"/>
      <c r="E65" s="29">
        <f t="shared" si="9"/>
        <v>0</v>
      </c>
      <c r="F65" s="28">
        <f t="shared" si="10"/>
        <v>1180</v>
      </c>
      <c r="G65" s="27">
        <f t="shared" si="26"/>
        <v>1475</v>
      </c>
      <c r="H65" s="29">
        <f t="shared" si="27"/>
        <v>1770</v>
      </c>
      <c r="I65" s="30">
        <f t="shared" si="11"/>
        <v>1180</v>
      </c>
      <c r="J65" s="84">
        <f t="shared" si="11"/>
        <v>1475</v>
      </c>
      <c r="K65" s="31">
        <f t="shared" si="11"/>
        <v>1770</v>
      </c>
      <c r="L65" s="11">
        <f t="shared" si="20"/>
        <v>40</v>
      </c>
      <c r="M65" s="11">
        <f t="shared" si="21"/>
        <v>40</v>
      </c>
      <c r="N65" s="11">
        <f t="shared" si="22"/>
        <v>40</v>
      </c>
      <c r="O65" s="11">
        <f t="shared" si="23"/>
        <v>25</v>
      </c>
      <c r="P65" s="11">
        <f t="shared" si="24"/>
        <v>0</v>
      </c>
      <c r="Q65" s="30">
        <f t="shared" si="12"/>
        <v>137.75</v>
      </c>
      <c r="R65" s="10">
        <f t="shared" si="28"/>
        <v>145</v>
      </c>
      <c r="S65" s="31">
        <f t="shared" si="29"/>
        <v>152.25</v>
      </c>
      <c r="T65" s="30">
        <f t="shared" si="25"/>
        <v>1317.75</v>
      </c>
      <c r="U65" s="84">
        <f t="shared" si="14"/>
        <v>1620</v>
      </c>
      <c r="V65" s="31">
        <f t="shared" si="14"/>
        <v>1922.25</v>
      </c>
      <c r="W65" s="7">
        <f t="shared" si="30"/>
        <v>0.16382329111790842</v>
      </c>
      <c r="X65" s="30">
        <f t="shared" si="16"/>
        <v>215.87814187062381</v>
      </c>
      <c r="Y65" s="84">
        <f t="shared" si="17"/>
        <v>265.39373161101162</v>
      </c>
      <c r="Z65" s="31">
        <f t="shared" si="18"/>
        <v>314.90932135139946</v>
      </c>
      <c r="AA65" s="14"/>
    </row>
    <row r="66" spans="1:27">
      <c r="A66" s="4">
        <f t="shared" si="19"/>
        <v>2072</v>
      </c>
      <c r="B66" s="4">
        <f t="shared" si="7"/>
        <v>53</v>
      </c>
      <c r="C66" s="28">
        <f t="shared" si="8"/>
        <v>0</v>
      </c>
      <c r="D66" s="27"/>
      <c r="E66" s="29">
        <f t="shared" si="9"/>
        <v>0</v>
      </c>
      <c r="F66" s="28">
        <f t="shared" si="10"/>
        <v>1180</v>
      </c>
      <c r="G66" s="27">
        <f t="shared" si="26"/>
        <v>1475</v>
      </c>
      <c r="H66" s="29">
        <f t="shared" si="27"/>
        <v>1770</v>
      </c>
      <c r="I66" s="30">
        <f t="shared" si="11"/>
        <v>1180</v>
      </c>
      <c r="J66" s="84">
        <f t="shared" si="11"/>
        <v>1475</v>
      </c>
      <c r="K66" s="31">
        <f t="shared" si="11"/>
        <v>1770</v>
      </c>
      <c r="L66" s="11">
        <f t="shared" si="20"/>
        <v>40</v>
      </c>
      <c r="M66" s="11">
        <f t="shared" si="21"/>
        <v>40</v>
      </c>
      <c r="N66" s="11">
        <f t="shared" si="22"/>
        <v>40</v>
      </c>
      <c r="O66" s="11">
        <f t="shared" si="23"/>
        <v>25</v>
      </c>
      <c r="P66" s="11">
        <f t="shared" si="24"/>
        <v>0</v>
      </c>
      <c r="Q66" s="30">
        <f t="shared" si="12"/>
        <v>137.75</v>
      </c>
      <c r="R66" s="10">
        <f t="shared" si="28"/>
        <v>145</v>
      </c>
      <c r="S66" s="31">
        <f t="shared" si="29"/>
        <v>152.25</v>
      </c>
      <c r="T66" s="30">
        <f t="shared" si="25"/>
        <v>1317.75</v>
      </c>
      <c r="U66" s="84">
        <f t="shared" si="14"/>
        <v>1620</v>
      </c>
      <c r="V66" s="31">
        <f t="shared" si="14"/>
        <v>1922.25</v>
      </c>
      <c r="W66" s="7">
        <f t="shared" si="30"/>
        <v>0.15822222437503228</v>
      </c>
      <c r="X66" s="30">
        <f t="shared" si="16"/>
        <v>208.49733617019879</v>
      </c>
      <c r="Y66" s="84">
        <f t="shared" si="17"/>
        <v>256.3200034875523</v>
      </c>
      <c r="Z66" s="31">
        <f t="shared" si="18"/>
        <v>304.14267080490578</v>
      </c>
      <c r="AA66" s="14"/>
    </row>
    <row r="67" spans="1:27">
      <c r="A67" s="4">
        <f t="shared" si="19"/>
        <v>2073</v>
      </c>
      <c r="B67" s="4">
        <f t="shared" si="7"/>
        <v>54</v>
      </c>
      <c r="C67" s="28">
        <f t="shared" si="8"/>
        <v>0</v>
      </c>
      <c r="D67" s="27"/>
      <c r="E67" s="29">
        <f t="shared" si="9"/>
        <v>0</v>
      </c>
      <c r="F67" s="28">
        <f t="shared" si="10"/>
        <v>1180</v>
      </c>
      <c r="G67" s="27">
        <f t="shared" si="26"/>
        <v>1475</v>
      </c>
      <c r="H67" s="29">
        <f t="shared" si="27"/>
        <v>1770</v>
      </c>
      <c r="I67" s="30">
        <f t="shared" si="11"/>
        <v>1180</v>
      </c>
      <c r="J67" s="84">
        <f t="shared" si="11"/>
        <v>1475</v>
      </c>
      <c r="K67" s="31">
        <f t="shared" si="11"/>
        <v>1770</v>
      </c>
      <c r="L67" s="11">
        <f t="shared" si="20"/>
        <v>40</v>
      </c>
      <c r="M67" s="11">
        <f t="shared" si="21"/>
        <v>40</v>
      </c>
      <c r="N67" s="11">
        <f t="shared" si="22"/>
        <v>40</v>
      </c>
      <c r="O67" s="11">
        <f t="shared" si="23"/>
        <v>25</v>
      </c>
      <c r="P67" s="11">
        <f t="shared" si="24"/>
        <v>0</v>
      </c>
      <c r="Q67" s="30">
        <f t="shared" si="12"/>
        <v>137.75</v>
      </c>
      <c r="R67" s="10">
        <f t="shared" si="28"/>
        <v>145</v>
      </c>
      <c r="S67" s="31">
        <f t="shared" si="29"/>
        <v>152.25</v>
      </c>
      <c r="T67" s="30">
        <f t="shared" si="25"/>
        <v>1317.75</v>
      </c>
      <c r="U67" s="84">
        <f t="shared" si="14"/>
        <v>1620</v>
      </c>
      <c r="V67" s="31">
        <f t="shared" si="14"/>
        <v>1922.25</v>
      </c>
      <c r="W67" s="7">
        <f t="shared" si="30"/>
        <v>0.15281265634057586</v>
      </c>
      <c r="X67" s="30">
        <f t="shared" si="16"/>
        <v>201.36887789279385</v>
      </c>
      <c r="Y67" s="84">
        <f t="shared" si="17"/>
        <v>247.55650327173291</v>
      </c>
      <c r="Z67" s="31">
        <f t="shared" si="18"/>
        <v>293.74412865067194</v>
      </c>
      <c r="AA67" s="14"/>
    </row>
    <row r="68" spans="1:27">
      <c r="A68" s="4">
        <f t="shared" si="19"/>
        <v>2074</v>
      </c>
      <c r="B68" s="4">
        <f t="shared" si="7"/>
        <v>55</v>
      </c>
      <c r="C68" s="28">
        <f t="shared" si="8"/>
        <v>0</v>
      </c>
      <c r="D68" s="27"/>
      <c r="E68" s="29">
        <f t="shared" si="9"/>
        <v>0</v>
      </c>
      <c r="F68" s="28">
        <f t="shared" si="10"/>
        <v>1180</v>
      </c>
      <c r="G68" s="27">
        <f t="shared" si="26"/>
        <v>1475</v>
      </c>
      <c r="H68" s="29">
        <f t="shared" si="27"/>
        <v>1770</v>
      </c>
      <c r="I68" s="30">
        <f t="shared" si="11"/>
        <v>1180</v>
      </c>
      <c r="J68" s="84">
        <f t="shared" si="11"/>
        <v>1475</v>
      </c>
      <c r="K68" s="31">
        <f t="shared" si="11"/>
        <v>1770</v>
      </c>
      <c r="L68" s="11">
        <f t="shared" si="20"/>
        <v>40</v>
      </c>
      <c r="M68" s="11">
        <f t="shared" si="21"/>
        <v>40</v>
      </c>
      <c r="N68" s="11">
        <f t="shared" si="22"/>
        <v>40</v>
      </c>
      <c r="O68" s="11">
        <f t="shared" si="23"/>
        <v>25</v>
      </c>
      <c r="P68" s="11">
        <f t="shared" si="24"/>
        <v>0</v>
      </c>
      <c r="Q68" s="30">
        <f t="shared" si="12"/>
        <v>137.75</v>
      </c>
      <c r="R68" s="10">
        <f t="shared" si="28"/>
        <v>145</v>
      </c>
      <c r="S68" s="31">
        <f t="shared" si="29"/>
        <v>152.25</v>
      </c>
      <c r="T68" s="30">
        <f t="shared" si="25"/>
        <v>1317.75</v>
      </c>
      <c r="U68" s="84">
        <f t="shared" si="14"/>
        <v>1620</v>
      </c>
      <c r="V68" s="31">
        <f t="shared" si="14"/>
        <v>1922.25</v>
      </c>
      <c r="W68" s="7">
        <f t="shared" si="30"/>
        <v>0.14758803973399254</v>
      </c>
      <c r="X68" s="30">
        <f t="shared" si="16"/>
        <v>194.48413935946866</v>
      </c>
      <c r="Y68" s="84">
        <f t="shared" si="17"/>
        <v>239.09262436906792</v>
      </c>
      <c r="Z68" s="31">
        <f t="shared" si="18"/>
        <v>283.70110937866718</v>
      </c>
      <c r="AA68" s="14"/>
    </row>
    <row r="69" spans="1:27">
      <c r="A69" s="4">
        <f t="shared" si="19"/>
        <v>2075</v>
      </c>
      <c r="B69" s="4">
        <f t="shared" si="7"/>
        <v>56</v>
      </c>
      <c r="C69" s="28">
        <f t="shared" si="8"/>
        <v>0</v>
      </c>
      <c r="D69" s="27"/>
      <c r="E69" s="29">
        <f t="shared" si="9"/>
        <v>0</v>
      </c>
      <c r="F69" s="28">
        <f t="shared" si="10"/>
        <v>1180</v>
      </c>
      <c r="G69" s="27">
        <f t="shared" si="26"/>
        <v>1475</v>
      </c>
      <c r="H69" s="29">
        <f t="shared" si="27"/>
        <v>1770</v>
      </c>
      <c r="I69" s="30">
        <f t="shared" si="11"/>
        <v>1180</v>
      </c>
      <c r="J69" s="84">
        <f t="shared" si="11"/>
        <v>1475</v>
      </c>
      <c r="K69" s="31">
        <f t="shared" si="11"/>
        <v>1770</v>
      </c>
      <c r="L69" s="11">
        <f t="shared" si="20"/>
        <v>40</v>
      </c>
      <c r="M69" s="11">
        <f t="shared" si="21"/>
        <v>40</v>
      </c>
      <c r="N69" s="11">
        <f t="shared" si="22"/>
        <v>40</v>
      </c>
      <c r="O69" s="11">
        <f t="shared" si="23"/>
        <v>25</v>
      </c>
      <c r="P69" s="11">
        <f t="shared" si="24"/>
        <v>0</v>
      </c>
      <c r="Q69" s="30">
        <f t="shared" si="12"/>
        <v>137.75</v>
      </c>
      <c r="R69" s="10">
        <f t="shared" si="28"/>
        <v>145</v>
      </c>
      <c r="S69" s="31">
        <f t="shared" si="29"/>
        <v>152.25</v>
      </c>
      <c r="T69" s="30">
        <f t="shared" si="25"/>
        <v>1317.75</v>
      </c>
      <c r="U69" s="84">
        <f t="shared" si="14"/>
        <v>1620</v>
      </c>
      <c r="V69" s="31">
        <f t="shared" si="14"/>
        <v>1922.25</v>
      </c>
      <c r="W69" s="7">
        <f t="shared" si="30"/>
        <v>0.14254205112419596</v>
      </c>
      <c r="X69" s="30">
        <f t="shared" si="16"/>
        <v>187.83478786890922</v>
      </c>
      <c r="Y69" s="84">
        <f t="shared" si="17"/>
        <v>230.91812282119747</v>
      </c>
      <c r="Z69" s="31">
        <f t="shared" si="18"/>
        <v>274.0014577734857</v>
      </c>
      <c r="AA69" s="14"/>
    </row>
    <row r="70" spans="1:27">
      <c r="A70" s="4">
        <f t="shared" si="19"/>
        <v>2076</v>
      </c>
      <c r="B70" s="4">
        <f t="shared" si="7"/>
        <v>57</v>
      </c>
      <c r="C70" s="28">
        <f t="shared" si="8"/>
        <v>0</v>
      </c>
      <c r="D70" s="27"/>
      <c r="E70" s="29">
        <f t="shared" si="9"/>
        <v>0</v>
      </c>
      <c r="F70" s="28">
        <f t="shared" si="10"/>
        <v>1180</v>
      </c>
      <c r="G70" s="27">
        <f t="shared" si="26"/>
        <v>1475</v>
      </c>
      <c r="H70" s="29">
        <f t="shared" si="27"/>
        <v>1770</v>
      </c>
      <c r="I70" s="30">
        <f t="shared" si="11"/>
        <v>1180</v>
      </c>
      <c r="J70" s="84">
        <f t="shared" si="11"/>
        <v>1475</v>
      </c>
      <c r="K70" s="31">
        <f t="shared" si="11"/>
        <v>1770</v>
      </c>
      <c r="L70" s="11">
        <f t="shared" si="20"/>
        <v>40</v>
      </c>
      <c r="M70" s="11">
        <f t="shared" si="21"/>
        <v>40</v>
      </c>
      <c r="N70" s="11">
        <f t="shared" si="22"/>
        <v>40</v>
      </c>
      <c r="O70" s="11">
        <f t="shared" si="23"/>
        <v>25</v>
      </c>
      <c r="P70" s="11">
        <f t="shared" si="24"/>
        <v>0</v>
      </c>
      <c r="Q70" s="30">
        <f t="shared" si="12"/>
        <v>137.75</v>
      </c>
      <c r="R70" s="10">
        <f t="shared" si="28"/>
        <v>145</v>
      </c>
      <c r="S70" s="31">
        <f t="shared" si="29"/>
        <v>152.25</v>
      </c>
      <c r="T70" s="30">
        <f t="shared" si="25"/>
        <v>1317.75</v>
      </c>
      <c r="U70" s="84">
        <f t="shared" si="14"/>
        <v>1620</v>
      </c>
      <c r="V70" s="31">
        <f t="shared" si="14"/>
        <v>1922.25</v>
      </c>
      <c r="W70" s="7">
        <f t="shared" si="30"/>
        <v>0.13766858327621784</v>
      </c>
      <c r="X70" s="30">
        <f t="shared" si="16"/>
        <v>181.41277561223606</v>
      </c>
      <c r="Y70" s="84">
        <f t="shared" si="17"/>
        <v>223.02310490747288</v>
      </c>
      <c r="Z70" s="31">
        <f t="shared" si="18"/>
        <v>264.63343420270974</v>
      </c>
      <c r="AA70" s="14"/>
    </row>
    <row r="71" spans="1:27">
      <c r="A71" s="4">
        <f t="shared" si="19"/>
        <v>2077</v>
      </c>
      <c r="B71" s="4">
        <f t="shared" si="7"/>
        <v>58</v>
      </c>
      <c r="C71" s="28">
        <f t="shared" si="8"/>
        <v>0</v>
      </c>
      <c r="D71" s="27"/>
      <c r="E71" s="29">
        <f t="shared" si="9"/>
        <v>0</v>
      </c>
      <c r="F71" s="28">
        <f t="shared" si="10"/>
        <v>1180</v>
      </c>
      <c r="G71" s="27">
        <f t="shared" si="26"/>
        <v>1475</v>
      </c>
      <c r="H71" s="29">
        <f t="shared" si="27"/>
        <v>1770</v>
      </c>
      <c r="I71" s="30">
        <f t="shared" si="11"/>
        <v>1180</v>
      </c>
      <c r="J71" s="84">
        <f t="shared" si="11"/>
        <v>1475</v>
      </c>
      <c r="K71" s="31">
        <f t="shared" si="11"/>
        <v>1770</v>
      </c>
      <c r="L71" s="11">
        <f t="shared" si="20"/>
        <v>40</v>
      </c>
      <c r="M71" s="11">
        <f t="shared" si="21"/>
        <v>40</v>
      </c>
      <c r="N71" s="11">
        <f t="shared" si="22"/>
        <v>40</v>
      </c>
      <c r="O71" s="11">
        <f t="shared" si="23"/>
        <v>25</v>
      </c>
      <c r="P71" s="11">
        <f t="shared" si="24"/>
        <v>0</v>
      </c>
      <c r="Q71" s="30">
        <f t="shared" si="12"/>
        <v>137.75</v>
      </c>
      <c r="R71" s="10">
        <f t="shared" si="28"/>
        <v>145</v>
      </c>
      <c r="S71" s="31">
        <f t="shared" si="29"/>
        <v>152.25</v>
      </c>
      <c r="T71" s="30">
        <f t="shared" si="25"/>
        <v>1317.75</v>
      </c>
      <c r="U71" s="84">
        <f t="shared" si="14"/>
        <v>1620</v>
      </c>
      <c r="V71" s="31">
        <f t="shared" si="14"/>
        <v>1922.25</v>
      </c>
      <c r="W71" s="7">
        <f t="shared" si="30"/>
        <v>0.13296173775953046</v>
      </c>
      <c r="X71" s="30">
        <f t="shared" si="16"/>
        <v>175.21032993262128</v>
      </c>
      <c r="Y71" s="84">
        <f t="shared" si="17"/>
        <v>215.39801517043935</v>
      </c>
      <c r="Z71" s="31">
        <f t="shared" si="18"/>
        <v>255.58570040825742</v>
      </c>
      <c r="AA71" s="14"/>
    </row>
    <row r="72" spans="1:27">
      <c r="A72" s="4">
        <f t="shared" si="19"/>
        <v>2078</v>
      </c>
      <c r="B72" s="4">
        <f t="shared" si="7"/>
        <v>59</v>
      </c>
      <c r="C72" s="28">
        <f t="shared" si="8"/>
        <v>0</v>
      </c>
      <c r="D72" s="27"/>
      <c r="E72" s="29">
        <f t="shared" si="9"/>
        <v>0</v>
      </c>
      <c r="F72" s="28">
        <f t="shared" si="10"/>
        <v>1180</v>
      </c>
      <c r="G72" s="27">
        <f t="shared" si="26"/>
        <v>1475</v>
      </c>
      <c r="H72" s="29">
        <f t="shared" si="27"/>
        <v>1770</v>
      </c>
      <c r="I72" s="30">
        <f t="shared" si="11"/>
        <v>1180</v>
      </c>
      <c r="J72" s="84">
        <f t="shared" si="11"/>
        <v>1475</v>
      </c>
      <c r="K72" s="31">
        <f t="shared" si="11"/>
        <v>1770</v>
      </c>
      <c r="L72" s="11">
        <f t="shared" si="20"/>
        <v>40</v>
      </c>
      <c r="M72" s="11">
        <f t="shared" si="21"/>
        <v>40</v>
      </c>
      <c r="N72" s="11">
        <f t="shared" si="22"/>
        <v>40</v>
      </c>
      <c r="O72" s="11">
        <f t="shared" si="23"/>
        <v>25</v>
      </c>
      <c r="P72" s="11">
        <f t="shared" si="24"/>
        <v>0</v>
      </c>
      <c r="Q72" s="30">
        <f t="shared" si="12"/>
        <v>137.75</v>
      </c>
      <c r="R72" s="10">
        <f t="shared" si="28"/>
        <v>145</v>
      </c>
      <c r="S72" s="31">
        <f t="shared" si="29"/>
        <v>152.25</v>
      </c>
      <c r="T72" s="30">
        <f t="shared" si="25"/>
        <v>1317.75</v>
      </c>
      <c r="U72" s="84">
        <f t="shared" si="14"/>
        <v>1620</v>
      </c>
      <c r="V72" s="31">
        <f t="shared" si="14"/>
        <v>1922.25</v>
      </c>
      <c r="W72" s="7">
        <f t="shared" si="30"/>
        <v>0.12841581780908873</v>
      </c>
      <c r="X72" s="30">
        <f t="shared" si="16"/>
        <v>169.21994391792668</v>
      </c>
      <c r="Y72" s="84">
        <f t="shared" si="17"/>
        <v>208.03362485072373</v>
      </c>
      <c r="Z72" s="31">
        <f t="shared" si="18"/>
        <v>246.8473057835208</v>
      </c>
      <c r="AA72" s="14"/>
    </row>
    <row r="73" spans="1:27">
      <c r="A73" s="26">
        <f t="shared" si="19"/>
        <v>2079</v>
      </c>
      <c r="B73" s="26">
        <f t="shared" si="7"/>
        <v>60</v>
      </c>
      <c r="C73" s="28">
        <f t="shared" si="8"/>
        <v>0</v>
      </c>
      <c r="D73" s="32"/>
      <c r="E73" s="29">
        <f t="shared" si="9"/>
        <v>0</v>
      </c>
      <c r="F73" s="28">
        <f t="shared" si="10"/>
        <v>1180</v>
      </c>
      <c r="G73" s="27">
        <f t="shared" si="26"/>
        <v>1475</v>
      </c>
      <c r="H73" s="29">
        <f t="shared" si="27"/>
        <v>1770</v>
      </c>
      <c r="I73" s="36">
        <f t="shared" si="11"/>
        <v>1180</v>
      </c>
      <c r="J73" s="85">
        <f t="shared" si="11"/>
        <v>1475</v>
      </c>
      <c r="K73" s="38">
        <f t="shared" si="11"/>
        <v>1770</v>
      </c>
      <c r="L73" s="11">
        <f t="shared" si="20"/>
        <v>40</v>
      </c>
      <c r="M73" s="11">
        <f t="shared" si="21"/>
        <v>40</v>
      </c>
      <c r="N73" s="11">
        <f t="shared" si="22"/>
        <v>40</v>
      </c>
      <c r="O73" s="11">
        <f t="shared" si="23"/>
        <v>25</v>
      </c>
      <c r="P73" s="11">
        <f t="shared" si="24"/>
        <v>0</v>
      </c>
      <c r="Q73" s="30">
        <f t="shared" si="12"/>
        <v>137.75</v>
      </c>
      <c r="R73" s="10">
        <f t="shared" si="28"/>
        <v>145</v>
      </c>
      <c r="S73" s="31">
        <f t="shared" si="29"/>
        <v>152.25</v>
      </c>
      <c r="T73" s="30">
        <f t="shared" si="25"/>
        <v>1317.75</v>
      </c>
      <c r="U73" s="84">
        <f t="shared" si="14"/>
        <v>1620</v>
      </c>
      <c r="V73" s="31">
        <f t="shared" si="14"/>
        <v>1922.25</v>
      </c>
      <c r="W73" s="7">
        <f t="shared" si="30"/>
        <v>0.12402532143045074</v>
      </c>
      <c r="X73" s="36">
        <f t="shared" si="16"/>
        <v>163.43436731497647</v>
      </c>
      <c r="Y73" s="85">
        <f t="shared" si="17"/>
        <v>200.92102071733021</v>
      </c>
      <c r="Z73" s="38">
        <f t="shared" si="18"/>
        <v>238.40767411968392</v>
      </c>
      <c r="AA73" s="15"/>
    </row>
    <row r="74" spans="1:27" ht="13.5" thickBot="1">
      <c r="A74" s="185" t="s">
        <v>58</v>
      </c>
      <c r="B74" s="186"/>
      <c r="C74" s="86">
        <f t="shared" ref="C74:S74" si="31">SUM(C13:C73)</f>
        <v>0</v>
      </c>
      <c r="D74" s="34">
        <f t="shared" si="31"/>
        <v>0</v>
      </c>
      <c r="E74" s="87">
        <f t="shared" si="31"/>
        <v>0</v>
      </c>
      <c r="F74" s="86">
        <f t="shared" si="31"/>
        <v>70660</v>
      </c>
      <c r="G74" s="34">
        <f t="shared" si="31"/>
        <v>88325</v>
      </c>
      <c r="H74" s="33">
        <f t="shared" si="31"/>
        <v>105990</v>
      </c>
      <c r="I74" s="37">
        <f t="shared" si="31"/>
        <v>70660</v>
      </c>
      <c r="J74" s="40">
        <f t="shared" si="31"/>
        <v>88325</v>
      </c>
      <c r="K74" s="39">
        <f t="shared" si="31"/>
        <v>105990</v>
      </c>
      <c r="L74" s="41">
        <f t="shared" si="31"/>
        <v>2440</v>
      </c>
      <c r="M74" s="41">
        <f t="shared" si="31"/>
        <v>2440</v>
      </c>
      <c r="N74" s="41">
        <f t="shared" si="31"/>
        <v>2440</v>
      </c>
      <c r="O74" s="41">
        <f t="shared" si="31"/>
        <v>1525</v>
      </c>
      <c r="P74" s="41">
        <f t="shared" si="31"/>
        <v>0</v>
      </c>
      <c r="Q74" s="37">
        <f t="shared" si="31"/>
        <v>8402.75</v>
      </c>
      <c r="R74" s="40">
        <f t="shared" si="31"/>
        <v>8845</v>
      </c>
      <c r="S74" s="39">
        <f t="shared" si="31"/>
        <v>9287.25</v>
      </c>
      <c r="T74" s="37">
        <f>SUM(T13:T73)</f>
        <v>79062.75</v>
      </c>
      <c r="U74" s="40">
        <f>SUM(U13:U73)</f>
        <v>97170</v>
      </c>
      <c r="V74" s="39">
        <f>SUM(V13:V73)</f>
        <v>115277.25</v>
      </c>
      <c r="W74" s="46"/>
      <c r="X74" s="37">
        <f>SUM(X13:X73)</f>
        <v>32628.101426236386</v>
      </c>
      <c r="Y74" s="40">
        <f t="shared" ref="Y74:Z74" si="32">SUM(Y13:Y73)</f>
        <v>40085.183306139843</v>
      </c>
      <c r="Z74" s="39">
        <f t="shared" si="32"/>
        <v>47542.265186043296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2">
    <mergeCell ref="A74:B74"/>
    <mergeCell ref="C1:K1"/>
    <mergeCell ref="C2:K2"/>
    <mergeCell ref="A4:C4"/>
    <mergeCell ref="A1:B1"/>
    <mergeCell ref="A3:B3"/>
    <mergeCell ref="A11:B11"/>
    <mergeCell ref="Q1:S1"/>
    <mergeCell ref="A6:B6"/>
    <mergeCell ref="A7:B7"/>
    <mergeCell ref="A8:B8"/>
    <mergeCell ref="A12:B12"/>
  </mergeCells>
  <pageMargins left="0.75" right="0.75" top="1" bottom="1" header="0.5" footer="0.5"/>
  <pageSetup paperSize="9" scale="26" orientation="portrait" r:id="rId1"/>
  <headerFooter alignWithMargins="0">
    <oddFooter>&amp;L&amp;1#&amp;"Arial"&amp;11&amp;K000000SW Internal Personal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111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G15" sqref="G15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0.73046875" customWidth="1"/>
    <col min="16" max="16" width="12.46484375" customWidth="1"/>
    <col min="17" max="17" width="10.73046875" customWidth="1"/>
    <col min="18" max="18" width="10.265625" customWidth="1"/>
    <col min="19" max="19" width="13.4648437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</cols>
  <sheetData>
    <row r="1" spans="1:29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102</v>
      </c>
      <c r="T1" s="197"/>
      <c r="U1" s="197"/>
      <c r="W1" s="198" t="str">
        <f>'Base Costs'!Q1</f>
        <v>Existing Coag UF</v>
      </c>
      <c r="X1" s="199"/>
      <c r="Y1" s="200"/>
    </row>
    <row r="2" spans="1:29" ht="17.25" customHeight="1">
      <c r="A2" s="47" t="s">
        <v>15</v>
      </c>
      <c r="B2" s="48"/>
      <c r="C2" s="23" t="s">
        <v>101</v>
      </c>
      <c r="D2" s="21"/>
      <c r="E2" s="21"/>
      <c r="F2" s="21"/>
      <c r="G2" s="21"/>
      <c r="H2" s="21"/>
      <c r="I2" s="21"/>
      <c r="J2" s="21"/>
      <c r="K2" s="22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</row>
    <row r="3" spans="1:29" ht="12.75" customHeight="1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96">
        <f>P3/$P$9</f>
        <v>0.61</v>
      </c>
      <c r="P3" s="97">
        <f>T3+X3</f>
        <v>30500</v>
      </c>
      <c r="Q3" s="103">
        <f>U3+Y3</f>
        <v>155</v>
      </c>
      <c r="S3" s="105">
        <v>1</v>
      </c>
      <c r="T3" s="97">
        <v>500</v>
      </c>
      <c r="U3" s="97">
        <v>30</v>
      </c>
      <c r="W3" s="105">
        <f>'Base Costs'!Q3</f>
        <v>0.6</v>
      </c>
      <c r="X3" s="97">
        <f>'Base Costs'!R3</f>
        <v>30000</v>
      </c>
      <c r="Y3" s="97">
        <f>(X3/N3)*25%</f>
        <v>125</v>
      </c>
      <c r="Z3" s="110" t="s">
        <v>79</v>
      </c>
      <c r="AA3" s="111"/>
    </row>
    <row r="4" spans="1:29" ht="13.15">
      <c r="A4" s="191" t="s">
        <v>22</v>
      </c>
      <c r="B4" s="192"/>
      <c r="C4" s="201"/>
      <c r="D4" s="56">
        <f>X74</f>
        <v>33975.91145307789</v>
      </c>
      <c r="E4" s="57">
        <f>Y74</f>
        <v>41641.550771709648</v>
      </c>
      <c r="F4" s="58">
        <f>Z74</f>
        <v>49497.050078254688</v>
      </c>
      <c r="M4" s="8" t="s">
        <v>21</v>
      </c>
      <c r="N4" s="100">
        <v>25</v>
      </c>
      <c r="O4" s="96">
        <f t="shared" ref="O4:O9" si="0">P4/$P$9</f>
        <v>0.15</v>
      </c>
      <c r="P4" s="97">
        <f t="shared" ref="P4:P8" si="1">T4+X4</f>
        <v>7500</v>
      </c>
      <c r="Q4" s="103">
        <f t="shared" ref="Q4:Q8" si="2">U4+Y4</f>
        <v>300</v>
      </c>
      <c r="S4" s="105">
        <v>0</v>
      </c>
      <c r="T4" s="97">
        <f t="shared" ref="T4:T8" si="3">S4*$T$9</f>
        <v>0</v>
      </c>
      <c r="U4" s="97">
        <f>(T4/N4)</f>
        <v>0</v>
      </c>
      <c r="W4" s="105">
        <f>'Base Costs'!Q4</f>
        <v>0.15</v>
      </c>
      <c r="X4" s="97">
        <f>'Base Costs'!R4</f>
        <v>7500</v>
      </c>
      <c r="Y4" s="97">
        <f>(X4/N4)</f>
        <v>300</v>
      </c>
      <c r="Z4" s="110" t="s">
        <v>77</v>
      </c>
      <c r="AA4" s="111"/>
    </row>
    <row r="5" spans="1:29" ht="13.15">
      <c r="D5" s="12">
        <f>D4-'Base Costs'!D4</f>
        <v>1347.8100268415037</v>
      </c>
      <c r="E5" s="12">
        <f>E4-'Base Costs'!E4</f>
        <v>1556.3674655698051</v>
      </c>
      <c r="F5" s="12">
        <f>F4-'Base Costs'!F4</f>
        <v>1954.7848922113917</v>
      </c>
      <c r="M5" s="8" t="s">
        <v>23</v>
      </c>
      <c r="N5" s="100">
        <v>25</v>
      </c>
      <c r="O5" s="96">
        <f t="shared" si="0"/>
        <v>0.15</v>
      </c>
      <c r="P5" s="97">
        <f t="shared" si="1"/>
        <v>7500</v>
      </c>
      <c r="Q5" s="103">
        <f t="shared" si="2"/>
        <v>300</v>
      </c>
      <c r="S5" s="105">
        <v>0</v>
      </c>
      <c r="T5" s="97">
        <f t="shared" si="3"/>
        <v>0</v>
      </c>
      <c r="U5" s="97">
        <f t="shared" ref="U5:U8" si="4">(T5/N5)</f>
        <v>0</v>
      </c>
      <c r="W5" s="105">
        <f>'Base Costs'!Q5</f>
        <v>0.15</v>
      </c>
      <c r="X5" s="97">
        <f>'Base Costs'!R5</f>
        <v>7500</v>
      </c>
      <c r="Y5" s="97">
        <f>(X5/N5)</f>
        <v>300</v>
      </c>
    </row>
    <row r="6" spans="1:29" ht="28.5" customHeight="1">
      <c r="A6" s="181" t="s">
        <v>92</v>
      </c>
      <c r="B6" s="182"/>
      <c r="I6" s="30">
        <f>SUM(I13:I17)</f>
        <v>5102</v>
      </c>
      <c r="J6" s="84">
        <f t="shared" ref="J6:K6" si="5">SUM(J13:J17)</f>
        <v>6315</v>
      </c>
      <c r="K6" s="31">
        <f t="shared" si="5"/>
        <v>7728</v>
      </c>
      <c r="M6" s="8" t="s">
        <v>24</v>
      </c>
      <c r="N6" s="100">
        <v>10</v>
      </c>
      <c r="O6" s="96">
        <f t="shared" si="0"/>
        <v>0.05</v>
      </c>
      <c r="P6" s="97">
        <f t="shared" si="1"/>
        <v>2500</v>
      </c>
      <c r="Q6" s="103">
        <f t="shared" si="2"/>
        <v>250</v>
      </c>
      <c r="S6" s="105">
        <v>0</v>
      </c>
      <c r="T6" s="97">
        <f t="shared" si="3"/>
        <v>0</v>
      </c>
      <c r="U6" s="97">
        <f t="shared" si="4"/>
        <v>0</v>
      </c>
      <c r="W6" s="105">
        <f>'Base Costs'!Q6</f>
        <v>0.05</v>
      </c>
      <c r="X6" s="97">
        <f>'Base Costs'!R6</f>
        <v>2500</v>
      </c>
      <c r="Y6" s="97">
        <f>(X6/N6)</f>
        <v>250</v>
      </c>
    </row>
    <row r="7" spans="1:29" ht="26.25" customHeight="1">
      <c r="A7" s="181" t="s">
        <v>93</v>
      </c>
      <c r="B7" s="182"/>
      <c r="C7" s="59">
        <f>SUM(C13:C73)</f>
        <v>450</v>
      </c>
      <c r="D7" s="60">
        <f t="shared" ref="D7:E7" si="6">SUM(D13:D73)</f>
        <v>500</v>
      </c>
      <c r="E7" s="61">
        <f t="shared" si="6"/>
        <v>750</v>
      </c>
      <c r="M7" s="8" t="s">
        <v>25</v>
      </c>
      <c r="N7" s="101">
        <v>10000</v>
      </c>
      <c r="O7" s="96">
        <f t="shared" si="0"/>
        <v>0</v>
      </c>
      <c r="P7" s="97">
        <f t="shared" si="1"/>
        <v>0</v>
      </c>
      <c r="Q7" s="103">
        <f t="shared" si="2"/>
        <v>0</v>
      </c>
      <c r="S7" s="105">
        <v>0</v>
      </c>
      <c r="T7" s="97">
        <f t="shared" si="3"/>
        <v>0</v>
      </c>
      <c r="U7" s="97">
        <f t="shared" si="4"/>
        <v>0</v>
      </c>
      <c r="W7" s="105">
        <f>'Base Costs'!Q7</f>
        <v>0</v>
      </c>
      <c r="X7" s="97">
        <f>'Base Costs'!R7</f>
        <v>0</v>
      </c>
      <c r="Y7" s="97">
        <f>(X7/N7)</f>
        <v>0</v>
      </c>
    </row>
    <row r="8" spans="1:29" ht="26.25" customHeight="1">
      <c r="A8" s="181" t="s">
        <v>94</v>
      </c>
      <c r="B8" s="182"/>
      <c r="F8" s="59">
        <f>SUM(F13:F73)</f>
        <v>72076</v>
      </c>
      <c r="G8" s="59">
        <f t="shared" ref="G8:H8" si="7">SUM(G13:G73)</f>
        <v>90095</v>
      </c>
      <c r="H8" s="59">
        <f t="shared" si="7"/>
        <v>108114</v>
      </c>
      <c r="M8" s="8" t="s">
        <v>26</v>
      </c>
      <c r="N8" s="101">
        <v>5</v>
      </c>
      <c r="O8" s="96">
        <f t="shared" si="0"/>
        <v>0.05</v>
      </c>
      <c r="P8" s="97">
        <f t="shared" si="1"/>
        <v>2500</v>
      </c>
      <c r="Q8" s="103">
        <f t="shared" si="2"/>
        <v>500</v>
      </c>
      <c r="S8" s="105">
        <v>0</v>
      </c>
      <c r="T8" s="97">
        <f t="shared" si="3"/>
        <v>0</v>
      </c>
      <c r="U8" s="97">
        <f t="shared" si="4"/>
        <v>0</v>
      </c>
      <c r="W8" s="105">
        <f>'Base Costs'!Q8</f>
        <v>0.05</v>
      </c>
      <c r="X8" s="97">
        <f>'Base Costs'!R8</f>
        <v>2500</v>
      </c>
      <c r="Y8" s="97">
        <f>(X8/N8)</f>
        <v>500</v>
      </c>
    </row>
    <row r="9" spans="1:29" ht="13.15">
      <c r="B9" s="1"/>
      <c r="I9" s="1"/>
      <c r="J9" s="1"/>
      <c r="K9" s="1"/>
      <c r="L9" s="1"/>
      <c r="M9" s="8" t="s">
        <v>27</v>
      </c>
      <c r="N9" s="102"/>
      <c r="O9" s="108">
        <f t="shared" si="0"/>
        <v>1</v>
      </c>
      <c r="P9" s="98">
        <f>T9+X9</f>
        <v>50000</v>
      </c>
      <c r="Q9" s="104">
        <f>SUM(Q3:Q8)</f>
        <v>1505</v>
      </c>
      <c r="S9" s="106">
        <f>SUM(S3:S8)</f>
        <v>1</v>
      </c>
      <c r="T9" s="98"/>
      <c r="U9" s="98">
        <f>SUM(U3:U8)</f>
        <v>30</v>
      </c>
      <c r="W9" s="107">
        <f>'Base Costs'!Q9</f>
        <v>1</v>
      </c>
      <c r="X9" s="98">
        <f>'Base Costs'!R9</f>
        <v>50000</v>
      </c>
      <c r="Y9" s="98">
        <f>SUM(Y3:Y8)</f>
        <v>1475</v>
      </c>
    </row>
    <row r="10" spans="1:29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29" ht="13.15">
      <c r="A11" s="196" t="s">
        <v>29</v>
      </c>
      <c r="B11" s="196"/>
      <c r="C11" s="35">
        <v>-0.1</v>
      </c>
      <c r="D11" s="35">
        <v>0</v>
      </c>
      <c r="E11" s="35">
        <v>0.5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62"/>
    </row>
    <row r="12" spans="1:29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12"/>
    </row>
    <row r="13" spans="1:29">
      <c r="A13" s="3">
        <v>2019</v>
      </c>
      <c r="B13" s="3">
        <v>0</v>
      </c>
      <c r="C13" s="63">
        <f>D13*(1+$C$11)</f>
        <v>0</v>
      </c>
      <c r="D13" s="27">
        <v>0</v>
      </c>
      <c r="E13" s="65">
        <f>D13*(1+$E$11)</f>
        <v>0</v>
      </c>
      <c r="F13" s="63">
        <f>G13*(1+$F$11)</f>
        <v>520</v>
      </c>
      <c r="G13" s="64">
        <f>1300/2</f>
        <v>650</v>
      </c>
      <c r="H13" s="65">
        <f t="shared" ref="H13:H73" si="8">G13*(1+$H$11)</f>
        <v>780</v>
      </c>
      <c r="I13" s="30">
        <f>F13+C13</f>
        <v>520</v>
      </c>
      <c r="J13" s="84">
        <f>G13+D13</f>
        <v>650</v>
      </c>
      <c r="K13" s="31">
        <f>H13+E13</f>
        <v>780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9">SUM(L13:P13)</f>
        <v>145</v>
      </c>
      <c r="S13" s="67">
        <f t="shared" ref="S13:S73" si="10">R13*(1+$S$11)</f>
        <v>152.25</v>
      </c>
      <c r="T13" s="66">
        <f>Q13+I13</f>
        <v>657.75</v>
      </c>
      <c r="U13" s="89">
        <f>R13+J13</f>
        <v>795</v>
      </c>
      <c r="V13" s="67">
        <f>S13+K13</f>
        <v>932.25</v>
      </c>
      <c r="W13" s="5">
        <v>1</v>
      </c>
      <c r="X13" s="69">
        <f>W13*T13</f>
        <v>657.75</v>
      </c>
      <c r="Y13" s="89">
        <f>W13*U13</f>
        <v>795</v>
      </c>
      <c r="Z13" s="67">
        <f>W13*V13</f>
        <v>932.25</v>
      </c>
      <c r="AA13" s="13"/>
      <c r="AC13" s="12"/>
    </row>
    <row r="14" spans="1:29">
      <c r="A14" s="4">
        <f>A13+1</f>
        <v>2020</v>
      </c>
      <c r="B14" s="4">
        <f t="shared" ref="B14:B73" si="11">(B13+1)</f>
        <v>1</v>
      </c>
      <c r="C14" s="63">
        <f t="shared" ref="C14:C73" si="12">D14*(1+$C$11)</f>
        <v>225</v>
      </c>
      <c r="D14" s="27">
        <v>250</v>
      </c>
      <c r="E14" s="65">
        <f t="shared" ref="E14:E73" si="13">D14*(1+$E$11)</f>
        <v>375</v>
      </c>
      <c r="F14" s="28">
        <f t="shared" ref="F14:F73" si="14">G14*(1+$F$11)</f>
        <v>520</v>
      </c>
      <c r="G14" s="27">
        <f>G13</f>
        <v>650</v>
      </c>
      <c r="H14" s="29">
        <f t="shared" si="8"/>
        <v>780</v>
      </c>
      <c r="I14" s="30">
        <f t="shared" ref="I14:K73" si="15">F14+C14</f>
        <v>745</v>
      </c>
      <c r="J14" s="84">
        <f t="shared" si="15"/>
        <v>900</v>
      </c>
      <c r="K14" s="31">
        <f t="shared" si="15"/>
        <v>1155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6">R14*(1+$Q$11)</f>
        <v>137.75</v>
      </c>
      <c r="R14" s="70">
        <f t="shared" si="9"/>
        <v>145</v>
      </c>
      <c r="S14" s="67">
        <f t="shared" si="10"/>
        <v>152.25</v>
      </c>
      <c r="T14" s="66">
        <f>Q14+I14</f>
        <v>882.75</v>
      </c>
      <c r="U14" s="89">
        <f t="shared" ref="U14:V73" si="17">R14+J14</f>
        <v>1045</v>
      </c>
      <c r="V14" s="67">
        <f t="shared" si="17"/>
        <v>1307.25</v>
      </c>
      <c r="W14" s="6">
        <f t="shared" ref="W14:W73" si="18">(1/(1+$C$3))^B14</f>
        <v>0.96581031485416258</v>
      </c>
      <c r="X14" s="66">
        <f t="shared" ref="X14:X73" si="19">W14*T14</f>
        <v>852.56905543751202</v>
      </c>
      <c r="Y14" s="89">
        <f t="shared" ref="Y14:Y73" si="20">W14*U14</f>
        <v>1009.2717790225998</v>
      </c>
      <c r="Z14" s="67">
        <f t="shared" ref="Z14:Z73" si="21">W14*V14</f>
        <v>1262.5555340931039</v>
      </c>
      <c r="AA14" s="13"/>
    </row>
    <row r="15" spans="1:29">
      <c r="A15" s="4">
        <f t="shared" ref="A15:A73" si="22">A14+1</f>
        <v>2021</v>
      </c>
      <c r="B15" s="4">
        <f t="shared" si="11"/>
        <v>2</v>
      </c>
      <c r="C15" s="63">
        <f t="shared" si="12"/>
        <v>225</v>
      </c>
      <c r="D15" s="64">
        <v>250</v>
      </c>
      <c r="E15" s="65">
        <f t="shared" si="13"/>
        <v>375</v>
      </c>
      <c r="F15" s="28">
        <f t="shared" si="14"/>
        <v>1204</v>
      </c>
      <c r="G15" s="27">
        <f>$Q$9</f>
        <v>1505</v>
      </c>
      <c r="H15" s="29">
        <f t="shared" si="8"/>
        <v>1806</v>
      </c>
      <c r="I15" s="30">
        <f t="shared" si="15"/>
        <v>1429</v>
      </c>
      <c r="J15" s="84">
        <f t="shared" si="15"/>
        <v>1755</v>
      </c>
      <c r="K15" s="31">
        <f t="shared" si="15"/>
        <v>2181</v>
      </c>
      <c r="L15" s="68">
        <v>44</v>
      </c>
      <c r="M15" s="68">
        <f>M14+16.49</f>
        <v>56.489999999999995</v>
      </c>
      <c r="N15" s="68">
        <v>40</v>
      </c>
      <c r="O15" s="68">
        <f>O14*0.8</f>
        <v>20</v>
      </c>
      <c r="P15" s="68">
        <f t="shared" ref="P15:P73" si="23">P14</f>
        <v>0</v>
      </c>
      <c r="Q15" s="66">
        <f t="shared" si="16"/>
        <v>152.46549999999999</v>
      </c>
      <c r="R15" s="70">
        <f t="shared" si="9"/>
        <v>160.49</v>
      </c>
      <c r="S15" s="67">
        <f t="shared" si="10"/>
        <v>168.51450000000003</v>
      </c>
      <c r="T15" s="66">
        <f t="shared" ref="T15:T73" si="24">Q15+I15</f>
        <v>1581.4655</v>
      </c>
      <c r="U15" s="89">
        <f t="shared" si="17"/>
        <v>1915.49</v>
      </c>
      <c r="V15" s="67">
        <f t="shared" si="17"/>
        <v>2349.5145000000002</v>
      </c>
      <c r="W15" s="6">
        <f t="shared" si="18"/>
        <v>0.93278956427869664</v>
      </c>
      <c r="X15" s="66">
        <f t="shared" si="19"/>
        <v>1475.1745146667911</v>
      </c>
      <c r="Y15" s="89">
        <f t="shared" si="20"/>
        <v>1786.7490824802007</v>
      </c>
      <c r="Z15" s="67">
        <f t="shared" si="21"/>
        <v>2191.6026067214798</v>
      </c>
      <c r="AA15" s="14"/>
    </row>
    <row r="16" spans="1:29">
      <c r="A16" s="4">
        <f t="shared" si="22"/>
        <v>2022</v>
      </c>
      <c r="B16" s="4">
        <f t="shared" si="11"/>
        <v>3</v>
      </c>
      <c r="C16" s="63">
        <f t="shared" si="12"/>
        <v>0</v>
      </c>
      <c r="D16" s="64"/>
      <c r="E16" s="65">
        <f t="shared" si="13"/>
        <v>0</v>
      </c>
      <c r="F16" s="28">
        <f t="shared" si="14"/>
        <v>1204</v>
      </c>
      <c r="G16" s="27">
        <f t="shared" ref="G16:G46" si="25">$Q$9</f>
        <v>1505</v>
      </c>
      <c r="H16" s="29">
        <f t="shared" si="8"/>
        <v>1806</v>
      </c>
      <c r="I16" s="30">
        <f t="shared" si="15"/>
        <v>1204</v>
      </c>
      <c r="J16" s="84">
        <f t="shared" si="15"/>
        <v>1505</v>
      </c>
      <c r="K16" s="31">
        <f t="shared" si="15"/>
        <v>1806</v>
      </c>
      <c r="L16" s="68">
        <f t="shared" ref="L16:O31" si="26">L15</f>
        <v>44</v>
      </c>
      <c r="M16" s="68">
        <f t="shared" si="26"/>
        <v>56.489999999999995</v>
      </c>
      <c r="N16" s="68">
        <f t="shared" si="26"/>
        <v>40</v>
      </c>
      <c r="O16" s="68">
        <f>O15</f>
        <v>20</v>
      </c>
      <c r="P16" s="68">
        <f t="shared" si="23"/>
        <v>0</v>
      </c>
      <c r="Q16" s="66">
        <f t="shared" si="16"/>
        <v>152.46549999999999</v>
      </c>
      <c r="R16" s="70">
        <f t="shared" si="9"/>
        <v>160.49</v>
      </c>
      <c r="S16" s="67">
        <f t="shared" si="10"/>
        <v>168.51450000000003</v>
      </c>
      <c r="T16" s="66">
        <f t="shared" si="24"/>
        <v>1356.4655</v>
      </c>
      <c r="U16" s="89">
        <f t="shared" si="17"/>
        <v>1665.49</v>
      </c>
      <c r="V16" s="67">
        <f t="shared" si="17"/>
        <v>1974.5145</v>
      </c>
      <c r="W16" s="6">
        <f t="shared" si="18"/>
        <v>0.90089778276868515</v>
      </c>
      <c r="X16" s="66">
        <f t="shared" si="19"/>
        <v>1222.036761352216</v>
      </c>
      <c r="Y16" s="89">
        <f t="shared" si="20"/>
        <v>1500.4362482234174</v>
      </c>
      <c r="Z16" s="67">
        <f t="shared" si="21"/>
        <v>1778.8357350946189</v>
      </c>
      <c r="AA16" s="14"/>
    </row>
    <row r="17" spans="1:30">
      <c r="A17" s="4">
        <f t="shared" si="22"/>
        <v>2023</v>
      </c>
      <c r="B17" s="4">
        <f t="shared" si="11"/>
        <v>4</v>
      </c>
      <c r="C17" s="63">
        <f t="shared" si="12"/>
        <v>0</v>
      </c>
      <c r="D17" s="64"/>
      <c r="E17" s="65">
        <f t="shared" si="13"/>
        <v>0</v>
      </c>
      <c r="F17" s="28">
        <f t="shared" si="14"/>
        <v>1204</v>
      </c>
      <c r="G17" s="27">
        <f t="shared" si="25"/>
        <v>1505</v>
      </c>
      <c r="H17" s="29">
        <f t="shared" si="8"/>
        <v>1806</v>
      </c>
      <c r="I17" s="30">
        <f t="shared" si="15"/>
        <v>1204</v>
      </c>
      <c r="J17" s="84">
        <f t="shared" si="15"/>
        <v>1505</v>
      </c>
      <c r="K17" s="31">
        <f t="shared" si="15"/>
        <v>1806</v>
      </c>
      <c r="L17" s="68">
        <f t="shared" si="26"/>
        <v>44</v>
      </c>
      <c r="M17" s="68">
        <f t="shared" si="26"/>
        <v>56.489999999999995</v>
      </c>
      <c r="N17" s="68">
        <f t="shared" si="26"/>
        <v>40</v>
      </c>
      <c r="O17" s="68">
        <f t="shared" si="26"/>
        <v>20</v>
      </c>
      <c r="P17" s="68">
        <f t="shared" si="23"/>
        <v>0</v>
      </c>
      <c r="Q17" s="66">
        <f t="shared" si="16"/>
        <v>152.46549999999999</v>
      </c>
      <c r="R17" s="70">
        <f t="shared" si="9"/>
        <v>160.49</v>
      </c>
      <c r="S17" s="67">
        <f t="shared" si="10"/>
        <v>168.51450000000003</v>
      </c>
      <c r="T17" s="66">
        <f t="shared" si="24"/>
        <v>1356.4655</v>
      </c>
      <c r="U17" s="89">
        <f t="shared" si="17"/>
        <v>1665.49</v>
      </c>
      <c r="V17" s="67">
        <f t="shared" si="17"/>
        <v>1974.5145</v>
      </c>
      <c r="W17" s="6">
        <f t="shared" si="18"/>
        <v>0.87009637122724071</v>
      </c>
      <c r="X17" s="66">
        <f t="shared" si="19"/>
        <v>1180.2557092449447</v>
      </c>
      <c r="Y17" s="89">
        <f t="shared" si="20"/>
        <v>1449.1368053152571</v>
      </c>
      <c r="Z17" s="67">
        <f t="shared" si="21"/>
        <v>1718.0179013855695</v>
      </c>
      <c r="AA17" s="14"/>
    </row>
    <row r="18" spans="1:30">
      <c r="A18" s="4">
        <f t="shared" si="22"/>
        <v>2024</v>
      </c>
      <c r="B18" s="4">
        <f t="shared" si="11"/>
        <v>5</v>
      </c>
      <c r="C18" s="63">
        <f t="shared" si="12"/>
        <v>0</v>
      </c>
      <c r="D18" s="64"/>
      <c r="E18" s="65">
        <f t="shared" si="13"/>
        <v>0</v>
      </c>
      <c r="F18" s="28">
        <f t="shared" si="14"/>
        <v>1204</v>
      </c>
      <c r="G18" s="27">
        <f t="shared" si="25"/>
        <v>1505</v>
      </c>
      <c r="H18" s="29">
        <f t="shared" si="8"/>
        <v>1806</v>
      </c>
      <c r="I18" s="30">
        <f t="shared" si="15"/>
        <v>1204</v>
      </c>
      <c r="J18" s="84">
        <f t="shared" si="15"/>
        <v>1505</v>
      </c>
      <c r="K18" s="31">
        <f t="shared" si="15"/>
        <v>1806</v>
      </c>
      <c r="L18" s="68">
        <f t="shared" si="26"/>
        <v>44</v>
      </c>
      <c r="M18" s="68">
        <f t="shared" si="26"/>
        <v>56.489999999999995</v>
      </c>
      <c r="N18" s="68">
        <f t="shared" si="26"/>
        <v>40</v>
      </c>
      <c r="O18" s="68">
        <f t="shared" si="26"/>
        <v>20</v>
      </c>
      <c r="P18" s="68">
        <f t="shared" si="23"/>
        <v>0</v>
      </c>
      <c r="Q18" s="66">
        <f t="shared" si="16"/>
        <v>152.46549999999999</v>
      </c>
      <c r="R18" s="70">
        <f t="shared" si="9"/>
        <v>160.49</v>
      </c>
      <c r="S18" s="67">
        <f t="shared" si="10"/>
        <v>168.51450000000003</v>
      </c>
      <c r="T18" s="66">
        <f t="shared" si="24"/>
        <v>1356.4655</v>
      </c>
      <c r="U18" s="89">
        <f t="shared" si="17"/>
        <v>1665.49</v>
      </c>
      <c r="V18" s="67">
        <f t="shared" si="17"/>
        <v>1974.5145</v>
      </c>
      <c r="W18" s="6">
        <f t="shared" si="18"/>
        <v>0.84034805024844572</v>
      </c>
      <c r="X18" s="66">
        <f t="shared" si="19"/>
        <v>1139.9031381542832</v>
      </c>
      <c r="Y18" s="89">
        <f t="shared" si="20"/>
        <v>1399.5912742082839</v>
      </c>
      <c r="Z18" s="67">
        <f t="shared" si="21"/>
        <v>1659.2794102622847</v>
      </c>
      <c r="AA18" s="14"/>
    </row>
    <row r="19" spans="1:30">
      <c r="A19" s="4">
        <f t="shared" si="22"/>
        <v>2025</v>
      </c>
      <c r="B19" s="4">
        <f t="shared" si="11"/>
        <v>6</v>
      </c>
      <c r="C19" s="63">
        <f t="shared" si="12"/>
        <v>0</v>
      </c>
      <c r="D19" s="64"/>
      <c r="E19" s="65">
        <f t="shared" si="13"/>
        <v>0</v>
      </c>
      <c r="F19" s="28">
        <f t="shared" si="14"/>
        <v>1204</v>
      </c>
      <c r="G19" s="27">
        <f t="shared" si="25"/>
        <v>1505</v>
      </c>
      <c r="H19" s="29">
        <f t="shared" si="8"/>
        <v>1806</v>
      </c>
      <c r="I19" s="30">
        <f t="shared" si="15"/>
        <v>1204</v>
      </c>
      <c r="J19" s="84">
        <f t="shared" si="15"/>
        <v>1505</v>
      </c>
      <c r="K19" s="31">
        <f t="shared" si="15"/>
        <v>1806</v>
      </c>
      <c r="L19" s="68">
        <f t="shared" si="26"/>
        <v>44</v>
      </c>
      <c r="M19" s="68">
        <f t="shared" si="26"/>
        <v>56.489999999999995</v>
      </c>
      <c r="N19" s="68">
        <f t="shared" si="26"/>
        <v>40</v>
      </c>
      <c r="O19" s="68">
        <f t="shared" si="26"/>
        <v>20</v>
      </c>
      <c r="P19" s="68">
        <f t="shared" si="23"/>
        <v>0</v>
      </c>
      <c r="Q19" s="66">
        <f t="shared" si="16"/>
        <v>152.46549999999999</v>
      </c>
      <c r="R19" s="70">
        <f t="shared" si="9"/>
        <v>160.49</v>
      </c>
      <c r="S19" s="67">
        <f t="shared" si="10"/>
        <v>168.51450000000003</v>
      </c>
      <c r="T19" s="66">
        <f t="shared" si="24"/>
        <v>1356.4655</v>
      </c>
      <c r="U19" s="89">
        <f t="shared" si="17"/>
        <v>1665.49</v>
      </c>
      <c r="V19" s="67">
        <f t="shared" si="17"/>
        <v>1974.5145</v>
      </c>
      <c r="W19" s="6">
        <f t="shared" si="18"/>
        <v>0.81161681499753291</v>
      </c>
      <c r="X19" s="66">
        <f t="shared" si="19"/>
        <v>1100.930208764036</v>
      </c>
      <c r="Y19" s="89">
        <f t="shared" si="20"/>
        <v>1351.7396892102411</v>
      </c>
      <c r="Z19" s="67">
        <f t="shared" si="21"/>
        <v>1602.5491696564461</v>
      </c>
      <c r="AA19" s="14"/>
    </row>
    <row r="20" spans="1:30">
      <c r="A20" s="4">
        <f t="shared" si="22"/>
        <v>2026</v>
      </c>
      <c r="B20" s="4">
        <f t="shared" si="11"/>
        <v>7</v>
      </c>
      <c r="C20" s="63">
        <f t="shared" si="12"/>
        <v>0</v>
      </c>
      <c r="D20" s="64"/>
      <c r="E20" s="65">
        <f t="shared" si="13"/>
        <v>0</v>
      </c>
      <c r="F20" s="28">
        <f t="shared" si="14"/>
        <v>1204</v>
      </c>
      <c r="G20" s="27">
        <f t="shared" si="25"/>
        <v>1505</v>
      </c>
      <c r="H20" s="29">
        <f t="shared" si="8"/>
        <v>1806</v>
      </c>
      <c r="I20" s="30">
        <f t="shared" si="15"/>
        <v>1204</v>
      </c>
      <c r="J20" s="84">
        <f t="shared" si="15"/>
        <v>1505</v>
      </c>
      <c r="K20" s="31">
        <f t="shared" si="15"/>
        <v>1806</v>
      </c>
      <c r="L20" s="68">
        <f t="shared" si="26"/>
        <v>44</v>
      </c>
      <c r="M20" s="68">
        <f t="shared" si="26"/>
        <v>56.489999999999995</v>
      </c>
      <c r="N20" s="68">
        <f t="shared" si="26"/>
        <v>40</v>
      </c>
      <c r="O20" s="68">
        <f t="shared" si="26"/>
        <v>20</v>
      </c>
      <c r="P20" s="68">
        <f t="shared" si="23"/>
        <v>0</v>
      </c>
      <c r="Q20" s="66">
        <f t="shared" si="16"/>
        <v>152.46549999999999</v>
      </c>
      <c r="R20" s="70">
        <f t="shared" si="9"/>
        <v>160.49</v>
      </c>
      <c r="S20" s="67">
        <f t="shared" si="10"/>
        <v>168.51450000000003</v>
      </c>
      <c r="T20" s="66">
        <f t="shared" si="24"/>
        <v>1356.4655</v>
      </c>
      <c r="U20" s="89">
        <f t="shared" si="17"/>
        <v>1665.49</v>
      </c>
      <c r="V20" s="67">
        <f t="shared" si="17"/>
        <v>1974.5145</v>
      </c>
      <c r="W20" s="6">
        <f t="shared" si="18"/>
        <v>0.78386789163369996</v>
      </c>
      <c r="X20" s="66">
        <f t="shared" si="19"/>
        <v>1063.2897515588527</v>
      </c>
      <c r="Y20" s="89">
        <f t="shared" si="20"/>
        <v>1305.5241348370109</v>
      </c>
      <c r="Z20" s="67">
        <f t="shared" si="21"/>
        <v>1547.7585181151692</v>
      </c>
      <c r="AA20" s="14"/>
    </row>
    <row r="21" spans="1:30">
      <c r="A21" s="4">
        <f t="shared" si="22"/>
        <v>2027</v>
      </c>
      <c r="B21" s="4">
        <f t="shared" si="11"/>
        <v>8</v>
      </c>
      <c r="C21" s="63">
        <f t="shared" si="12"/>
        <v>0</v>
      </c>
      <c r="D21" s="64"/>
      <c r="E21" s="65">
        <f t="shared" si="13"/>
        <v>0</v>
      </c>
      <c r="F21" s="28">
        <f t="shared" si="14"/>
        <v>1204</v>
      </c>
      <c r="G21" s="27">
        <f t="shared" si="25"/>
        <v>1505</v>
      </c>
      <c r="H21" s="29">
        <f t="shared" si="8"/>
        <v>1806</v>
      </c>
      <c r="I21" s="30">
        <f t="shared" si="15"/>
        <v>1204</v>
      </c>
      <c r="J21" s="84">
        <f t="shared" si="15"/>
        <v>1505</v>
      </c>
      <c r="K21" s="31">
        <f t="shared" si="15"/>
        <v>1806</v>
      </c>
      <c r="L21" s="68">
        <f t="shared" si="26"/>
        <v>44</v>
      </c>
      <c r="M21" s="68">
        <f t="shared" si="26"/>
        <v>56.489999999999995</v>
      </c>
      <c r="N21" s="68">
        <f t="shared" si="26"/>
        <v>40</v>
      </c>
      <c r="O21" s="68">
        <f t="shared" si="26"/>
        <v>20</v>
      </c>
      <c r="P21" s="68">
        <f t="shared" si="23"/>
        <v>0</v>
      </c>
      <c r="Q21" s="66">
        <f t="shared" si="16"/>
        <v>152.46549999999999</v>
      </c>
      <c r="R21" s="70">
        <f t="shared" si="9"/>
        <v>160.49</v>
      </c>
      <c r="S21" s="67">
        <f t="shared" si="10"/>
        <v>168.51450000000003</v>
      </c>
      <c r="T21" s="66">
        <f t="shared" si="24"/>
        <v>1356.4655</v>
      </c>
      <c r="U21" s="89">
        <f t="shared" si="17"/>
        <v>1665.49</v>
      </c>
      <c r="V21" s="67">
        <f t="shared" si="17"/>
        <v>1974.5145</v>
      </c>
      <c r="W21" s="6">
        <f t="shared" si="18"/>
        <v>0.75706769522281225</v>
      </c>
      <c r="X21" s="66">
        <f t="shared" si="19"/>
        <v>1026.9362097342596</v>
      </c>
      <c r="Y21" s="89">
        <f t="shared" si="20"/>
        <v>1260.8886757166415</v>
      </c>
      <c r="Z21" s="67">
        <f t="shared" si="21"/>
        <v>1494.8411416990236</v>
      </c>
      <c r="AA21" s="14"/>
    </row>
    <row r="22" spans="1:30">
      <c r="A22" s="4">
        <f t="shared" si="22"/>
        <v>2028</v>
      </c>
      <c r="B22" s="4">
        <f t="shared" si="11"/>
        <v>9</v>
      </c>
      <c r="C22" s="63">
        <f t="shared" si="12"/>
        <v>0</v>
      </c>
      <c r="D22" s="64"/>
      <c r="E22" s="65">
        <f t="shared" si="13"/>
        <v>0</v>
      </c>
      <c r="F22" s="28">
        <f t="shared" si="14"/>
        <v>1204</v>
      </c>
      <c r="G22" s="27">
        <f t="shared" si="25"/>
        <v>1505</v>
      </c>
      <c r="H22" s="29">
        <f t="shared" si="8"/>
        <v>1806</v>
      </c>
      <c r="I22" s="30">
        <f t="shared" si="15"/>
        <v>1204</v>
      </c>
      <c r="J22" s="84">
        <f t="shared" si="15"/>
        <v>1505</v>
      </c>
      <c r="K22" s="31">
        <f t="shared" si="15"/>
        <v>1806</v>
      </c>
      <c r="L22" s="68">
        <f t="shared" si="26"/>
        <v>44</v>
      </c>
      <c r="M22" s="68">
        <f t="shared" si="26"/>
        <v>56.489999999999995</v>
      </c>
      <c r="N22" s="68">
        <f t="shared" si="26"/>
        <v>40</v>
      </c>
      <c r="O22" s="68">
        <f t="shared" si="26"/>
        <v>20</v>
      </c>
      <c r="P22" s="68">
        <f t="shared" si="23"/>
        <v>0</v>
      </c>
      <c r="Q22" s="66">
        <f t="shared" si="16"/>
        <v>152.46549999999999</v>
      </c>
      <c r="R22" s="70">
        <f t="shared" si="9"/>
        <v>160.49</v>
      </c>
      <c r="S22" s="67">
        <f t="shared" si="10"/>
        <v>168.51450000000003</v>
      </c>
      <c r="T22" s="66">
        <f t="shared" si="24"/>
        <v>1356.4655</v>
      </c>
      <c r="U22" s="89">
        <f t="shared" si="17"/>
        <v>1665.49</v>
      </c>
      <c r="V22" s="67">
        <f t="shared" si="17"/>
        <v>1974.5145</v>
      </c>
      <c r="W22" s="6">
        <f t="shared" si="18"/>
        <v>0.73118378908905945</v>
      </c>
      <c r="X22" s="66">
        <f t="shared" si="19"/>
        <v>991.8255840585856</v>
      </c>
      <c r="Y22" s="89">
        <f t="shared" si="20"/>
        <v>1217.7792888899376</v>
      </c>
      <c r="Z22" s="67">
        <f t="shared" si="21"/>
        <v>1443.7329937212896</v>
      </c>
      <c r="AA22" s="14"/>
      <c r="AC22" s="12"/>
      <c r="AD22" s="71"/>
    </row>
    <row r="23" spans="1:30">
      <c r="A23" s="4">
        <f t="shared" si="22"/>
        <v>2029</v>
      </c>
      <c r="B23" s="4">
        <f t="shared" si="11"/>
        <v>10</v>
      </c>
      <c r="C23" s="63">
        <f t="shared" si="12"/>
        <v>0</v>
      </c>
      <c r="D23" s="64"/>
      <c r="E23" s="65">
        <f t="shared" si="13"/>
        <v>0</v>
      </c>
      <c r="F23" s="28">
        <f t="shared" si="14"/>
        <v>1204</v>
      </c>
      <c r="G23" s="27">
        <f t="shared" si="25"/>
        <v>1505</v>
      </c>
      <c r="H23" s="29">
        <f t="shared" si="8"/>
        <v>1806</v>
      </c>
      <c r="I23" s="30">
        <f t="shared" si="15"/>
        <v>1204</v>
      </c>
      <c r="J23" s="84">
        <f t="shared" si="15"/>
        <v>1505</v>
      </c>
      <c r="K23" s="31">
        <f t="shared" si="15"/>
        <v>1806</v>
      </c>
      <c r="L23" s="68">
        <f t="shared" si="26"/>
        <v>44</v>
      </c>
      <c r="M23" s="68">
        <f t="shared" si="26"/>
        <v>56.489999999999995</v>
      </c>
      <c r="N23" s="68">
        <f t="shared" si="26"/>
        <v>40</v>
      </c>
      <c r="O23" s="68">
        <f t="shared" si="26"/>
        <v>20</v>
      </c>
      <c r="P23" s="68">
        <f t="shared" si="23"/>
        <v>0</v>
      </c>
      <c r="Q23" s="66">
        <f t="shared" si="16"/>
        <v>152.46549999999999</v>
      </c>
      <c r="R23" s="70">
        <f t="shared" si="9"/>
        <v>160.49</v>
      </c>
      <c r="S23" s="67">
        <f t="shared" si="10"/>
        <v>168.51450000000003</v>
      </c>
      <c r="T23" s="66">
        <f t="shared" si="24"/>
        <v>1356.4655</v>
      </c>
      <c r="U23" s="89">
        <f t="shared" si="17"/>
        <v>1665.49</v>
      </c>
      <c r="V23" s="67">
        <f t="shared" si="17"/>
        <v>1974.5145</v>
      </c>
      <c r="W23" s="6">
        <f t="shared" si="18"/>
        <v>0.70618484555636418</v>
      </c>
      <c r="X23" s="66">
        <f t="shared" si="19"/>
        <v>957.91537962003633</v>
      </c>
      <c r="Y23" s="89">
        <f t="shared" si="20"/>
        <v>1176.143798425669</v>
      </c>
      <c r="Z23" s="67">
        <f t="shared" si="21"/>
        <v>1394.3722172313016</v>
      </c>
      <c r="AA23" s="14"/>
      <c r="AD23" s="71"/>
    </row>
    <row r="24" spans="1:30">
      <c r="A24" s="4">
        <f t="shared" si="22"/>
        <v>2030</v>
      </c>
      <c r="B24" s="4">
        <f t="shared" si="11"/>
        <v>11</v>
      </c>
      <c r="C24" s="63">
        <f t="shared" si="12"/>
        <v>0</v>
      </c>
      <c r="D24" s="64"/>
      <c r="E24" s="65">
        <f t="shared" si="13"/>
        <v>0</v>
      </c>
      <c r="F24" s="28">
        <f t="shared" si="14"/>
        <v>1204</v>
      </c>
      <c r="G24" s="27">
        <f t="shared" si="25"/>
        <v>1505</v>
      </c>
      <c r="H24" s="29">
        <f t="shared" si="8"/>
        <v>1806</v>
      </c>
      <c r="I24" s="30">
        <f t="shared" si="15"/>
        <v>1204</v>
      </c>
      <c r="J24" s="84">
        <f t="shared" si="15"/>
        <v>1505</v>
      </c>
      <c r="K24" s="31">
        <f t="shared" si="15"/>
        <v>1806</v>
      </c>
      <c r="L24" s="68">
        <f t="shared" si="26"/>
        <v>44</v>
      </c>
      <c r="M24" s="68">
        <f t="shared" si="26"/>
        <v>56.489999999999995</v>
      </c>
      <c r="N24" s="68">
        <f t="shared" si="26"/>
        <v>40</v>
      </c>
      <c r="O24" s="68">
        <f t="shared" si="26"/>
        <v>20</v>
      </c>
      <c r="P24" s="68">
        <f t="shared" si="23"/>
        <v>0</v>
      </c>
      <c r="Q24" s="66">
        <f t="shared" si="16"/>
        <v>152.46549999999999</v>
      </c>
      <c r="R24" s="70">
        <f t="shared" si="9"/>
        <v>160.49</v>
      </c>
      <c r="S24" s="67">
        <f t="shared" si="10"/>
        <v>168.51450000000003</v>
      </c>
      <c r="T24" s="66">
        <f t="shared" si="24"/>
        <v>1356.4655</v>
      </c>
      <c r="U24" s="89">
        <f t="shared" si="17"/>
        <v>1665.49</v>
      </c>
      <c r="V24" s="67">
        <f t="shared" si="17"/>
        <v>1974.5145</v>
      </c>
      <c r="W24" s="6">
        <f t="shared" si="18"/>
        <v>0.68204060803203026</v>
      </c>
      <c r="X24" s="66">
        <f t="shared" si="19"/>
        <v>925.16455439447191</v>
      </c>
      <c r="Y24" s="89">
        <f t="shared" si="20"/>
        <v>1135.9318122712662</v>
      </c>
      <c r="Z24" s="67">
        <f t="shared" si="21"/>
        <v>1346.6990701480602</v>
      </c>
      <c r="AA24" s="14"/>
      <c r="AD24" s="71"/>
    </row>
    <row r="25" spans="1:30">
      <c r="A25" s="4">
        <f t="shared" si="22"/>
        <v>2031</v>
      </c>
      <c r="B25" s="4">
        <f t="shared" si="11"/>
        <v>12</v>
      </c>
      <c r="C25" s="63">
        <f t="shared" si="12"/>
        <v>0</v>
      </c>
      <c r="D25" s="64"/>
      <c r="E25" s="65">
        <f t="shared" si="13"/>
        <v>0</v>
      </c>
      <c r="F25" s="28">
        <f t="shared" si="14"/>
        <v>1204</v>
      </c>
      <c r="G25" s="27">
        <f t="shared" si="25"/>
        <v>1505</v>
      </c>
      <c r="H25" s="29">
        <f t="shared" si="8"/>
        <v>1806</v>
      </c>
      <c r="I25" s="30">
        <f t="shared" si="15"/>
        <v>1204</v>
      </c>
      <c r="J25" s="84">
        <f t="shared" si="15"/>
        <v>1505</v>
      </c>
      <c r="K25" s="31">
        <f t="shared" si="15"/>
        <v>1806</v>
      </c>
      <c r="L25" s="68">
        <f t="shared" si="26"/>
        <v>44</v>
      </c>
      <c r="M25" s="68">
        <f t="shared" si="26"/>
        <v>56.489999999999995</v>
      </c>
      <c r="N25" s="68">
        <f t="shared" si="26"/>
        <v>40</v>
      </c>
      <c r="O25" s="68">
        <f t="shared" si="26"/>
        <v>20</v>
      </c>
      <c r="P25" s="68">
        <f t="shared" si="23"/>
        <v>0</v>
      </c>
      <c r="Q25" s="66">
        <f t="shared" si="16"/>
        <v>152.46549999999999</v>
      </c>
      <c r="R25" s="70">
        <f t="shared" si="9"/>
        <v>160.49</v>
      </c>
      <c r="S25" s="67">
        <f t="shared" si="10"/>
        <v>168.51450000000003</v>
      </c>
      <c r="T25" s="66">
        <f t="shared" si="24"/>
        <v>1356.4655</v>
      </c>
      <c r="U25" s="89">
        <f t="shared" si="17"/>
        <v>1665.49</v>
      </c>
      <c r="V25" s="67">
        <f t="shared" si="17"/>
        <v>1974.5145</v>
      </c>
      <c r="W25" s="6">
        <f t="shared" si="18"/>
        <v>0.65872185438673958</v>
      </c>
      <c r="X25" s="66">
        <f t="shared" si="19"/>
        <v>893.53346957163592</v>
      </c>
      <c r="Y25" s="89">
        <f t="shared" si="20"/>
        <v>1097.094661262571</v>
      </c>
      <c r="Z25" s="67">
        <f t="shared" si="21"/>
        <v>1300.6558529535059</v>
      </c>
      <c r="AA25" s="14"/>
      <c r="AD25" s="71"/>
    </row>
    <row r="26" spans="1:30">
      <c r="A26" s="4">
        <f t="shared" si="22"/>
        <v>2032</v>
      </c>
      <c r="B26" s="4">
        <f t="shared" si="11"/>
        <v>13</v>
      </c>
      <c r="C26" s="63">
        <f t="shared" si="12"/>
        <v>0</v>
      </c>
      <c r="D26" s="64"/>
      <c r="E26" s="65">
        <f t="shared" si="13"/>
        <v>0</v>
      </c>
      <c r="F26" s="28">
        <f>G26*(1+$F$11)</f>
        <v>1204</v>
      </c>
      <c r="G26" s="27">
        <f t="shared" si="25"/>
        <v>1505</v>
      </c>
      <c r="H26" s="29">
        <f t="shared" si="8"/>
        <v>1806</v>
      </c>
      <c r="I26" s="30">
        <f t="shared" si="15"/>
        <v>1204</v>
      </c>
      <c r="J26" s="84">
        <f t="shared" si="15"/>
        <v>1505</v>
      </c>
      <c r="K26" s="31">
        <f t="shared" si="15"/>
        <v>1806</v>
      </c>
      <c r="L26" s="68">
        <f t="shared" si="26"/>
        <v>44</v>
      </c>
      <c r="M26" s="68">
        <f t="shared" si="26"/>
        <v>56.489999999999995</v>
      </c>
      <c r="N26" s="68">
        <f t="shared" si="26"/>
        <v>40</v>
      </c>
      <c r="O26" s="68">
        <f t="shared" si="26"/>
        <v>20</v>
      </c>
      <c r="P26" s="68">
        <f t="shared" si="23"/>
        <v>0</v>
      </c>
      <c r="Q26" s="66">
        <f t="shared" si="16"/>
        <v>152.46549999999999</v>
      </c>
      <c r="R26" s="70">
        <f t="shared" si="9"/>
        <v>160.49</v>
      </c>
      <c r="S26" s="67">
        <f t="shared" si="10"/>
        <v>168.51450000000003</v>
      </c>
      <c r="T26" s="66">
        <f t="shared" si="24"/>
        <v>1356.4655</v>
      </c>
      <c r="U26" s="89">
        <f t="shared" si="17"/>
        <v>1665.49</v>
      </c>
      <c r="V26" s="67">
        <f t="shared" si="17"/>
        <v>1974.5145</v>
      </c>
      <c r="W26" s="6">
        <f t="shared" si="18"/>
        <v>0.63620036158657478</v>
      </c>
      <c r="X26" s="66">
        <f t="shared" si="19"/>
        <v>862.98384157971395</v>
      </c>
      <c r="Y26" s="89">
        <f t="shared" si="20"/>
        <v>1059.5853402188245</v>
      </c>
      <c r="Z26" s="67">
        <f t="shared" si="21"/>
        <v>1256.1868388579348</v>
      </c>
      <c r="AA26" s="14"/>
      <c r="AD26" s="71"/>
    </row>
    <row r="27" spans="1:30">
      <c r="A27" s="4">
        <f t="shared" si="22"/>
        <v>2033</v>
      </c>
      <c r="B27" s="4">
        <f t="shared" si="11"/>
        <v>14</v>
      </c>
      <c r="C27" s="63">
        <f t="shared" si="12"/>
        <v>0</v>
      </c>
      <c r="D27" s="64"/>
      <c r="E27" s="65">
        <f t="shared" si="13"/>
        <v>0</v>
      </c>
      <c r="F27" s="28">
        <f t="shared" si="14"/>
        <v>1204</v>
      </c>
      <c r="G27" s="27">
        <f t="shared" si="25"/>
        <v>1505</v>
      </c>
      <c r="H27" s="29">
        <f t="shared" si="8"/>
        <v>1806</v>
      </c>
      <c r="I27" s="30">
        <f t="shared" si="15"/>
        <v>1204</v>
      </c>
      <c r="J27" s="84">
        <f t="shared" si="15"/>
        <v>1505</v>
      </c>
      <c r="K27" s="31">
        <f t="shared" si="15"/>
        <v>1806</v>
      </c>
      <c r="L27" s="68">
        <f t="shared" si="26"/>
        <v>44</v>
      </c>
      <c r="M27" s="68">
        <f t="shared" si="26"/>
        <v>56.489999999999995</v>
      </c>
      <c r="N27" s="68">
        <f t="shared" si="26"/>
        <v>40</v>
      </c>
      <c r="O27" s="68">
        <f t="shared" si="26"/>
        <v>20</v>
      </c>
      <c r="P27" s="68">
        <f t="shared" si="23"/>
        <v>0</v>
      </c>
      <c r="Q27" s="66">
        <f t="shared" si="16"/>
        <v>152.46549999999999</v>
      </c>
      <c r="R27" s="70">
        <f t="shared" si="9"/>
        <v>160.49</v>
      </c>
      <c r="S27" s="67">
        <f t="shared" si="10"/>
        <v>168.51450000000003</v>
      </c>
      <c r="T27" s="66">
        <f t="shared" si="24"/>
        <v>1356.4655</v>
      </c>
      <c r="U27" s="89">
        <f t="shared" si="17"/>
        <v>1665.49</v>
      </c>
      <c r="V27" s="67">
        <f t="shared" si="17"/>
        <v>1974.5145</v>
      </c>
      <c r="W27" s="6">
        <f t="shared" si="18"/>
        <v>0.61444887153426186</v>
      </c>
      <c r="X27" s="66">
        <f t="shared" si="19"/>
        <v>833.47869575015829</v>
      </c>
      <c r="Y27" s="89">
        <f t="shared" si="20"/>
        <v>1023.3584510515979</v>
      </c>
      <c r="Z27" s="67">
        <f t="shared" si="21"/>
        <v>1213.2382063530372</v>
      </c>
      <c r="AA27" s="14"/>
      <c r="AD27" s="71"/>
    </row>
    <row r="28" spans="1:30">
      <c r="A28" s="4">
        <f t="shared" si="22"/>
        <v>2034</v>
      </c>
      <c r="B28" s="4">
        <f t="shared" si="11"/>
        <v>15</v>
      </c>
      <c r="C28" s="63">
        <f t="shared" si="12"/>
        <v>0</v>
      </c>
      <c r="D28" s="64"/>
      <c r="E28" s="65">
        <f t="shared" si="13"/>
        <v>0</v>
      </c>
      <c r="F28" s="28">
        <f t="shared" si="14"/>
        <v>1204</v>
      </c>
      <c r="G28" s="27">
        <f t="shared" si="25"/>
        <v>1505</v>
      </c>
      <c r="H28" s="29">
        <f t="shared" si="8"/>
        <v>1806</v>
      </c>
      <c r="I28" s="30">
        <f t="shared" si="15"/>
        <v>1204</v>
      </c>
      <c r="J28" s="84">
        <f t="shared" si="15"/>
        <v>1505</v>
      </c>
      <c r="K28" s="31">
        <f t="shared" si="15"/>
        <v>1806</v>
      </c>
      <c r="L28" s="68">
        <f t="shared" si="26"/>
        <v>44</v>
      </c>
      <c r="M28" s="68">
        <f t="shared" si="26"/>
        <v>56.489999999999995</v>
      </c>
      <c r="N28" s="68">
        <f t="shared" si="26"/>
        <v>40</v>
      </c>
      <c r="O28" s="68">
        <f t="shared" si="26"/>
        <v>20</v>
      </c>
      <c r="P28" s="68">
        <f t="shared" si="23"/>
        <v>0</v>
      </c>
      <c r="Q28" s="66">
        <f t="shared" si="16"/>
        <v>152.46549999999999</v>
      </c>
      <c r="R28" s="70">
        <f t="shared" si="9"/>
        <v>160.49</v>
      </c>
      <c r="S28" s="67">
        <f t="shared" si="10"/>
        <v>168.51450000000003</v>
      </c>
      <c r="T28" s="66">
        <f t="shared" si="24"/>
        <v>1356.4655</v>
      </c>
      <c r="U28" s="89">
        <f t="shared" si="17"/>
        <v>1665.49</v>
      </c>
      <c r="V28" s="67">
        <f t="shared" si="17"/>
        <v>1974.5145</v>
      </c>
      <c r="W28" s="6">
        <f t="shared" si="18"/>
        <v>0.5934410580782904</v>
      </c>
      <c r="X28" s="66">
        <f t="shared" si="19"/>
        <v>804.98232156669724</v>
      </c>
      <c r="Y28" s="89">
        <f t="shared" si="20"/>
        <v>988.37014781881192</v>
      </c>
      <c r="Z28" s="67">
        <f t="shared" si="21"/>
        <v>1171.7579740709266</v>
      </c>
      <c r="AA28" s="14"/>
    </row>
    <row r="29" spans="1:30">
      <c r="A29" s="4">
        <f t="shared" si="22"/>
        <v>2035</v>
      </c>
      <c r="B29" s="4">
        <f t="shared" si="11"/>
        <v>16</v>
      </c>
      <c r="C29" s="63">
        <f t="shared" si="12"/>
        <v>0</v>
      </c>
      <c r="D29" s="64"/>
      <c r="E29" s="65">
        <f t="shared" si="13"/>
        <v>0</v>
      </c>
      <c r="F29" s="28">
        <f t="shared" si="14"/>
        <v>1204</v>
      </c>
      <c r="G29" s="27">
        <f t="shared" si="25"/>
        <v>1505</v>
      </c>
      <c r="H29" s="29">
        <f t="shared" si="8"/>
        <v>1806</v>
      </c>
      <c r="I29" s="30">
        <f t="shared" si="15"/>
        <v>1204</v>
      </c>
      <c r="J29" s="84">
        <f t="shared" si="15"/>
        <v>1505</v>
      </c>
      <c r="K29" s="31">
        <f t="shared" si="15"/>
        <v>1806</v>
      </c>
      <c r="L29" s="68">
        <f t="shared" si="26"/>
        <v>44</v>
      </c>
      <c r="M29" s="68">
        <f t="shared" si="26"/>
        <v>56.489999999999995</v>
      </c>
      <c r="N29" s="68">
        <f t="shared" si="26"/>
        <v>40</v>
      </c>
      <c r="O29" s="68">
        <f t="shared" si="26"/>
        <v>20</v>
      </c>
      <c r="P29" s="68">
        <f t="shared" si="23"/>
        <v>0</v>
      </c>
      <c r="Q29" s="66">
        <f t="shared" si="16"/>
        <v>152.46549999999999</v>
      </c>
      <c r="R29" s="70">
        <f t="shared" si="9"/>
        <v>160.49</v>
      </c>
      <c r="S29" s="67">
        <f t="shared" si="10"/>
        <v>168.51450000000003</v>
      </c>
      <c r="T29" s="66">
        <f t="shared" si="24"/>
        <v>1356.4655</v>
      </c>
      <c r="U29" s="89">
        <f t="shared" si="17"/>
        <v>1665.49</v>
      </c>
      <c r="V29" s="67">
        <f t="shared" si="17"/>
        <v>1974.5145</v>
      </c>
      <c r="W29" s="6">
        <f t="shared" si="18"/>
        <v>0.57315149514998098</v>
      </c>
      <c r="X29" s="66">
        <f t="shared" si="19"/>
        <v>777.46022944436652</v>
      </c>
      <c r="Y29" s="89">
        <f t="shared" si="20"/>
        <v>954.57808365734184</v>
      </c>
      <c r="Z29" s="67">
        <f t="shared" si="21"/>
        <v>1131.695937870317</v>
      </c>
      <c r="AA29" s="14"/>
    </row>
    <row r="30" spans="1:30">
      <c r="A30" s="4">
        <f t="shared" si="22"/>
        <v>2036</v>
      </c>
      <c r="B30" s="4">
        <f t="shared" si="11"/>
        <v>17</v>
      </c>
      <c r="C30" s="63">
        <f t="shared" si="12"/>
        <v>0</v>
      </c>
      <c r="D30" s="64"/>
      <c r="E30" s="65">
        <f t="shared" si="13"/>
        <v>0</v>
      </c>
      <c r="F30" s="28">
        <f t="shared" si="14"/>
        <v>1204</v>
      </c>
      <c r="G30" s="27">
        <f t="shared" si="25"/>
        <v>1505</v>
      </c>
      <c r="H30" s="29">
        <f t="shared" si="8"/>
        <v>1806</v>
      </c>
      <c r="I30" s="30">
        <f t="shared" si="15"/>
        <v>1204</v>
      </c>
      <c r="J30" s="84">
        <f t="shared" si="15"/>
        <v>1505</v>
      </c>
      <c r="K30" s="31">
        <f t="shared" si="15"/>
        <v>1806</v>
      </c>
      <c r="L30" s="68">
        <f t="shared" si="26"/>
        <v>44</v>
      </c>
      <c r="M30" s="68">
        <f t="shared" si="26"/>
        <v>56.489999999999995</v>
      </c>
      <c r="N30" s="68">
        <f t="shared" si="26"/>
        <v>40</v>
      </c>
      <c r="O30" s="68">
        <f t="shared" si="26"/>
        <v>20</v>
      </c>
      <c r="P30" s="68">
        <f t="shared" si="23"/>
        <v>0</v>
      </c>
      <c r="Q30" s="66">
        <f t="shared" si="16"/>
        <v>152.46549999999999</v>
      </c>
      <c r="R30" s="70">
        <f t="shared" si="9"/>
        <v>160.49</v>
      </c>
      <c r="S30" s="67">
        <f t="shared" si="10"/>
        <v>168.51450000000003</v>
      </c>
      <c r="T30" s="66">
        <f t="shared" si="24"/>
        <v>1356.4655</v>
      </c>
      <c r="U30" s="89">
        <f t="shared" si="17"/>
        <v>1665.49</v>
      </c>
      <c r="V30" s="67">
        <f t="shared" si="17"/>
        <v>1974.5145</v>
      </c>
      <c r="W30" s="6">
        <f t="shared" si="18"/>
        <v>0.55355562598993713</v>
      </c>
      <c r="X30" s="66">
        <f t="shared" si="19"/>
        <v>750.87910898625307</v>
      </c>
      <c r="Y30" s="89">
        <f t="shared" si="20"/>
        <v>921.94135952998045</v>
      </c>
      <c r="Z30" s="67">
        <f t="shared" si="21"/>
        <v>1093.0036100737077</v>
      </c>
      <c r="AA30" s="14"/>
    </row>
    <row r="31" spans="1:30">
      <c r="A31" s="4">
        <f t="shared" si="22"/>
        <v>2037</v>
      </c>
      <c r="B31" s="4">
        <f t="shared" si="11"/>
        <v>18</v>
      </c>
      <c r="C31" s="63">
        <f t="shared" si="12"/>
        <v>0</v>
      </c>
      <c r="D31" s="27"/>
      <c r="E31" s="65">
        <f t="shared" si="13"/>
        <v>0</v>
      </c>
      <c r="F31" s="28">
        <f t="shared" si="14"/>
        <v>1204</v>
      </c>
      <c r="G31" s="27">
        <f t="shared" si="25"/>
        <v>1505</v>
      </c>
      <c r="H31" s="29">
        <f t="shared" si="8"/>
        <v>1806</v>
      </c>
      <c r="I31" s="30">
        <f t="shared" si="15"/>
        <v>1204</v>
      </c>
      <c r="J31" s="84">
        <f t="shared" si="15"/>
        <v>1505</v>
      </c>
      <c r="K31" s="31">
        <f t="shared" si="15"/>
        <v>1806</v>
      </c>
      <c r="L31" s="68">
        <f t="shared" si="26"/>
        <v>44</v>
      </c>
      <c r="M31" s="68">
        <f t="shared" si="26"/>
        <v>56.489999999999995</v>
      </c>
      <c r="N31" s="68">
        <f t="shared" si="26"/>
        <v>40</v>
      </c>
      <c r="O31" s="68">
        <f t="shared" si="26"/>
        <v>20</v>
      </c>
      <c r="P31" s="68">
        <f t="shared" si="23"/>
        <v>0</v>
      </c>
      <c r="Q31" s="66">
        <f t="shared" si="16"/>
        <v>152.46549999999999</v>
      </c>
      <c r="R31" s="70">
        <f t="shared" si="9"/>
        <v>160.49</v>
      </c>
      <c r="S31" s="67">
        <f t="shared" si="10"/>
        <v>168.51450000000003</v>
      </c>
      <c r="T31" s="66">
        <f t="shared" si="24"/>
        <v>1356.4655</v>
      </c>
      <c r="U31" s="89">
        <f t="shared" si="17"/>
        <v>1665.49</v>
      </c>
      <c r="V31" s="67">
        <f t="shared" si="17"/>
        <v>1974.5145</v>
      </c>
      <c r="W31" s="6">
        <f t="shared" si="18"/>
        <v>0.53462973342663422</v>
      </c>
      <c r="X31" s="66">
        <f t="shared" si="19"/>
        <v>725.20678866742617</v>
      </c>
      <c r="Y31" s="89">
        <f t="shared" si="20"/>
        <v>890.42047472472507</v>
      </c>
      <c r="Z31" s="67">
        <f t="shared" si="21"/>
        <v>1055.6341607820239</v>
      </c>
      <c r="AA31" s="14"/>
    </row>
    <row r="32" spans="1:30">
      <c r="A32" s="4">
        <f t="shared" si="22"/>
        <v>2038</v>
      </c>
      <c r="B32" s="4">
        <f t="shared" si="11"/>
        <v>19</v>
      </c>
      <c r="C32" s="63">
        <f t="shared" si="12"/>
        <v>0</v>
      </c>
      <c r="D32" s="27"/>
      <c r="E32" s="65">
        <f t="shared" si="13"/>
        <v>0</v>
      </c>
      <c r="F32" s="28">
        <f t="shared" si="14"/>
        <v>1204</v>
      </c>
      <c r="G32" s="27">
        <f t="shared" si="25"/>
        <v>1505</v>
      </c>
      <c r="H32" s="29">
        <f t="shared" si="8"/>
        <v>1806</v>
      </c>
      <c r="I32" s="30">
        <f t="shared" si="15"/>
        <v>1204</v>
      </c>
      <c r="J32" s="84">
        <f t="shared" si="15"/>
        <v>1505</v>
      </c>
      <c r="K32" s="31">
        <f t="shared" si="15"/>
        <v>1806</v>
      </c>
      <c r="L32" s="68">
        <f t="shared" ref="L32:O47" si="27">L31</f>
        <v>44</v>
      </c>
      <c r="M32" s="68">
        <f t="shared" si="27"/>
        <v>56.489999999999995</v>
      </c>
      <c r="N32" s="68">
        <f t="shared" si="27"/>
        <v>40</v>
      </c>
      <c r="O32" s="68">
        <f t="shared" si="27"/>
        <v>20</v>
      </c>
      <c r="P32" s="68">
        <f t="shared" si="23"/>
        <v>0</v>
      </c>
      <c r="Q32" s="66">
        <f t="shared" si="16"/>
        <v>152.46549999999999</v>
      </c>
      <c r="R32" s="70">
        <f t="shared" si="9"/>
        <v>160.49</v>
      </c>
      <c r="S32" s="67">
        <f t="shared" si="10"/>
        <v>168.51450000000003</v>
      </c>
      <c r="T32" s="66">
        <f t="shared" si="24"/>
        <v>1356.4655</v>
      </c>
      <c r="U32" s="89">
        <f t="shared" si="17"/>
        <v>1665.49</v>
      </c>
      <c r="V32" s="67">
        <f t="shared" si="17"/>
        <v>1974.5145</v>
      </c>
      <c r="W32" s="6">
        <f t="shared" si="18"/>
        <v>0.51635091117117471</v>
      </c>
      <c r="X32" s="66">
        <f t="shared" si="19"/>
        <v>700.41219689726313</v>
      </c>
      <c r="Y32" s="89">
        <f t="shared" si="20"/>
        <v>859.97727904647979</v>
      </c>
      <c r="Z32" s="67">
        <f t="shared" si="21"/>
        <v>1019.5423611956965</v>
      </c>
      <c r="AA32" s="14"/>
    </row>
    <row r="33" spans="1:27">
      <c r="A33" s="4">
        <f t="shared" si="22"/>
        <v>2039</v>
      </c>
      <c r="B33" s="4">
        <f t="shared" si="11"/>
        <v>20</v>
      </c>
      <c r="C33" s="63">
        <f t="shared" si="12"/>
        <v>0</v>
      </c>
      <c r="D33" s="64"/>
      <c r="E33" s="65">
        <f t="shared" si="13"/>
        <v>0</v>
      </c>
      <c r="F33" s="28">
        <f t="shared" si="14"/>
        <v>1204</v>
      </c>
      <c r="G33" s="27">
        <f t="shared" si="25"/>
        <v>1505</v>
      </c>
      <c r="H33" s="29">
        <f t="shared" si="8"/>
        <v>1806</v>
      </c>
      <c r="I33" s="30">
        <f t="shared" si="15"/>
        <v>1204</v>
      </c>
      <c r="J33" s="84">
        <f t="shared" si="15"/>
        <v>1505</v>
      </c>
      <c r="K33" s="31">
        <f t="shared" si="15"/>
        <v>1806</v>
      </c>
      <c r="L33" s="68">
        <f t="shared" si="27"/>
        <v>44</v>
      </c>
      <c r="M33" s="68">
        <f t="shared" si="27"/>
        <v>56.489999999999995</v>
      </c>
      <c r="N33" s="68">
        <f t="shared" si="27"/>
        <v>40</v>
      </c>
      <c r="O33" s="68">
        <f t="shared" si="27"/>
        <v>20</v>
      </c>
      <c r="P33" s="68">
        <f t="shared" si="23"/>
        <v>0</v>
      </c>
      <c r="Q33" s="66">
        <f t="shared" si="16"/>
        <v>152.46549999999999</v>
      </c>
      <c r="R33" s="70">
        <f t="shared" si="9"/>
        <v>160.49</v>
      </c>
      <c r="S33" s="67">
        <f t="shared" si="10"/>
        <v>168.51450000000003</v>
      </c>
      <c r="T33" s="66">
        <f t="shared" si="24"/>
        <v>1356.4655</v>
      </c>
      <c r="U33" s="89">
        <f t="shared" si="17"/>
        <v>1665.49</v>
      </c>
      <c r="V33" s="67">
        <f t="shared" si="17"/>
        <v>1974.5145</v>
      </c>
      <c r="W33" s="6">
        <f t="shared" si="18"/>
        <v>0.49869703609346588</v>
      </c>
      <c r="X33" s="66">
        <f t="shared" si="19"/>
        <v>676.46532441304123</v>
      </c>
      <c r="Y33" s="89">
        <f t="shared" si="20"/>
        <v>830.57492664330653</v>
      </c>
      <c r="Z33" s="67">
        <f t="shared" si="21"/>
        <v>984.68452887357171</v>
      </c>
      <c r="AA33" s="14"/>
    </row>
    <row r="34" spans="1:27">
      <c r="A34" s="4">
        <f t="shared" si="22"/>
        <v>2040</v>
      </c>
      <c r="B34" s="4">
        <f t="shared" si="11"/>
        <v>21</v>
      </c>
      <c r="C34" s="63">
        <f t="shared" si="12"/>
        <v>0</v>
      </c>
      <c r="D34" s="64"/>
      <c r="E34" s="65">
        <f t="shared" si="13"/>
        <v>0</v>
      </c>
      <c r="F34" s="28">
        <f t="shared" si="14"/>
        <v>1204</v>
      </c>
      <c r="G34" s="27">
        <f t="shared" si="25"/>
        <v>1505</v>
      </c>
      <c r="H34" s="29">
        <f t="shared" si="8"/>
        <v>1806</v>
      </c>
      <c r="I34" s="30">
        <f t="shared" si="15"/>
        <v>1204</v>
      </c>
      <c r="J34" s="84">
        <f t="shared" si="15"/>
        <v>1505</v>
      </c>
      <c r="K34" s="31">
        <f t="shared" si="15"/>
        <v>1806</v>
      </c>
      <c r="L34" s="68">
        <f t="shared" si="27"/>
        <v>44</v>
      </c>
      <c r="M34" s="68">
        <f t="shared" si="27"/>
        <v>56.489999999999995</v>
      </c>
      <c r="N34" s="68">
        <f t="shared" si="27"/>
        <v>40</v>
      </c>
      <c r="O34" s="68">
        <f t="shared" si="27"/>
        <v>20</v>
      </c>
      <c r="P34" s="68">
        <f t="shared" si="23"/>
        <v>0</v>
      </c>
      <c r="Q34" s="66">
        <f t="shared" si="16"/>
        <v>152.46549999999999</v>
      </c>
      <c r="R34" s="70">
        <f t="shared" si="9"/>
        <v>160.49</v>
      </c>
      <c r="S34" s="67">
        <f t="shared" si="10"/>
        <v>168.51450000000003</v>
      </c>
      <c r="T34" s="66">
        <f t="shared" si="24"/>
        <v>1356.4655</v>
      </c>
      <c r="U34" s="89">
        <f t="shared" si="17"/>
        <v>1665.49</v>
      </c>
      <c r="V34" s="67">
        <f t="shared" si="17"/>
        <v>1974.5145</v>
      </c>
      <c r="W34" s="6">
        <f t="shared" si="18"/>
        <v>0.48164674144626801</v>
      </c>
      <c r="X34" s="66">
        <f t="shared" si="19"/>
        <v>653.33718795928269</v>
      </c>
      <c r="Y34" s="89">
        <f t="shared" si="20"/>
        <v>802.17783141134487</v>
      </c>
      <c r="Z34" s="67">
        <f t="shared" si="21"/>
        <v>951.01847486340716</v>
      </c>
      <c r="AA34" s="14"/>
    </row>
    <row r="35" spans="1:27">
      <c r="A35" s="4">
        <f t="shared" si="22"/>
        <v>2041</v>
      </c>
      <c r="B35" s="4">
        <f t="shared" si="11"/>
        <v>22</v>
      </c>
      <c r="C35" s="63">
        <f t="shared" si="12"/>
        <v>0</v>
      </c>
      <c r="D35" s="64"/>
      <c r="E35" s="65">
        <f t="shared" si="13"/>
        <v>0</v>
      </c>
      <c r="F35" s="28">
        <f t="shared" si="14"/>
        <v>1204</v>
      </c>
      <c r="G35" s="27">
        <f t="shared" si="25"/>
        <v>1505</v>
      </c>
      <c r="H35" s="29">
        <f t="shared" si="8"/>
        <v>1806</v>
      </c>
      <c r="I35" s="30">
        <f t="shared" si="15"/>
        <v>1204</v>
      </c>
      <c r="J35" s="84">
        <f>G35+D35</f>
        <v>1505</v>
      </c>
      <c r="K35" s="31">
        <f t="shared" si="15"/>
        <v>1806</v>
      </c>
      <c r="L35" s="68">
        <f t="shared" si="27"/>
        <v>44</v>
      </c>
      <c r="M35" s="68">
        <f t="shared" si="27"/>
        <v>56.489999999999995</v>
      </c>
      <c r="N35" s="68">
        <f t="shared" si="27"/>
        <v>40</v>
      </c>
      <c r="O35" s="68">
        <f t="shared" si="27"/>
        <v>20</v>
      </c>
      <c r="P35" s="68">
        <f t="shared" si="23"/>
        <v>0</v>
      </c>
      <c r="Q35" s="66">
        <f t="shared" si="16"/>
        <v>152.46549999999999</v>
      </c>
      <c r="R35" s="70">
        <f t="shared" si="9"/>
        <v>160.49</v>
      </c>
      <c r="S35" s="67">
        <f t="shared" si="10"/>
        <v>168.51450000000003</v>
      </c>
      <c r="T35" s="66">
        <f t="shared" si="24"/>
        <v>1356.4655</v>
      </c>
      <c r="U35" s="89">
        <f t="shared" si="17"/>
        <v>1665.49</v>
      </c>
      <c r="V35" s="67">
        <f t="shared" si="17"/>
        <v>1974.5145</v>
      </c>
      <c r="W35" s="6">
        <f t="shared" si="18"/>
        <v>0.46517939100470151</v>
      </c>
      <c r="X35" s="66">
        <f t="shared" si="19"/>
        <v>630.99979520888792</v>
      </c>
      <c r="Y35" s="89">
        <f t="shared" si="20"/>
        <v>774.7516239244203</v>
      </c>
      <c r="Z35" s="67">
        <f t="shared" si="21"/>
        <v>918.50345263995268</v>
      </c>
      <c r="AA35" s="90"/>
    </row>
    <row r="36" spans="1:27">
      <c r="A36" s="4">
        <f t="shared" si="22"/>
        <v>2042</v>
      </c>
      <c r="B36" s="4">
        <f t="shared" si="11"/>
        <v>23</v>
      </c>
      <c r="C36" s="63">
        <f t="shared" si="12"/>
        <v>0</v>
      </c>
      <c r="D36" s="64"/>
      <c r="E36" s="65">
        <f t="shared" si="13"/>
        <v>0</v>
      </c>
      <c r="F36" s="28">
        <f t="shared" si="14"/>
        <v>1204</v>
      </c>
      <c r="G36" s="27">
        <f t="shared" si="25"/>
        <v>1505</v>
      </c>
      <c r="H36" s="29">
        <f t="shared" si="8"/>
        <v>1806</v>
      </c>
      <c r="I36" s="30">
        <f t="shared" si="15"/>
        <v>1204</v>
      </c>
      <c r="J36" s="84">
        <f t="shared" si="15"/>
        <v>1505</v>
      </c>
      <c r="K36" s="31">
        <f t="shared" si="15"/>
        <v>1806</v>
      </c>
      <c r="L36" s="68">
        <f t="shared" si="27"/>
        <v>44</v>
      </c>
      <c r="M36" s="68">
        <f t="shared" si="27"/>
        <v>56.489999999999995</v>
      </c>
      <c r="N36" s="68">
        <f t="shared" si="27"/>
        <v>40</v>
      </c>
      <c r="O36" s="68">
        <f t="shared" si="27"/>
        <v>20</v>
      </c>
      <c r="P36" s="68">
        <f t="shared" si="23"/>
        <v>0</v>
      </c>
      <c r="Q36" s="66">
        <f t="shared" si="16"/>
        <v>152.46549999999999</v>
      </c>
      <c r="R36" s="70">
        <f t="shared" si="9"/>
        <v>160.49</v>
      </c>
      <c r="S36" s="67">
        <f t="shared" si="10"/>
        <v>168.51450000000003</v>
      </c>
      <c r="T36" s="66">
        <f t="shared" si="24"/>
        <v>1356.4655</v>
      </c>
      <c r="U36" s="89">
        <f t="shared" si="17"/>
        <v>1665.49</v>
      </c>
      <c r="V36" s="67">
        <f t="shared" si="17"/>
        <v>1974.5145</v>
      </c>
      <c r="W36" s="6">
        <f t="shared" si="18"/>
        <v>0.44927505408991841</v>
      </c>
      <c r="X36" s="66">
        <f t="shared" si="19"/>
        <v>609.4261108836082</v>
      </c>
      <c r="Y36" s="89">
        <f t="shared" si="20"/>
        <v>748.26310983621818</v>
      </c>
      <c r="Z36" s="67">
        <f t="shared" si="21"/>
        <v>887.10010878882827</v>
      </c>
      <c r="AA36" s="14"/>
    </row>
    <row r="37" spans="1:27">
      <c r="A37" s="4">
        <f t="shared" si="22"/>
        <v>2043</v>
      </c>
      <c r="B37" s="4">
        <f t="shared" si="11"/>
        <v>24</v>
      </c>
      <c r="C37" s="63">
        <f t="shared" si="12"/>
        <v>0</v>
      </c>
      <c r="D37" s="64"/>
      <c r="E37" s="65">
        <f t="shared" si="13"/>
        <v>0</v>
      </c>
      <c r="F37" s="28">
        <f t="shared" si="14"/>
        <v>1204</v>
      </c>
      <c r="G37" s="27">
        <f t="shared" si="25"/>
        <v>1505</v>
      </c>
      <c r="H37" s="29">
        <f t="shared" si="8"/>
        <v>1806</v>
      </c>
      <c r="I37" s="30">
        <f t="shared" si="15"/>
        <v>1204</v>
      </c>
      <c r="J37" s="84">
        <f t="shared" si="15"/>
        <v>1505</v>
      </c>
      <c r="K37" s="31">
        <f t="shared" si="15"/>
        <v>1806</v>
      </c>
      <c r="L37" s="68">
        <f t="shared" si="27"/>
        <v>44</v>
      </c>
      <c r="M37" s="68">
        <f t="shared" si="27"/>
        <v>56.489999999999995</v>
      </c>
      <c r="N37" s="68">
        <f t="shared" si="27"/>
        <v>40</v>
      </c>
      <c r="O37" s="68">
        <f t="shared" si="27"/>
        <v>20</v>
      </c>
      <c r="P37" s="68">
        <f t="shared" si="23"/>
        <v>0</v>
      </c>
      <c r="Q37" s="66">
        <f t="shared" si="16"/>
        <v>152.46549999999999</v>
      </c>
      <c r="R37" s="70">
        <f t="shared" si="9"/>
        <v>160.49</v>
      </c>
      <c r="S37" s="67">
        <f t="shared" si="10"/>
        <v>168.51450000000003</v>
      </c>
      <c r="T37" s="66">
        <f t="shared" si="24"/>
        <v>1356.4655</v>
      </c>
      <c r="U37" s="89">
        <f t="shared" si="17"/>
        <v>1665.49</v>
      </c>
      <c r="V37" s="67">
        <f t="shared" si="17"/>
        <v>1974.5145</v>
      </c>
      <c r="W37" s="6">
        <f t="shared" si="18"/>
        <v>0.43391448144670497</v>
      </c>
      <c r="X37" s="66">
        <f t="shared" si="19"/>
        <v>588.59002403284535</v>
      </c>
      <c r="Y37" s="89">
        <f t="shared" si="20"/>
        <v>722.68022970467268</v>
      </c>
      <c r="Z37" s="67">
        <f t="shared" si="21"/>
        <v>856.7704353764999</v>
      </c>
      <c r="AA37" s="14"/>
    </row>
    <row r="38" spans="1:27">
      <c r="A38" s="4">
        <f t="shared" si="22"/>
        <v>2044</v>
      </c>
      <c r="B38" s="4">
        <f t="shared" si="11"/>
        <v>25</v>
      </c>
      <c r="C38" s="63">
        <f t="shared" si="12"/>
        <v>0</v>
      </c>
      <c r="D38" s="64"/>
      <c r="E38" s="65">
        <f t="shared" si="13"/>
        <v>0</v>
      </c>
      <c r="F38" s="28">
        <f t="shared" si="14"/>
        <v>1204</v>
      </c>
      <c r="G38" s="27">
        <f t="shared" si="25"/>
        <v>1505</v>
      </c>
      <c r="H38" s="29">
        <f t="shared" si="8"/>
        <v>1806</v>
      </c>
      <c r="I38" s="30">
        <f t="shared" si="15"/>
        <v>1204</v>
      </c>
      <c r="J38" s="84">
        <f t="shared" si="15"/>
        <v>1505</v>
      </c>
      <c r="K38" s="31">
        <f t="shared" si="15"/>
        <v>1806</v>
      </c>
      <c r="L38" s="68">
        <f t="shared" si="27"/>
        <v>44</v>
      </c>
      <c r="M38" s="68">
        <f t="shared" si="27"/>
        <v>56.489999999999995</v>
      </c>
      <c r="N38" s="68">
        <f t="shared" si="27"/>
        <v>40</v>
      </c>
      <c r="O38" s="68">
        <f t="shared" si="27"/>
        <v>20</v>
      </c>
      <c r="P38" s="68">
        <f t="shared" si="23"/>
        <v>0</v>
      </c>
      <c r="Q38" s="66">
        <f t="shared" si="16"/>
        <v>152.46549999999999</v>
      </c>
      <c r="R38" s="70">
        <f t="shared" si="9"/>
        <v>160.49</v>
      </c>
      <c r="S38" s="67">
        <f t="shared" si="10"/>
        <v>168.51450000000003</v>
      </c>
      <c r="T38" s="66">
        <f t="shared" si="24"/>
        <v>1356.4655</v>
      </c>
      <c r="U38" s="89">
        <f t="shared" si="17"/>
        <v>1665.49</v>
      </c>
      <c r="V38" s="67">
        <f t="shared" si="17"/>
        <v>1974.5145</v>
      </c>
      <c r="W38" s="7">
        <f t="shared" si="18"/>
        <v>0.41907908194582277</v>
      </c>
      <c r="X38" s="66">
        <f t="shared" si="19"/>
        <v>568.46631643118144</v>
      </c>
      <c r="Y38" s="89">
        <f t="shared" si="20"/>
        <v>697.97202018994835</v>
      </c>
      <c r="Z38" s="67">
        <f t="shared" si="21"/>
        <v>827.47772394871527</v>
      </c>
      <c r="AA38" s="14"/>
    </row>
    <row r="39" spans="1:27">
      <c r="A39" s="4">
        <f t="shared" si="22"/>
        <v>2045</v>
      </c>
      <c r="B39" s="4">
        <f t="shared" si="11"/>
        <v>26</v>
      </c>
      <c r="C39" s="63">
        <f t="shared" si="12"/>
        <v>0</v>
      </c>
      <c r="D39" s="64"/>
      <c r="E39" s="65">
        <f t="shared" si="13"/>
        <v>0</v>
      </c>
      <c r="F39" s="28">
        <f t="shared" si="14"/>
        <v>1204</v>
      </c>
      <c r="G39" s="27">
        <f t="shared" si="25"/>
        <v>1505</v>
      </c>
      <c r="H39" s="29">
        <f t="shared" si="8"/>
        <v>1806</v>
      </c>
      <c r="I39" s="30">
        <f t="shared" si="15"/>
        <v>1204</v>
      </c>
      <c r="J39" s="84">
        <f t="shared" si="15"/>
        <v>1505</v>
      </c>
      <c r="K39" s="31">
        <f t="shared" si="15"/>
        <v>1806</v>
      </c>
      <c r="L39" s="68">
        <f t="shared" si="27"/>
        <v>44</v>
      </c>
      <c r="M39" s="68">
        <f t="shared" si="27"/>
        <v>56.489999999999995</v>
      </c>
      <c r="N39" s="68">
        <f t="shared" si="27"/>
        <v>40</v>
      </c>
      <c r="O39" s="68">
        <f t="shared" si="27"/>
        <v>20</v>
      </c>
      <c r="P39" s="68">
        <f t="shared" si="23"/>
        <v>0</v>
      </c>
      <c r="Q39" s="66">
        <f t="shared" si="16"/>
        <v>152.46549999999999</v>
      </c>
      <c r="R39" s="70">
        <f t="shared" si="9"/>
        <v>160.49</v>
      </c>
      <c r="S39" s="67">
        <f t="shared" si="10"/>
        <v>168.51450000000003</v>
      </c>
      <c r="T39" s="66">
        <f t="shared" si="24"/>
        <v>1356.4655</v>
      </c>
      <c r="U39" s="89">
        <f t="shared" si="17"/>
        <v>1665.49</v>
      </c>
      <c r="V39" s="67">
        <f t="shared" si="17"/>
        <v>1974.5145</v>
      </c>
      <c r="W39" s="7">
        <f t="shared" si="18"/>
        <v>0.40475090008288855</v>
      </c>
      <c r="X39" s="66">
        <f t="shared" si="19"/>
        <v>549.03063205638546</v>
      </c>
      <c r="Y39" s="89">
        <f t="shared" si="20"/>
        <v>674.10857657905001</v>
      </c>
      <c r="Z39" s="67">
        <f t="shared" si="21"/>
        <v>799.18652110171467</v>
      </c>
      <c r="AA39" s="14"/>
    </row>
    <row r="40" spans="1:27">
      <c r="A40" s="4">
        <f t="shared" si="22"/>
        <v>2046</v>
      </c>
      <c r="B40" s="4">
        <f t="shared" si="11"/>
        <v>27</v>
      </c>
      <c r="C40" s="63">
        <f t="shared" si="12"/>
        <v>0</v>
      </c>
      <c r="D40" s="64"/>
      <c r="E40" s="65">
        <f t="shared" si="13"/>
        <v>0</v>
      </c>
      <c r="F40" s="28">
        <f t="shared" si="14"/>
        <v>1204</v>
      </c>
      <c r="G40" s="27">
        <f t="shared" si="25"/>
        <v>1505</v>
      </c>
      <c r="H40" s="29">
        <f t="shared" si="8"/>
        <v>1806</v>
      </c>
      <c r="I40" s="30">
        <f t="shared" si="15"/>
        <v>1204</v>
      </c>
      <c r="J40" s="84">
        <f t="shared" si="15"/>
        <v>1505</v>
      </c>
      <c r="K40" s="31">
        <f t="shared" si="15"/>
        <v>1806</v>
      </c>
      <c r="L40" s="68">
        <f t="shared" si="27"/>
        <v>44</v>
      </c>
      <c r="M40" s="68">
        <f t="shared" si="27"/>
        <v>56.489999999999995</v>
      </c>
      <c r="N40" s="68">
        <f t="shared" si="27"/>
        <v>40</v>
      </c>
      <c r="O40" s="68">
        <f t="shared" si="27"/>
        <v>20</v>
      </c>
      <c r="P40" s="68">
        <f t="shared" si="23"/>
        <v>0</v>
      </c>
      <c r="Q40" s="66">
        <f t="shared" si="16"/>
        <v>152.46549999999999</v>
      </c>
      <c r="R40" s="70">
        <f t="shared" si="9"/>
        <v>160.49</v>
      </c>
      <c r="S40" s="67">
        <f t="shared" si="10"/>
        <v>168.51450000000003</v>
      </c>
      <c r="T40" s="66">
        <f t="shared" si="24"/>
        <v>1356.4655</v>
      </c>
      <c r="U40" s="89">
        <f t="shared" si="17"/>
        <v>1665.49</v>
      </c>
      <c r="V40" s="67">
        <f t="shared" si="17"/>
        <v>1974.5145</v>
      </c>
      <c r="W40" s="7">
        <f t="shared" si="18"/>
        <v>0.39091259424656027</v>
      </c>
      <c r="X40" s="66">
        <f t="shared" si="19"/>
        <v>530.25944761095752</v>
      </c>
      <c r="Y40" s="89">
        <f t="shared" si="20"/>
        <v>651.06101659170372</v>
      </c>
      <c r="Z40" s="67">
        <f t="shared" si="21"/>
        <v>771.8625855724498</v>
      </c>
      <c r="AA40" s="90"/>
    </row>
    <row r="41" spans="1:27">
      <c r="A41" s="4">
        <f t="shared" si="22"/>
        <v>2047</v>
      </c>
      <c r="B41" s="4">
        <f t="shared" si="11"/>
        <v>28</v>
      </c>
      <c r="C41" s="63">
        <f t="shared" si="12"/>
        <v>0</v>
      </c>
      <c r="D41" s="64"/>
      <c r="E41" s="65">
        <f t="shared" si="13"/>
        <v>0</v>
      </c>
      <c r="F41" s="28">
        <f t="shared" si="14"/>
        <v>1204</v>
      </c>
      <c r="G41" s="27">
        <f t="shared" si="25"/>
        <v>1505</v>
      </c>
      <c r="H41" s="29">
        <f t="shared" si="8"/>
        <v>1806</v>
      </c>
      <c r="I41" s="30">
        <f t="shared" si="15"/>
        <v>1204</v>
      </c>
      <c r="J41" s="84">
        <f t="shared" si="15"/>
        <v>1505</v>
      </c>
      <c r="K41" s="31">
        <f t="shared" si="15"/>
        <v>1806</v>
      </c>
      <c r="L41" s="68">
        <f t="shared" si="27"/>
        <v>44</v>
      </c>
      <c r="M41" s="68">
        <f t="shared" si="27"/>
        <v>56.489999999999995</v>
      </c>
      <c r="N41" s="68">
        <f t="shared" si="27"/>
        <v>40</v>
      </c>
      <c r="O41" s="68">
        <f t="shared" si="27"/>
        <v>20</v>
      </c>
      <c r="P41" s="68">
        <f t="shared" si="23"/>
        <v>0</v>
      </c>
      <c r="Q41" s="66">
        <f t="shared" si="16"/>
        <v>152.46549999999999</v>
      </c>
      <c r="R41" s="70">
        <f t="shared" si="9"/>
        <v>160.49</v>
      </c>
      <c r="S41" s="67">
        <f t="shared" si="10"/>
        <v>168.51450000000003</v>
      </c>
      <c r="T41" s="66">
        <f t="shared" si="24"/>
        <v>1356.4655</v>
      </c>
      <c r="U41" s="89">
        <f t="shared" si="17"/>
        <v>1665.49</v>
      </c>
      <c r="V41" s="67">
        <f t="shared" si="17"/>
        <v>1974.5145</v>
      </c>
      <c r="W41" s="7">
        <f t="shared" si="18"/>
        <v>0.37754741572972783</v>
      </c>
      <c r="X41" s="66">
        <f t="shared" si="19"/>
        <v>512.1300440515331</v>
      </c>
      <c r="Y41" s="89">
        <f t="shared" si="20"/>
        <v>628.80144542370442</v>
      </c>
      <c r="Z41" s="67">
        <f t="shared" si="21"/>
        <v>745.47284679587574</v>
      </c>
      <c r="AA41" s="14"/>
    </row>
    <row r="42" spans="1:27">
      <c r="A42" s="4">
        <f t="shared" si="22"/>
        <v>2048</v>
      </c>
      <c r="B42" s="4">
        <f t="shared" si="11"/>
        <v>29</v>
      </c>
      <c r="C42" s="63">
        <f t="shared" si="12"/>
        <v>0</v>
      </c>
      <c r="D42" s="64"/>
      <c r="E42" s="65">
        <f t="shared" si="13"/>
        <v>0</v>
      </c>
      <c r="F42" s="28">
        <f t="shared" si="14"/>
        <v>1204</v>
      </c>
      <c r="G42" s="27">
        <f t="shared" si="25"/>
        <v>1505</v>
      </c>
      <c r="H42" s="29">
        <f t="shared" si="8"/>
        <v>1806</v>
      </c>
      <c r="I42" s="30">
        <f t="shared" si="15"/>
        <v>1204</v>
      </c>
      <c r="J42" s="84">
        <f t="shared" si="15"/>
        <v>1505</v>
      </c>
      <c r="K42" s="31">
        <f t="shared" si="15"/>
        <v>1806</v>
      </c>
      <c r="L42" s="68">
        <f t="shared" si="27"/>
        <v>44</v>
      </c>
      <c r="M42" s="68">
        <f t="shared" si="27"/>
        <v>56.489999999999995</v>
      </c>
      <c r="N42" s="68">
        <f t="shared" si="27"/>
        <v>40</v>
      </c>
      <c r="O42" s="68">
        <f t="shared" si="27"/>
        <v>20</v>
      </c>
      <c r="P42" s="68">
        <f t="shared" si="23"/>
        <v>0</v>
      </c>
      <c r="Q42" s="66">
        <f t="shared" si="16"/>
        <v>152.46549999999999</v>
      </c>
      <c r="R42" s="70">
        <f t="shared" si="9"/>
        <v>160.49</v>
      </c>
      <c r="S42" s="67">
        <f t="shared" si="10"/>
        <v>168.51450000000003</v>
      </c>
      <c r="T42" s="66">
        <f t="shared" si="24"/>
        <v>1356.4655</v>
      </c>
      <c r="U42" s="89">
        <f t="shared" si="17"/>
        <v>1665.49</v>
      </c>
      <c r="V42" s="67">
        <f t="shared" si="17"/>
        <v>1974.5145</v>
      </c>
      <c r="W42" s="7">
        <f t="shared" si="18"/>
        <v>0.36463918845830384</v>
      </c>
      <c r="X42" s="66">
        <f t="shared" si="19"/>
        <v>494.62047909168734</v>
      </c>
      <c r="Y42" s="89">
        <f t="shared" si="20"/>
        <v>607.30292198542043</v>
      </c>
      <c r="Z42" s="67">
        <f t="shared" si="21"/>
        <v>719.98536487915362</v>
      </c>
      <c r="AA42" s="14"/>
    </row>
    <row r="43" spans="1:27">
      <c r="A43" s="4">
        <f t="shared" si="22"/>
        <v>2049</v>
      </c>
      <c r="B43" s="4">
        <f t="shared" si="11"/>
        <v>30</v>
      </c>
      <c r="C43" s="63">
        <f t="shared" si="12"/>
        <v>0</v>
      </c>
      <c r="D43" s="64"/>
      <c r="E43" s="65">
        <f t="shared" si="13"/>
        <v>0</v>
      </c>
      <c r="F43" s="28">
        <f t="shared" si="14"/>
        <v>1204</v>
      </c>
      <c r="G43" s="27">
        <f t="shared" si="25"/>
        <v>1505</v>
      </c>
      <c r="H43" s="29">
        <f t="shared" si="8"/>
        <v>1806</v>
      </c>
      <c r="I43" s="30">
        <f t="shared" si="15"/>
        <v>1204</v>
      </c>
      <c r="J43" s="84">
        <f t="shared" si="15"/>
        <v>1505</v>
      </c>
      <c r="K43" s="31">
        <f t="shared" si="15"/>
        <v>1806</v>
      </c>
      <c r="L43" s="68">
        <f t="shared" si="27"/>
        <v>44</v>
      </c>
      <c r="M43" s="68">
        <f t="shared" si="27"/>
        <v>56.489999999999995</v>
      </c>
      <c r="N43" s="68">
        <f t="shared" si="27"/>
        <v>40</v>
      </c>
      <c r="O43" s="68">
        <f t="shared" si="27"/>
        <v>20</v>
      </c>
      <c r="P43" s="68">
        <f t="shared" si="23"/>
        <v>0</v>
      </c>
      <c r="Q43" s="66">
        <f t="shared" si="16"/>
        <v>152.46549999999999</v>
      </c>
      <c r="R43" s="70">
        <f t="shared" si="9"/>
        <v>160.49</v>
      </c>
      <c r="S43" s="67">
        <f t="shared" si="10"/>
        <v>168.51450000000003</v>
      </c>
      <c r="T43" s="66">
        <f t="shared" si="24"/>
        <v>1356.4655</v>
      </c>
      <c r="U43" s="89">
        <f t="shared" si="17"/>
        <v>1665.49</v>
      </c>
      <c r="V43" s="67">
        <f t="shared" si="17"/>
        <v>1974.5145</v>
      </c>
      <c r="W43" s="7">
        <f t="shared" si="18"/>
        <v>0.35217228941308076</v>
      </c>
      <c r="X43" s="66">
        <f t="shared" si="19"/>
        <v>477.70956064485932</v>
      </c>
      <c r="Y43" s="89">
        <f t="shared" si="20"/>
        <v>586.53942629459186</v>
      </c>
      <c r="Z43" s="67">
        <f t="shared" si="21"/>
        <v>695.36929194432446</v>
      </c>
      <c r="AA43" s="14"/>
    </row>
    <row r="44" spans="1:27">
      <c r="A44" s="4">
        <f t="shared" si="22"/>
        <v>2050</v>
      </c>
      <c r="B44" s="4">
        <f t="shared" si="11"/>
        <v>31</v>
      </c>
      <c r="C44" s="63">
        <f t="shared" si="12"/>
        <v>0</v>
      </c>
      <c r="D44" s="64"/>
      <c r="E44" s="65">
        <f t="shared" si="13"/>
        <v>0</v>
      </c>
      <c r="F44" s="28">
        <f t="shared" si="14"/>
        <v>1204</v>
      </c>
      <c r="G44" s="27">
        <f t="shared" si="25"/>
        <v>1505</v>
      </c>
      <c r="H44" s="29">
        <f t="shared" si="8"/>
        <v>1806</v>
      </c>
      <c r="I44" s="30">
        <f t="shared" si="15"/>
        <v>1204</v>
      </c>
      <c r="J44" s="84">
        <f t="shared" si="15"/>
        <v>1505</v>
      </c>
      <c r="K44" s="31">
        <f t="shared" si="15"/>
        <v>1806</v>
      </c>
      <c r="L44" s="68">
        <f t="shared" si="27"/>
        <v>44</v>
      </c>
      <c r="M44" s="68">
        <f t="shared" si="27"/>
        <v>56.489999999999995</v>
      </c>
      <c r="N44" s="68">
        <f t="shared" si="27"/>
        <v>40</v>
      </c>
      <c r="O44" s="68">
        <f t="shared" si="27"/>
        <v>20</v>
      </c>
      <c r="P44" s="68">
        <f t="shared" si="23"/>
        <v>0</v>
      </c>
      <c r="Q44" s="66">
        <f t="shared" si="16"/>
        <v>152.46549999999999</v>
      </c>
      <c r="R44" s="70">
        <f t="shared" si="9"/>
        <v>160.49</v>
      </c>
      <c r="S44" s="67">
        <f t="shared" si="10"/>
        <v>168.51450000000003</v>
      </c>
      <c r="T44" s="66">
        <f t="shared" si="24"/>
        <v>1356.4655</v>
      </c>
      <c r="U44" s="89">
        <f t="shared" si="17"/>
        <v>1665.49</v>
      </c>
      <c r="V44" s="67">
        <f t="shared" si="17"/>
        <v>1974.5145</v>
      </c>
      <c r="W44" s="7">
        <f t="shared" si="18"/>
        <v>0.34013162972095884</v>
      </c>
      <c r="X44" s="66">
        <f t="shared" si="19"/>
        <v>461.37682117525532</v>
      </c>
      <c r="Y44" s="89">
        <f t="shared" si="20"/>
        <v>566.48582798395978</v>
      </c>
      <c r="Z44" s="67">
        <f t="shared" si="21"/>
        <v>671.59483479266419</v>
      </c>
      <c r="AA44" s="90"/>
    </row>
    <row r="45" spans="1:27">
      <c r="A45" s="4">
        <f t="shared" si="22"/>
        <v>2051</v>
      </c>
      <c r="B45" s="4">
        <f t="shared" si="11"/>
        <v>32</v>
      </c>
      <c r="C45" s="63">
        <f t="shared" si="12"/>
        <v>0</v>
      </c>
      <c r="D45" s="64"/>
      <c r="E45" s="65">
        <f t="shared" si="13"/>
        <v>0</v>
      </c>
      <c r="F45" s="28">
        <f t="shared" si="14"/>
        <v>1204</v>
      </c>
      <c r="G45" s="27">
        <f t="shared" si="25"/>
        <v>1505</v>
      </c>
      <c r="H45" s="29">
        <f t="shared" si="8"/>
        <v>1806</v>
      </c>
      <c r="I45" s="30">
        <f t="shared" si="15"/>
        <v>1204</v>
      </c>
      <c r="J45" s="84">
        <f t="shared" si="15"/>
        <v>1505</v>
      </c>
      <c r="K45" s="31">
        <f t="shared" si="15"/>
        <v>1806</v>
      </c>
      <c r="L45" s="68">
        <f t="shared" si="27"/>
        <v>44</v>
      </c>
      <c r="M45" s="68">
        <f t="shared" si="27"/>
        <v>56.489999999999995</v>
      </c>
      <c r="N45" s="68">
        <f t="shared" si="27"/>
        <v>40</v>
      </c>
      <c r="O45" s="68">
        <f t="shared" si="27"/>
        <v>20</v>
      </c>
      <c r="P45" s="68">
        <f t="shared" si="23"/>
        <v>0</v>
      </c>
      <c r="Q45" s="66">
        <f t="shared" si="16"/>
        <v>152.46549999999999</v>
      </c>
      <c r="R45" s="70">
        <f t="shared" si="9"/>
        <v>160.49</v>
      </c>
      <c r="S45" s="67">
        <f t="shared" si="10"/>
        <v>168.51450000000003</v>
      </c>
      <c r="T45" s="66">
        <f t="shared" si="24"/>
        <v>1356.4655</v>
      </c>
      <c r="U45" s="89">
        <f t="shared" si="17"/>
        <v>1665.49</v>
      </c>
      <c r="V45" s="67">
        <f t="shared" si="17"/>
        <v>1974.5145</v>
      </c>
      <c r="W45" s="7">
        <f t="shared" si="18"/>
        <v>0.3285026363926587</v>
      </c>
      <c r="X45" s="66">
        <f t="shared" si="19"/>
        <v>445.60249292568597</v>
      </c>
      <c r="Y45" s="89">
        <f t="shared" si="20"/>
        <v>547.11785588560917</v>
      </c>
      <c r="Z45" s="67">
        <f t="shared" si="21"/>
        <v>648.63321884553227</v>
      </c>
      <c r="AA45" s="90"/>
    </row>
    <row r="46" spans="1:27">
      <c r="A46" s="4">
        <f t="shared" si="22"/>
        <v>2052</v>
      </c>
      <c r="B46" s="4">
        <f t="shared" si="11"/>
        <v>33</v>
      </c>
      <c r="C46" s="63">
        <f t="shared" si="12"/>
        <v>0</v>
      </c>
      <c r="D46" s="64"/>
      <c r="E46" s="65">
        <f t="shared" si="13"/>
        <v>0</v>
      </c>
      <c r="F46" s="28">
        <f t="shared" si="14"/>
        <v>1204</v>
      </c>
      <c r="G46" s="27">
        <f t="shared" si="25"/>
        <v>1505</v>
      </c>
      <c r="H46" s="29">
        <f t="shared" si="8"/>
        <v>1806</v>
      </c>
      <c r="I46" s="30">
        <f t="shared" si="15"/>
        <v>1204</v>
      </c>
      <c r="J46" s="84">
        <f t="shared" si="15"/>
        <v>1505</v>
      </c>
      <c r="K46" s="31">
        <f t="shared" si="15"/>
        <v>1806</v>
      </c>
      <c r="L46" s="68">
        <f t="shared" si="27"/>
        <v>44</v>
      </c>
      <c r="M46" s="68">
        <f t="shared" si="27"/>
        <v>56.489999999999995</v>
      </c>
      <c r="N46" s="68">
        <f t="shared" si="27"/>
        <v>40</v>
      </c>
      <c r="O46" s="68">
        <f t="shared" si="27"/>
        <v>20</v>
      </c>
      <c r="P46" s="68">
        <f t="shared" si="23"/>
        <v>0</v>
      </c>
      <c r="Q46" s="66">
        <f t="shared" si="16"/>
        <v>152.46549999999999</v>
      </c>
      <c r="R46" s="70">
        <f t="shared" si="9"/>
        <v>160.49</v>
      </c>
      <c r="S46" s="67">
        <f t="shared" si="10"/>
        <v>168.51450000000003</v>
      </c>
      <c r="T46" s="66">
        <f t="shared" si="24"/>
        <v>1356.4655</v>
      </c>
      <c r="U46" s="89">
        <f t="shared" si="17"/>
        <v>1665.49</v>
      </c>
      <c r="V46" s="67">
        <f t="shared" si="17"/>
        <v>1974.5145</v>
      </c>
      <c r="W46" s="7">
        <f t="shared" si="18"/>
        <v>0.31727123468481616</v>
      </c>
      <c r="X46" s="66">
        <f t="shared" si="19"/>
        <v>430.36748399235648</v>
      </c>
      <c r="Y46" s="89">
        <f t="shared" si="20"/>
        <v>528.41206865521451</v>
      </c>
      <c r="Z46" s="67">
        <f t="shared" si="21"/>
        <v>626.45665331807243</v>
      </c>
      <c r="AA46" s="14"/>
    </row>
    <row r="47" spans="1:27">
      <c r="A47" s="4">
        <f t="shared" si="22"/>
        <v>2053</v>
      </c>
      <c r="B47" s="4">
        <f t="shared" si="11"/>
        <v>34</v>
      </c>
      <c r="C47" s="63">
        <f t="shared" si="12"/>
        <v>0</v>
      </c>
      <c r="D47" s="64"/>
      <c r="E47" s="65">
        <f t="shared" si="13"/>
        <v>0</v>
      </c>
      <c r="F47" s="28">
        <f t="shared" si="14"/>
        <v>1204</v>
      </c>
      <c r="G47" s="27">
        <f>$Q$9</f>
        <v>1505</v>
      </c>
      <c r="H47" s="29">
        <f t="shared" si="8"/>
        <v>1806</v>
      </c>
      <c r="I47" s="30">
        <f t="shared" si="15"/>
        <v>1204</v>
      </c>
      <c r="J47" s="84">
        <f t="shared" si="15"/>
        <v>1505</v>
      </c>
      <c r="K47" s="31">
        <f t="shared" si="15"/>
        <v>1806</v>
      </c>
      <c r="L47" s="68">
        <f t="shared" si="27"/>
        <v>44</v>
      </c>
      <c r="M47" s="68">
        <f t="shared" si="27"/>
        <v>56.489999999999995</v>
      </c>
      <c r="N47" s="68">
        <f t="shared" si="27"/>
        <v>40</v>
      </c>
      <c r="O47" s="68">
        <f t="shared" si="27"/>
        <v>20</v>
      </c>
      <c r="P47" s="68">
        <f t="shared" si="23"/>
        <v>0</v>
      </c>
      <c r="Q47" s="66">
        <f t="shared" si="16"/>
        <v>152.46549999999999</v>
      </c>
      <c r="R47" s="70">
        <f t="shared" si="9"/>
        <v>160.49</v>
      </c>
      <c r="S47" s="67">
        <f t="shared" si="10"/>
        <v>168.51450000000003</v>
      </c>
      <c r="T47" s="66">
        <f t="shared" si="24"/>
        <v>1356.4655</v>
      </c>
      <c r="U47" s="89">
        <f t="shared" si="17"/>
        <v>1665.49</v>
      </c>
      <c r="V47" s="67">
        <f t="shared" si="17"/>
        <v>1974.5145</v>
      </c>
      <c r="W47" s="7">
        <f t="shared" si="18"/>
        <v>0.30642383106511123</v>
      </c>
      <c r="X47" s="66">
        <f t="shared" si="19"/>
        <v>415.65335521765167</v>
      </c>
      <c r="Y47" s="89">
        <f t="shared" si="20"/>
        <v>510.34582640063212</v>
      </c>
      <c r="Z47" s="67">
        <f t="shared" si="21"/>
        <v>605.03829758361258</v>
      </c>
      <c r="AA47" s="14"/>
    </row>
    <row r="48" spans="1:27">
      <c r="A48" s="4">
        <f t="shared" si="22"/>
        <v>2054</v>
      </c>
      <c r="B48" s="4">
        <f t="shared" si="11"/>
        <v>35</v>
      </c>
      <c r="C48" s="63">
        <f t="shared" si="12"/>
        <v>0</v>
      </c>
      <c r="D48" s="64"/>
      <c r="E48" s="65">
        <f t="shared" si="13"/>
        <v>0</v>
      </c>
      <c r="F48" s="28">
        <f t="shared" si="14"/>
        <v>1204</v>
      </c>
      <c r="G48" s="27">
        <f t="shared" ref="G48:G73" si="28">$Q$9</f>
        <v>1505</v>
      </c>
      <c r="H48" s="29">
        <f t="shared" si="8"/>
        <v>1806</v>
      </c>
      <c r="I48" s="30">
        <f t="shared" si="15"/>
        <v>1204</v>
      </c>
      <c r="J48" s="84">
        <f t="shared" si="15"/>
        <v>1505</v>
      </c>
      <c r="K48" s="31">
        <f t="shared" si="15"/>
        <v>1806</v>
      </c>
      <c r="L48" s="68">
        <f t="shared" ref="L48:O63" si="29">L47</f>
        <v>44</v>
      </c>
      <c r="M48" s="68">
        <f t="shared" si="29"/>
        <v>56.489999999999995</v>
      </c>
      <c r="N48" s="68">
        <f t="shared" si="29"/>
        <v>40</v>
      </c>
      <c r="O48" s="68">
        <f t="shared" si="29"/>
        <v>20</v>
      </c>
      <c r="P48" s="68">
        <f t="shared" si="23"/>
        <v>0</v>
      </c>
      <c r="Q48" s="66">
        <f t="shared" si="16"/>
        <v>152.46549999999999</v>
      </c>
      <c r="R48" s="70">
        <f t="shared" si="9"/>
        <v>160.49</v>
      </c>
      <c r="S48" s="67">
        <f t="shared" si="10"/>
        <v>168.51450000000003</v>
      </c>
      <c r="T48" s="66">
        <f t="shared" si="24"/>
        <v>1356.4655</v>
      </c>
      <c r="U48" s="89">
        <f t="shared" si="17"/>
        <v>1665.49</v>
      </c>
      <c r="V48" s="67">
        <f t="shared" si="17"/>
        <v>1974.5145</v>
      </c>
      <c r="W48" s="7">
        <f t="shared" si="18"/>
        <v>0.29594729675981379</v>
      </c>
      <c r="X48" s="66">
        <f t="shared" si="19"/>
        <v>401.44229787294921</v>
      </c>
      <c r="Y48" s="89">
        <f t="shared" si="20"/>
        <v>492.89726328050227</v>
      </c>
      <c r="Z48" s="67">
        <f t="shared" si="21"/>
        <v>584.35222868805533</v>
      </c>
      <c r="AA48" s="14"/>
    </row>
    <row r="49" spans="1:27">
      <c r="A49" s="4">
        <f t="shared" si="22"/>
        <v>2055</v>
      </c>
      <c r="B49" s="4">
        <f t="shared" si="11"/>
        <v>36</v>
      </c>
      <c r="C49" s="63">
        <f t="shared" si="12"/>
        <v>0</v>
      </c>
      <c r="D49" s="64"/>
      <c r="E49" s="65">
        <f t="shared" si="13"/>
        <v>0</v>
      </c>
      <c r="F49" s="28">
        <f t="shared" si="14"/>
        <v>1204</v>
      </c>
      <c r="G49" s="27">
        <f t="shared" si="28"/>
        <v>1505</v>
      </c>
      <c r="H49" s="29">
        <f t="shared" si="8"/>
        <v>1806</v>
      </c>
      <c r="I49" s="30">
        <f t="shared" si="15"/>
        <v>1204</v>
      </c>
      <c r="J49" s="84">
        <f t="shared" si="15"/>
        <v>1505</v>
      </c>
      <c r="K49" s="31">
        <f t="shared" si="15"/>
        <v>1806</v>
      </c>
      <c r="L49" s="68">
        <f t="shared" si="29"/>
        <v>44</v>
      </c>
      <c r="M49" s="68">
        <f t="shared" si="29"/>
        <v>56.489999999999995</v>
      </c>
      <c r="N49" s="68">
        <f t="shared" si="29"/>
        <v>40</v>
      </c>
      <c r="O49" s="68">
        <f t="shared" si="29"/>
        <v>20</v>
      </c>
      <c r="P49" s="68">
        <f t="shared" si="23"/>
        <v>0</v>
      </c>
      <c r="Q49" s="66">
        <f t="shared" si="16"/>
        <v>152.46549999999999</v>
      </c>
      <c r="R49" s="70">
        <f t="shared" si="9"/>
        <v>160.49</v>
      </c>
      <c r="S49" s="67">
        <f t="shared" si="10"/>
        <v>168.51450000000003</v>
      </c>
      <c r="T49" s="66">
        <f t="shared" si="24"/>
        <v>1356.4655</v>
      </c>
      <c r="U49" s="89">
        <f t="shared" si="17"/>
        <v>1665.49</v>
      </c>
      <c r="V49" s="67">
        <f t="shared" si="17"/>
        <v>1974.5145</v>
      </c>
      <c r="W49" s="7">
        <f t="shared" si="18"/>
        <v>0.28582895186383406</v>
      </c>
      <c r="X49" s="66">
        <f t="shared" si="19"/>
        <v>387.71711210445159</v>
      </c>
      <c r="Y49" s="89">
        <f t="shared" si="20"/>
        <v>476.04526103969698</v>
      </c>
      <c r="Z49" s="67">
        <f t="shared" si="21"/>
        <v>564.37340997494232</v>
      </c>
      <c r="AA49" s="14"/>
    </row>
    <row r="50" spans="1:27">
      <c r="A50" s="4">
        <f t="shared" si="22"/>
        <v>2056</v>
      </c>
      <c r="B50" s="4">
        <f t="shared" si="11"/>
        <v>37</v>
      </c>
      <c r="C50" s="63">
        <f t="shared" si="12"/>
        <v>0</v>
      </c>
      <c r="D50" s="64"/>
      <c r="E50" s="65">
        <f t="shared" si="13"/>
        <v>0</v>
      </c>
      <c r="F50" s="28">
        <f t="shared" si="14"/>
        <v>1204</v>
      </c>
      <c r="G50" s="27">
        <f t="shared" si="28"/>
        <v>1505</v>
      </c>
      <c r="H50" s="29">
        <f t="shared" si="8"/>
        <v>1806</v>
      </c>
      <c r="I50" s="30">
        <f t="shared" si="15"/>
        <v>1204</v>
      </c>
      <c r="J50" s="84">
        <f t="shared" si="15"/>
        <v>1505</v>
      </c>
      <c r="K50" s="31">
        <f t="shared" si="15"/>
        <v>1806</v>
      </c>
      <c r="L50" s="68">
        <f t="shared" si="29"/>
        <v>44</v>
      </c>
      <c r="M50" s="68">
        <f t="shared" si="29"/>
        <v>56.489999999999995</v>
      </c>
      <c r="N50" s="68">
        <f t="shared" si="29"/>
        <v>40</v>
      </c>
      <c r="O50" s="68">
        <f t="shared" si="29"/>
        <v>20</v>
      </c>
      <c r="P50" s="68">
        <f t="shared" si="23"/>
        <v>0</v>
      </c>
      <c r="Q50" s="66">
        <f t="shared" si="16"/>
        <v>152.46549999999999</v>
      </c>
      <c r="R50" s="70">
        <f t="shared" si="9"/>
        <v>160.49</v>
      </c>
      <c r="S50" s="67">
        <f t="shared" si="10"/>
        <v>168.51450000000003</v>
      </c>
      <c r="T50" s="66">
        <f t="shared" si="24"/>
        <v>1356.4655</v>
      </c>
      <c r="U50" s="89">
        <f t="shared" si="17"/>
        <v>1665.49</v>
      </c>
      <c r="V50" s="67">
        <f t="shared" si="17"/>
        <v>1974.5145</v>
      </c>
      <c r="W50" s="7">
        <f t="shared" si="18"/>
        <v>0.27605654999404483</v>
      </c>
      <c r="X50" s="66">
        <f t="shared" si="19"/>
        <v>374.46118611594704</v>
      </c>
      <c r="Y50" s="89">
        <f t="shared" si="20"/>
        <v>459.76942344958172</v>
      </c>
      <c r="Z50" s="67">
        <f t="shared" si="21"/>
        <v>545.0776607832164</v>
      </c>
      <c r="AA50" s="90"/>
    </row>
    <row r="51" spans="1:27">
      <c r="A51" s="4">
        <f t="shared" si="22"/>
        <v>2057</v>
      </c>
      <c r="B51" s="4">
        <f t="shared" si="11"/>
        <v>38</v>
      </c>
      <c r="C51" s="63">
        <f t="shared" si="12"/>
        <v>0</v>
      </c>
      <c r="D51" s="64"/>
      <c r="E51" s="65">
        <f t="shared" si="13"/>
        <v>0</v>
      </c>
      <c r="F51" s="28">
        <f t="shared" si="14"/>
        <v>1204</v>
      </c>
      <c r="G51" s="27">
        <f t="shared" si="28"/>
        <v>1505</v>
      </c>
      <c r="H51" s="29">
        <f t="shared" si="8"/>
        <v>1806</v>
      </c>
      <c r="I51" s="30">
        <f t="shared" si="15"/>
        <v>1204</v>
      </c>
      <c r="J51" s="84">
        <f t="shared" si="15"/>
        <v>1505</v>
      </c>
      <c r="K51" s="31">
        <f t="shared" si="15"/>
        <v>1806</v>
      </c>
      <c r="L51" s="68">
        <f t="shared" si="29"/>
        <v>44</v>
      </c>
      <c r="M51" s="68">
        <f t="shared" si="29"/>
        <v>56.489999999999995</v>
      </c>
      <c r="N51" s="68">
        <f t="shared" si="29"/>
        <v>40</v>
      </c>
      <c r="O51" s="68">
        <f t="shared" si="29"/>
        <v>20</v>
      </c>
      <c r="P51" s="68">
        <f t="shared" si="23"/>
        <v>0</v>
      </c>
      <c r="Q51" s="66">
        <f t="shared" si="16"/>
        <v>152.46549999999999</v>
      </c>
      <c r="R51" s="70">
        <f t="shared" si="9"/>
        <v>160.49</v>
      </c>
      <c r="S51" s="67">
        <f t="shared" si="10"/>
        <v>168.51450000000003</v>
      </c>
      <c r="T51" s="66">
        <f t="shared" si="24"/>
        <v>1356.4655</v>
      </c>
      <c r="U51" s="89">
        <f t="shared" si="17"/>
        <v>1665.49</v>
      </c>
      <c r="V51" s="67">
        <f t="shared" si="17"/>
        <v>1974.5145</v>
      </c>
      <c r="W51" s="7">
        <f t="shared" si="18"/>
        <v>0.26661826346730227</v>
      </c>
      <c r="X51" s="66">
        <f t="shared" si="19"/>
        <v>361.6584760633059</v>
      </c>
      <c r="Y51" s="89">
        <f t="shared" si="20"/>
        <v>444.05005162215724</v>
      </c>
      <c r="Z51" s="67">
        <f t="shared" si="21"/>
        <v>526.44162718100858</v>
      </c>
      <c r="AA51" s="14"/>
    </row>
    <row r="52" spans="1:27">
      <c r="A52" s="4">
        <f t="shared" si="22"/>
        <v>2058</v>
      </c>
      <c r="B52" s="4">
        <f t="shared" si="11"/>
        <v>39</v>
      </c>
      <c r="C52" s="63">
        <f t="shared" si="12"/>
        <v>0</v>
      </c>
      <c r="D52" s="64"/>
      <c r="E52" s="65">
        <f t="shared" si="13"/>
        <v>0</v>
      </c>
      <c r="F52" s="28">
        <f t="shared" si="14"/>
        <v>1204</v>
      </c>
      <c r="G52" s="27">
        <f t="shared" si="28"/>
        <v>1505</v>
      </c>
      <c r="H52" s="29">
        <f t="shared" si="8"/>
        <v>1806</v>
      </c>
      <c r="I52" s="30">
        <f t="shared" si="15"/>
        <v>1204</v>
      </c>
      <c r="J52" s="84">
        <f t="shared" si="15"/>
        <v>1505</v>
      </c>
      <c r="K52" s="31">
        <f t="shared" si="15"/>
        <v>1806</v>
      </c>
      <c r="L52" s="68">
        <f t="shared" si="29"/>
        <v>44</v>
      </c>
      <c r="M52" s="68">
        <f t="shared" si="29"/>
        <v>56.489999999999995</v>
      </c>
      <c r="N52" s="68">
        <f t="shared" si="29"/>
        <v>40</v>
      </c>
      <c r="O52" s="68">
        <f t="shared" si="29"/>
        <v>20</v>
      </c>
      <c r="P52" s="68">
        <f t="shared" si="23"/>
        <v>0</v>
      </c>
      <c r="Q52" s="66">
        <f t="shared" si="16"/>
        <v>152.46549999999999</v>
      </c>
      <c r="R52" s="70">
        <f t="shared" si="9"/>
        <v>160.49</v>
      </c>
      <c r="S52" s="67">
        <f t="shared" si="10"/>
        <v>168.51450000000003</v>
      </c>
      <c r="T52" s="66">
        <f t="shared" si="24"/>
        <v>1356.4655</v>
      </c>
      <c r="U52" s="89">
        <f t="shared" si="17"/>
        <v>1665.49</v>
      </c>
      <c r="V52" s="67">
        <f t="shared" si="17"/>
        <v>1974.5145</v>
      </c>
      <c r="W52" s="7">
        <f t="shared" si="18"/>
        <v>0.25750266898522534</v>
      </c>
      <c r="X52" s="66">
        <f t="shared" si="19"/>
        <v>349.29348663637819</v>
      </c>
      <c r="Y52" s="89">
        <f t="shared" si="20"/>
        <v>428.86812016820295</v>
      </c>
      <c r="Z52" s="67">
        <f t="shared" si="21"/>
        <v>508.44275370002771</v>
      </c>
      <c r="AA52" s="14"/>
    </row>
    <row r="53" spans="1:27">
      <c r="A53" s="4">
        <f t="shared" si="22"/>
        <v>2059</v>
      </c>
      <c r="B53" s="4">
        <f t="shared" si="11"/>
        <v>40</v>
      </c>
      <c r="C53" s="63">
        <f t="shared" si="12"/>
        <v>0</v>
      </c>
      <c r="D53" s="64"/>
      <c r="E53" s="65">
        <f t="shared" si="13"/>
        <v>0</v>
      </c>
      <c r="F53" s="28">
        <f t="shared" si="14"/>
        <v>1204</v>
      </c>
      <c r="G53" s="27">
        <f t="shared" si="28"/>
        <v>1505</v>
      </c>
      <c r="H53" s="29">
        <f t="shared" si="8"/>
        <v>1806</v>
      </c>
      <c r="I53" s="30">
        <f t="shared" si="15"/>
        <v>1204</v>
      </c>
      <c r="J53" s="84">
        <f t="shared" si="15"/>
        <v>1505</v>
      </c>
      <c r="K53" s="31">
        <f t="shared" si="15"/>
        <v>1806</v>
      </c>
      <c r="L53" s="68">
        <f t="shared" si="29"/>
        <v>44</v>
      </c>
      <c r="M53" s="68">
        <f t="shared" si="29"/>
        <v>56.489999999999995</v>
      </c>
      <c r="N53" s="68">
        <f t="shared" si="29"/>
        <v>40</v>
      </c>
      <c r="O53" s="68">
        <f t="shared" si="29"/>
        <v>20</v>
      </c>
      <c r="P53" s="68">
        <f t="shared" si="23"/>
        <v>0</v>
      </c>
      <c r="Q53" s="66">
        <f t="shared" si="16"/>
        <v>152.46549999999999</v>
      </c>
      <c r="R53" s="70">
        <f t="shared" si="9"/>
        <v>160.49</v>
      </c>
      <c r="S53" s="67">
        <f t="shared" si="10"/>
        <v>168.51450000000003</v>
      </c>
      <c r="T53" s="66">
        <f t="shared" si="24"/>
        <v>1356.4655</v>
      </c>
      <c r="U53" s="89">
        <f t="shared" si="17"/>
        <v>1665.49</v>
      </c>
      <c r="V53" s="67">
        <f t="shared" si="17"/>
        <v>1974.5145</v>
      </c>
      <c r="W53" s="7">
        <f t="shared" si="18"/>
        <v>0.24869873380840765</v>
      </c>
      <c r="X53" s="66">
        <f t="shared" si="19"/>
        <v>337.3512523047886</v>
      </c>
      <c r="Y53" s="89">
        <f t="shared" si="20"/>
        <v>414.20525417056484</v>
      </c>
      <c r="Z53" s="67">
        <f t="shared" si="21"/>
        <v>491.05925603634114</v>
      </c>
      <c r="AA53" s="14"/>
    </row>
    <row r="54" spans="1:27">
      <c r="A54" s="4">
        <f t="shared" si="22"/>
        <v>2060</v>
      </c>
      <c r="B54" s="4">
        <f t="shared" si="11"/>
        <v>41</v>
      </c>
      <c r="C54" s="63">
        <f t="shared" si="12"/>
        <v>0</v>
      </c>
      <c r="D54" s="64"/>
      <c r="E54" s="65">
        <f t="shared" si="13"/>
        <v>0</v>
      </c>
      <c r="F54" s="28">
        <f t="shared" si="14"/>
        <v>1204</v>
      </c>
      <c r="G54" s="27">
        <f t="shared" si="28"/>
        <v>1505</v>
      </c>
      <c r="H54" s="29">
        <f t="shared" si="8"/>
        <v>1806</v>
      </c>
      <c r="I54" s="30">
        <f t="shared" si="15"/>
        <v>1204</v>
      </c>
      <c r="J54" s="84">
        <f t="shared" si="15"/>
        <v>1505</v>
      </c>
      <c r="K54" s="31">
        <f t="shared" si="15"/>
        <v>1806</v>
      </c>
      <c r="L54" s="68">
        <f t="shared" si="29"/>
        <v>44</v>
      </c>
      <c r="M54" s="68">
        <f t="shared" si="29"/>
        <v>56.489999999999995</v>
      </c>
      <c r="N54" s="68">
        <f t="shared" si="29"/>
        <v>40</v>
      </c>
      <c r="O54" s="68">
        <f t="shared" si="29"/>
        <v>20</v>
      </c>
      <c r="P54" s="68">
        <f t="shared" si="23"/>
        <v>0</v>
      </c>
      <c r="Q54" s="66">
        <f t="shared" si="16"/>
        <v>152.46549999999999</v>
      </c>
      <c r="R54" s="70">
        <f t="shared" si="9"/>
        <v>160.49</v>
      </c>
      <c r="S54" s="67">
        <f t="shared" si="10"/>
        <v>168.51450000000003</v>
      </c>
      <c r="T54" s="66">
        <f t="shared" si="24"/>
        <v>1356.4655</v>
      </c>
      <c r="U54" s="89">
        <f t="shared" si="17"/>
        <v>1665.49</v>
      </c>
      <c r="V54" s="67">
        <f t="shared" si="17"/>
        <v>1974.5145</v>
      </c>
      <c r="W54" s="7">
        <f t="shared" si="18"/>
        <v>0.24019580240332974</v>
      </c>
      <c r="X54" s="66">
        <f t="shared" si="19"/>
        <v>325.81731920493388</v>
      </c>
      <c r="Y54" s="89">
        <f t="shared" si="20"/>
        <v>400.04370694472163</v>
      </c>
      <c r="Z54" s="67">
        <f t="shared" si="21"/>
        <v>474.27009468450944</v>
      </c>
      <c r="AA54" s="14"/>
    </row>
    <row r="55" spans="1:27">
      <c r="A55" s="4">
        <f t="shared" si="22"/>
        <v>2061</v>
      </c>
      <c r="B55" s="4">
        <f t="shared" si="11"/>
        <v>42</v>
      </c>
      <c r="C55" s="63">
        <f t="shared" si="12"/>
        <v>0</v>
      </c>
      <c r="D55" s="64"/>
      <c r="E55" s="65">
        <f t="shared" si="13"/>
        <v>0</v>
      </c>
      <c r="F55" s="28">
        <f t="shared" si="14"/>
        <v>1204</v>
      </c>
      <c r="G55" s="27">
        <f t="shared" si="28"/>
        <v>1505</v>
      </c>
      <c r="H55" s="29">
        <f t="shared" si="8"/>
        <v>1806</v>
      </c>
      <c r="I55" s="30">
        <f t="shared" si="15"/>
        <v>1204</v>
      </c>
      <c r="J55" s="84">
        <f t="shared" si="15"/>
        <v>1505</v>
      </c>
      <c r="K55" s="31">
        <f t="shared" si="15"/>
        <v>1806</v>
      </c>
      <c r="L55" s="68">
        <f t="shared" si="29"/>
        <v>44</v>
      </c>
      <c r="M55" s="68">
        <f t="shared" si="29"/>
        <v>56.489999999999995</v>
      </c>
      <c r="N55" s="68">
        <f t="shared" si="29"/>
        <v>40</v>
      </c>
      <c r="O55" s="68">
        <f t="shared" si="29"/>
        <v>20</v>
      </c>
      <c r="P55" s="68">
        <f t="shared" si="23"/>
        <v>0</v>
      </c>
      <c r="Q55" s="66">
        <f t="shared" si="16"/>
        <v>152.46549999999999</v>
      </c>
      <c r="R55" s="70">
        <f t="shared" si="9"/>
        <v>160.49</v>
      </c>
      <c r="S55" s="67">
        <f t="shared" si="10"/>
        <v>168.51450000000003</v>
      </c>
      <c r="T55" s="66">
        <f t="shared" si="24"/>
        <v>1356.4655</v>
      </c>
      <c r="U55" s="89">
        <f t="shared" si="17"/>
        <v>1665.49</v>
      </c>
      <c r="V55" s="67">
        <f t="shared" si="17"/>
        <v>1974.5145</v>
      </c>
      <c r="W55" s="7">
        <f t="shared" si="18"/>
        <v>0.23198358354580814</v>
      </c>
      <c r="X55" s="66">
        <f t="shared" si="19"/>
        <v>314.67772764625641</v>
      </c>
      <c r="Y55" s="89">
        <f t="shared" si="20"/>
        <v>386.36633855970803</v>
      </c>
      <c r="Z55" s="67">
        <f t="shared" si="21"/>
        <v>458.05494947315958</v>
      </c>
      <c r="AA55" s="90"/>
    </row>
    <row r="56" spans="1:27">
      <c r="A56" s="4">
        <f t="shared" si="22"/>
        <v>2062</v>
      </c>
      <c r="B56" s="4">
        <f t="shared" si="11"/>
        <v>43</v>
      </c>
      <c r="C56" s="63">
        <f t="shared" si="12"/>
        <v>0</v>
      </c>
      <c r="D56" s="64"/>
      <c r="E56" s="65">
        <f t="shared" si="13"/>
        <v>0</v>
      </c>
      <c r="F56" s="28">
        <f t="shared" si="14"/>
        <v>1204</v>
      </c>
      <c r="G56" s="27">
        <f t="shared" si="28"/>
        <v>1505</v>
      </c>
      <c r="H56" s="29">
        <f t="shared" si="8"/>
        <v>1806</v>
      </c>
      <c r="I56" s="30">
        <f t="shared" si="15"/>
        <v>1204</v>
      </c>
      <c r="J56" s="84">
        <f t="shared" si="15"/>
        <v>1505</v>
      </c>
      <c r="K56" s="31">
        <f t="shared" si="15"/>
        <v>1806</v>
      </c>
      <c r="L56" s="68">
        <f t="shared" si="29"/>
        <v>44</v>
      </c>
      <c r="M56" s="68">
        <f t="shared" si="29"/>
        <v>56.489999999999995</v>
      </c>
      <c r="N56" s="68">
        <f t="shared" si="29"/>
        <v>40</v>
      </c>
      <c r="O56" s="68">
        <f t="shared" si="29"/>
        <v>20</v>
      </c>
      <c r="P56" s="68">
        <f t="shared" si="23"/>
        <v>0</v>
      </c>
      <c r="Q56" s="66">
        <f t="shared" si="16"/>
        <v>152.46549999999999</v>
      </c>
      <c r="R56" s="70">
        <f t="shared" si="9"/>
        <v>160.49</v>
      </c>
      <c r="S56" s="67">
        <f t="shared" si="10"/>
        <v>168.51450000000003</v>
      </c>
      <c r="T56" s="66">
        <f t="shared" si="24"/>
        <v>1356.4655</v>
      </c>
      <c r="U56" s="89">
        <f t="shared" si="17"/>
        <v>1665.49</v>
      </c>
      <c r="V56" s="67">
        <f t="shared" si="17"/>
        <v>1974.5145</v>
      </c>
      <c r="W56" s="7">
        <f t="shared" si="18"/>
        <v>0.2240521378653739</v>
      </c>
      <c r="X56" s="66">
        <f t="shared" si="19"/>
        <v>303.91899521562334</v>
      </c>
      <c r="Y56" s="89">
        <f t="shared" si="20"/>
        <v>373.15659509340156</v>
      </c>
      <c r="Z56" s="67">
        <f t="shared" si="21"/>
        <v>442.39419497117979</v>
      </c>
      <c r="AA56" s="14"/>
    </row>
    <row r="57" spans="1:27">
      <c r="A57" s="4">
        <f t="shared" si="22"/>
        <v>2063</v>
      </c>
      <c r="B57" s="4">
        <f t="shared" si="11"/>
        <v>44</v>
      </c>
      <c r="C57" s="63">
        <f t="shared" si="12"/>
        <v>0</v>
      </c>
      <c r="D57" s="64"/>
      <c r="E57" s="65">
        <f t="shared" si="13"/>
        <v>0</v>
      </c>
      <c r="F57" s="28">
        <f t="shared" si="14"/>
        <v>1204</v>
      </c>
      <c r="G57" s="27">
        <f t="shared" si="28"/>
        <v>1505</v>
      </c>
      <c r="H57" s="29">
        <f t="shared" si="8"/>
        <v>1806</v>
      </c>
      <c r="I57" s="30">
        <f t="shared" si="15"/>
        <v>1204</v>
      </c>
      <c r="J57" s="84">
        <f t="shared" si="15"/>
        <v>1505</v>
      </c>
      <c r="K57" s="31">
        <f t="shared" si="15"/>
        <v>1806</v>
      </c>
      <c r="L57" s="68">
        <f t="shared" si="29"/>
        <v>44</v>
      </c>
      <c r="M57" s="68">
        <f t="shared" si="29"/>
        <v>56.489999999999995</v>
      </c>
      <c r="N57" s="68">
        <f t="shared" si="29"/>
        <v>40</v>
      </c>
      <c r="O57" s="68">
        <f t="shared" si="29"/>
        <v>20</v>
      </c>
      <c r="P57" s="68">
        <f t="shared" si="23"/>
        <v>0</v>
      </c>
      <c r="Q57" s="66">
        <f t="shared" si="16"/>
        <v>152.46549999999999</v>
      </c>
      <c r="R57" s="70">
        <f t="shared" si="9"/>
        <v>160.49</v>
      </c>
      <c r="S57" s="67">
        <f t="shared" si="10"/>
        <v>168.51450000000003</v>
      </c>
      <c r="T57" s="66">
        <f t="shared" si="24"/>
        <v>1356.4655</v>
      </c>
      <c r="U57" s="89">
        <f t="shared" si="17"/>
        <v>1665.49</v>
      </c>
      <c r="V57" s="67">
        <f t="shared" si="17"/>
        <v>1974.5145</v>
      </c>
      <c r="W57" s="7">
        <f t="shared" si="18"/>
        <v>0.21639186581550499</v>
      </c>
      <c r="X57" s="66">
        <f t="shared" si="19"/>
        <v>293.52810045936189</v>
      </c>
      <c r="Y57" s="89">
        <f t="shared" si="20"/>
        <v>360.39848859706541</v>
      </c>
      <c r="Z57" s="67">
        <f t="shared" si="21"/>
        <v>427.26887673476892</v>
      </c>
      <c r="AA57" s="14"/>
    </row>
    <row r="58" spans="1:27">
      <c r="A58" s="4">
        <f t="shared" si="22"/>
        <v>2064</v>
      </c>
      <c r="B58" s="4">
        <f t="shared" si="11"/>
        <v>45</v>
      </c>
      <c r="C58" s="63">
        <f t="shared" si="12"/>
        <v>0</v>
      </c>
      <c r="D58" s="64"/>
      <c r="E58" s="65">
        <f t="shared" si="13"/>
        <v>0</v>
      </c>
      <c r="F58" s="28">
        <f t="shared" si="14"/>
        <v>1204</v>
      </c>
      <c r="G58" s="27">
        <f t="shared" si="28"/>
        <v>1505</v>
      </c>
      <c r="H58" s="29">
        <f t="shared" si="8"/>
        <v>1806</v>
      </c>
      <c r="I58" s="30">
        <f t="shared" si="15"/>
        <v>1204</v>
      </c>
      <c r="J58" s="84">
        <f t="shared" si="15"/>
        <v>1505</v>
      </c>
      <c r="K58" s="31">
        <f t="shared" si="15"/>
        <v>1806</v>
      </c>
      <c r="L58" s="68">
        <f t="shared" si="29"/>
        <v>44</v>
      </c>
      <c r="M58" s="68">
        <f t="shared" si="29"/>
        <v>56.489999999999995</v>
      </c>
      <c r="N58" s="68">
        <f t="shared" si="29"/>
        <v>40</v>
      </c>
      <c r="O58" s="68">
        <f t="shared" si="29"/>
        <v>20</v>
      </c>
      <c r="P58" s="68">
        <f t="shared" si="23"/>
        <v>0</v>
      </c>
      <c r="Q58" s="66">
        <f t="shared" si="16"/>
        <v>152.46549999999999</v>
      </c>
      <c r="R58" s="70">
        <f t="shared" si="9"/>
        <v>160.49</v>
      </c>
      <c r="S58" s="67">
        <f t="shared" si="10"/>
        <v>168.51450000000003</v>
      </c>
      <c r="T58" s="66">
        <f t="shared" si="24"/>
        <v>1356.4655</v>
      </c>
      <c r="U58" s="89">
        <f t="shared" si="17"/>
        <v>1665.49</v>
      </c>
      <c r="V58" s="67">
        <f t="shared" si="17"/>
        <v>1974.5145</v>
      </c>
      <c r="W58" s="7">
        <f t="shared" si="18"/>
        <v>0.20899349605515255</v>
      </c>
      <c r="X58" s="66">
        <f t="shared" si="19"/>
        <v>283.49246712320053</v>
      </c>
      <c r="Y58" s="89">
        <f t="shared" si="20"/>
        <v>348.07657774489604</v>
      </c>
      <c r="Z58" s="67">
        <f t="shared" si="21"/>
        <v>412.6606883665915</v>
      </c>
      <c r="AA58" s="14"/>
    </row>
    <row r="59" spans="1:27">
      <c r="A59" s="4">
        <f t="shared" si="22"/>
        <v>2065</v>
      </c>
      <c r="B59" s="4">
        <f t="shared" si="11"/>
        <v>46</v>
      </c>
      <c r="C59" s="63">
        <f t="shared" si="12"/>
        <v>0</v>
      </c>
      <c r="D59" s="64"/>
      <c r="E59" s="65">
        <f t="shared" si="13"/>
        <v>0</v>
      </c>
      <c r="F59" s="28">
        <f t="shared" si="14"/>
        <v>1204</v>
      </c>
      <c r="G59" s="27">
        <f t="shared" si="28"/>
        <v>1505</v>
      </c>
      <c r="H59" s="29">
        <f t="shared" si="8"/>
        <v>1806</v>
      </c>
      <c r="I59" s="30">
        <f t="shared" si="15"/>
        <v>1204</v>
      </c>
      <c r="J59" s="84">
        <f t="shared" si="15"/>
        <v>1505</v>
      </c>
      <c r="K59" s="31">
        <f t="shared" si="15"/>
        <v>1806</v>
      </c>
      <c r="L59" s="68">
        <f t="shared" si="29"/>
        <v>44</v>
      </c>
      <c r="M59" s="68">
        <f t="shared" si="29"/>
        <v>56.489999999999995</v>
      </c>
      <c r="N59" s="68">
        <f t="shared" si="29"/>
        <v>40</v>
      </c>
      <c r="O59" s="68">
        <f t="shared" si="29"/>
        <v>20</v>
      </c>
      <c r="P59" s="68">
        <f t="shared" si="23"/>
        <v>0</v>
      </c>
      <c r="Q59" s="66">
        <f t="shared" si="16"/>
        <v>152.46549999999999</v>
      </c>
      <c r="R59" s="70">
        <f t="shared" si="9"/>
        <v>160.49</v>
      </c>
      <c r="S59" s="67">
        <f t="shared" si="10"/>
        <v>168.51450000000003</v>
      </c>
      <c r="T59" s="66">
        <f t="shared" si="24"/>
        <v>1356.4655</v>
      </c>
      <c r="U59" s="89">
        <f t="shared" si="17"/>
        <v>1665.49</v>
      </c>
      <c r="V59" s="67">
        <f t="shared" si="17"/>
        <v>1974.5145</v>
      </c>
      <c r="W59" s="7">
        <f t="shared" si="18"/>
        <v>0.20184807422749909</v>
      </c>
      <c r="X59" s="66">
        <f t="shared" si="19"/>
        <v>273.79994893104168</v>
      </c>
      <c r="Y59" s="89">
        <f t="shared" si="20"/>
        <v>336.17594914515746</v>
      </c>
      <c r="Z59" s="67">
        <f t="shared" si="21"/>
        <v>398.55194935927324</v>
      </c>
      <c r="AA59" s="14"/>
    </row>
    <row r="60" spans="1:27">
      <c r="A60" s="4">
        <f t="shared" si="22"/>
        <v>2066</v>
      </c>
      <c r="B60" s="4">
        <f t="shared" si="11"/>
        <v>47</v>
      </c>
      <c r="C60" s="63">
        <f t="shared" si="12"/>
        <v>0</v>
      </c>
      <c r="D60" s="64"/>
      <c r="E60" s="65">
        <f t="shared" si="13"/>
        <v>0</v>
      </c>
      <c r="F60" s="28">
        <f t="shared" si="14"/>
        <v>1204</v>
      </c>
      <c r="G60" s="27">
        <f t="shared" si="28"/>
        <v>1505</v>
      </c>
      <c r="H60" s="29">
        <f t="shared" si="8"/>
        <v>1806</v>
      </c>
      <c r="I60" s="30">
        <f t="shared" si="15"/>
        <v>1204</v>
      </c>
      <c r="J60" s="84">
        <f t="shared" si="15"/>
        <v>1505</v>
      </c>
      <c r="K60" s="31">
        <f t="shared" si="15"/>
        <v>1806</v>
      </c>
      <c r="L60" s="68">
        <f t="shared" si="29"/>
        <v>44</v>
      </c>
      <c r="M60" s="68">
        <f t="shared" si="29"/>
        <v>56.489999999999995</v>
      </c>
      <c r="N60" s="68">
        <f t="shared" si="29"/>
        <v>40</v>
      </c>
      <c r="O60" s="68">
        <f t="shared" si="29"/>
        <v>20</v>
      </c>
      <c r="P60" s="68">
        <f t="shared" si="23"/>
        <v>0</v>
      </c>
      <c r="Q60" s="66">
        <f t="shared" si="16"/>
        <v>152.46549999999999</v>
      </c>
      <c r="R60" s="70">
        <f t="shared" si="9"/>
        <v>160.49</v>
      </c>
      <c r="S60" s="67">
        <f t="shared" si="10"/>
        <v>168.51450000000003</v>
      </c>
      <c r="T60" s="66">
        <f t="shared" si="24"/>
        <v>1356.4655</v>
      </c>
      <c r="U60" s="89">
        <f t="shared" si="17"/>
        <v>1665.49</v>
      </c>
      <c r="V60" s="67">
        <f t="shared" si="17"/>
        <v>1974.5145</v>
      </c>
      <c r="W60" s="7">
        <f t="shared" si="18"/>
        <v>0.19494695212236729</v>
      </c>
      <c r="X60" s="66">
        <f t="shared" si="19"/>
        <v>264.43881488414303</v>
      </c>
      <c r="Y60" s="89">
        <f t="shared" si="20"/>
        <v>324.68219929028152</v>
      </c>
      <c r="Z60" s="67">
        <f t="shared" si="21"/>
        <v>384.92558369642001</v>
      </c>
      <c r="AA60" s="90"/>
    </row>
    <row r="61" spans="1:27">
      <c r="A61" s="4">
        <f t="shared" si="22"/>
        <v>2067</v>
      </c>
      <c r="B61" s="4">
        <f t="shared" si="11"/>
        <v>48</v>
      </c>
      <c r="C61" s="63">
        <f t="shared" si="12"/>
        <v>0</v>
      </c>
      <c r="D61" s="64"/>
      <c r="E61" s="65">
        <f t="shared" si="13"/>
        <v>0</v>
      </c>
      <c r="F61" s="28">
        <f t="shared" si="14"/>
        <v>1204</v>
      </c>
      <c r="G61" s="27">
        <f t="shared" si="28"/>
        <v>1505</v>
      </c>
      <c r="H61" s="29">
        <f t="shared" si="8"/>
        <v>1806</v>
      </c>
      <c r="I61" s="30">
        <f t="shared" si="15"/>
        <v>1204</v>
      </c>
      <c r="J61" s="84">
        <f t="shared" si="15"/>
        <v>1505</v>
      </c>
      <c r="K61" s="31">
        <f t="shared" si="15"/>
        <v>1806</v>
      </c>
      <c r="L61" s="68">
        <f t="shared" si="29"/>
        <v>44</v>
      </c>
      <c r="M61" s="68">
        <f t="shared" si="29"/>
        <v>56.489999999999995</v>
      </c>
      <c r="N61" s="68">
        <f t="shared" si="29"/>
        <v>40</v>
      </c>
      <c r="O61" s="68">
        <f t="shared" si="29"/>
        <v>20</v>
      </c>
      <c r="P61" s="68">
        <f t="shared" si="23"/>
        <v>0</v>
      </c>
      <c r="Q61" s="66">
        <f t="shared" si="16"/>
        <v>152.46549999999999</v>
      </c>
      <c r="R61" s="70">
        <f t="shared" si="9"/>
        <v>160.49</v>
      </c>
      <c r="S61" s="67">
        <f t="shared" si="10"/>
        <v>168.51450000000003</v>
      </c>
      <c r="T61" s="66">
        <f t="shared" si="24"/>
        <v>1356.4655</v>
      </c>
      <c r="U61" s="89">
        <f t="shared" si="17"/>
        <v>1665.49</v>
      </c>
      <c r="V61" s="67">
        <f t="shared" si="17"/>
        <v>1974.5145</v>
      </c>
      <c r="W61" s="7">
        <f t="shared" si="18"/>
        <v>0.18828177720916289</v>
      </c>
      <c r="X61" s="66">
        <f t="shared" si="19"/>
        <v>255.39773506291576</v>
      </c>
      <c r="Y61" s="89">
        <f t="shared" si="20"/>
        <v>313.58141712408872</v>
      </c>
      <c r="Z61" s="67">
        <f t="shared" si="21"/>
        <v>371.76509918526165</v>
      </c>
      <c r="AA61" s="14"/>
    </row>
    <row r="62" spans="1:27">
      <c r="A62" s="4">
        <f t="shared" si="22"/>
        <v>2068</v>
      </c>
      <c r="B62" s="4">
        <f t="shared" si="11"/>
        <v>49</v>
      </c>
      <c r="C62" s="63">
        <f t="shared" si="12"/>
        <v>0</v>
      </c>
      <c r="D62" s="64"/>
      <c r="E62" s="65">
        <f t="shared" si="13"/>
        <v>0</v>
      </c>
      <c r="F62" s="28">
        <f t="shared" si="14"/>
        <v>1204</v>
      </c>
      <c r="G62" s="27">
        <f t="shared" si="28"/>
        <v>1505</v>
      </c>
      <c r="H62" s="29">
        <f t="shared" si="8"/>
        <v>1806</v>
      </c>
      <c r="I62" s="30">
        <f t="shared" si="15"/>
        <v>1204</v>
      </c>
      <c r="J62" s="84">
        <f t="shared" si="15"/>
        <v>1505</v>
      </c>
      <c r="K62" s="31">
        <f t="shared" si="15"/>
        <v>1806</v>
      </c>
      <c r="L62" s="68">
        <f t="shared" si="29"/>
        <v>44</v>
      </c>
      <c r="M62" s="68">
        <f t="shared" si="29"/>
        <v>56.489999999999995</v>
      </c>
      <c r="N62" s="68">
        <f t="shared" si="29"/>
        <v>40</v>
      </c>
      <c r="O62" s="68">
        <f t="shared" si="29"/>
        <v>20</v>
      </c>
      <c r="P62" s="68">
        <f t="shared" si="23"/>
        <v>0</v>
      </c>
      <c r="Q62" s="66">
        <f t="shared" si="16"/>
        <v>152.46549999999999</v>
      </c>
      <c r="R62" s="70">
        <f t="shared" si="9"/>
        <v>160.49</v>
      </c>
      <c r="S62" s="67">
        <f t="shared" si="10"/>
        <v>168.51450000000003</v>
      </c>
      <c r="T62" s="66">
        <f t="shared" si="24"/>
        <v>1356.4655</v>
      </c>
      <c r="U62" s="89">
        <f t="shared" si="17"/>
        <v>1665.49</v>
      </c>
      <c r="V62" s="67">
        <f t="shared" si="17"/>
        <v>1974.5145</v>
      </c>
      <c r="W62" s="7">
        <f t="shared" si="18"/>
        <v>0.1818444825276829</v>
      </c>
      <c r="X62" s="66">
        <f t="shared" si="19"/>
        <v>246.66576691415466</v>
      </c>
      <c r="Y62" s="89">
        <f t="shared" si="20"/>
        <v>302.86016720503062</v>
      </c>
      <c r="Z62" s="67">
        <f t="shared" si="21"/>
        <v>359.05456749590655</v>
      </c>
      <c r="AA62" s="14"/>
    </row>
    <row r="63" spans="1:27">
      <c r="A63" s="4">
        <f t="shared" si="22"/>
        <v>2069</v>
      </c>
      <c r="B63" s="4">
        <f t="shared" si="11"/>
        <v>50</v>
      </c>
      <c r="C63" s="63">
        <f t="shared" si="12"/>
        <v>0</v>
      </c>
      <c r="D63" s="64"/>
      <c r="E63" s="65">
        <f t="shared" si="13"/>
        <v>0</v>
      </c>
      <c r="F63" s="28">
        <f t="shared" si="14"/>
        <v>1204</v>
      </c>
      <c r="G63" s="27">
        <f t="shared" si="28"/>
        <v>1505</v>
      </c>
      <c r="H63" s="29">
        <f t="shared" si="8"/>
        <v>1806</v>
      </c>
      <c r="I63" s="30">
        <f t="shared" si="15"/>
        <v>1204</v>
      </c>
      <c r="J63" s="84">
        <f t="shared" si="15"/>
        <v>1505</v>
      </c>
      <c r="K63" s="31">
        <f t="shared" si="15"/>
        <v>1806</v>
      </c>
      <c r="L63" s="68">
        <f t="shared" si="29"/>
        <v>44</v>
      </c>
      <c r="M63" s="68">
        <f t="shared" si="29"/>
        <v>56.489999999999995</v>
      </c>
      <c r="N63" s="68">
        <f t="shared" si="29"/>
        <v>40</v>
      </c>
      <c r="O63" s="68">
        <f t="shared" si="29"/>
        <v>20</v>
      </c>
      <c r="P63" s="68">
        <f t="shared" si="23"/>
        <v>0</v>
      </c>
      <c r="Q63" s="66">
        <f t="shared" si="16"/>
        <v>152.46549999999999</v>
      </c>
      <c r="R63" s="70">
        <f t="shared" si="9"/>
        <v>160.49</v>
      </c>
      <c r="S63" s="67">
        <f t="shared" si="10"/>
        <v>168.51450000000003</v>
      </c>
      <c r="T63" s="66">
        <f t="shared" si="24"/>
        <v>1356.4655</v>
      </c>
      <c r="U63" s="89">
        <f t="shared" si="17"/>
        <v>1665.49</v>
      </c>
      <c r="V63" s="67">
        <f t="shared" si="17"/>
        <v>1974.5145</v>
      </c>
      <c r="W63" s="7">
        <f t="shared" si="18"/>
        <v>0.17562727692455368</v>
      </c>
      <c r="X63" s="66">
        <f t="shared" si="19"/>
        <v>238.23234200710317</v>
      </c>
      <c r="Y63" s="89">
        <f t="shared" si="20"/>
        <v>292.50547344507493</v>
      </c>
      <c r="Z63" s="67">
        <f t="shared" si="21"/>
        <v>346.77860488304663</v>
      </c>
      <c r="AA63" s="14"/>
    </row>
    <row r="64" spans="1:27">
      <c r="A64" s="4">
        <f t="shared" si="22"/>
        <v>2070</v>
      </c>
      <c r="B64" s="4">
        <f t="shared" si="11"/>
        <v>51</v>
      </c>
      <c r="C64" s="63">
        <f t="shared" si="12"/>
        <v>0</v>
      </c>
      <c r="D64" s="64"/>
      <c r="E64" s="65">
        <f t="shared" si="13"/>
        <v>0</v>
      </c>
      <c r="F64" s="28">
        <f t="shared" si="14"/>
        <v>1204</v>
      </c>
      <c r="G64" s="27">
        <f t="shared" si="28"/>
        <v>1505</v>
      </c>
      <c r="H64" s="29">
        <f t="shared" si="8"/>
        <v>1806</v>
      </c>
      <c r="I64" s="30">
        <f t="shared" si="15"/>
        <v>1204</v>
      </c>
      <c r="J64" s="84">
        <f t="shared" si="15"/>
        <v>1505</v>
      </c>
      <c r="K64" s="31">
        <f t="shared" si="15"/>
        <v>1806</v>
      </c>
      <c r="L64" s="68">
        <f t="shared" ref="L64:O73" si="30">L63</f>
        <v>44</v>
      </c>
      <c r="M64" s="68">
        <f t="shared" si="30"/>
        <v>56.489999999999995</v>
      </c>
      <c r="N64" s="68">
        <f t="shared" si="30"/>
        <v>40</v>
      </c>
      <c r="O64" s="68">
        <f t="shared" si="30"/>
        <v>20</v>
      </c>
      <c r="P64" s="68">
        <f t="shared" si="23"/>
        <v>0</v>
      </c>
      <c r="Q64" s="66">
        <f t="shared" si="16"/>
        <v>152.46549999999999</v>
      </c>
      <c r="R64" s="70">
        <f t="shared" si="9"/>
        <v>160.49</v>
      </c>
      <c r="S64" s="67">
        <f t="shared" si="10"/>
        <v>168.51450000000003</v>
      </c>
      <c r="T64" s="66">
        <f t="shared" si="24"/>
        <v>1356.4655</v>
      </c>
      <c r="U64" s="89">
        <f t="shared" si="17"/>
        <v>1665.49</v>
      </c>
      <c r="V64" s="67">
        <f t="shared" si="17"/>
        <v>1974.5145</v>
      </c>
      <c r="W64" s="7">
        <f t="shared" si="18"/>
        <v>0.16962263562348243</v>
      </c>
      <c r="X64" s="66">
        <f t="shared" si="19"/>
        <v>230.08725324232489</v>
      </c>
      <c r="Y64" s="89">
        <f t="shared" si="20"/>
        <v>282.50480340455374</v>
      </c>
      <c r="Z64" s="67">
        <f t="shared" si="21"/>
        <v>334.92235356678259</v>
      </c>
      <c r="AA64" s="14"/>
    </row>
    <row r="65" spans="1:27">
      <c r="A65" s="4">
        <f t="shared" si="22"/>
        <v>2071</v>
      </c>
      <c r="B65" s="4">
        <f t="shared" si="11"/>
        <v>52</v>
      </c>
      <c r="C65" s="63">
        <f t="shared" si="12"/>
        <v>0</v>
      </c>
      <c r="D65" s="64"/>
      <c r="E65" s="65">
        <f t="shared" si="13"/>
        <v>0</v>
      </c>
      <c r="F65" s="28">
        <f t="shared" si="14"/>
        <v>1204</v>
      </c>
      <c r="G65" s="27">
        <f t="shared" si="28"/>
        <v>1505</v>
      </c>
      <c r="H65" s="29">
        <f t="shared" si="8"/>
        <v>1806</v>
      </c>
      <c r="I65" s="30">
        <f t="shared" si="15"/>
        <v>1204</v>
      </c>
      <c r="J65" s="84">
        <f t="shared" si="15"/>
        <v>1505</v>
      </c>
      <c r="K65" s="31">
        <f t="shared" si="15"/>
        <v>1806</v>
      </c>
      <c r="L65" s="68">
        <f t="shared" si="30"/>
        <v>44</v>
      </c>
      <c r="M65" s="68">
        <f t="shared" si="30"/>
        <v>56.489999999999995</v>
      </c>
      <c r="N65" s="68">
        <f t="shared" si="30"/>
        <v>40</v>
      </c>
      <c r="O65" s="68">
        <f t="shared" si="30"/>
        <v>20</v>
      </c>
      <c r="P65" s="68">
        <f t="shared" si="23"/>
        <v>0</v>
      </c>
      <c r="Q65" s="66">
        <f t="shared" si="16"/>
        <v>152.46549999999999</v>
      </c>
      <c r="R65" s="70">
        <f t="shared" si="9"/>
        <v>160.49</v>
      </c>
      <c r="S65" s="67">
        <f t="shared" si="10"/>
        <v>168.51450000000003</v>
      </c>
      <c r="T65" s="66">
        <f t="shared" si="24"/>
        <v>1356.4655</v>
      </c>
      <c r="U65" s="89">
        <f t="shared" si="17"/>
        <v>1665.49</v>
      </c>
      <c r="V65" s="67">
        <f t="shared" si="17"/>
        <v>1974.5145</v>
      </c>
      <c r="W65" s="7">
        <f t="shared" si="18"/>
        <v>0.16382329111790842</v>
      </c>
      <c r="X65" s="66">
        <f t="shared" si="19"/>
        <v>222.22064249789921</v>
      </c>
      <c r="Y65" s="89">
        <f t="shared" si="20"/>
        <v>272.84605312396531</v>
      </c>
      <c r="Z65" s="67">
        <f t="shared" si="21"/>
        <v>323.47146375003138</v>
      </c>
      <c r="AA65" s="90"/>
    </row>
    <row r="66" spans="1:27">
      <c r="A66" s="4">
        <f t="shared" si="22"/>
        <v>2072</v>
      </c>
      <c r="B66" s="4">
        <f t="shared" si="11"/>
        <v>53</v>
      </c>
      <c r="C66" s="63">
        <f t="shared" si="12"/>
        <v>0</v>
      </c>
      <c r="D66" s="64"/>
      <c r="E66" s="65">
        <f t="shared" si="13"/>
        <v>0</v>
      </c>
      <c r="F66" s="28">
        <f t="shared" si="14"/>
        <v>1204</v>
      </c>
      <c r="G66" s="27">
        <f t="shared" si="28"/>
        <v>1505</v>
      </c>
      <c r="H66" s="29">
        <f t="shared" si="8"/>
        <v>1806</v>
      </c>
      <c r="I66" s="30">
        <f t="shared" si="15"/>
        <v>1204</v>
      </c>
      <c r="J66" s="84">
        <f t="shared" si="15"/>
        <v>1505</v>
      </c>
      <c r="K66" s="31">
        <f t="shared" si="15"/>
        <v>1806</v>
      </c>
      <c r="L66" s="68">
        <f t="shared" si="30"/>
        <v>44</v>
      </c>
      <c r="M66" s="68">
        <f t="shared" si="30"/>
        <v>56.489999999999995</v>
      </c>
      <c r="N66" s="68">
        <f t="shared" si="30"/>
        <v>40</v>
      </c>
      <c r="O66" s="68">
        <f t="shared" si="30"/>
        <v>20</v>
      </c>
      <c r="P66" s="68">
        <f t="shared" si="23"/>
        <v>0</v>
      </c>
      <c r="Q66" s="66">
        <f t="shared" si="16"/>
        <v>152.46549999999999</v>
      </c>
      <c r="R66" s="70">
        <f t="shared" si="9"/>
        <v>160.49</v>
      </c>
      <c r="S66" s="67">
        <f t="shared" si="10"/>
        <v>168.51450000000003</v>
      </c>
      <c r="T66" s="66">
        <f t="shared" si="24"/>
        <v>1356.4655</v>
      </c>
      <c r="U66" s="89">
        <f t="shared" si="17"/>
        <v>1665.49</v>
      </c>
      <c r="V66" s="67">
        <f t="shared" si="17"/>
        <v>1974.5145</v>
      </c>
      <c r="W66" s="7">
        <f t="shared" si="18"/>
        <v>0.15822222437503228</v>
      </c>
      <c r="X66" s="66">
        <f t="shared" si="19"/>
        <v>214.62298869799034</v>
      </c>
      <c r="Y66" s="89">
        <f t="shared" si="20"/>
        <v>263.5175324743725</v>
      </c>
      <c r="Z66" s="67">
        <f t="shared" si="21"/>
        <v>312.41207625075469</v>
      </c>
      <c r="AA66" s="14"/>
    </row>
    <row r="67" spans="1:27">
      <c r="A67" s="4">
        <f t="shared" si="22"/>
        <v>2073</v>
      </c>
      <c r="B67" s="4">
        <f t="shared" si="11"/>
        <v>54</v>
      </c>
      <c r="C67" s="63">
        <f t="shared" si="12"/>
        <v>0</v>
      </c>
      <c r="D67" s="64"/>
      <c r="E67" s="65">
        <f t="shared" si="13"/>
        <v>0</v>
      </c>
      <c r="F67" s="28">
        <f t="shared" si="14"/>
        <v>1204</v>
      </c>
      <c r="G67" s="27">
        <f t="shared" si="28"/>
        <v>1505</v>
      </c>
      <c r="H67" s="29">
        <f t="shared" si="8"/>
        <v>1806</v>
      </c>
      <c r="I67" s="30">
        <f t="shared" si="15"/>
        <v>1204</v>
      </c>
      <c r="J67" s="84">
        <f t="shared" si="15"/>
        <v>1505</v>
      </c>
      <c r="K67" s="31">
        <f t="shared" si="15"/>
        <v>1806</v>
      </c>
      <c r="L67" s="68">
        <f t="shared" si="30"/>
        <v>44</v>
      </c>
      <c r="M67" s="68">
        <f t="shared" si="30"/>
        <v>56.489999999999995</v>
      </c>
      <c r="N67" s="68">
        <f t="shared" si="30"/>
        <v>40</v>
      </c>
      <c r="O67" s="68">
        <f t="shared" si="30"/>
        <v>20</v>
      </c>
      <c r="P67" s="68">
        <f t="shared" si="23"/>
        <v>0</v>
      </c>
      <c r="Q67" s="66">
        <f t="shared" si="16"/>
        <v>152.46549999999999</v>
      </c>
      <c r="R67" s="70">
        <f t="shared" si="9"/>
        <v>160.49</v>
      </c>
      <c r="S67" s="67">
        <f t="shared" si="10"/>
        <v>168.51450000000003</v>
      </c>
      <c r="T67" s="66">
        <f t="shared" si="24"/>
        <v>1356.4655</v>
      </c>
      <c r="U67" s="89">
        <f t="shared" si="17"/>
        <v>1665.49</v>
      </c>
      <c r="V67" s="67">
        <f t="shared" si="17"/>
        <v>1974.5145</v>
      </c>
      <c r="W67" s="7">
        <f t="shared" si="18"/>
        <v>0.15281265634057586</v>
      </c>
      <c r="X67" s="66">
        <f t="shared" si="19"/>
        <v>207.28509628934742</v>
      </c>
      <c r="Y67" s="89">
        <f t="shared" si="20"/>
        <v>254.50795100866569</v>
      </c>
      <c r="Z67" s="67">
        <f t="shared" si="21"/>
        <v>301.73080572798398</v>
      </c>
      <c r="AA67" s="14"/>
    </row>
    <row r="68" spans="1:27">
      <c r="A68" s="4">
        <f t="shared" si="22"/>
        <v>2074</v>
      </c>
      <c r="B68" s="4">
        <f t="shared" si="11"/>
        <v>55</v>
      </c>
      <c r="C68" s="63">
        <f t="shared" si="12"/>
        <v>0</v>
      </c>
      <c r="D68" s="64"/>
      <c r="E68" s="65">
        <f t="shared" si="13"/>
        <v>0</v>
      </c>
      <c r="F68" s="28">
        <f t="shared" si="14"/>
        <v>1204</v>
      </c>
      <c r="G68" s="27">
        <f t="shared" si="28"/>
        <v>1505</v>
      </c>
      <c r="H68" s="29">
        <f t="shared" si="8"/>
        <v>1806</v>
      </c>
      <c r="I68" s="30">
        <f t="shared" si="15"/>
        <v>1204</v>
      </c>
      <c r="J68" s="84">
        <f t="shared" si="15"/>
        <v>1505</v>
      </c>
      <c r="K68" s="31">
        <f t="shared" si="15"/>
        <v>1806</v>
      </c>
      <c r="L68" s="68">
        <f t="shared" si="30"/>
        <v>44</v>
      </c>
      <c r="M68" s="68">
        <f t="shared" si="30"/>
        <v>56.489999999999995</v>
      </c>
      <c r="N68" s="68">
        <f t="shared" si="30"/>
        <v>40</v>
      </c>
      <c r="O68" s="68">
        <f t="shared" si="30"/>
        <v>20</v>
      </c>
      <c r="P68" s="68">
        <f t="shared" si="23"/>
        <v>0</v>
      </c>
      <c r="Q68" s="66">
        <f t="shared" si="16"/>
        <v>152.46549999999999</v>
      </c>
      <c r="R68" s="70">
        <f t="shared" si="9"/>
        <v>160.49</v>
      </c>
      <c r="S68" s="67">
        <f t="shared" si="10"/>
        <v>168.51450000000003</v>
      </c>
      <c r="T68" s="66">
        <f t="shared" si="24"/>
        <v>1356.4655</v>
      </c>
      <c r="U68" s="89">
        <f t="shared" si="17"/>
        <v>1665.49</v>
      </c>
      <c r="V68" s="67">
        <f t="shared" si="17"/>
        <v>1974.5145</v>
      </c>
      <c r="W68" s="7">
        <f t="shared" si="18"/>
        <v>0.14758803973399254</v>
      </c>
      <c r="X68" s="66">
        <f t="shared" si="19"/>
        <v>200.19808411179005</v>
      </c>
      <c r="Y68" s="89">
        <f t="shared" si="20"/>
        <v>245.80640429656722</v>
      </c>
      <c r="Z68" s="67">
        <f t="shared" si="21"/>
        <v>291.41472448134442</v>
      </c>
      <c r="AA68" s="14"/>
    </row>
    <row r="69" spans="1:27">
      <c r="A69" s="4">
        <f t="shared" si="22"/>
        <v>2075</v>
      </c>
      <c r="B69" s="4">
        <f t="shared" si="11"/>
        <v>56</v>
      </c>
      <c r="C69" s="63">
        <f t="shared" si="12"/>
        <v>0</v>
      </c>
      <c r="D69" s="64"/>
      <c r="E69" s="65">
        <f t="shared" si="13"/>
        <v>0</v>
      </c>
      <c r="F69" s="28">
        <f t="shared" si="14"/>
        <v>1204</v>
      </c>
      <c r="G69" s="27">
        <f t="shared" si="28"/>
        <v>1505</v>
      </c>
      <c r="H69" s="29">
        <f t="shared" si="8"/>
        <v>1806</v>
      </c>
      <c r="I69" s="30">
        <f t="shared" si="15"/>
        <v>1204</v>
      </c>
      <c r="J69" s="84">
        <f t="shared" si="15"/>
        <v>1505</v>
      </c>
      <c r="K69" s="31">
        <f t="shared" si="15"/>
        <v>1806</v>
      </c>
      <c r="L69" s="68">
        <f t="shared" si="30"/>
        <v>44</v>
      </c>
      <c r="M69" s="68">
        <f t="shared" si="30"/>
        <v>56.489999999999995</v>
      </c>
      <c r="N69" s="68">
        <f t="shared" si="30"/>
        <v>40</v>
      </c>
      <c r="O69" s="68">
        <f t="shared" si="30"/>
        <v>20</v>
      </c>
      <c r="P69" s="68">
        <f t="shared" si="23"/>
        <v>0</v>
      </c>
      <c r="Q69" s="66">
        <f t="shared" si="16"/>
        <v>152.46549999999999</v>
      </c>
      <c r="R69" s="70">
        <f t="shared" si="9"/>
        <v>160.49</v>
      </c>
      <c r="S69" s="67">
        <f t="shared" si="10"/>
        <v>168.51450000000003</v>
      </c>
      <c r="T69" s="66">
        <f t="shared" si="24"/>
        <v>1356.4655</v>
      </c>
      <c r="U69" s="89">
        <f t="shared" si="17"/>
        <v>1665.49</v>
      </c>
      <c r="V69" s="67">
        <f t="shared" si="17"/>
        <v>1974.5145</v>
      </c>
      <c r="W69" s="7">
        <f t="shared" si="18"/>
        <v>0.14254205112419596</v>
      </c>
      <c r="X69" s="66">
        <f t="shared" si="19"/>
        <v>193.35337464920804</v>
      </c>
      <c r="Y69" s="89">
        <f t="shared" si="20"/>
        <v>237.40236072683714</v>
      </c>
      <c r="Z69" s="67">
        <f t="shared" si="21"/>
        <v>281.45134680446625</v>
      </c>
      <c r="AA69" s="14"/>
    </row>
    <row r="70" spans="1:27">
      <c r="A70" s="4">
        <f t="shared" si="22"/>
        <v>2076</v>
      </c>
      <c r="B70" s="4">
        <f t="shared" si="11"/>
        <v>57</v>
      </c>
      <c r="C70" s="63">
        <f t="shared" si="12"/>
        <v>0</v>
      </c>
      <c r="D70" s="64"/>
      <c r="E70" s="65">
        <f t="shared" si="13"/>
        <v>0</v>
      </c>
      <c r="F70" s="28">
        <f t="shared" si="14"/>
        <v>1204</v>
      </c>
      <c r="G70" s="27">
        <f t="shared" si="28"/>
        <v>1505</v>
      </c>
      <c r="H70" s="29">
        <f t="shared" si="8"/>
        <v>1806</v>
      </c>
      <c r="I70" s="30">
        <f t="shared" si="15"/>
        <v>1204</v>
      </c>
      <c r="J70" s="84">
        <f t="shared" si="15"/>
        <v>1505</v>
      </c>
      <c r="K70" s="31">
        <f t="shared" si="15"/>
        <v>1806</v>
      </c>
      <c r="L70" s="68">
        <f t="shared" si="30"/>
        <v>44</v>
      </c>
      <c r="M70" s="68">
        <f t="shared" si="30"/>
        <v>56.489999999999995</v>
      </c>
      <c r="N70" s="68">
        <f t="shared" si="30"/>
        <v>40</v>
      </c>
      <c r="O70" s="68">
        <f t="shared" si="30"/>
        <v>20</v>
      </c>
      <c r="P70" s="68">
        <f t="shared" si="23"/>
        <v>0</v>
      </c>
      <c r="Q70" s="66">
        <f t="shared" si="16"/>
        <v>152.46549999999999</v>
      </c>
      <c r="R70" s="70">
        <f t="shared" si="9"/>
        <v>160.49</v>
      </c>
      <c r="S70" s="67">
        <f t="shared" si="10"/>
        <v>168.51450000000003</v>
      </c>
      <c r="T70" s="66">
        <f t="shared" si="24"/>
        <v>1356.4655</v>
      </c>
      <c r="U70" s="89">
        <f t="shared" si="17"/>
        <v>1665.49</v>
      </c>
      <c r="V70" s="67">
        <f t="shared" si="17"/>
        <v>1974.5145</v>
      </c>
      <c r="W70" s="7">
        <f t="shared" si="18"/>
        <v>0.13766858327621784</v>
      </c>
      <c r="X70" s="66">
        <f t="shared" si="19"/>
        <v>186.74268364806647</v>
      </c>
      <c r="Y70" s="89">
        <f t="shared" si="20"/>
        <v>229.28564876070806</v>
      </c>
      <c r="Z70" s="67">
        <f t="shared" si="21"/>
        <v>271.82861387334964</v>
      </c>
      <c r="AA70" s="90"/>
    </row>
    <row r="71" spans="1:27">
      <c r="A71" s="4">
        <f t="shared" si="22"/>
        <v>2077</v>
      </c>
      <c r="B71" s="4">
        <f t="shared" si="11"/>
        <v>58</v>
      </c>
      <c r="C71" s="63">
        <f t="shared" si="12"/>
        <v>0</v>
      </c>
      <c r="D71" s="64"/>
      <c r="E71" s="65">
        <f t="shared" si="13"/>
        <v>0</v>
      </c>
      <c r="F71" s="28">
        <f t="shared" si="14"/>
        <v>1204</v>
      </c>
      <c r="G71" s="27">
        <f t="shared" si="28"/>
        <v>1505</v>
      </c>
      <c r="H71" s="29">
        <f t="shared" si="8"/>
        <v>1806</v>
      </c>
      <c r="I71" s="30">
        <f t="shared" si="15"/>
        <v>1204</v>
      </c>
      <c r="J71" s="84">
        <f t="shared" si="15"/>
        <v>1505</v>
      </c>
      <c r="K71" s="31">
        <f t="shared" si="15"/>
        <v>1806</v>
      </c>
      <c r="L71" s="68">
        <f t="shared" si="30"/>
        <v>44</v>
      </c>
      <c r="M71" s="68">
        <f t="shared" si="30"/>
        <v>56.489999999999995</v>
      </c>
      <c r="N71" s="68">
        <f t="shared" si="30"/>
        <v>40</v>
      </c>
      <c r="O71" s="68">
        <f t="shared" si="30"/>
        <v>20</v>
      </c>
      <c r="P71" s="68">
        <f t="shared" si="23"/>
        <v>0</v>
      </c>
      <c r="Q71" s="66">
        <f t="shared" si="16"/>
        <v>152.46549999999999</v>
      </c>
      <c r="R71" s="70">
        <f t="shared" si="9"/>
        <v>160.49</v>
      </c>
      <c r="S71" s="67">
        <f t="shared" si="10"/>
        <v>168.51450000000003</v>
      </c>
      <c r="T71" s="66">
        <f t="shared" si="24"/>
        <v>1356.4655</v>
      </c>
      <c r="U71" s="89">
        <f t="shared" si="17"/>
        <v>1665.49</v>
      </c>
      <c r="V71" s="67">
        <f t="shared" si="17"/>
        <v>1974.5145</v>
      </c>
      <c r="W71" s="7">
        <f t="shared" si="18"/>
        <v>0.13296173775953046</v>
      </c>
      <c r="X71" s="66">
        <f t="shared" si="19"/>
        <v>180.35801009085037</v>
      </c>
      <c r="Y71" s="89">
        <f t="shared" si="20"/>
        <v>221.44644462112038</v>
      </c>
      <c r="Z71" s="67">
        <f t="shared" si="21"/>
        <v>262.53487915139038</v>
      </c>
      <c r="AA71" s="14"/>
    </row>
    <row r="72" spans="1:27">
      <c r="A72" s="4">
        <f t="shared" si="22"/>
        <v>2078</v>
      </c>
      <c r="B72" s="4">
        <f t="shared" si="11"/>
        <v>59</v>
      </c>
      <c r="C72" s="63">
        <f t="shared" si="12"/>
        <v>0</v>
      </c>
      <c r="D72" s="64"/>
      <c r="E72" s="65">
        <f t="shared" si="13"/>
        <v>0</v>
      </c>
      <c r="F72" s="28">
        <f t="shared" si="14"/>
        <v>1204</v>
      </c>
      <c r="G72" s="27">
        <f t="shared" si="28"/>
        <v>1505</v>
      </c>
      <c r="H72" s="29">
        <f t="shared" si="8"/>
        <v>1806</v>
      </c>
      <c r="I72" s="30">
        <f t="shared" si="15"/>
        <v>1204</v>
      </c>
      <c r="J72" s="84">
        <f t="shared" si="15"/>
        <v>1505</v>
      </c>
      <c r="K72" s="31">
        <f t="shared" si="15"/>
        <v>1806</v>
      </c>
      <c r="L72" s="68">
        <f>L71</f>
        <v>44</v>
      </c>
      <c r="M72" s="68">
        <f t="shared" si="30"/>
        <v>56.489999999999995</v>
      </c>
      <c r="N72" s="68">
        <f t="shared" si="30"/>
        <v>40</v>
      </c>
      <c r="O72" s="68">
        <f t="shared" si="30"/>
        <v>20</v>
      </c>
      <c r="P72" s="68">
        <f t="shared" si="23"/>
        <v>0</v>
      </c>
      <c r="Q72" s="66">
        <f t="shared" si="16"/>
        <v>152.46549999999999</v>
      </c>
      <c r="R72" s="70">
        <f t="shared" si="9"/>
        <v>160.49</v>
      </c>
      <c r="S72" s="67">
        <f t="shared" si="10"/>
        <v>168.51450000000003</v>
      </c>
      <c r="T72" s="66">
        <f t="shared" si="24"/>
        <v>1356.4655</v>
      </c>
      <c r="U72" s="89">
        <f t="shared" si="17"/>
        <v>1665.49</v>
      </c>
      <c r="V72" s="67">
        <f t="shared" si="17"/>
        <v>1974.5145</v>
      </c>
      <c r="W72" s="7">
        <f t="shared" si="18"/>
        <v>0.12841581780908873</v>
      </c>
      <c r="X72" s="66">
        <f t="shared" si="19"/>
        <v>174.19162651231446</v>
      </c>
      <c r="Y72" s="89">
        <f t="shared" si="20"/>
        <v>213.8752604028592</v>
      </c>
      <c r="Z72" s="67">
        <f t="shared" si="21"/>
        <v>253.55889429340394</v>
      </c>
      <c r="AA72" s="90"/>
    </row>
    <row r="73" spans="1:27">
      <c r="A73" s="26">
        <f t="shared" si="22"/>
        <v>2079</v>
      </c>
      <c r="B73" s="26">
        <f t="shared" si="11"/>
        <v>60</v>
      </c>
      <c r="C73" s="63">
        <f t="shared" si="12"/>
        <v>0</v>
      </c>
      <c r="D73" s="72"/>
      <c r="E73" s="65">
        <f t="shared" si="13"/>
        <v>0</v>
      </c>
      <c r="F73" s="28">
        <f t="shared" si="14"/>
        <v>1204</v>
      </c>
      <c r="G73" s="27">
        <f t="shared" si="28"/>
        <v>1505</v>
      </c>
      <c r="H73" s="29">
        <f t="shared" si="8"/>
        <v>1806</v>
      </c>
      <c r="I73" s="36">
        <f t="shared" si="15"/>
        <v>1204</v>
      </c>
      <c r="J73" s="85">
        <f t="shared" si="15"/>
        <v>1505</v>
      </c>
      <c r="K73" s="38">
        <f t="shared" si="15"/>
        <v>1806</v>
      </c>
      <c r="L73" s="68">
        <f t="shared" si="30"/>
        <v>44</v>
      </c>
      <c r="M73" s="68">
        <f t="shared" si="30"/>
        <v>56.489999999999995</v>
      </c>
      <c r="N73" s="68">
        <f t="shared" si="30"/>
        <v>40</v>
      </c>
      <c r="O73" s="68">
        <f t="shared" si="30"/>
        <v>20</v>
      </c>
      <c r="P73" s="68">
        <f t="shared" si="23"/>
        <v>0</v>
      </c>
      <c r="Q73" s="66">
        <f t="shared" si="16"/>
        <v>152.46549999999999</v>
      </c>
      <c r="R73" s="70">
        <f t="shared" si="9"/>
        <v>160.49</v>
      </c>
      <c r="S73" s="67">
        <f t="shared" si="10"/>
        <v>168.51450000000003</v>
      </c>
      <c r="T73" s="66">
        <f t="shared" si="24"/>
        <v>1356.4655</v>
      </c>
      <c r="U73" s="89">
        <f t="shared" si="17"/>
        <v>1665.49</v>
      </c>
      <c r="V73" s="67">
        <f t="shared" si="17"/>
        <v>1974.5145</v>
      </c>
      <c r="W73" s="7">
        <f t="shared" si="18"/>
        <v>0.12402532143045074</v>
      </c>
      <c r="X73" s="73">
        <f t="shared" si="19"/>
        <v>168.23606964681707</v>
      </c>
      <c r="Y73" s="91">
        <f t="shared" si="20"/>
        <v>206.56293258920141</v>
      </c>
      <c r="Z73" s="74">
        <f t="shared" si="21"/>
        <v>244.88979553158572</v>
      </c>
      <c r="AA73" s="15"/>
    </row>
    <row r="74" spans="1:27" ht="13.15">
      <c r="A74" s="185" t="s">
        <v>58</v>
      </c>
      <c r="B74" s="186"/>
      <c r="C74" s="92">
        <f t="shared" ref="C74:S74" si="31">SUM(C13:C73)</f>
        <v>450</v>
      </c>
      <c r="D74" s="75">
        <f t="shared" si="31"/>
        <v>500</v>
      </c>
      <c r="E74" s="93">
        <f t="shared" si="31"/>
        <v>750</v>
      </c>
      <c r="F74" s="92">
        <f t="shared" si="31"/>
        <v>72076</v>
      </c>
      <c r="G74" s="75">
        <f t="shared" si="31"/>
        <v>90095</v>
      </c>
      <c r="H74" s="76">
        <f t="shared" si="31"/>
        <v>108114</v>
      </c>
      <c r="I74" s="77">
        <f t="shared" si="31"/>
        <v>72526</v>
      </c>
      <c r="J74" s="78">
        <f t="shared" si="31"/>
        <v>90595</v>
      </c>
      <c r="K74" s="79">
        <f t="shared" si="31"/>
        <v>108864</v>
      </c>
      <c r="L74" s="80">
        <f t="shared" si="31"/>
        <v>2676</v>
      </c>
      <c r="M74" s="80">
        <f t="shared" si="31"/>
        <v>3412.9099999999949</v>
      </c>
      <c r="N74" s="80">
        <f t="shared" si="31"/>
        <v>2440</v>
      </c>
      <c r="O74" s="80">
        <f t="shared" si="31"/>
        <v>1230</v>
      </c>
      <c r="P74" s="80">
        <f t="shared" si="31"/>
        <v>0</v>
      </c>
      <c r="Q74" s="77">
        <f t="shared" si="31"/>
        <v>9270.9645000000055</v>
      </c>
      <c r="R74" s="78">
        <f t="shared" si="31"/>
        <v>9758.9099999999908</v>
      </c>
      <c r="S74" s="79">
        <f t="shared" si="31"/>
        <v>10246.8555</v>
      </c>
      <c r="T74" s="77">
        <f>SUM(T13:T73)</f>
        <v>81796.964500000016</v>
      </c>
      <c r="U74" s="78">
        <f>SUM(U13:U73)</f>
        <v>100353.91000000008</v>
      </c>
      <c r="V74" s="79">
        <f>SUM(V13:V73)</f>
        <v>119110.85550000009</v>
      </c>
      <c r="W74" s="81"/>
      <c r="X74" s="77">
        <f>SUM(X13:X73)</f>
        <v>33975.91145307789</v>
      </c>
      <c r="Y74" s="78">
        <f t="shared" ref="Y74:Z74" si="32">SUM(Y13:Y73)</f>
        <v>41641.550771709648</v>
      </c>
      <c r="Z74" s="79">
        <f t="shared" si="32"/>
        <v>49497.050078254688</v>
      </c>
    </row>
    <row r="75" spans="1:2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3">
    <mergeCell ref="A11:B11"/>
    <mergeCell ref="A12:B12"/>
    <mergeCell ref="A74:B74"/>
    <mergeCell ref="A1:B1"/>
    <mergeCell ref="C1:K1"/>
    <mergeCell ref="A3:B3"/>
    <mergeCell ref="A4:C4"/>
    <mergeCell ref="O1:Q1"/>
    <mergeCell ref="W1:Y1"/>
    <mergeCell ref="S1:U1"/>
    <mergeCell ref="A7:B7"/>
    <mergeCell ref="A8:B8"/>
    <mergeCell ref="A6:B6"/>
  </mergeCells>
  <pageMargins left="0.75" right="0.75" top="1" bottom="1" header="0.5" footer="0.5"/>
  <pageSetup paperSize="9" scale="24" orientation="portrait" r:id="rId1"/>
  <headerFooter alignWithMargins="0">
    <oddFooter>&amp;L&amp;1#&amp;"Arial"&amp;11&amp;K000000SW Internal Personal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80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D14" sqref="D14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0.73046875" customWidth="1"/>
    <col min="16" max="16" width="12.46484375" customWidth="1"/>
    <col min="17" max="17" width="10.73046875" customWidth="1"/>
    <col min="18" max="18" width="10.265625" customWidth="1"/>
    <col min="19" max="19" width="13.4648437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</cols>
  <sheetData>
    <row r="1" spans="1:29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102</v>
      </c>
      <c r="T1" s="197"/>
      <c r="U1" s="197"/>
      <c r="W1" s="197" t="str">
        <f>'Base Costs'!Q1</f>
        <v>Existing Coag UF</v>
      </c>
      <c r="X1" s="197"/>
      <c r="Y1" s="197"/>
    </row>
    <row r="2" spans="1:29" ht="17.25" customHeight="1">
      <c r="A2" s="47" t="s">
        <v>15</v>
      </c>
      <c r="B2" s="48"/>
      <c r="C2" s="23" t="s">
        <v>103</v>
      </c>
      <c r="D2" s="21"/>
      <c r="E2" s="21"/>
      <c r="F2" s="21"/>
      <c r="G2" s="21"/>
      <c r="H2" s="21"/>
      <c r="I2" s="21"/>
      <c r="J2" s="21"/>
      <c r="K2" s="22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</row>
    <row r="3" spans="1:29" ht="12.75" customHeight="1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96">
        <f>P3/$P$9</f>
        <v>0.61</v>
      </c>
      <c r="P3" s="97">
        <f>T3+X3</f>
        <v>30500</v>
      </c>
      <c r="Q3" s="103">
        <f>U3+Y3</f>
        <v>155</v>
      </c>
      <c r="S3" s="105">
        <v>1</v>
      </c>
      <c r="T3" s="97">
        <v>500</v>
      </c>
      <c r="U3" s="97">
        <v>30</v>
      </c>
      <c r="W3" s="105">
        <f>'Base Costs'!Q3</f>
        <v>0.6</v>
      </c>
      <c r="X3" s="97">
        <f>'Base Costs'!R3</f>
        <v>30000</v>
      </c>
      <c r="Y3" s="97">
        <f>(X3/N3)*25%</f>
        <v>125</v>
      </c>
      <c r="Z3" s="110" t="s">
        <v>79</v>
      </c>
      <c r="AA3" s="111"/>
    </row>
    <row r="4" spans="1:29" ht="13.5" thickBot="1">
      <c r="A4" s="191" t="s">
        <v>22</v>
      </c>
      <c r="B4" s="192"/>
      <c r="C4" s="201"/>
      <c r="D4" s="56">
        <f>X74</f>
        <v>34835.206688804945</v>
      </c>
      <c r="E4" s="57">
        <f>Y74</f>
        <v>42596.323255850817</v>
      </c>
      <c r="F4" s="58">
        <f>Z74</f>
        <v>50929.208804466434</v>
      </c>
      <c r="M4" s="8" t="s">
        <v>21</v>
      </c>
      <c r="N4" s="100">
        <v>25</v>
      </c>
      <c r="O4" s="96">
        <f t="shared" ref="O4:O9" si="0">P4/$P$9</f>
        <v>0.15</v>
      </c>
      <c r="P4" s="97">
        <f t="shared" ref="P4:Q8" si="1">T4+X4</f>
        <v>7500</v>
      </c>
      <c r="Q4" s="103">
        <f t="shared" si="1"/>
        <v>300</v>
      </c>
      <c r="S4" s="105">
        <v>0</v>
      </c>
      <c r="T4" s="97">
        <f t="shared" ref="T4:T8" si="2">S4*$T$9</f>
        <v>0</v>
      </c>
      <c r="U4" s="97">
        <f>(T4/N4)</f>
        <v>0</v>
      </c>
      <c r="W4" s="105">
        <f>'Base Costs'!Q4</f>
        <v>0.15</v>
      </c>
      <c r="X4" s="97">
        <f>'Base Costs'!R4</f>
        <v>7500</v>
      </c>
      <c r="Y4" s="97">
        <f>(X4/N4)</f>
        <v>300</v>
      </c>
      <c r="Z4" s="110" t="s">
        <v>77</v>
      </c>
      <c r="AA4" s="111"/>
    </row>
    <row r="5" spans="1:29" ht="13.15">
      <c r="D5" s="12">
        <f>D4-'Base Costs'!D4</f>
        <v>2207.1052625685588</v>
      </c>
      <c r="E5" s="12">
        <f>E4-'Base Costs'!E4</f>
        <v>2511.1399497109742</v>
      </c>
      <c r="F5" s="12">
        <f>F4-'Base Costs'!F4</f>
        <v>3386.9436184231381</v>
      </c>
      <c r="M5" s="8" t="s">
        <v>23</v>
      </c>
      <c r="N5" s="100">
        <v>25</v>
      </c>
      <c r="O5" s="96">
        <f t="shared" si="0"/>
        <v>0.15</v>
      </c>
      <c r="P5" s="97">
        <f t="shared" si="1"/>
        <v>7500</v>
      </c>
      <c r="Q5" s="103">
        <f t="shared" si="1"/>
        <v>300</v>
      </c>
      <c r="S5" s="105">
        <v>0</v>
      </c>
      <c r="T5" s="97">
        <f t="shared" si="2"/>
        <v>0</v>
      </c>
      <c r="U5" s="97">
        <f t="shared" ref="U5:U8" si="3">(T5/N5)</f>
        <v>0</v>
      </c>
      <c r="W5" s="105">
        <f>'Base Costs'!Q5</f>
        <v>0.15</v>
      </c>
      <c r="X5" s="97">
        <f>'Base Costs'!R5</f>
        <v>7500</v>
      </c>
      <c r="Y5" s="97">
        <f>(X5/N5)</f>
        <v>300</v>
      </c>
    </row>
    <row r="6" spans="1:29" ht="28.5" customHeight="1">
      <c r="A6" s="181" t="s">
        <v>92</v>
      </c>
      <c r="B6" s="182"/>
      <c r="I6" s="30">
        <f>SUM(I13:I17)</f>
        <v>5282</v>
      </c>
      <c r="J6" s="84">
        <f t="shared" ref="J6:K6" si="4">SUM(J13:J17)</f>
        <v>6515</v>
      </c>
      <c r="K6" s="31">
        <f t="shared" si="4"/>
        <v>8028</v>
      </c>
      <c r="M6" s="8" t="s">
        <v>24</v>
      </c>
      <c r="N6" s="100">
        <v>10</v>
      </c>
      <c r="O6" s="96">
        <f t="shared" si="0"/>
        <v>0.05</v>
      </c>
      <c r="P6" s="97">
        <f t="shared" si="1"/>
        <v>2500</v>
      </c>
      <c r="Q6" s="103">
        <f t="shared" si="1"/>
        <v>250</v>
      </c>
      <c r="S6" s="105">
        <v>0</v>
      </c>
      <c r="T6" s="97">
        <f t="shared" si="2"/>
        <v>0</v>
      </c>
      <c r="U6" s="97">
        <f t="shared" si="3"/>
        <v>0</v>
      </c>
      <c r="W6" s="105">
        <f>'Base Costs'!Q6</f>
        <v>0.05</v>
      </c>
      <c r="X6" s="97">
        <f>'Base Costs'!R6</f>
        <v>2500</v>
      </c>
      <c r="Y6" s="97">
        <f>(X6/N6)</f>
        <v>250</v>
      </c>
    </row>
    <row r="7" spans="1:29" ht="26.25" customHeight="1">
      <c r="A7" s="181" t="s">
        <v>93</v>
      </c>
      <c r="B7" s="182"/>
      <c r="C7" s="59">
        <f>SUM(C13:C73)</f>
        <v>2475</v>
      </c>
      <c r="D7" s="60">
        <f t="shared" ref="D7:E7" si="5">SUM(D13:D73)</f>
        <v>2750</v>
      </c>
      <c r="E7" s="61">
        <f t="shared" si="5"/>
        <v>4125</v>
      </c>
      <c r="M7" s="8" t="s">
        <v>25</v>
      </c>
      <c r="N7" s="101">
        <v>10000</v>
      </c>
      <c r="O7" s="96">
        <f t="shared" si="0"/>
        <v>0</v>
      </c>
      <c r="P7" s="97">
        <f t="shared" si="1"/>
        <v>0</v>
      </c>
      <c r="Q7" s="103">
        <f t="shared" si="1"/>
        <v>0</v>
      </c>
      <c r="S7" s="105">
        <v>0</v>
      </c>
      <c r="T7" s="97">
        <f t="shared" si="2"/>
        <v>0</v>
      </c>
      <c r="U7" s="97">
        <f t="shared" si="3"/>
        <v>0</v>
      </c>
      <c r="W7" s="105">
        <f>'Base Costs'!Q7</f>
        <v>0</v>
      </c>
      <c r="X7" s="97">
        <f>'Base Costs'!R7</f>
        <v>0</v>
      </c>
      <c r="Y7" s="97">
        <f>(X7/N7)</f>
        <v>0</v>
      </c>
    </row>
    <row r="8" spans="1:29" ht="26.25" customHeight="1">
      <c r="A8" s="181" t="s">
        <v>94</v>
      </c>
      <c r="B8" s="182"/>
      <c r="F8" s="59">
        <f>SUM(F13:F73)</f>
        <v>72076</v>
      </c>
      <c r="G8" s="59">
        <f t="shared" ref="G8:H8" si="6">SUM(G13:G73)</f>
        <v>90095</v>
      </c>
      <c r="H8" s="59">
        <f t="shared" si="6"/>
        <v>108114</v>
      </c>
      <c r="M8" s="8" t="s">
        <v>26</v>
      </c>
      <c r="N8" s="101">
        <v>5</v>
      </c>
      <c r="O8" s="96">
        <f t="shared" si="0"/>
        <v>0.05</v>
      </c>
      <c r="P8" s="97">
        <f t="shared" si="1"/>
        <v>2500</v>
      </c>
      <c r="Q8" s="103">
        <f t="shared" si="1"/>
        <v>500</v>
      </c>
      <c r="S8" s="105">
        <v>0</v>
      </c>
      <c r="T8" s="97">
        <f t="shared" si="2"/>
        <v>0</v>
      </c>
      <c r="U8" s="97">
        <f t="shared" si="3"/>
        <v>0</v>
      </c>
      <c r="W8" s="105">
        <f>'Base Costs'!Q8</f>
        <v>0.05</v>
      </c>
      <c r="X8" s="97">
        <f>'Base Costs'!R8</f>
        <v>2500</v>
      </c>
      <c r="Y8" s="97">
        <f>(X8/N8)</f>
        <v>500</v>
      </c>
    </row>
    <row r="9" spans="1:29" ht="13.15">
      <c r="B9" s="1"/>
      <c r="I9" s="1"/>
      <c r="J9" s="1"/>
      <c r="K9" s="1"/>
      <c r="L9" s="1"/>
      <c r="M9" s="8" t="s">
        <v>27</v>
      </c>
      <c r="N9" s="102"/>
      <c r="O9" s="108">
        <f t="shared" si="0"/>
        <v>1</v>
      </c>
      <c r="P9" s="98">
        <f>T9+X9</f>
        <v>50000</v>
      </c>
      <c r="Q9" s="104">
        <f>SUM(Q3:Q8)</f>
        <v>1505</v>
      </c>
      <c r="S9" s="106">
        <f>SUM(S3:S8)</f>
        <v>1</v>
      </c>
      <c r="T9" s="98"/>
      <c r="U9" s="98">
        <f>SUM(U3:U8)</f>
        <v>30</v>
      </c>
      <c r="W9" s="107">
        <f>'Base Costs'!Q9</f>
        <v>1</v>
      </c>
      <c r="X9" s="98">
        <f>'Base Costs'!R9</f>
        <v>50000</v>
      </c>
      <c r="Y9" s="98">
        <f>SUM(Y3:Y8)</f>
        <v>1475</v>
      </c>
    </row>
    <row r="10" spans="1:29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29" ht="13.15">
      <c r="A11" s="196" t="s">
        <v>29</v>
      </c>
      <c r="B11" s="196"/>
      <c r="C11" s="35">
        <v>-0.1</v>
      </c>
      <c r="D11" s="35">
        <v>0</v>
      </c>
      <c r="E11" s="35">
        <v>0.5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62"/>
    </row>
    <row r="12" spans="1:29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12"/>
    </row>
    <row r="13" spans="1:29">
      <c r="A13" s="3">
        <v>2019</v>
      </c>
      <c r="B13" s="3">
        <v>0</v>
      </c>
      <c r="C13" s="63">
        <f>D13*(1+$C$11)</f>
        <v>0</v>
      </c>
      <c r="D13" s="27">
        <v>0</v>
      </c>
      <c r="E13" s="65">
        <f>D13*(1+$E$11)</f>
        <v>0</v>
      </c>
      <c r="F13" s="63">
        <f>G13*(1+$F$11)</f>
        <v>520</v>
      </c>
      <c r="G13" s="64">
        <f>1300/2</f>
        <v>650</v>
      </c>
      <c r="H13" s="65">
        <f t="shared" ref="H13:H73" si="7">G13*(1+$H$11)</f>
        <v>780</v>
      </c>
      <c r="I13" s="30">
        <f>F13+C13</f>
        <v>520</v>
      </c>
      <c r="J13" s="84">
        <f>G13+D13</f>
        <v>650</v>
      </c>
      <c r="K13" s="31">
        <f>H13+E13</f>
        <v>780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8">SUM(L13:P13)</f>
        <v>145</v>
      </c>
      <c r="S13" s="67">
        <f t="shared" ref="S13:S73" si="9">R13*(1+$S$11)</f>
        <v>152.25</v>
      </c>
      <c r="T13" s="66">
        <f>Q13+I13</f>
        <v>657.75</v>
      </c>
      <c r="U13" s="89">
        <f>R13+J13</f>
        <v>795</v>
      </c>
      <c r="V13" s="67">
        <f>S13+K13</f>
        <v>932.25</v>
      </c>
      <c r="W13" s="5">
        <v>1</v>
      </c>
      <c r="X13" s="69">
        <f>W13*T13</f>
        <v>657.75</v>
      </c>
      <c r="Y13" s="89">
        <f>W13*U13</f>
        <v>795</v>
      </c>
      <c r="Z13" s="67">
        <f>W13*V13</f>
        <v>932.25</v>
      </c>
      <c r="AA13" s="13" t="s">
        <v>78</v>
      </c>
      <c r="AC13" s="12"/>
    </row>
    <row r="14" spans="1:29">
      <c r="A14" s="4">
        <f>A13+1</f>
        <v>2020</v>
      </c>
      <c r="B14" s="4">
        <f t="shared" ref="B14:B73" si="10">(B13+1)</f>
        <v>1</v>
      </c>
      <c r="C14" s="63">
        <f t="shared" ref="C14:C73" si="11">D14*(1+$C$11)</f>
        <v>270</v>
      </c>
      <c r="D14" s="27">
        <f>250+50</f>
        <v>300</v>
      </c>
      <c r="E14" s="65">
        <f t="shared" ref="E14:E73" si="12">D14*(1+$E$11)</f>
        <v>450</v>
      </c>
      <c r="F14" s="28">
        <f t="shared" ref="F14:F73" si="13">G14*(1+$F$11)</f>
        <v>520</v>
      </c>
      <c r="G14" s="27">
        <f>G13</f>
        <v>650</v>
      </c>
      <c r="H14" s="29">
        <f t="shared" si="7"/>
        <v>780</v>
      </c>
      <c r="I14" s="30">
        <f t="shared" ref="I14:K73" si="14">F14+C14</f>
        <v>790</v>
      </c>
      <c r="J14" s="84">
        <f t="shared" si="14"/>
        <v>950</v>
      </c>
      <c r="K14" s="31">
        <f t="shared" si="14"/>
        <v>1230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5">R14*(1+$Q$11)</f>
        <v>137.75</v>
      </c>
      <c r="R14" s="70">
        <f t="shared" si="8"/>
        <v>145</v>
      </c>
      <c r="S14" s="67">
        <f t="shared" si="9"/>
        <v>152.25</v>
      </c>
      <c r="T14" s="66">
        <f>Q14+I14</f>
        <v>927.75</v>
      </c>
      <c r="U14" s="89">
        <f t="shared" ref="U14:V73" si="16">R14+J14</f>
        <v>1095</v>
      </c>
      <c r="V14" s="67">
        <f t="shared" si="16"/>
        <v>1382.25</v>
      </c>
      <c r="W14" s="6">
        <f t="shared" ref="W14:W73" si="17">(1/(1+$C$3))^B14</f>
        <v>0.96581031485416258</v>
      </c>
      <c r="X14" s="66">
        <f t="shared" ref="X14:X73" si="18">W14*T14</f>
        <v>896.03051960594928</v>
      </c>
      <c r="Y14" s="89">
        <f t="shared" ref="Y14:Y73" si="19">W14*U14</f>
        <v>1057.562294765308</v>
      </c>
      <c r="Z14" s="67">
        <f t="shared" ref="Z14:Z73" si="20">W14*V14</f>
        <v>1334.9913077071662</v>
      </c>
      <c r="AA14" s="13" t="s">
        <v>78</v>
      </c>
    </row>
    <row r="15" spans="1:29">
      <c r="A15" s="4">
        <f t="shared" ref="A15:A73" si="21">A14+1</f>
        <v>2021</v>
      </c>
      <c r="B15" s="4">
        <f t="shared" si="10"/>
        <v>2</v>
      </c>
      <c r="C15" s="63">
        <f t="shared" si="11"/>
        <v>270</v>
      </c>
      <c r="D15" s="27">
        <f>250+50</f>
        <v>300</v>
      </c>
      <c r="E15" s="65">
        <f t="shared" si="12"/>
        <v>450</v>
      </c>
      <c r="F15" s="28">
        <f t="shared" si="13"/>
        <v>1204</v>
      </c>
      <c r="G15" s="27">
        <f>$Q$9</f>
        <v>1505</v>
      </c>
      <c r="H15" s="29">
        <f t="shared" si="7"/>
        <v>1806</v>
      </c>
      <c r="I15" s="30">
        <f t="shared" si="14"/>
        <v>1474</v>
      </c>
      <c r="J15" s="84">
        <f t="shared" si="14"/>
        <v>1805</v>
      </c>
      <c r="K15" s="31">
        <f t="shared" si="14"/>
        <v>2256</v>
      </c>
      <c r="L15" s="68">
        <v>44</v>
      </c>
      <c r="M15" s="68">
        <f>M14+16.49</f>
        <v>56.489999999999995</v>
      </c>
      <c r="N15" s="68">
        <v>40</v>
      </c>
      <c r="O15" s="68">
        <f>O14*0.8</f>
        <v>20</v>
      </c>
      <c r="P15" s="68">
        <f t="shared" ref="P15:P73" si="22">P14</f>
        <v>0</v>
      </c>
      <c r="Q15" s="66">
        <f t="shared" si="15"/>
        <v>152.46549999999999</v>
      </c>
      <c r="R15" s="70">
        <f t="shared" si="8"/>
        <v>160.49</v>
      </c>
      <c r="S15" s="67">
        <f t="shared" si="9"/>
        <v>168.51450000000003</v>
      </c>
      <c r="T15" s="66">
        <f t="shared" ref="T15:T73" si="23">Q15+I15</f>
        <v>1626.4655</v>
      </c>
      <c r="U15" s="89">
        <f t="shared" si="16"/>
        <v>1965.49</v>
      </c>
      <c r="V15" s="67">
        <f t="shared" si="16"/>
        <v>2424.5145000000002</v>
      </c>
      <c r="W15" s="6">
        <f t="shared" si="17"/>
        <v>0.93278956427869664</v>
      </c>
      <c r="X15" s="66">
        <f t="shared" si="18"/>
        <v>1517.1500450593326</v>
      </c>
      <c r="Y15" s="89">
        <f t="shared" si="19"/>
        <v>1833.3885606941355</v>
      </c>
      <c r="Z15" s="67">
        <f t="shared" si="20"/>
        <v>2261.5618240423823</v>
      </c>
      <c r="AA15" s="14" t="s">
        <v>56</v>
      </c>
    </row>
    <row r="16" spans="1:29">
      <c r="A16" s="4">
        <f t="shared" si="21"/>
        <v>2022</v>
      </c>
      <c r="B16" s="4">
        <f t="shared" si="10"/>
        <v>3</v>
      </c>
      <c r="C16" s="63">
        <f t="shared" si="11"/>
        <v>45</v>
      </c>
      <c r="D16" s="64">
        <v>50</v>
      </c>
      <c r="E16" s="65">
        <f t="shared" si="12"/>
        <v>75</v>
      </c>
      <c r="F16" s="28">
        <f t="shared" si="13"/>
        <v>1204</v>
      </c>
      <c r="G16" s="27">
        <f t="shared" ref="G16:G46" si="24">$Q$9</f>
        <v>1505</v>
      </c>
      <c r="H16" s="29">
        <f t="shared" si="7"/>
        <v>1806</v>
      </c>
      <c r="I16" s="30">
        <f t="shared" si="14"/>
        <v>1249</v>
      </c>
      <c r="J16" s="84">
        <f t="shared" si="14"/>
        <v>1555</v>
      </c>
      <c r="K16" s="31">
        <f t="shared" si="14"/>
        <v>1881</v>
      </c>
      <c r="L16" s="68">
        <f t="shared" ref="L16:O31" si="25">L15</f>
        <v>44</v>
      </c>
      <c r="M16" s="68">
        <f t="shared" si="25"/>
        <v>56.489999999999995</v>
      </c>
      <c r="N16" s="68">
        <f t="shared" si="25"/>
        <v>40</v>
      </c>
      <c r="O16" s="68">
        <f>O15</f>
        <v>20</v>
      </c>
      <c r="P16" s="68">
        <f t="shared" si="22"/>
        <v>0</v>
      </c>
      <c r="Q16" s="66">
        <f t="shared" si="15"/>
        <v>152.46549999999999</v>
      </c>
      <c r="R16" s="70">
        <f t="shared" si="8"/>
        <v>160.49</v>
      </c>
      <c r="S16" s="67">
        <f t="shared" si="9"/>
        <v>168.51450000000003</v>
      </c>
      <c r="T16" s="66">
        <f t="shared" si="23"/>
        <v>1401.4655</v>
      </c>
      <c r="U16" s="89">
        <f t="shared" si="16"/>
        <v>1715.49</v>
      </c>
      <c r="V16" s="67">
        <f t="shared" si="16"/>
        <v>2049.5145000000002</v>
      </c>
      <c r="W16" s="6">
        <f t="shared" si="17"/>
        <v>0.90089778276868515</v>
      </c>
      <c r="X16" s="66">
        <f t="shared" si="18"/>
        <v>1262.5771615768067</v>
      </c>
      <c r="Y16" s="89">
        <f t="shared" si="19"/>
        <v>1545.4811373618518</v>
      </c>
      <c r="Z16" s="67">
        <f t="shared" si="20"/>
        <v>1846.4030688022706</v>
      </c>
      <c r="AA16" s="14" t="s">
        <v>57</v>
      </c>
    </row>
    <row r="17" spans="1:30">
      <c r="A17" s="4">
        <f t="shared" si="21"/>
        <v>2023</v>
      </c>
      <c r="B17" s="4">
        <f t="shared" si="10"/>
        <v>4</v>
      </c>
      <c r="C17" s="63">
        <f t="shared" si="11"/>
        <v>45</v>
      </c>
      <c r="D17" s="64">
        <v>50</v>
      </c>
      <c r="E17" s="65">
        <f t="shared" si="12"/>
        <v>75</v>
      </c>
      <c r="F17" s="28">
        <f t="shared" si="13"/>
        <v>1204</v>
      </c>
      <c r="G17" s="27">
        <f t="shared" si="24"/>
        <v>1505</v>
      </c>
      <c r="H17" s="29">
        <f t="shared" si="7"/>
        <v>1806</v>
      </c>
      <c r="I17" s="30">
        <f t="shared" si="14"/>
        <v>1249</v>
      </c>
      <c r="J17" s="84">
        <f t="shared" si="14"/>
        <v>1555</v>
      </c>
      <c r="K17" s="31">
        <f t="shared" si="14"/>
        <v>1881</v>
      </c>
      <c r="L17" s="68">
        <f t="shared" si="25"/>
        <v>44</v>
      </c>
      <c r="M17" s="68">
        <f t="shared" si="25"/>
        <v>56.489999999999995</v>
      </c>
      <c r="N17" s="68">
        <f t="shared" si="25"/>
        <v>40</v>
      </c>
      <c r="O17" s="68">
        <f t="shared" si="25"/>
        <v>20</v>
      </c>
      <c r="P17" s="68">
        <f t="shared" si="22"/>
        <v>0</v>
      </c>
      <c r="Q17" s="66">
        <f t="shared" si="15"/>
        <v>152.46549999999999</v>
      </c>
      <c r="R17" s="70">
        <f t="shared" si="8"/>
        <v>160.49</v>
      </c>
      <c r="S17" s="67">
        <f t="shared" si="9"/>
        <v>168.51450000000003</v>
      </c>
      <c r="T17" s="66">
        <f t="shared" si="23"/>
        <v>1401.4655</v>
      </c>
      <c r="U17" s="89">
        <f t="shared" si="16"/>
        <v>1715.49</v>
      </c>
      <c r="V17" s="67">
        <f t="shared" si="16"/>
        <v>2049.5145000000002</v>
      </c>
      <c r="W17" s="6">
        <f t="shared" si="17"/>
        <v>0.87009637122724071</v>
      </c>
      <c r="X17" s="66">
        <f t="shared" si="18"/>
        <v>1219.4100459501706</v>
      </c>
      <c r="Y17" s="89">
        <f t="shared" si="19"/>
        <v>1492.6416238766192</v>
      </c>
      <c r="Z17" s="67">
        <f t="shared" si="20"/>
        <v>1783.2751292276128</v>
      </c>
      <c r="AA17" s="14"/>
    </row>
    <row r="18" spans="1:30">
      <c r="A18" s="4">
        <f t="shared" si="21"/>
        <v>2024</v>
      </c>
      <c r="B18" s="4">
        <f t="shared" si="10"/>
        <v>5</v>
      </c>
      <c r="C18" s="63">
        <f t="shared" si="11"/>
        <v>45</v>
      </c>
      <c r="D18" s="64">
        <v>50</v>
      </c>
      <c r="E18" s="65">
        <f t="shared" si="12"/>
        <v>75</v>
      </c>
      <c r="F18" s="28">
        <f t="shared" si="13"/>
        <v>1204</v>
      </c>
      <c r="G18" s="27">
        <f t="shared" si="24"/>
        <v>1505</v>
      </c>
      <c r="H18" s="29">
        <f t="shared" si="7"/>
        <v>1806</v>
      </c>
      <c r="I18" s="30">
        <f t="shared" si="14"/>
        <v>1249</v>
      </c>
      <c r="J18" s="84">
        <f t="shared" si="14"/>
        <v>1555</v>
      </c>
      <c r="K18" s="31">
        <f t="shared" si="14"/>
        <v>1881</v>
      </c>
      <c r="L18" s="68">
        <f t="shared" si="25"/>
        <v>44</v>
      </c>
      <c r="M18" s="68">
        <f t="shared" si="25"/>
        <v>56.489999999999995</v>
      </c>
      <c r="N18" s="68">
        <f t="shared" si="25"/>
        <v>40</v>
      </c>
      <c r="O18" s="68">
        <f t="shared" si="25"/>
        <v>20</v>
      </c>
      <c r="P18" s="68">
        <f t="shared" si="22"/>
        <v>0</v>
      </c>
      <c r="Q18" s="66">
        <f t="shared" si="15"/>
        <v>152.46549999999999</v>
      </c>
      <c r="R18" s="70">
        <f t="shared" si="8"/>
        <v>160.49</v>
      </c>
      <c r="S18" s="67">
        <f t="shared" si="9"/>
        <v>168.51450000000003</v>
      </c>
      <c r="T18" s="66">
        <f t="shared" si="23"/>
        <v>1401.4655</v>
      </c>
      <c r="U18" s="89">
        <f t="shared" si="16"/>
        <v>1715.49</v>
      </c>
      <c r="V18" s="67">
        <f t="shared" si="16"/>
        <v>2049.5145000000002</v>
      </c>
      <c r="W18" s="6">
        <f t="shared" si="17"/>
        <v>0.84034805024844572</v>
      </c>
      <c r="X18" s="66">
        <f t="shared" si="18"/>
        <v>1177.7188004154632</v>
      </c>
      <c r="Y18" s="89">
        <f t="shared" si="19"/>
        <v>1441.6086767207062</v>
      </c>
      <c r="Z18" s="67">
        <f t="shared" si="20"/>
        <v>1722.3055140309184</v>
      </c>
      <c r="AA18" s="14"/>
    </row>
    <row r="19" spans="1:30">
      <c r="A19" s="4">
        <f t="shared" si="21"/>
        <v>2025</v>
      </c>
      <c r="B19" s="4">
        <f t="shared" si="10"/>
        <v>6</v>
      </c>
      <c r="C19" s="63">
        <f t="shared" si="11"/>
        <v>22.5</v>
      </c>
      <c r="D19" s="64">
        <v>25</v>
      </c>
      <c r="E19" s="65">
        <f t="shared" si="12"/>
        <v>37.5</v>
      </c>
      <c r="F19" s="28">
        <f t="shared" si="13"/>
        <v>1204</v>
      </c>
      <c r="G19" s="27">
        <f t="shared" si="24"/>
        <v>1505</v>
      </c>
      <c r="H19" s="29">
        <f t="shared" si="7"/>
        <v>1806</v>
      </c>
      <c r="I19" s="30">
        <f t="shared" si="14"/>
        <v>1226.5</v>
      </c>
      <c r="J19" s="84">
        <f t="shared" si="14"/>
        <v>1530</v>
      </c>
      <c r="K19" s="31">
        <f t="shared" si="14"/>
        <v>1843.5</v>
      </c>
      <c r="L19" s="68">
        <f t="shared" si="25"/>
        <v>44</v>
      </c>
      <c r="M19" s="68">
        <f t="shared" si="25"/>
        <v>56.489999999999995</v>
      </c>
      <c r="N19" s="68">
        <f t="shared" si="25"/>
        <v>40</v>
      </c>
      <c r="O19" s="68">
        <f t="shared" si="25"/>
        <v>20</v>
      </c>
      <c r="P19" s="68">
        <f t="shared" si="22"/>
        <v>0</v>
      </c>
      <c r="Q19" s="66">
        <f t="shared" si="15"/>
        <v>152.46549999999999</v>
      </c>
      <c r="R19" s="70">
        <f t="shared" si="8"/>
        <v>160.49</v>
      </c>
      <c r="S19" s="67">
        <f t="shared" si="9"/>
        <v>168.51450000000003</v>
      </c>
      <c r="T19" s="66">
        <f t="shared" si="23"/>
        <v>1378.9655</v>
      </c>
      <c r="U19" s="89">
        <f t="shared" si="16"/>
        <v>1690.49</v>
      </c>
      <c r="V19" s="67">
        <f t="shared" si="16"/>
        <v>2012.0145</v>
      </c>
      <c r="W19" s="6">
        <f t="shared" si="17"/>
        <v>0.81161681499753291</v>
      </c>
      <c r="X19" s="66">
        <f t="shared" si="18"/>
        <v>1119.1915871014805</v>
      </c>
      <c r="Y19" s="89">
        <f t="shared" si="19"/>
        <v>1372.0301095851794</v>
      </c>
      <c r="Z19" s="67">
        <f t="shared" si="20"/>
        <v>1632.9848002188537</v>
      </c>
      <c r="AA19" s="14"/>
    </row>
    <row r="20" spans="1:30">
      <c r="A20" s="4">
        <f t="shared" si="21"/>
        <v>2026</v>
      </c>
      <c r="B20" s="4">
        <f t="shared" si="10"/>
        <v>7</v>
      </c>
      <c r="C20" s="63">
        <f t="shared" si="11"/>
        <v>22.5</v>
      </c>
      <c r="D20" s="64">
        <v>25</v>
      </c>
      <c r="E20" s="65">
        <f t="shared" si="12"/>
        <v>37.5</v>
      </c>
      <c r="F20" s="28">
        <f t="shared" si="13"/>
        <v>1204</v>
      </c>
      <c r="G20" s="27">
        <f t="shared" si="24"/>
        <v>1505</v>
      </c>
      <c r="H20" s="29">
        <f t="shared" si="7"/>
        <v>1806</v>
      </c>
      <c r="I20" s="30">
        <f t="shared" si="14"/>
        <v>1226.5</v>
      </c>
      <c r="J20" s="84">
        <f t="shared" si="14"/>
        <v>1530</v>
      </c>
      <c r="K20" s="31">
        <f t="shared" si="14"/>
        <v>1843.5</v>
      </c>
      <c r="L20" s="68">
        <f t="shared" si="25"/>
        <v>44</v>
      </c>
      <c r="M20" s="68">
        <f t="shared" si="25"/>
        <v>56.489999999999995</v>
      </c>
      <c r="N20" s="68">
        <f t="shared" si="25"/>
        <v>40</v>
      </c>
      <c r="O20" s="68">
        <f t="shared" si="25"/>
        <v>20</v>
      </c>
      <c r="P20" s="68">
        <f t="shared" si="22"/>
        <v>0</v>
      </c>
      <c r="Q20" s="66">
        <f t="shared" si="15"/>
        <v>152.46549999999999</v>
      </c>
      <c r="R20" s="70">
        <f t="shared" si="8"/>
        <v>160.49</v>
      </c>
      <c r="S20" s="67">
        <f t="shared" si="9"/>
        <v>168.51450000000003</v>
      </c>
      <c r="T20" s="66">
        <f t="shared" si="23"/>
        <v>1378.9655</v>
      </c>
      <c r="U20" s="89">
        <f t="shared" si="16"/>
        <v>1690.49</v>
      </c>
      <c r="V20" s="67">
        <f t="shared" si="16"/>
        <v>2012.0145</v>
      </c>
      <c r="W20" s="6">
        <f t="shared" si="17"/>
        <v>0.78386789163369996</v>
      </c>
      <c r="X20" s="66">
        <f t="shared" si="18"/>
        <v>1080.9267791206109</v>
      </c>
      <c r="Y20" s="89">
        <f t="shared" si="19"/>
        <v>1325.1208321278534</v>
      </c>
      <c r="Z20" s="67">
        <f t="shared" si="20"/>
        <v>1577.153564051433</v>
      </c>
      <c r="AA20" s="14"/>
    </row>
    <row r="21" spans="1:30">
      <c r="A21" s="4">
        <f t="shared" si="21"/>
        <v>2027</v>
      </c>
      <c r="B21" s="4">
        <f t="shared" si="10"/>
        <v>8</v>
      </c>
      <c r="C21" s="63">
        <f t="shared" si="11"/>
        <v>22.5</v>
      </c>
      <c r="D21" s="64">
        <v>25</v>
      </c>
      <c r="E21" s="65">
        <f t="shared" si="12"/>
        <v>37.5</v>
      </c>
      <c r="F21" s="28">
        <f t="shared" si="13"/>
        <v>1204</v>
      </c>
      <c r="G21" s="27">
        <f t="shared" si="24"/>
        <v>1505</v>
      </c>
      <c r="H21" s="29">
        <f t="shared" si="7"/>
        <v>1806</v>
      </c>
      <c r="I21" s="30">
        <f t="shared" si="14"/>
        <v>1226.5</v>
      </c>
      <c r="J21" s="84">
        <f t="shared" si="14"/>
        <v>1530</v>
      </c>
      <c r="K21" s="31">
        <f t="shared" si="14"/>
        <v>1843.5</v>
      </c>
      <c r="L21" s="68">
        <f t="shared" si="25"/>
        <v>44</v>
      </c>
      <c r="M21" s="68">
        <f t="shared" si="25"/>
        <v>56.489999999999995</v>
      </c>
      <c r="N21" s="68">
        <f t="shared" si="25"/>
        <v>40</v>
      </c>
      <c r="O21" s="68">
        <f t="shared" si="25"/>
        <v>20</v>
      </c>
      <c r="P21" s="68">
        <f t="shared" si="22"/>
        <v>0</v>
      </c>
      <c r="Q21" s="66">
        <f t="shared" si="15"/>
        <v>152.46549999999999</v>
      </c>
      <c r="R21" s="70">
        <f t="shared" si="8"/>
        <v>160.49</v>
      </c>
      <c r="S21" s="67">
        <f t="shared" si="9"/>
        <v>168.51450000000003</v>
      </c>
      <c r="T21" s="66">
        <f t="shared" si="23"/>
        <v>1378.9655</v>
      </c>
      <c r="U21" s="89">
        <f t="shared" si="16"/>
        <v>1690.49</v>
      </c>
      <c r="V21" s="67">
        <f t="shared" si="16"/>
        <v>2012.0145</v>
      </c>
      <c r="W21" s="6">
        <f t="shared" si="17"/>
        <v>0.75706769522281225</v>
      </c>
      <c r="X21" s="66">
        <f t="shared" si="18"/>
        <v>1043.970232876773</v>
      </c>
      <c r="Y21" s="89">
        <f t="shared" si="19"/>
        <v>1279.8153680972118</v>
      </c>
      <c r="Z21" s="67">
        <f t="shared" si="20"/>
        <v>1523.2311802698789</v>
      </c>
      <c r="AA21" s="14"/>
    </row>
    <row r="22" spans="1:30">
      <c r="A22" s="4">
        <f t="shared" si="21"/>
        <v>2028</v>
      </c>
      <c r="B22" s="4">
        <f t="shared" si="10"/>
        <v>9</v>
      </c>
      <c r="C22" s="63">
        <f t="shared" si="11"/>
        <v>22.5</v>
      </c>
      <c r="D22" s="64">
        <v>25</v>
      </c>
      <c r="E22" s="65">
        <f t="shared" si="12"/>
        <v>37.5</v>
      </c>
      <c r="F22" s="28">
        <f t="shared" si="13"/>
        <v>1204</v>
      </c>
      <c r="G22" s="27">
        <f t="shared" si="24"/>
        <v>1505</v>
      </c>
      <c r="H22" s="29">
        <f t="shared" si="7"/>
        <v>1806</v>
      </c>
      <c r="I22" s="30">
        <f t="shared" si="14"/>
        <v>1226.5</v>
      </c>
      <c r="J22" s="84">
        <f t="shared" si="14"/>
        <v>1530</v>
      </c>
      <c r="K22" s="31">
        <f t="shared" si="14"/>
        <v>1843.5</v>
      </c>
      <c r="L22" s="68">
        <f t="shared" si="25"/>
        <v>44</v>
      </c>
      <c r="M22" s="68">
        <f t="shared" si="25"/>
        <v>56.489999999999995</v>
      </c>
      <c r="N22" s="68">
        <f t="shared" si="25"/>
        <v>40</v>
      </c>
      <c r="O22" s="68">
        <f t="shared" si="25"/>
        <v>20</v>
      </c>
      <c r="P22" s="68">
        <f t="shared" si="22"/>
        <v>0</v>
      </c>
      <c r="Q22" s="66">
        <f t="shared" si="15"/>
        <v>152.46549999999999</v>
      </c>
      <c r="R22" s="70">
        <f t="shared" si="8"/>
        <v>160.49</v>
      </c>
      <c r="S22" s="67">
        <f t="shared" si="9"/>
        <v>168.51450000000003</v>
      </c>
      <c r="T22" s="66">
        <f t="shared" si="23"/>
        <v>1378.9655</v>
      </c>
      <c r="U22" s="89">
        <f t="shared" si="16"/>
        <v>1690.49</v>
      </c>
      <c r="V22" s="67">
        <f t="shared" si="16"/>
        <v>2012.0145</v>
      </c>
      <c r="W22" s="6">
        <f t="shared" si="17"/>
        <v>0.73118378908905945</v>
      </c>
      <c r="X22" s="66">
        <f t="shared" si="18"/>
        <v>1008.2772193130894</v>
      </c>
      <c r="Y22" s="89">
        <f t="shared" si="19"/>
        <v>1236.0588836171642</v>
      </c>
      <c r="Z22" s="67">
        <f t="shared" si="20"/>
        <v>1471.1523858121295</v>
      </c>
      <c r="AA22" s="14"/>
      <c r="AC22" s="12"/>
      <c r="AD22" s="71"/>
    </row>
    <row r="23" spans="1:30">
      <c r="A23" s="4">
        <f t="shared" si="21"/>
        <v>2029</v>
      </c>
      <c r="B23" s="4">
        <f t="shared" si="10"/>
        <v>10</v>
      </c>
      <c r="C23" s="63">
        <f t="shared" si="11"/>
        <v>22.5</v>
      </c>
      <c r="D23" s="64">
        <v>25</v>
      </c>
      <c r="E23" s="65">
        <f t="shared" si="12"/>
        <v>37.5</v>
      </c>
      <c r="F23" s="28">
        <f t="shared" si="13"/>
        <v>1204</v>
      </c>
      <c r="G23" s="27">
        <f t="shared" si="24"/>
        <v>1505</v>
      </c>
      <c r="H23" s="29">
        <f t="shared" si="7"/>
        <v>1806</v>
      </c>
      <c r="I23" s="30">
        <f t="shared" si="14"/>
        <v>1226.5</v>
      </c>
      <c r="J23" s="84">
        <f t="shared" si="14"/>
        <v>1530</v>
      </c>
      <c r="K23" s="31">
        <f t="shared" si="14"/>
        <v>1843.5</v>
      </c>
      <c r="L23" s="68">
        <f t="shared" si="25"/>
        <v>44</v>
      </c>
      <c r="M23" s="68">
        <f t="shared" si="25"/>
        <v>56.489999999999995</v>
      </c>
      <c r="N23" s="68">
        <f t="shared" si="25"/>
        <v>40</v>
      </c>
      <c r="O23" s="68">
        <f t="shared" si="25"/>
        <v>20</v>
      </c>
      <c r="P23" s="68">
        <f t="shared" si="22"/>
        <v>0</v>
      </c>
      <c r="Q23" s="66">
        <f t="shared" si="15"/>
        <v>152.46549999999999</v>
      </c>
      <c r="R23" s="70">
        <f t="shared" si="8"/>
        <v>160.49</v>
      </c>
      <c r="S23" s="67">
        <f t="shared" si="9"/>
        <v>168.51450000000003</v>
      </c>
      <c r="T23" s="66">
        <f t="shared" si="23"/>
        <v>1378.9655</v>
      </c>
      <c r="U23" s="89">
        <f t="shared" si="16"/>
        <v>1690.49</v>
      </c>
      <c r="V23" s="67">
        <f t="shared" si="16"/>
        <v>2012.0145</v>
      </c>
      <c r="W23" s="6">
        <f t="shared" si="17"/>
        <v>0.70618484555636418</v>
      </c>
      <c r="X23" s="66">
        <f t="shared" si="18"/>
        <v>973.80453864505455</v>
      </c>
      <c r="Y23" s="89">
        <f t="shared" si="19"/>
        <v>1193.7984195645781</v>
      </c>
      <c r="Z23" s="67">
        <f t="shared" si="20"/>
        <v>1420.8541489396653</v>
      </c>
      <c r="AA23" s="14"/>
      <c r="AD23" s="71"/>
    </row>
    <row r="24" spans="1:30">
      <c r="A24" s="4">
        <f t="shared" si="21"/>
        <v>2030</v>
      </c>
      <c r="B24" s="4">
        <f t="shared" si="10"/>
        <v>11</v>
      </c>
      <c r="C24" s="63">
        <f t="shared" si="11"/>
        <v>45</v>
      </c>
      <c r="D24" s="64">
        <v>50</v>
      </c>
      <c r="E24" s="65">
        <f t="shared" si="12"/>
        <v>75</v>
      </c>
      <c r="F24" s="28">
        <f t="shared" si="13"/>
        <v>1204</v>
      </c>
      <c r="G24" s="27">
        <f t="shared" si="24"/>
        <v>1505</v>
      </c>
      <c r="H24" s="29">
        <f t="shared" si="7"/>
        <v>1806</v>
      </c>
      <c r="I24" s="30">
        <f t="shared" si="14"/>
        <v>1249</v>
      </c>
      <c r="J24" s="84">
        <f t="shared" si="14"/>
        <v>1555</v>
      </c>
      <c r="K24" s="31">
        <f t="shared" si="14"/>
        <v>1881</v>
      </c>
      <c r="L24" s="68">
        <f t="shared" si="25"/>
        <v>44</v>
      </c>
      <c r="M24" s="68">
        <f t="shared" si="25"/>
        <v>56.489999999999995</v>
      </c>
      <c r="N24" s="68">
        <f t="shared" si="25"/>
        <v>40</v>
      </c>
      <c r="O24" s="68">
        <f t="shared" si="25"/>
        <v>20</v>
      </c>
      <c r="P24" s="68">
        <f t="shared" si="22"/>
        <v>0</v>
      </c>
      <c r="Q24" s="66">
        <f t="shared" si="15"/>
        <v>152.46549999999999</v>
      </c>
      <c r="R24" s="70">
        <f t="shared" si="8"/>
        <v>160.49</v>
      </c>
      <c r="S24" s="67">
        <f t="shared" si="9"/>
        <v>168.51450000000003</v>
      </c>
      <c r="T24" s="66">
        <f t="shared" si="23"/>
        <v>1401.4655</v>
      </c>
      <c r="U24" s="89">
        <f t="shared" si="16"/>
        <v>1715.49</v>
      </c>
      <c r="V24" s="67">
        <f t="shared" si="16"/>
        <v>2049.5145000000002</v>
      </c>
      <c r="W24" s="6">
        <f t="shared" si="17"/>
        <v>0.68204060803203026</v>
      </c>
      <c r="X24" s="66">
        <f t="shared" si="18"/>
        <v>955.85638175591328</v>
      </c>
      <c r="Y24" s="89">
        <f t="shared" si="19"/>
        <v>1170.0338426728676</v>
      </c>
      <c r="Z24" s="67">
        <f t="shared" si="20"/>
        <v>1397.8521157504626</v>
      </c>
      <c r="AA24" s="14"/>
      <c r="AD24" s="71"/>
    </row>
    <row r="25" spans="1:30">
      <c r="A25" s="4">
        <f t="shared" si="21"/>
        <v>2031</v>
      </c>
      <c r="B25" s="4">
        <f t="shared" si="10"/>
        <v>12</v>
      </c>
      <c r="C25" s="63">
        <f t="shared" si="11"/>
        <v>45</v>
      </c>
      <c r="D25" s="64">
        <v>50</v>
      </c>
      <c r="E25" s="65">
        <f t="shared" si="12"/>
        <v>75</v>
      </c>
      <c r="F25" s="28">
        <f t="shared" si="13"/>
        <v>1204</v>
      </c>
      <c r="G25" s="27">
        <f t="shared" si="24"/>
        <v>1505</v>
      </c>
      <c r="H25" s="29">
        <f t="shared" si="7"/>
        <v>1806</v>
      </c>
      <c r="I25" s="30">
        <f t="shared" si="14"/>
        <v>1249</v>
      </c>
      <c r="J25" s="84">
        <f t="shared" si="14"/>
        <v>1555</v>
      </c>
      <c r="K25" s="31">
        <f t="shared" si="14"/>
        <v>1881</v>
      </c>
      <c r="L25" s="68">
        <f t="shared" si="25"/>
        <v>44</v>
      </c>
      <c r="M25" s="68">
        <f t="shared" si="25"/>
        <v>56.489999999999995</v>
      </c>
      <c r="N25" s="68">
        <f t="shared" si="25"/>
        <v>40</v>
      </c>
      <c r="O25" s="68">
        <f t="shared" si="25"/>
        <v>20</v>
      </c>
      <c r="P25" s="68">
        <f t="shared" si="22"/>
        <v>0</v>
      </c>
      <c r="Q25" s="66">
        <f t="shared" si="15"/>
        <v>152.46549999999999</v>
      </c>
      <c r="R25" s="70">
        <f t="shared" si="8"/>
        <v>160.49</v>
      </c>
      <c r="S25" s="67">
        <f t="shared" si="9"/>
        <v>168.51450000000003</v>
      </c>
      <c r="T25" s="66">
        <f t="shared" si="23"/>
        <v>1401.4655</v>
      </c>
      <c r="U25" s="89">
        <f t="shared" si="16"/>
        <v>1715.49</v>
      </c>
      <c r="V25" s="67">
        <f t="shared" si="16"/>
        <v>2049.5145000000002</v>
      </c>
      <c r="W25" s="6">
        <f t="shared" si="17"/>
        <v>0.65872185438673958</v>
      </c>
      <c r="X25" s="66">
        <f t="shared" si="18"/>
        <v>923.17595301903918</v>
      </c>
      <c r="Y25" s="89">
        <f t="shared" si="19"/>
        <v>1130.030753981908</v>
      </c>
      <c r="Z25" s="67">
        <f t="shared" si="20"/>
        <v>1350.0599920325114</v>
      </c>
      <c r="AA25" s="14"/>
      <c r="AD25" s="71"/>
    </row>
    <row r="26" spans="1:30">
      <c r="A26" s="4">
        <f t="shared" si="21"/>
        <v>2032</v>
      </c>
      <c r="B26" s="4">
        <f t="shared" si="10"/>
        <v>13</v>
      </c>
      <c r="C26" s="63">
        <f t="shared" si="11"/>
        <v>45</v>
      </c>
      <c r="D26" s="64">
        <v>50</v>
      </c>
      <c r="E26" s="65">
        <f t="shared" si="12"/>
        <v>75</v>
      </c>
      <c r="F26" s="28">
        <f>G26*(1+$F$11)</f>
        <v>1204</v>
      </c>
      <c r="G26" s="27">
        <f t="shared" si="24"/>
        <v>1505</v>
      </c>
      <c r="H26" s="29">
        <f t="shared" si="7"/>
        <v>1806</v>
      </c>
      <c r="I26" s="30">
        <f t="shared" si="14"/>
        <v>1249</v>
      </c>
      <c r="J26" s="84">
        <f t="shared" si="14"/>
        <v>1555</v>
      </c>
      <c r="K26" s="31">
        <f t="shared" si="14"/>
        <v>1881</v>
      </c>
      <c r="L26" s="68">
        <f t="shared" si="25"/>
        <v>44</v>
      </c>
      <c r="M26" s="68">
        <f t="shared" si="25"/>
        <v>56.489999999999995</v>
      </c>
      <c r="N26" s="68">
        <f t="shared" si="25"/>
        <v>40</v>
      </c>
      <c r="O26" s="68">
        <f t="shared" si="25"/>
        <v>20</v>
      </c>
      <c r="P26" s="68">
        <f t="shared" si="22"/>
        <v>0</v>
      </c>
      <c r="Q26" s="66">
        <f t="shared" si="15"/>
        <v>152.46549999999999</v>
      </c>
      <c r="R26" s="70">
        <f t="shared" si="8"/>
        <v>160.49</v>
      </c>
      <c r="S26" s="67">
        <f t="shared" si="9"/>
        <v>168.51450000000003</v>
      </c>
      <c r="T26" s="66">
        <f t="shared" si="23"/>
        <v>1401.4655</v>
      </c>
      <c r="U26" s="89">
        <f t="shared" si="16"/>
        <v>1715.49</v>
      </c>
      <c r="V26" s="67">
        <f t="shared" si="16"/>
        <v>2049.5145000000002</v>
      </c>
      <c r="W26" s="6">
        <f t="shared" si="17"/>
        <v>0.63620036158657478</v>
      </c>
      <c r="X26" s="66">
        <f t="shared" si="18"/>
        <v>891.61285785110988</v>
      </c>
      <c r="Y26" s="89">
        <f t="shared" si="19"/>
        <v>1091.3953582981533</v>
      </c>
      <c r="Z26" s="67">
        <f t="shared" si="20"/>
        <v>1303.9018659769281</v>
      </c>
      <c r="AA26" s="14"/>
      <c r="AD26" s="71"/>
    </row>
    <row r="27" spans="1:30">
      <c r="A27" s="4">
        <f t="shared" si="21"/>
        <v>2033</v>
      </c>
      <c r="B27" s="4">
        <f t="shared" si="10"/>
        <v>14</v>
      </c>
      <c r="C27" s="63">
        <f t="shared" si="11"/>
        <v>45</v>
      </c>
      <c r="D27" s="64">
        <v>50</v>
      </c>
      <c r="E27" s="65">
        <f t="shared" si="12"/>
        <v>75</v>
      </c>
      <c r="F27" s="28">
        <f t="shared" si="13"/>
        <v>1204</v>
      </c>
      <c r="G27" s="27">
        <f t="shared" si="24"/>
        <v>1505</v>
      </c>
      <c r="H27" s="29">
        <f t="shared" si="7"/>
        <v>1806</v>
      </c>
      <c r="I27" s="30">
        <f t="shared" si="14"/>
        <v>1249</v>
      </c>
      <c r="J27" s="84">
        <f t="shared" si="14"/>
        <v>1555</v>
      </c>
      <c r="K27" s="31">
        <f t="shared" si="14"/>
        <v>1881</v>
      </c>
      <c r="L27" s="68">
        <f t="shared" si="25"/>
        <v>44</v>
      </c>
      <c r="M27" s="68">
        <f t="shared" si="25"/>
        <v>56.489999999999995</v>
      </c>
      <c r="N27" s="68">
        <f t="shared" si="25"/>
        <v>40</v>
      </c>
      <c r="O27" s="68">
        <f t="shared" si="25"/>
        <v>20</v>
      </c>
      <c r="P27" s="68">
        <f t="shared" si="22"/>
        <v>0</v>
      </c>
      <c r="Q27" s="66">
        <f t="shared" si="15"/>
        <v>152.46549999999999</v>
      </c>
      <c r="R27" s="70">
        <f t="shared" si="8"/>
        <v>160.49</v>
      </c>
      <c r="S27" s="67">
        <f t="shared" si="9"/>
        <v>168.51450000000003</v>
      </c>
      <c r="T27" s="66">
        <f t="shared" si="23"/>
        <v>1401.4655</v>
      </c>
      <c r="U27" s="89">
        <f t="shared" si="16"/>
        <v>1715.49</v>
      </c>
      <c r="V27" s="67">
        <f t="shared" si="16"/>
        <v>2049.5145000000002</v>
      </c>
      <c r="W27" s="6">
        <f t="shared" si="17"/>
        <v>0.61444887153426186</v>
      </c>
      <c r="X27" s="66">
        <f t="shared" si="18"/>
        <v>861.12889496920013</v>
      </c>
      <c r="Y27" s="89">
        <f t="shared" si="19"/>
        <v>1054.0808946283109</v>
      </c>
      <c r="Z27" s="67">
        <f t="shared" si="20"/>
        <v>1259.3218717181071</v>
      </c>
      <c r="AA27" s="14"/>
      <c r="AD27" s="71"/>
    </row>
    <row r="28" spans="1:30">
      <c r="A28" s="4">
        <f t="shared" si="21"/>
        <v>2034</v>
      </c>
      <c r="B28" s="4">
        <f t="shared" si="10"/>
        <v>15</v>
      </c>
      <c r="C28" s="63">
        <f t="shared" si="11"/>
        <v>45</v>
      </c>
      <c r="D28" s="64">
        <v>50</v>
      </c>
      <c r="E28" s="65">
        <f t="shared" si="12"/>
        <v>75</v>
      </c>
      <c r="F28" s="28">
        <f t="shared" si="13"/>
        <v>1204</v>
      </c>
      <c r="G28" s="27">
        <f t="shared" si="24"/>
        <v>1505</v>
      </c>
      <c r="H28" s="29">
        <f t="shared" si="7"/>
        <v>1806</v>
      </c>
      <c r="I28" s="30">
        <f t="shared" si="14"/>
        <v>1249</v>
      </c>
      <c r="J28" s="84">
        <f t="shared" si="14"/>
        <v>1555</v>
      </c>
      <c r="K28" s="31">
        <f t="shared" si="14"/>
        <v>1881</v>
      </c>
      <c r="L28" s="68">
        <f t="shared" si="25"/>
        <v>44</v>
      </c>
      <c r="M28" s="68">
        <f t="shared" si="25"/>
        <v>56.489999999999995</v>
      </c>
      <c r="N28" s="68">
        <f t="shared" si="25"/>
        <v>40</v>
      </c>
      <c r="O28" s="68">
        <f t="shared" si="25"/>
        <v>20</v>
      </c>
      <c r="P28" s="68">
        <f t="shared" si="22"/>
        <v>0</v>
      </c>
      <c r="Q28" s="66">
        <f t="shared" si="15"/>
        <v>152.46549999999999</v>
      </c>
      <c r="R28" s="70">
        <f t="shared" si="8"/>
        <v>160.49</v>
      </c>
      <c r="S28" s="67">
        <f t="shared" si="9"/>
        <v>168.51450000000003</v>
      </c>
      <c r="T28" s="66">
        <f t="shared" si="23"/>
        <v>1401.4655</v>
      </c>
      <c r="U28" s="89">
        <f t="shared" si="16"/>
        <v>1715.49</v>
      </c>
      <c r="V28" s="67">
        <f t="shared" si="16"/>
        <v>2049.5145000000002</v>
      </c>
      <c r="W28" s="6">
        <f t="shared" si="17"/>
        <v>0.5934410580782904</v>
      </c>
      <c r="X28" s="66">
        <f t="shared" si="18"/>
        <v>831.68716918022028</v>
      </c>
      <c r="Y28" s="89">
        <f t="shared" si="19"/>
        <v>1018.0422007227264</v>
      </c>
      <c r="Z28" s="67">
        <f t="shared" si="20"/>
        <v>1216.2660534267984</v>
      </c>
      <c r="AA28" s="14"/>
    </row>
    <row r="29" spans="1:30">
      <c r="A29" s="4">
        <f t="shared" si="21"/>
        <v>2035</v>
      </c>
      <c r="B29" s="4">
        <f t="shared" si="10"/>
        <v>16</v>
      </c>
      <c r="C29" s="63">
        <f t="shared" si="11"/>
        <v>22.5</v>
      </c>
      <c r="D29" s="64">
        <v>25</v>
      </c>
      <c r="E29" s="65">
        <f t="shared" si="12"/>
        <v>37.5</v>
      </c>
      <c r="F29" s="28">
        <f t="shared" si="13"/>
        <v>1204</v>
      </c>
      <c r="G29" s="27">
        <f t="shared" si="24"/>
        <v>1505</v>
      </c>
      <c r="H29" s="29">
        <f t="shared" si="7"/>
        <v>1806</v>
      </c>
      <c r="I29" s="30">
        <f t="shared" si="14"/>
        <v>1226.5</v>
      </c>
      <c r="J29" s="84">
        <f t="shared" si="14"/>
        <v>1530</v>
      </c>
      <c r="K29" s="31">
        <f t="shared" si="14"/>
        <v>1843.5</v>
      </c>
      <c r="L29" s="68">
        <f t="shared" si="25"/>
        <v>44</v>
      </c>
      <c r="M29" s="68">
        <f t="shared" si="25"/>
        <v>56.489999999999995</v>
      </c>
      <c r="N29" s="68">
        <f t="shared" si="25"/>
        <v>40</v>
      </c>
      <c r="O29" s="68">
        <f t="shared" si="25"/>
        <v>20</v>
      </c>
      <c r="P29" s="68">
        <f t="shared" si="22"/>
        <v>0</v>
      </c>
      <c r="Q29" s="66">
        <f t="shared" si="15"/>
        <v>152.46549999999999</v>
      </c>
      <c r="R29" s="70">
        <f t="shared" si="8"/>
        <v>160.49</v>
      </c>
      <c r="S29" s="67">
        <f t="shared" si="9"/>
        <v>168.51450000000003</v>
      </c>
      <c r="T29" s="66">
        <f t="shared" si="23"/>
        <v>1378.9655</v>
      </c>
      <c r="U29" s="89">
        <f t="shared" si="16"/>
        <v>1690.49</v>
      </c>
      <c r="V29" s="67">
        <f t="shared" si="16"/>
        <v>2012.0145</v>
      </c>
      <c r="W29" s="6">
        <f t="shared" si="17"/>
        <v>0.57315149514998098</v>
      </c>
      <c r="X29" s="66">
        <f t="shared" si="18"/>
        <v>790.35613808524113</v>
      </c>
      <c r="Y29" s="89">
        <f t="shared" si="19"/>
        <v>968.90687103609139</v>
      </c>
      <c r="Z29" s="67">
        <f t="shared" si="20"/>
        <v>1153.1891189384414</v>
      </c>
      <c r="AA29" s="14"/>
    </row>
    <row r="30" spans="1:30">
      <c r="A30" s="4">
        <f t="shared" si="21"/>
        <v>2036</v>
      </c>
      <c r="B30" s="4">
        <f t="shared" si="10"/>
        <v>17</v>
      </c>
      <c r="C30" s="63">
        <f t="shared" si="11"/>
        <v>22.5</v>
      </c>
      <c r="D30" s="64">
        <v>25</v>
      </c>
      <c r="E30" s="65">
        <f t="shared" si="12"/>
        <v>37.5</v>
      </c>
      <c r="F30" s="28">
        <f t="shared" si="13"/>
        <v>1204</v>
      </c>
      <c r="G30" s="27">
        <f t="shared" si="24"/>
        <v>1505</v>
      </c>
      <c r="H30" s="29">
        <f t="shared" si="7"/>
        <v>1806</v>
      </c>
      <c r="I30" s="30">
        <f t="shared" si="14"/>
        <v>1226.5</v>
      </c>
      <c r="J30" s="84">
        <f t="shared" si="14"/>
        <v>1530</v>
      </c>
      <c r="K30" s="31">
        <f t="shared" si="14"/>
        <v>1843.5</v>
      </c>
      <c r="L30" s="68">
        <f t="shared" si="25"/>
        <v>44</v>
      </c>
      <c r="M30" s="68">
        <f t="shared" si="25"/>
        <v>56.489999999999995</v>
      </c>
      <c r="N30" s="68">
        <f t="shared" si="25"/>
        <v>40</v>
      </c>
      <c r="O30" s="68">
        <f t="shared" si="25"/>
        <v>20</v>
      </c>
      <c r="P30" s="68">
        <f t="shared" si="22"/>
        <v>0</v>
      </c>
      <c r="Q30" s="66">
        <f t="shared" si="15"/>
        <v>152.46549999999999</v>
      </c>
      <c r="R30" s="70">
        <f t="shared" si="8"/>
        <v>160.49</v>
      </c>
      <c r="S30" s="67">
        <f t="shared" si="9"/>
        <v>168.51450000000003</v>
      </c>
      <c r="T30" s="66">
        <f t="shared" si="23"/>
        <v>1378.9655</v>
      </c>
      <c r="U30" s="89">
        <f t="shared" si="16"/>
        <v>1690.49</v>
      </c>
      <c r="V30" s="67">
        <f t="shared" si="16"/>
        <v>2012.0145</v>
      </c>
      <c r="W30" s="6">
        <f t="shared" si="17"/>
        <v>0.55355562598993713</v>
      </c>
      <c r="X30" s="66">
        <f t="shared" si="18"/>
        <v>763.33411057102671</v>
      </c>
      <c r="Y30" s="89">
        <f t="shared" si="19"/>
        <v>935.7802501797288</v>
      </c>
      <c r="Z30" s="67">
        <f t="shared" si="20"/>
        <v>1113.7619460483304</v>
      </c>
      <c r="AA30" s="14"/>
    </row>
    <row r="31" spans="1:30">
      <c r="A31" s="4">
        <f t="shared" si="21"/>
        <v>2037</v>
      </c>
      <c r="B31" s="4">
        <f t="shared" si="10"/>
        <v>18</v>
      </c>
      <c r="C31" s="63">
        <f t="shared" si="11"/>
        <v>22.5</v>
      </c>
      <c r="D31" s="64">
        <v>25</v>
      </c>
      <c r="E31" s="65">
        <f t="shared" si="12"/>
        <v>37.5</v>
      </c>
      <c r="F31" s="28">
        <f t="shared" si="13"/>
        <v>1204</v>
      </c>
      <c r="G31" s="27">
        <f t="shared" si="24"/>
        <v>1505</v>
      </c>
      <c r="H31" s="29">
        <f t="shared" si="7"/>
        <v>1806</v>
      </c>
      <c r="I31" s="30">
        <f t="shared" si="14"/>
        <v>1226.5</v>
      </c>
      <c r="J31" s="84">
        <f t="shared" si="14"/>
        <v>1530</v>
      </c>
      <c r="K31" s="31">
        <f t="shared" si="14"/>
        <v>1843.5</v>
      </c>
      <c r="L31" s="68">
        <f t="shared" si="25"/>
        <v>44</v>
      </c>
      <c r="M31" s="68">
        <f t="shared" si="25"/>
        <v>56.489999999999995</v>
      </c>
      <c r="N31" s="68">
        <f t="shared" si="25"/>
        <v>40</v>
      </c>
      <c r="O31" s="68">
        <f t="shared" si="25"/>
        <v>20</v>
      </c>
      <c r="P31" s="68">
        <f t="shared" si="22"/>
        <v>0</v>
      </c>
      <c r="Q31" s="66">
        <f t="shared" si="15"/>
        <v>152.46549999999999</v>
      </c>
      <c r="R31" s="70">
        <f t="shared" si="8"/>
        <v>160.49</v>
      </c>
      <c r="S31" s="67">
        <f t="shared" si="9"/>
        <v>168.51450000000003</v>
      </c>
      <c r="T31" s="66">
        <f t="shared" si="23"/>
        <v>1378.9655</v>
      </c>
      <c r="U31" s="89">
        <f t="shared" si="16"/>
        <v>1690.49</v>
      </c>
      <c r="V31" s="67">
        <f t="shared" si="16"/>
        <v>2012.0145</v>
      </c>
      <c r="W31" s="6">
        <f t="shared" si="17"/>
        <v>0.53462973342663422</v>
      </c>
      <c r="X31" s="66">
        <f t="shared" si="18"/>
        <v>737.23595766952542</v>
      </c>
      <c r="Y31" s="89">
        <f t="shared" si="19"/>
        <v>903.78621806039087</v>
      </c>
      <c r="Z31" s="67">
        <f t="shared" si="20"/>
        <v>1075.6827757855228</v>
      </c>
      <c r="AA31" s="14"/>
    </row>
    <row r="32" spans="1:30">
      <c r="A32" s="4">
        <f t="shared" si="21"/>
        <v>2038</v>
      </c>
      <c r="B32" s="4">
        <f t="shared" si="10"/>
        <v>19</v>
      </c>
      <c r="C32" s="63">
        <f t="shared" si="11"/>
        <v>22.5</v>
      </c>
      <c r="D32" s="64">
        <v>25</v>
      </c>
      <c r="E32" s="65">
        <f t="shared" si="12"/>
        <v>37.5</v>
      </c>
      <c r="F32" s="28">
        <f t="shared" si="13"/>
        <v>1204</v>
      </c>
      <c r="G32" s="27">
        <f t="shared" si="24"/>
        <v>1505</v>
      </c>
      <c r="H32" s="29">
        <f t="shared" si="7"/>
        <v>1806</v>
      </c>
      <c r="I32" s="30">
        <f t="shared" si="14"/>
        <v>1226.5</v>
      </c>
      <c r="J32" s="84">
        <f t="shared" si="14"/>
        <v>1530</v>
      </c>
      <c r="K32" s="31">
        <f t="shared" si="14"/>
        <v>1843.5</v>
      </c>
      <c r="L32" s="68">
        <f t="shared" ref="L32:O47" si="26">L31</f>
        <v>44</v>
      </c>
      <c r="M32" s="68">
        <f t="shared" si="26"/>
        <v>56.489999999999995</v>
      </c>
      <c r="N32" s="68">
        <f t="shared" si="26"/>
        <v>40</v>
      </c>
      <c r="O32" s="68">
        <f t="shared" si="26"/>
        <v>20</v>
      </c>
      <c r="P32" s="68">
        <f t="shared" si="22"/>
        <v>0</v>
      </c>
      <c r="Q32" s="66">
        <f t="shared" si="15"/>
        <v>152.46549999999999</v>
      </c>
      <c r="R32" s="70">
        <f t="shared" si="8"/>
        <v>160.49</v>
      </c>
      <c r="S32" s="67">
        <f t="shared" si="9"/>
        <v>168.51450000000003</v>
      </c>
      <c r="T32" s="66">
        <f t="shared" si="23"/>
        <v>1378.9655</v>
      </c>
      <c r="U32" s="89">
        <f t="shared" si="16"/>
        <v>1690.49</v>
      </c>
      <c r="V32" s="67">
        <f t="shared" si="16"/>
        <v>2012.0145</v>
      </c>
      <c r="W32" s="6">
        <f t="shared" si="17"/>
        <v>0.51635091117117471</v>
      </c>
      <c r="X32" s="66">
        <f t="shared" si="18"/>
        <v>712.03009239861456</v>
      </c>
      <c r="Y32" s="89">
        <f t="shared" si="19"/>
        <v>872.88605182575918</v>
      </c>
      <c r="Z32" s="67">
        <f t="shared" si="20"/>
        <v>1038.9055203646155</v>
      </c>
      <c r="AA32" s="14"/>
    </row>
    <row r="33" spans="1:27">
      <c r="A33" s="4">
        <f t="shared" si="21"/>
        <v>2039</v>
      </c>
      <c r="B33" s="4">
        <f t="shared" si="10"/>
        <v>20</v>
      </c>
      <c r="C33" s="63">
        <f t="shared" si="11"/>
        <v>22.5</v>
      </c>
      <c r="D33" s="64">
        <v>25</v>
      </c>
      <c r="E33" s="65">
        <f t="shared" si="12"/>
        <v>37.5</v>
      </c>
      <c r="F33" s="28">
        <f t="shared" si="13"/>
        <v>1204</v>
      </c>
      <c r="G33" s="27">
        <f t="shared" si="24"/>
        <v>1505</v>
      </c>
      <c r="H33" s="29">
        <f t="shared" si="7"/>
        <v>1806</v>
      </c>
      <c r="I33" s="30">
        <f t="shared" si="14"/>
        <v>1226.5</v>
      </c>
      <c r="J33" s="84">
        <f t="shared" si="14"/>
        <v>1530</v>
      </c>
      <c r="K33" s="31">
        <f t="shared" si="14"/>
        <v>1843.5</v>
      </c>
      <c r="L33" s="68">
        <f t="shared" si="26"/>
        <v>44</v>
      </c>
      <c r="M33" s="68">
        <f t="shared" si="26"/>
        <v>56.489999999999995</v>
      </c>
      <c r="N33" s="68">
        <f t="shared" si="26"/>
        <v>40</v>
      </c>
      <c r="O33" s="68">
        <f t="shared" si="26"/>
        <v>20</v>
      </c>
      <c r="P33" s="68">
        <f t="shared" si="22"/>
        <v>0</v>
      </c>
      <c r="Q33" s="66">
        <f t="shared" si="15"/>
        <v>152.46549999999999</v>
      </c>
      <c r="R33" s="70">
        <f t="shared" si="8"/>
        <v>160.49</v>
      </c>
      <c r="S33" s="67">
        <f t="shared" si="9"/>
        <v>168.51450000000003</v>
      </c>
      <c r="T33" s="66">
        <f t="shared" si="23"/>
        <v>1378.9655</v>
      </c>
      <c r="U33" s="89">
        <f t="shared" si="16"/>
        <v>1690.49</v>
      </c>
      <c r="V33" s="67">
        <f t="shared" si="16"/>
        <v>2012.0145</v>
      </c>
      <c r="W33" s="6">
        <f t="shared" si="17"/>
        <v>0.49869703609346588</v>
      </c>
      <c r="X33" s="66">
        <f t="shared" si="18"/>
        <v>687.68600772514424</v>
      </c>
      <c r="Y33" s="89">
        <f t="shared" si="19"/>
        <v>843.0423525456431</v>
      </c>
      <c r="Z33" s="67">
        <f t="shared" si="20"/>
        <v>1003.3856677270767</v>
      </c>
      <c r="AA33" s="14"/>
    </row>
    <row r="34" spans="1:27">
      <c r="A34" s="4">
        <f t="shared" si="21"/>
        <v>2040</v>
      </c>
      <c r="B34" s="4">
        <f t="shared" si="10"/>
        <v>21</v>
      </c>
      <c r="C34" s="63">
        <f t="shared" si="11"/>
        <v>45</v>
      </c>
      <c r="D34" s="64">
        <v>50</v>
      </c>
      <c r="E34" s="65">
        <f t="shared" si="12"/>
        <v>75</v>
      </c>
      <c r="F34" s="28">
        <f t="shared" si="13"/>
        <v>1204</v>
      </c>
      <c r="G34" s="27">
        <f t="shared" si="24"/>
        <v>1505</v>
      </c>
      <c r="H34" s="29">
        <f t="shared" si="7"/>
        <v>1806</v>
      </c>
      <c r="I34" s="30">
        <f t="shared" si="14"/>
        <v>1249</v>
      </c>
      <c r="J34" s="84">
        <f t="shared" si="14"/>
        <v>1555</v>
      </c>
      <c r="K34" s="31">
        <f t="shared" si="14"/>
        <v>1881</v>
      </c>
      <c r="L34" s="68">
        <f t="shared" si="26"/>
        <v>44</v>
      </c>
      <c r="M34" s="68">
        <f t="shared" si="26"/>
        <v>56.489999999999995</v>
      </c>
      <c r="N34" s="68">
        <f t="shared" si="26"/>
        <v>40</v>
      </c>
      <c r="O34" s="68">
        <f t="shared" si="26"/>
        <v>20</v>
      </c>
      <c r="P34" s="68">
        <f t="shared" si="22"/>
        <v>0</v>
      </c>
      <c r="Q34" s="66">
        <f t="shared" si="15"/>
        <v>152.46549999999999</v>
      </c>
      <c r="R34" s="70">
        <f t="shared" si="8"/>
        <v>160.49</v>
      </c>
      <c r="S34" s="67">
        <f t="shared" si="9"/>
        <v>168.51450000000003</v>
      </c>
      <c r="T34" s="66">
        <f t="shared" si="23"/>
        <v>1401.4655</v>
      </c>
      <c r="U34" s="89">
        <f t="shared" si="16"/>
        <v>1715.49</v>
      </c>
      <c r="V34" s="67">
        <f t="shared" si="16"/>
        <v>2049.5145000000002</v>
      </c>
      <c r="W34" s="6">
        <f t="shared" si="17"/>
        <v>0.48164674144626801</v>
      </c>
      <c r="X34" s="66">
        <f t="shared" si="18"/>
        <v>675.01129132436472</v>
      </c>
      <c r="Y34" s="89">
        <f t="shared" si="19"/>
        <v>826.26016848365828</v>
      </c>
      <c r="Z34" s="67">
        <f t="shared" si="20"/>
        <v>987.14198047187733</v>
      </c>
      <c r="AA34" s="14"/>
    </row>
    <row r="35" spans="1:27">
      <c r="A35" s="4">
        <f t="shared" si="21"/>
        <v>2041</v>
      </c>
      <c r="B35" s="4">
        <f t="shared" si="10"/>
        <v>22</v>
      </c>
      <c r="C35" s="63">
        <f t="shared" si="11"/>
        <v>45</v>
      </c>
      <c r="D35" s="64">
        <v>50</v>
      </c>
      <c r="E35" s="65">
        <f t="shared" si="12"/>
        <v>75</v>
      </c>
      <c r="F35" s="28">
        <f t="shared" si="13"/>
        <v>1204</v>
      </c>
      <c r="G35" s="27">
        <f t="shared" si="24"/>
        <v>1505</v>
      </c>
      <c r="H35" s="29">
        <f t="shared" si="7"/>
        <v>1806</v>
      </c>
      <c r="I35" s="30">
        <f t="shared" si="14"/>
        <v>1249</v>
      </c>
      <c r="J35" s="84">
        <f>G35+D35</f>
        <v>1555</v>
      </c>
      <c r="K35" s="31">
        <f t="shared" si="14"/>
        <v>1881</v>
      </c>
      <c r="L35" s="68">
        <f t="shared" si="26"/>
        <v>44</v>
      </c>
      <c r="M35" s="68">
        <f t="shared" si="26"/>
        <v>56.489999999999995</v>
      </c>
      <c r="N35" s="68">
        <f t="shared" si="26"/>
        <v>40</v>
      </c>
      <c r="O35" s="68">
        <f t="shared" si="26"/>
        <v>20</v>
      </c>
      <c r="P35" s="68">
        <f t="shared" si="22"/>
        <v>0</v>
      </c>
      <c r="Q35" s="66">
        <f t="shared" si="15"/>
        <v>152.46549999999999</v>
      </c>
      <c r="R35" s="70">
        <f t="shared" si="8"/>
        <v>160.49</v>
      </c>
      <c r="S35" s="67">
        <f t="shared" si="9"/>
        <v>168.51450000000003</v>
      </c>
      <c r="T35" s="66">
        <f t="shared" si="23"/>
        <v>1401.4655</v>
      </c>
      <c r="U35" s="89">
        <f t="shared" si="16"/>
        <v>1715.49</v>
      </c>
      <c r="V35" s="67">
        <f t="shared" si="16"/>
        <v>2049.5145000000002</v>
      </c>
      <c r="W35" s="6">
        <f t="shared" si="17"/>
        <v>0.46517939100470151</v>
      </c>
      <c r="X35" s="66">
        <f t="shared" si="18"/>
        <v>651.93286780409949</v>
      </c>
      <c r="Y35" s="89">
        <f t="shared" si="19"/>
        <v>798.01059347465537</v>
      </c>
      <c r="Z35" s="67">
        <f t="shared" si="20"/>
        <v>953.39190696530545</v>
      </c>
      <c r="AA35" s="90"/>
    </row>
    <row r="36" spans="1:27">
      <c r="A36" s="4">
        <f t="shared" si="21"/>
        <v>2042</v>
      </c>
      <c r="B36" s="4">
        <f t="shared" si="10"/>
        <v>23</v>
      </c>
      <c r="C36" s="63">
        <f t="shared" si="11"/>
        <v>45</v>
      </c>
      <c r="D36" s="64">
        <v>50</v>
      </c>
      <c r="E36" s="65">
        <f t="shared" si="12"/>
        <v>75</v>
      </c>
      <c r="F36" s="28">
        <f t="shared" si="13"/>
        <v>1204</v>
      </c>
      <c r="G36" s="27">
        <f t="shared" si="24"/>
        <v>1505</v>
      </c>
      <c r="H36" s="29">
        <f t="shared" si="7"/>
        <v>1806</v>
      </c>
      <c r="I36" s="30">
        <f t="shared" si="14"/>
        <v>1249</v>
      </c>
      <c r="J36" s="84">
        <f t="shared" si="14"/>
        <v>1555</v>
      </c>
      <c r="K36" s="31">
        <f t="shared" si="14"/>
        <v>1881</v>
      </c>
      <c r="L36" s="68">
        <f t="shared" si="26"/>
        <v>44</v>
      </c>
      <c r="M36" s="68">
        <f t="shared" si="26"/>
        <v>56.489999999999995</v>
      </c>
      <c r="N36" s="68">
        <f t="shared" si="26"/>
        <v>40</v>
      </c>
      <c r="O36" s="68">
        <f t="shared" si="26"/>
        <v>20</v>
      </c>
      <c r="P36" s="68">
        <f t="shared" si="22"/>
        <v>0</v>
      </c>
      <c r="Q36" s="66">
        <f t="shared" si="15"/>
        <v>152.46549999999999</v>
      </c>
      <c r="R36" s="70">
        <f t="shared" si="8"/>
        <v>160.49</v>
      </c>
      <c r="S36" s="67">
        <f t="shared" si="9"/>
        <v>168.51450000000003</v>
      </c>
      <c r="T36" s="66">
        <f t="shared" si="23"/>
        <v>1401.4655</v>
      </c>
      <c r="U36" s="89">
        <f t="shared" si="16"/>
        <v>1715.49</v>
      </c>
      <c r="V36" s="67">
        <f t="shared" si="16"/>
        <v>2049.5145000000002</v>
      </c>
      <c r="W36" s="6">
        <f t="shared" si="17"/>
        <v>0.44927505408991841</v>
      </c>
      <c r="X36" s="66">
        <f t="shared" si="18"/>
        <v>629.6434883176546</v>
      </c>
      <c r="Y36" s="89">
        <f t="shared" si="19"/>
        <v>770.72686254071414</v>
      </c>
      <c r="Z36" s="67">
        <f t="shared" si="20"/>
        <v>920.79573784557215</v>
      </c>
      <c r="AA36" s="14"/>
    </row>
    <row r="37" spans="1:27">
      <c r="A37" s="4">
        <f t="shared" si="21"/>
        <v>2043</v>
      </c>
      <c r="B37" s="4">
        <f t="shared" si="10"/>
        <v>24</v>
      </c>
      <c r="C37" s="63">
        <f t="shared" si="11"/>
        <v>45</v>
      </c>
      <c r="D37" s="64">
        <v>50</v>
      </c>
      <c r="E37" s="65">
        <f t="shared" si="12"/>
        <v>75</v>
      </c>
      <c r="F37" s="28">
        <f t="shared" si="13"/>
        <v>1204</v>
      </c>
      <c r="G37" s="27">
        <f t="shared" si="24"/>
        <v>1505</v>
      </c>
      <c r="H37" s="29">
        <f t="shared" si="7"/>
        <v>1806</v>
      </c>
      <c r="I37" s="30">
        <f t="shared" si="14"/>
        <v>1249</v>
      </c>
      <c r="J37" s="84">
        <f t="shared" si="14"/>
        <v>1555</v>
      </c>
      <c r="K37" s="31">
        <f t="shared" si="14"/>
        <v>1881</v>
      </c>
      <c r="L37" s="68">
        <f t="shared" si="26"/>
        <v>44</v>
      </c>
      <c r="M37" s="68">
        <f t="shared" si="26"/>
        <v>56.489999999999995</v>
      </c>
      <c r="N37" s="68">
        <f t="shared" si="26"/>
        <v>40</v>
      </c>
      <c r="O37" s="68">
        <f t="shared" si="26"/>
        <v>20</v>
      </c>
      <c r="P37" s="68">
        <f t="shared" si="22"/>
        <v>0</v>
      </c>
      <c r="Q37" s="66">
        <f t="shared" si="15"/>
        <v>152.46549999999999</v>
      </c>
      <c r="R37" s="70">
        <f t="shared" si="8"/>
        <v>160.49</v>
      </c>
      <c r="S37" s="67">
        <f t="shared" si="9"/>
        <v>168.51450000000003</v>
      </c>
      <c r="T37" s="66">
        <f t="shared" si="23"/>
        <v>1401.4655</v>
      </c>
      <c r="U37" s="89">
        <f t="shared" si="16"/>
        <v>1715.49</v>
      </c>
      <c r="V37" s="67">
        <f t="shared" si="16"/>
        <v>2049.5145000000002</v>
      </c>
      <c r="W37" s="6">
        <f t="shared" si="17"/>
        <v>0.43391448144670497</v>
      </c>
      <c r="X37" s="66">
        <f t="shared" si="18"/>
        <v>608.11617569794714</v>
      </c>
      <c r="Y37" s="89">
        <f t="shared" si="19"/>
        <v>744.37595377700791</v>
      </c>
      <c r="Z37" s="67">
        <f t="shared" si="20"/>
        <v>889.31402148500285</v>
      </c>
      <c r="AA37" s="14"/>
    </row>
    <row r="38" spans="1:27">
      <c r="A38" s="4">
        <f t="shared" si="21"/>
        <v>2044</v>
      </c>
      <c r="B38" s="4">
        <f t="shared" si="10"/>
        <v>25</v>
      </c>
      <c r="C38" s="63">
        <f t="shared" si="11"/>
        <v>45</v>
      </c>
      <c r="D38" s="64">
        <v>50</v>
      </c>
      <c r="E38" s="65">
        <f t="shared" si="12"/>
        <v>75</v>
      </c>
      <c r="F38" s="28">
        <f t="shared" si="13"/>
        <v>1204</v>
      </c>
      <c r="G38" s="27">
        <f t="shared" si="24"/>
        <v>1505</v>
      </c>
      <c r="H38" s="29">
        <f t="shared" si="7"/>
        <v>1806</v>
      </c>
      <c r="I38" s="30">
        <f t="shared" si="14"/>
        <v>1249</v>
      </c>
      <c r="J38" s="84">
        <f t="shared" si="14"/>
        <v>1555</v>
      </c>
      <c r="K38" s="31">
        <f t="shared" si="14"/>
        <v>1881</v>
      </c>
      <c r="L38" s="68">
        <f t="shared" si="26"/>
        <v>44</v>
      </c>
      <c r="M38" s="68">
        <f t="shared" si="26"/>
        <v>56.489999999999995</v>
      </c>
      <c r="N38" s="68">
        <f t="shared" si="26"/>
        <v>40</v>
      </c>
      <c r="O38" s="68">
        <f t="shared" si="26"/>
        <v>20</v>
      </c>
      <c r="P38" s="68">
        <f t="shared" si="22"/>
        <v>0</v>
      </c>
      <c r="Q38" s="66">
        <f t="shared" si="15"/>
        <v>152.46549999999999</v>
      </c>
      <c r="R38" s="70">
        <f t="shared" si="8"/>
        <v>160.49</v>
      </c>
      <c r="S38" s="67">
        <f t="shared" si="9"/>
        <v>168.51450000000003</v>
      </c>
      <c r="T38" s="66">
        <f t="shared" si="23"/>
        <v>1401.4655</v>
      </c>
      <c r="U38" s="89">
        <f t="shared" si="16"/>
        <v>1715.49</v>
      </c>
      <c r="V38" s="67">
        <f t="shared" si="16"/>
        <v>2049.5145000000002</v>
      </c>
      <c r="W38" s="7">
        <f t="shared" si="17"/>
        <v>0.41907908194582277</v>
      </c>
      <c r="X38" s="66">
        <f t="shared" si="18"/>
        <v>587.32487511874353</v>
      </c>
      <c r="Y38" s="89">
        <f t="shared" si="19"/>
        <v>718.92597428723957</v>
      </c>
      <c r="Z38" s="67">
        <f t="shared" si="20"/>
        <v>858.90865509465209</v>
      </c>
      <c r="AA38" s="14"/>
    </row>
    <row r="39" spans="1:27">
      <c r="A39" s="4">
        <f t="shared" si="21"/>
        <v>2045</v>
      </c>
      <c r="B39" s="4">
        <f t="shared" si="10"/>
        <v>26</v>
      </c>
      <c r="C39" s="63">
        <f t="shared" si="11"/>
        <v>22.5</v>
      </c>
      <c r="D39" s="64">
        <v>25</v>
      </c>
      <c r="E39" s="65">
        <f t="shared" si="12"/>
        <v>37.5</v>
      </c>
      <c r="F39" s="28">
        <f t="shared" si="13"/>
        <v>1204</v>
      </c>
      <c r="G39" s="27">
        <f t="shared" si="24"/>
        <v>1505</v>
      </c>
      <c r="H39" s="29">
        <f t="shared" si="7"/>
        <v>1806</v>
      </c>
      <c r="I39" s="30">
        <f t="shared" si="14"/>
        <v>1226.5</v>
      </c>
      <c r="J39" s="84">
        <f t="shared" si="14"/>
        <v>1530</v>
      </c>
      <c r="K39" s="31">
        <f t="shared" si="14"/>
        <v>1843.5</v>
      </c>
      <c r="L39" s="68">
        <f t="shared" si="26"/>
        <v>44</v>
      </c>
      <c r="M39" s="68">
        <f t="shared" si="26"/>
        <v>56.489999999999995</v>
      </c>
      <c r="N39" s="68">
        <f t="shared" si="26"/>
        <v>40</v>
      </c>
      <c r="O39" s="68">
        <f t="shared" si="26"/>
        <v>20</v>
      </c>
      <c r="P39" s="68">
        <f t="shared" si="22"/>
        <v>0</v>
      </c>
      <c r="Q39" s="66">
        <f t="shared" si="15"/>
        <v>152.46549999999999</v>
      </c>
      <c r="R39" s="70">
        <f t="shared" si="8"/>
        <v>160.49</v>
      </c>
      <c r="S39" s="67">
        <f t="shared" si="9"/>
        <v>168.51450000000003</v>
      </c>
      <c r="T39" s="66">
        <f t="shared" si="23"/>
        <v>1378.9655</v>
      </c>
      <c r="U39" s="89">
        <f t="shared" si="16"/>
        <v>1690.49</v>
      </c>
      <c r="V39" s="67">
        <f t="shared" si="16"/>
        <v>2012.0145</v>
      </c>
      <c r="W39" s="7">
        <f t="shared" si="17"/>
        <v>0.40475090008288855</v>
      </c>
      <c r="X39" s="66">
        <f t="shared" si="18"/>
        <v>558.13752730825047</v>
      </c>
      <c r="Y39" s="89">
        <f t="shared" si="19"/>
        <v>684.22734908112227</v>
      </c>
      <c r="Z39" s="67">
        <f t="shared" si="20"/>
        <v>814.36467985482295</v>
      </c>
      <c r="AA39" s="14"/>
    </row>
    <row r="40" spans="1:27">
      <c r="A40" s="4">
        <f t="shared" si="21"/>
        <v>2046</v>
      </c>
      <c r="B40" s="4">
        <f t="shared" si="10"/>
        <v>27</v>
      </c>
      <c r="C40" s="63">
        <f t="shared" si="11"/>
        <v>22.5</v>
      </c>
      <c r="D40" s="64">
        <v>25</v>
      </c>
      <c r="E40" s="65">
        <f t="shared" si="12"/>
        <v>37.5</v>
      </c>
      <c r="F40" s="28">
        <f t="shared" si="13"/>
        <v>1204</v>
      </c>
      <c r="G40" s="27">
        <f t="shared" si="24"/>
        <v>1505</v>
      </c>
      <c r="H40" s="29">
        <f t="shared" si="7"/>
        <v>1806</v>
      </c>
      <c r="I40" s="30">
        <f t="shared" si="14"/>
        <v>1226.5</v>
      </c>
      <c r="J40" s="84">
        <f t="shared" si="14"/>
        <v>1530</v>
      </c>
      <c r="K40" s="31">
        <f t="shared" si="14"/>
        <v>1843.5</v>
      </c>
      <c r="L40" s="68">
        <f t="shared" si="26"/>
        <v>44</v>
      </c>
      <c r="M40" s="68">
        <f t="shared" si="26"/>
        <v>56.489999999999995</v>
      </c>
      <c r="N40" s="68">
        <f t="shared" si="26"/>
        <v>40</v>
      </c>
      <c r="O40" s="68">
        <f t="shared" si="26"/>
        <v>20</v>
      </c>
      <c r="P40" s="68">
        <f t="shared" si="22"/>
        <v>0</v>
      </c>
      <c r="Q40" s="66">
        <f t="shared" si="15"/>
        <v>152.46549999999999</v>
      </c>
      <c r="R40" s="70">
        <f t="shared" si="8"/>
        <v>160.49</v>
      </c>
      <c r="S40" s="67">
        <f t="shared" si="9"/>
        <v>168.51450000000003</v>
      </c>
      <c r="T40" s="66">
        <f t="shared" si="23"/>
        <v>1378.9655</v>
      </c>
      <c r="U40" s="89">
        <f t="shared" si="16"/>
        <v>1690.49</v>
      </c>
      <c r="V40" s="67">
        <f t="shared" si="16"/>
        <v>2012.0145</v>
      </c>
      <c r="W40" s="7">
        <f t="shared" si="17"/>
        <v>0.39091259424656027</v>
      </c>
      <c r="X40" s="66">
        <f t="shared" si="18"/>
        <v>539.05498098150508</v>
      </c>
      <c r="Y40" s="89">
        <f t="shared" si="19"/>
        <v>660.83383144786774</v>
      </c>
      <c r="Z40" s="67">
        <f t="shared" si="20"/>
        <v>786.52180785669589</v>
      </c>
      <c r="AA40" s="90"/>
    </row>
    <row r="41" spans="1:27">
      <c r="A41" s="4">
        <f t="shared" si="21"/>
        <v>2047</v>
      </c>
      <c r="B41" s="4">
        <f t="shared" si="10"/>
        <v>28</v>
      </c>
      <c r="C41" s="63">
        <f t="shared" si="11"/>
        <v>22.5</v>
      </c>
      <c r="D41" s="64">
        <v>25</v>
      </c>
      <c r="E41" s="65">
        <f t="shared" si="12"/>
        <v>37.5</v>
      </c>
      <c r="F41" s="28">
        <f t="shared" si="13"/>
        <v>1204</v>
      </c>
      <c r="G41" s="27">
        <f t="shared" si="24"/>
        <v>1505</v>
      </c>
      <c r="H41" s="29">
        <f t="shared" si="7"/>
        <v>1806</v>
      </c>
      <c r="I41" s="30">
        <f t="shared" si="14"/>
        <v>1226.5</v>
      </c>
      <c r="J41" s="84">
        <f t="shared" si="14"/>
        <v>1530</v>
      </c>
      <c r="K41" s="31">
        <f t="shared" si="14"/>
        <v>1843.5</v>
      </c>
      <c r="L41" s="68">
        <f t="shared" si="26"/>
        <v>44</v>
      </c>
      <c r="M41" s="68">
        <f t="shared" si="26"/>
        <v>56.489999999999995</v>
      </c>
      <c r="N41" s="68">
        <f t="shared" si="26"/>
        <v>40</v>
      </c>
      <c r="O41" s="68">
        <f t="shared" si="26"/>
        <v>20</v>
      </c>
      <c r="P41" s="68">
        <f t="shared" si="22"/>
        <v>0</v>
      </c>
      <c r="Q41" s="66">
        <f t="shared" si="15"/>
        <v>152.46549999999999</v>
      </c>
      <c r="R41" s="70">
        <f t="shared" si="8"/>
        <v>160.49</v>
      </c>
      <c r="S41" s="67">
        <f t="shared" si="9"/>
        <v>168.51450000000003</v>
      </c>
      <c r="T41" s="66">
        <f t="shared" si="23"/>
        <v>1378.9655</v>
      </c>
      <c r="U41" s="89">
        <f t="shared" si="16"/>
        <v>1690.49</v>
      </c>
      <c r="V41" s="67">
        <f t="shared" si="16"/>
        <v>2012.0145</v>
      </c>
      <c r="W41" s="7">
        <f t="shared" si="17"/>
        <v>0.37754741572972783</v>
      </c>
      <c r="X41" s="66">
        <f t="shared" si="18"/>
        <v>520.62486090545201</v>
      </c>
      <c r="Y41" s="89">
        <f t="shared" si="19"/>
        <v>638.24013081694761</v>
      </c>
      <c r="Z41" s="67">
        <f t="shared" si="20"/>
        <v>759.63087488574047</v>
      </c>
      <c r="AA41" s="14"/>
    </row>
    <row r="42" spans="1:27">
      <c r="A42" s="4">
        <f t="shared" si="21"/>
        <v>2048</v>
      </c>
      <c r="B42" s="4">
        <f t="shared" si="10"/>
        <v>29</v>
      </c>
      <c r="C42" s="63">
        <f t="shared" si="11"/>
        <v>22.5</v>
      </c>
      <c r="D42" s="64">
        <v>25</v>
      </c>
      <c r="E42" s="65">
        <f t="shared" si="12"/>
        <v>37.5</v>
      </c>
      <c r="F42" s="28">
        <f t="shared" si="13"/>
        <v>1204</v>
      </c>
      <c r="G42" s="27">
        <f t="shared" si="24"/>
        <v>1505</v>
      </c>
      <c r="H42" s="29">
        <f t="shared" si="7"/>
        <v>1806</v>
      </c>
      <c r="I42" s="30">
        <f t="shared" si="14"/>
        <v>1226.5</v>
      </c>
      <c r="J42" s="84">
        <f t="shared" si="14"/>
        <v>1530</v>
      </c>
      <c r="K42" s="31">
        <f t="shared" si="14"/>
        <v>1843.5</v>
      </c>
      <c r="L42" s="68">
        <f t="shared" si="26"/>
        <v>44</v>
      </c>
      <c r="M42" s="68">
        <f t="shared" si="26"/>
        <v>56.489999999999995</v>
      </c>
      <c r="N42" s="68">
        <f t="shared" si="26"/>
        <v>40</v>
      </c>
      <c r="O42" s="68">
        <f t="shared" si="26"/>
        <v>20</v>
      </c>
      <c r="P42" s="68">
        <f t="shared" si="22"/>
        <v>0</v>
      </c>
      <c r="Q42" s="66">
        <f t="shared" si="15"/>
        <v>152.46549999999999</v>
      </c>
      <c r="R42" s="70">
        <f t="shared" si="8"/>
        <v>160.49</v>
      </c>
      <c r="S42" s="67">
        <f t="shared" si="9"/>
        <v>168.51450000000003</v>
      </c>
      <c r="T42" s="66">
        <f t="shared" si="23"/>
        <v>1378.9655</v>
      </c>
      <c r="U42" s="89">
        <f t="shared" si="16"/>
        <v>1690.49</v>
      </c>
      <c r="V42" s="67">
        <f t="shared" si="16"/>
        <v>2012.0145</v>
      </c>
      <c r="W42" s="7">
        <f t="shared" si="17"/>
        <v>0.36463918845830384</v>
      </c>
      <c r="X42" s="66">
        <f t="shared" si="18"/>
        <v>502.82486083199922</v>
      </c>
      <c r="Y42" s="89">
        <f t="shared" si="19"/>
        <v>616.41890169687804</v>
      </c>
      <c r="Z42" s="67">
        <f t="shared" si="20"/>
        <v>733.65933444633993</v>
      </c>
      <c r="AA42" s="14"/>
    </row>
    <row r="43" spans="1:27">
      <c r="A43" s="4">
        <f t="shared" si="21"/>
        <v>2049</v>
      </c>
      <c r="B43" s="4">
        <f t="shared" si="10"/>
        <v>30</v>
      </c>
      <c r="C43" s="63">
        <f t="shared" si="11"/>
        <v>22.5</v>
      </c>
      <c r="D43" s="64">
        <v>25</v>
      </c>
      <c r="E43" s="65">
        <f t="shared" si="12"/>
        <v>37.5</v>
      </c>
      <c r="F43" s="28">
        <f t="shared" si="13"/>
        <v>1204</v>
      </c>
      <c r="G43" s="27">
        <f t="shared" si="24"/>
        <v>1505</v>
      </c>
      <c r="H43" s="29">
        <f t="shared" si="7"/>
        <v>1806</v>
      </c>
      <c r="I43" s="30">
        <f t="shared" si="14"/>
        <v>1226.5</v>
      </c>
      <c r="J43" s="84">
        <f t="shared" si="14"/>
        <v>1530</v>
      </c>
      <c r="K43" s="31">
        <f t="shared" si="14"/>
        <v>1843.5</v>
      </c>
      <c r="L43" s="68">
        <f t="shared" si="26"/>
        <v>44</v>
      </c>
      <c r="M43" s="68">
        <f t="shared" si="26"/>
        <v>56.489999999999995</v>
      </c>
      <c r="N43" s="68">
        <f t="shared" si="26"/>
        <v>40</v>
      </c>
      <c r="O43" s="68">
        <f t="shared" si="26"/>
        <v>20</v>
      </c>
      <c r="P43" s="68">
        <f t="shared" si="22"/>
        <v>0</v>
      </c>
      <c r="Q43" s="66">
        <f t="shared" si="15"/>
        <v>152.46549999999999</v>
      </c>
      <c r="R43" s="70">
        <f t="shared" si="8"/>
        <v>160.49</v>
      </c>
      <c r="S43" s="67">
        <f t="shared" si="9"/>
        <v>168.51450000000003</v>
      </c>
      <c r="T43" s="66">
        <f t="shared" si="23"/>
        <v>1378.9655</v>
      </c>
      <c r="U43" s="89">
        <f t="shared" si="16"/>
        <v>1690.49</v>
      </c>
      <c r="V43" s="67">
        <f t="shared" si="16"/>
        <v>2012.0145</v>
      </c>
      <c r="W43" s="7">
        <f t="shared" si="17"/>
        <v>0.35217228941308076</v>
      </c>
      <c r="X43" s="66">
        <f t="shared" si="18"/>
        <v>485.63343715665366</v>
      </c>
      <c r="Y43" s="89">
        <f t="shared" si="19"/>
        <v>595.34373352991895</v>
      </c>
      <c r="Z43" s="67">
        <f t="shared" si="20"/>
        <v>708.57575279731498</v>
      </c>
      <c r="AA43" s="14"/>
    </row>
    <row r="44" spans="1:27">
      <c r="A44" s="4">
        <f t="shared" si="21"/>
        <v>2050</v>
      </c>
      <c r="B44" s="4">
        <f t="shared" si="10"/>
        <v>31</v>
      </c>
      <c r="C44" s="63">
        <f t="shared" si="11"/>
        <v>45</v>
      </c>
      <c r="D44" s="64">
        <v>50</v>
      </c>
      <c r="E44" s="65">
        <f t="shared" si="12"/>
        <v>75</v>
      </c>
      <c r="F44" s="28">
        <f t="shared" si="13"/>
        <v>1204</v>
      </c>
      <c r="G44" s="27">
        <f t="shared" si="24"/>
        <v>1505</v>
      </c>
      <c r="H44" s="29">
        <f t="shared" si="7"/>
        <v>1806</v>
      </c>
      <c r="I44" s="30">
        <f t="shared" si="14"/>
        <v>1249</v>
      </c>
      <c r="J44" s="84">
        <f t="shared" si="14"/>
        <v>1555</v>
      </c>
      <c r="K44" s="31">
        <f t="shared" si="14"/>
        <v>1881</v>
      </c>
      <c r="L44" s="68">
        <f t="shared" si="26"/>
        <v>44</v>
      </c>
      <c r="M44" s="68">
        <f t="shared" si="26"/>
        <v>56.489999999999995</v>
      </c>
      <c r="N44" s="68">
        <f t="shared" si="26"/>
        <v>40</v>
      </c>
      <c r="O44" s="68">
        <f t="shared" si="26"/>
        <v>20</v>
      </c>
      <c r="P44" s="68">
        <f t="shared" si="22"/>
        <v>0</v>
      </c>
      <c r="Q44" s="66">
        <f t="shared" si="15"/>
        <v>152.46549999999999</v>
      </c>
      <c r="R44" s="70">
        <f t="shared" si="8"/>
        <v>160.49</v>
      </c>
      <c r="S44" s="67">
        <f t="shared" si="9"/>
        <v>168.51450000000003</v>
      </c>
      <c r="T44" s="66">
        <f t="shared" si="23"/>
        <v>1401.4655</v>
      </c>
      <c r="U44" s="89">
        <f t="shared" si="16"/>
        <v>1715.49</v>
      </c>
      <c r="V44" s="67">
        <f t="shared" si="16"/>
        <v>2049.5145000000002</v>
      </c>
      <c r="W44" s="7">
        <f t="shared" si="17"/>
        <v>0.34013162972095884</v>
      </c>
      <c r="X44" s="66">
        <f t="shared" si="18"/>
        <v>476.68274451269843</v>
      </c>
      <c r="Y44" s="89">
        <f t="shared" si="19"/>
        <v>583.49240947000771</v>
      </c>
      <c r="Z44" s="67">
        <f t="shared" si="20"/>
        <v>697.1047070217362</v>
      </c>
      <c r="AA44" s="90"/>
    </row>
    <row r="45" spans="1:27">
      <c r="A45" s="4">
        <f t="shared" si="21"/>
        <v>2051</v>
      </c>
      <c r="B45" s="4">
        <f t="shared" si="10"/>
        <v>32</v>
      </c>
      <c r="C45" s="63">
        <f t="shared" si="11"/>
        <v>45</v>
      </c>
      <c r="D45" s="64">
        <v>50</v>
      </c>
      <c r="E45" s="65">
        <f t="shared" si="12"/>
        <v>75</v>
      </c>
      <c r="F45" s="28">
        <f t="shared" si="13"/>
        <v>1204</v>
      </c>
      <c r="G45" s="27">
        <f t="shared" si="24"/>
        <v>1505</v>
      </c>
      <c r="H45" s="29">
        <f t="shared" si="7"/>
        <v>1806</v>
      </c>
      <c r="I45" s="30">
        <f t="shared" si="14"/>
        <v>1249</v>
      </c>
      <c r="J45" s="84">
        <f t="shared" si="14"/>
        <v>1555</v>
      </c>
      <c r="K45" s="31">
        <f t="shared" si="14"/>
        <v>1881</v>
      </c>
      <c r="L45" s="68">
        <f t="shared" si="26"/>
        <v>44</v>
      </c>
      <c r="M45" s="68">
        <f t="shared" si="26"/>
        <v>56.489999999999995</v>
      </c>
      <c r="N45" s="68">
        <f t="shared" si="26"/>
        <v>40</v>
      </c>
      <c r="O45" s="68">
        <f t="shared" si="26"/>
        <v>20</v>
      </c>
      <c r="P45" s="68">
        <f t="shared" si="22"/>
        <v>0</v>
      </c>
      <c r="Q45" s="66">
        <f t="shared" si="15"/>
        <v>152.46549999999999</v>
      </c>
      <c r="R45" s="70">
        <f t="shared" si="8"/>
        <v>160.49</v>
      </c>
      <c r="S45" s="67">
        <f t="shared" si="9"/>
        <v>168.51450000000003</v>
      </c>
      <c r="T45" s="66">
        <f t="shared" si="23"/>
        <v>1401.4655</v>
      </c>
      <c r="U45" s="89">
        <f t="shared" si="16"/>
        <v>1715.49</v>
      </c>
      <c r="V45" s="67">
        <f t="shared" si="16"/>
        <v>2049.5145000000002</v>
      </c>
      <c r="W45" s="7">
        <f t="shared" si="17"/>
        <v>0.3285026363926587</v>
      </c>
      <c r="X45" s="66">
        <f t="shared" si="18"/>
        <v>460.38511156335562</v>
      </c>
      <c r="Y45" s="89">
        <f t="shared" si="19"/>
        <v>563.54298770524213</v>
      </c>
      <c r="Z45" s="67">
        <f t="shared" si="20"/>
        <v>673.27091657498181</v>
      </c>
      <c r="AA45" s="90"/>
    </row>
    <row r="46" spans="1:27">
      <c r="A46" s="4">
        <f t="shared" si="21"/>
        <v>2052</v>
      </c>
      <c r="B46" s="4">
        <f t="shared" si="10"/>
        <v>33</v>
      </c>
      <c r="C46" s="63">
        <f t="shared" si="11"/>
        <v>45</v>
      </c>
      <c r="D46" s="64">
        <v>50</v>
      </c>
      <c r="E46" s="65">
        <f t="shared" si="12"/>
        <v>75</v>
      </c>
      <c r="F46" s="28">
        <f t="shared" si="13"/>
        <v>1204</v>
      </c>
      <c r="G46" s="27">
        <f t="shared" si="24"/>
        <v>1505</v>
      </c>
      <c r="H46" s="29">
        <f t="shared" si="7"/>
        <v>1806</v>
      </c>
      <c r="I46" s="30">
        <f t="shared" si="14"/>
        <v>1249</v>
      </c>
      <c r="J46" s="84">
        <f t="shared" si="14"/>
        <v>1555</v>
      </c>
      <c r="K46" s="31">
        <f t="shared" si="14"/>
        <v>1881</v>
      </c>
      <c r="L46" s="68">
        <f t="shared" si="26"/>
        <v>44</v>
      </c>
      <c r="M46" s="68">
        <f t="shared" si="26"/>
        <v>56.489999999999995</v>
      </c>
      <c r="N46" s="68">
        <f t="shared" si="26"/>
        <v>40</v>
      </c>
      <c r="O46" s="68">
        <f t="shared" si="26"/>
        <v>20</v>
      </c>
      <c r="P46" s="68">
        <f t="shared" si="22"/>
        <v>0</v>
      </c>
      <c r="Q46" s="66">
        <f t="shared" si="15"/>
        <v>152.46549999999999</v>
      </c>
      <c r="R46" s="70">
        <f t="shared" si="8"/>
        <v>160.49</v>
      </c>
      <c r="S46" s="67">
        <f t="shared" si="9"/>
        <v>168.51450000000003</v>
      </c>
      <c r="T46" s="66">
        <f t="shared" si="23"/>
        <v>1401.4655</v>
      </c>
      <c r="U46" s="89">
        <f t="shared" si="16"/>
        <v>1715.49</v>
      </c>
      <c r="V46" s="67">
        <f t="shared" si="16"/>
        <v>2049.5145000000002</v>
      </c>
      <c r="W46" s="7">
        <f t="shared" si="17"/>
        <v>0.31727123468481616</v>
      </c>
      <c r="X46" s="66">
        <f t="shared" si="18"/>
        <v>444.64468955317324</v>
      </c>
      <c r="Y46" s="89">
        <f t="shared" si="19"/>
        <v>544.27563038945527</v>
      </c>
      <c r="Z46" s="67">
        <f t="shared" si="20"/>
        <v>650.25199591943374</v>
      </c>
      <c r="AA46" s="14"/>
    </row>
    <row r="47" spans="1:27">
      <c r="A47" s="4">
        <f t="shared" si="21"/>
        <v>2053</v>
      </c>
      <c r="B47" s="4">
        <f t="shared" si="10"/>
        <v>34</v>
      </c>
      <c r="C47" s="63">
        <f t="shared" si="11"/>
        <v>45</v>
      </c>
      <c r="D47" s="64">
        <v>50</v>
      </c>
      <c r="E47" s="65">
        <f t="shared" si="12"/>
        <v>75</v>
      </c>
      <c r="F47" s="28">
        <f t="shared" si="13"/>
        <v>1204</v>
      </c>
      <c r="G47" s="27">
        <f>$Q$9</f>
        <v>1505</v>
      </c>
      <c r="H47" s="29">
        <f t="shared" si="7"/>
        <v>1806</v>
      </c>
      <c r="I47" s="30">
        <f t="shared" si="14"/>
        <v>1249</v>
      </c>
      <c r="J47" s="84">
        <f t="shared" si="14"/>
        <v>1555</v>
      </c>
      <c r="K47" s="31">
        <f t="shared" si="14"/>
        <v>1881</v>
      </c>
      <c r="L47" s="68">
        <f t="shared" si="26"/>
        <v>44</v>
      </c>
      <c r="M47" s="68">
        <f t="shared" si="26"/>
        <v>56.489999999999995</v>
      </c>
      <c r="N47" s="68">
        <f t="shared" si="26"/>
        <v>40</v>
      </c>
      <c r="O47" s="68">
        <f t="shared" si="26"/>
        <v>20</v>
      </c>
      <c r="P47" s="68">
        <f t="shared" si="22"/>
        <v>0</v>
      </c>
      <c r="Q47" s="66">
        <f t="shared" si="15"/>
        <v>152.46549999999999</v>
      </c>
      <c r="R47" s="70">
        <f t="shared" si="8"/>
        <v>160.49</v>
      </c>
      <c r="S47" s="67">
        <f t="shared" si="9"/>
        <v>168.51450000000003</v>
      </c>
      <c r="T47" s="66">
        <f t="shared" si="23"/>
        <v>1401.4655</v>
      </c>
      <c r="U47" s="89">
        <f t="shared" si="16"/>
        <v>1715.49</v>
      </c>
      <c r="V47" s="67">
        <f t="shared" si="16"/>
        <v>2049.5145000000002</v>
      </c>
      <c r="W47" s="7">
        <f t="shared" si="17"/>
        <v>0.30642383106511123</v>
      </c>
      <c r="X47" s="66">
        <f t="shared" si="18"/>
        <v>429.44242761558166</v>
      </c>
      <c r="Y47" s="89">
        <f t="shared" si="19"/>
        <v>525.66701795388769</v>
      </c>
      <c r="Z47" s="67">
        <f t="shared" si="20"/>
        <v>628.02008491349602</v>
      </c>
      <c r="AA47" s="14"/>
    </row>
    <row r="48" spans="1:27">
      <c r="A48" s="4">
        <f t="shared" si="21"/>
        <v>2054</v>
      </c>
      <c r="B48" s="4">
        <f t="shared" si="10"/>
        <v>35</v>
      </c>
      <c r="C48" s="63">
        <f t="shared" si="11"/>
        <v>45</v>
      </c>
      <c r="D48" s="64">
        <v>50</v>
      </c>
      <c r="E48" s="65">
        <f t="shared" si="12"/>
        <v>75</v>
      </c>
      <c r="F48" s="28">
        <f t="shared" si="13"/>
        <v>1204</v>
      </c>
      <c r="G48" s="27">
        <f t="shared" ref="G48:G73" si="27">$Q$9</f>
        <v>1505</v>
      </c>
      <c r="H48" s="29">
        <f t="shared" si="7"/>
        <v>1806</v>
      </c>
      <c r="I48" s="30">
        <f t="shared" si="14"/>
        <v>1249</v>
      </c>
      <c r="J48" s="84">
        <f t="shared" si="14"/>
        <v>1555</v>
      </c>
      <c r="K48" s="31">
        <f t="shared" si="14"/>
        <v>1881</v>
      </c>
      <c r="L48" s="68">
        <f t="shared" ref="L48:O63" si="28">L47</f>
        <v>44</v>
      </c>
      <c r="M48" s="68">
        <f t="shared" si="28"/>
        <v>56.489999999999995</v>
      </c>
      <c r="N48" s="68">
        <f t="shared" si="28"/>
        <v>40</v>
      </c>
      <c r="O48" s="68">
        <f t="shared" si="28"/>
        <v>20</v>
      </c>
      <c r="P48" s="68">
        <f t="shared" si="22"/>
        <v>0</v>
      </c>
      <c r="Q48" s="66">
        <f t="shared" si="15"/>
        <v>152.46549999999999</v>
      </c>
      <c r="R48" s="70">
        <f t="shared" si="8"/>
        <v>160.49</v>
      </c>
      <c r="S48" s="67">
        <f t="shared" si="9"/>
        <v>168.51450000000003</v>
      </c>
      <c r="T48" s="66">
        <f t="shared" si="23"/>
        <v>1401.4655</v>
      </c>
      <c r="U48" s="89">
        <f t="shared" si="16"/>
        <v>1715.49</v>
      </c>
      <c r="V48" s="67">
        <f t="shared" si="16"/>
        <v>2049.5145000000002</v>
      </c>
      <c r="W48" s="7">
        <f t="shared" si="17"/>
        <v>0.29594729675981379</v>
      </c>
      <c r="X48" s="66">
        <f t="shared" si="18"/>
        <v>414.75992622714085</v>
      </c>
      <c r="Y48" s="89">
        <f t="shared" si="19"/>
        <v>507.69462811849297</v>
      </c>
      <c r="Z48" s="67">
        <f t="shared" si="20"/>
        <v>606.5482759450415</v>
      </c>
      <c r="AA48" s="14"/>
    </row>
    <row r="49" spans="1:27">
      <c r="A49" s="4">
        <f t="shared" si="21"/>
        <v>2055</v>
      </c>
      <c r="B49" s="4">
        <f t="shared" si="10"/>
        <v>36</v>
      </c>
      <c r="C49" s="63">
        <f t="shared" si="11"/>
        <v>22.5</v>
      </c>
      <c r="D49" s="64">
        <v>25</v>
      </c>
      <c r="E49" s="65">
        <f t="shared" si="12"/>
        <v>37.5</v>
      </c>
      <c r="F49" s="28">
        <f t="shared" si="13"/>
        <v>1204</v>
      </c>
      <c r="G49" s="27">
        <f t="shared" si="27"/>
        <v>1505</v>
      </c>
      <c r="H49" s="29">
        <f t="shared" si="7"/>
        <v>1806</v>
      </c>
      <c r="I49" s="30">
        <f t="shared" si="14"/>
        <v>1226.5</v>
      </c>
      <c r="J49" s="84">
        <f t="shared" si="14"/>
        <v>1530</v>
      </c>
      <c r="K49" s="31">
        <f t="shared" si="14"/>
        <v>1843.5</v>
      </c>
      <c r="L49" s="68">
        <f t="shared" si="28"/>
        <v>44</v>
      </c>
      <c r="M49" s="68">
        <f t="shared" si="28"/>
        <v>56.489999999999995</v>
      </c>
      <c r="N49" s="68">
        <f t="shared" si="28"/>
        <v>40</v>
      </c>
      <c r="O49" s="68">
        <f t="shared" si="28"/>
        <v>20</v>
      </c>
      <c r="P49" s="68">
        <f t="shared" si="22"/>
        <v>0</v>
      </c>
      <c r="Q49" s="66">
        <f t="shared" si="15"/>
        <v>152.46549999999999</v>
      </c>
      <c r="R49" s="70">
        <f t="shared" si="8"/>
        <v>160.49</v>
      </c>
      <c r="S49" s="67">
        <f t="shared" si="9"/>
        <v>168.51450000000003</v>
      </c>
      <c r="T49" s="66">
        <f t="shared" si="23"/>
        <v>1378.9655</v>
      </c>
      <c r="U49" s="89">
        <f t="shared" si="16"/>
        <v>1690.49</v>
      </c>
      <c r="V49" s="67">
        <f t="shared" si="16"/>
        <v>2012.0145</v>
      </c>
      <c r="W49" s="7">
        <f t="shared" si="17"/>
        <v>0.28582895186383406</v>
      </c>
      <c r="X49" s="66">
        <f t="shared" si="18"/>
        <v>394.14826352138789</v>
      </c>
      <c r="Y49" s="89">
        <f t="shared" si="19"/>
        <v>483.19098483629284</v>
      </c>
      <c r="Z49" s="67">
        <f t="shared" si="20"/>
        <v>575.09199566983614</v>
      </c>
      <c r="AA49" s="14"/>
    </row>
    <row r="50" spans="1:27">
      <c r="A50" s="4">
        <f t="shared" si="21"/>
        <v>2056</v>
      </c>
      <c r="B50" s="4">
        <f t="shared" si="10"/>
        <v>37</v>
      </c>
      <c r="C50" s="63">
        <f t="shared" si="11"/>
        <v>22.5</v>
      </c>
      <c r="D50" s="64">
        <v>25</v>
      </c>
      <c r="E50" s="65">
        <f t="shared" si="12"/>
        <v>37.5</v>
      </c>
      <c r="F50" s="28">
        <f t="shared" si="13"/>
        <v>1204</v>
      </c>
      <c r="G50" s="27">
        <f t="shared" si="27"/>
        <v>1505</v>
      </c>
      <c r="H50" s="29">
        <f t="shared" si="7"/>
        <v>1806</v>
      </c>
      <c r="I50" s="30">
        <f t="shared" si="14"/>
        <v>1226.5</v>
      </c>
      <c r="J50" s="84">
        <f t="shared" si="14"/>
        <v>1530</v>
      </c>
      <c r="K50" s="31">
        <f t="shared" si="14"/>
        <v>1843.5</v>
      </c>
      <c r="L50" s="68">
        <f t="shared" si="28"/>
        <v>44</v>
      </c>
      <c r="M50" s="68">
        <f t="shared" si="28"/>
        <v>56.489999999999995</v>
      </c>
      <c r="N50" s="68">
        <f t="shared" si="28"/>
        <v>40</v>
      </c>
      <c r="O50" s="68">
        <f t="shared" si="28"/>
        <v>20</v>
      </c>
      <c r="P50" s="68">
        <f t="shared" si="22"/>
        <v>0</v>
      </c>
      <c r="Q50" s="66">
        <f t="shared" si="15"/>
        <v>152.46549999999999</v>
      </c>
      <c r="R50" s="70">
        <f t="shared" si="8"/>
        <v>160.49</v>
      </c>
      <c r="S50" s="67">
        <f t="shared" si="9"/>
        <v>168.51450000000003</v>
      </c>
      <c r="T50" s="66">
        <f t="shared" si="23"/>
        <v>1378.9655</v>
      </c>
      <c r="U50" s="89">
        <f t="shared" si="16"/>
        <v>1690.49</v>
      </c>
      <c r="V50" s="67">
        <f t="shared" si="16"/>
        <v>2012.0145</v>
      </c>
      <c r="W50" s="7">
        <f t="shared" si="17"/>
        <v>0.27605654999404483</v>
      </c>
      <c r="X50" s="66">
        <f t="shared" si="18"/>
        <v>380.67245849081303</v>
      </c>
      <c r="Y50" s="89">
        <f t="shared" si="19"/>
        <v>466.67083719943287</v>
      </c>
      <c r="Z50" s="67">
        <f t="shared" si="20"/>
        <v>555.42978140799312</v>
      </c>
      <c r="AA50" s="90"/>
    </row>
    <row r="51" spans="1:27">
      <c r="A51" s="4">
        <f t="shared" si="21"/>
        <v>2057</v>
      </c>
      <c r="B51" s="4">
        <f t="shared" si="10"/>
        <v>38</v>
      </c>
      <c r="C51" s="63">
        <f t="shared" si="11"/>
        <v>22.5</v>
      </c>
      <c r="D51" s="64">
        <v>25</v>
      </c>
      <c r="E51" s="65">
        <f t="shared" si="12"/>
        <v>37.5</v>
      </c>
      <c r="F51" s="28">
        <f t="shared" si="13"/>
        <v>1204</v>
      </c>
      <c r="G51" s="27">
        <f t="shared" si="27"/>
        <v>1505</v>
      </c>
      <c r="H51" s="29">
        <f t="shared" si="7"/>
        <v>1806</v>
      </c>
      <c r="I51" s="30">
        <f t="shared" si="14"/>
        <v>1226.5</v>
      </c>
      <c r="J51" s="84">
        <f t="shared" si="14"/>
        <v>1530</v>
      </c>
      <c r="K51" s="31">
        <f t="shared" si="14"/>
        <v>1843.5</v>
      </c>
      <c r="L51" s="68">
        <f t="shared" si="28"/>
        <v>44</v>
      </c>
      <c r="M51" s="68">
        <f t="shared" si="28"/>
        <v>56.489999999999995</v>
      </c>
      <c r="N51" s="68">
        <f t="shared" si="28"/>
        <v>40</v>
      </c>
      <c r="O51" s="68">
        <f t="shared" si="28"/>
        <v>20</v>
      </c>
      <c r="P51" s="68">
        <f t="shared" si="22"/>
        <v>0</v>
      </c>
      <c r="Q51" s="66">
        <f t="shared" si="15"/>
        <v>152.46549999999999</v>
      </c>
      <c r="R51" s="70">
        <f t="shared" si="8"/>
        <v>160.49</v>
      </c>
      <c r="S51" s="67">
        <f t="shared" si="9"/>
        <v>168.51450000000003</v>
      </c>
      <c r="T51" s="66">
        <f t="shared" si="23"/>
        <v>1378.9655</v>
      </c>
      <c r="U51" s="89">
        <f t="shared" si="16"/>
        <v>1690.49</v>
      </c>
      <c r="V51" s="67">
        <f t="shared" si="16"/>
        <v>2012.0145</v>
      </c>
      <c r="W51" s="7">
        <f t="shared" si="17"/>
        <v>0.26661826346730227</v>
      </c>
      <c r="X51" s="66">
        <f t="shared" si="18"/>
        <v>367.65738699132021</v>
      </c>
      <c r="Y51" s="89">
        <f t="shared" si="19"/>
        <v>450.71550820883982</v>
      </c>
      <c r="Z51" s="67">
        <f t="shared" si="20"/>
        <v>536.4398120610324</v>
      </c>
      <c r="AA51" s="14"/>
    </row>
    <row r="52" spans="1:27">
      <c r="A52" s="4">
        <f t="shared" si="21"/>
        <v>2058</v>
      </c>
      <c r="B52" s="4">
        <f t="shared" si="10"/>
        <v>39</v>
      </c>
      <c r="C52" s="63">
        <f t="shared" si="11"/>
        <v>22.5</v>
      </c>
      <c r="D52" s="64">
        <v>25</v>
      </c>
      <c r="E52" s="65">
        <f t="shared" si="12"/>
        <v>37.5</v>
      </c>
      <c r="F52" s="28">
        <f t="shared" si="13"/>
        <v>1204</v>
      </c>
      <c r="G52" s="27">
        <f t="shared" si="27"/>
        <v>1505</v>
      </c>
      <c r="H52" s="29">
        <f t="shared" si="7"/>
        <v>1806</v>
      </c>
      <c r="I52" s="30">
        <f t="shared" si="14"/>
        <v>1226.5</v>
      </c>
      <c r="J52" s="84">
        <f t="shared" si="14"/>
        <v>1530</v>
      </c>
      <c r="K52" s="31">
        <f t="shared" si="14"/>
        <v>1843.5</v>
      </c>
      <c r="L52" s="68">
        <f t="shared" si="28"/>
        <v>44</v>
      </c>
      <c r="M52" s="68">
        <f t="shared" si="28"/>
        <v>56.489999999999995</v>
      </c>
      <c r="N52" s="68">
        <f t="shared" si="28"/>
        <v>40</v>
      </c>
      <c r="O52" s="68">
        <f t="shared" si="28"/>
        <v>20</v>
      </c>
      <c r="P52" s="68">
        <f t="shared" si="22"/>
        <v>0</v>
      </c>
      <c r="Q52" s="66">
        <f t="shared" si="15"/>
        <v>152.46549999999999</v>
      </c>
      <c r="R52" s="70">
        <f t="shared" si="8"/>
        <v>160.49</v>
      </c>
      <c r="S52" s="67">
        <f t="shared" si="9"/>
        <v>168.51450000000003</v>
      </c>
      <c r="T52" s="66">
        <f t="shared" si="23"/>
        <v>1378.9655</v>
      </c>
      <c r="U52" s="89">
        <f t="shared" si="16"/>
        <v>1690.49</v>
      </c>
      <c r="V52" s="67">
        <f t="shared" si="16"/>
        <v>2012.0145</v>
      </c>
      <c r="W52" s="7">
        <f t="shared" si="17"/>
        <v>0.25750266898522534</v>
      </c>
      <c r="X52" s="66">
        <f t="shared" si="18"/>
        <v>355.08729668854573</v>
      </c>
      <c r="Y52" s="89">
        <f t="shared" si="19"/>
        <v>435.30568689283359</v>
      </c>
      <c r="Z52" s="67">
        <f t="shared" si="20"/>
        <v>518.09910378697361</v>
      </c>
      <c r="AA52" s="14"/>
    </row>
    <row r="53" spans="1:27">
      <c r="A53" s="4">
        <f t="shared" si="21"/>
        <v>2059</v>
      </c>
      <c r="B53" s="4">
        <f t="shared" si="10"/>
        <v>40</v>
      </c>
      <c r="C53" s="63">
        <f t="shared" si="11"/>
        <v>22.5</v>
      </c>
      <c r="D53" s="64">
        <v>25</v>
      </c>
      <c r="E53" s="65">
        <f t="shared" si="12"/>
        <v>37.5</v>
      </c>
      <c r="F53" s="28">
        <f t="shared" si="13"/>
        <v>1204</v>
      </c>
      <c r="G53" s="27">
        <f t="shared" si="27"/>
        <v>1505</v>
      </c>
      <c r="H53" s="29">
        <f t="shared" si="7"/>
        <v>1806</v>
      </c>
      <c r="I53" s="30">
        <f t="shared" si="14"/>
        <v>1226.5</v>
      </c>
      <c r="J53" s="84">
        <f t="shared" si="14"/>
        <v>1530</v>
      </c>
      <c r="K53" s="31">
        <f t="shared" si="14"/>
        <v>1843.5</v>
      </c>
      <c r="L53" s="68">
        <f t="shared" si="28"/>
        <v>44</v>
      </c>
      <c r="M53" s="68">
        <f t="shared" si="28"/>
        <v>56.489999999999995</v>
      </c>
      <c r="N53" s="68">
        <f t="shared" si="28"/>
        <v>40</v>
      </c>
      <c r="O53" s="68">
        <f t="shared" si="28"/>
        <v>20</v>
      </c>
      <c r="P53" s="68">
        <f t="shared" si="22"/>
        <v>0</v>
      </c>
      <c r="Q53" s="66">
        <f t="shared" si="15"/>
        <v>152.46549999999999</v>
      </c>
      <c r="R53" s="70">
        <f t="shared" si="8"/>
        <v>160.49</v>
      </c>
      <c r="S53" s="67">
        <f t="shared" si="9"/>
        <v>168.51450000000003</v>
      </c>
      <c r="T53" s="66">
        <f t="shared" si="23"/>
        <v>1378.9655</v>
      </c>
      <c r="U53" s="89">
        <f t="shared" si="16"/>
        <v>1690.49</v>
      </c>
      <c r="V53" s="67">
        <f t="shared" si="16"/>
        <v>2012.0145</v>
      </c>
      <c r="W53" s="7">
        <f t="shared" si="17"/>
        <v>0.24869873380840765</v>
      </c>
      <c r="X53" s="66">
        <f t="shared" si="18"/>
        <v>342.94697381547775</v>
      </c>
      <c r="Y53" s="89">
        <f t="shared" si="19"/>
        <v>420.42272251577504</v>
      </c>
      <c r="Z53" s="67">
        <f t="shared" si="20"/>
        <v>500.3854585541564</v>
      </c>
      <c r="AA53" s="14"/>
    </row>
    <row r="54" spans="1:27">
      <c r="A54" s="4">
        <f t="shared" si="21"/>
        <v>2060</v>
      </c>
      <c r="B54" s="4">
        <f t="shared" si="10"/>
        <v>41</v>
      </c>
      <c r="C54" s="63">
        <f t="shared" si="11"/>
        <v>45</v>
      </c>
      <c r="D54" s="64">
        <v>50</v>
      </c>
      <c r="E54" s="65">
        <f t="shared" si="12"/>
        <v>75</v>
      </c>
      <c r="F54" s="28">
        <f t="shared" si="13"/>
        <v>1204</v>
      </c>
      <c r="G54" s="27">
        <f t="shared" si="27"/>
        <v>1505</v>
      </c>
      <c r="H54" s="29">
        <f t="shared" si="7"/>
        <v>1806</v>
      </c>
      <c r="I54" s="30">
        <f t="shared" si="14"/>
        <v>1249</v>
      </c>
      <c r="J54" s="84">
        <f t="shared" si="14"/>
        <v>1555</v>
      </c>
      <c r="K54" s="31">
        <f t="shared" si="14"/>
        <v>1881</v>
      </c>
      <c r="L54" s="68">
        <f t="shared" si="28"/>
        <v>44</v>
      </c>
      <c r="M54" s="68">
        <f t="shared" si="28"/>
        <v>56.489999999999995</v>
      </c>
      <c r="N54" s="68">
        <f t="shared" si="28"/>
        <v>40</v>
      </c>
      <c r="O54" s="68">
        <f t="shared" si="28"/>
        <v>20</v>
      </c>
      <c r="P54" s="68">
        <f t="shared" si="22"/>
        <v>0</v>
      </c>
      <c r="Q54" s="66">
        <f t="shared" si="15"/>
        <v>152.46549999999999</v>
      </c>
      <c r="R54" s="70">
        <f t="shared" si="8"/>
        <v>160.49</v>
      </c>
      <c r="S54" s="67">
        <f t="shared" si="9"/>
        <v>168.51450000000003</v>
      </c>
      <c r="T54" s="66">
        <f t="shared" si="23"/>
        <v>1401.4655</v>
      </c>
      <c r="U54" s="89">
        <f t="shared" si="16"/>
        <v>1715.49</v>
      </c>
      <c r="V54" s="67">
        <f t="shared" si="16"/>
        <v>2049.5145000000002</v>
      </c>
      <c r="W54" s="7">
        <f t="shared" si="17"/>
        <v>0.24019580240332974</v>
      </c>
      <c r="X54" s="66">
        <f t="shared" si="18"/>
        <v>336.62613031308371</v>
      </c>
      <c r="Y54" s="89">
        <f t="shared" si="19"/>
        <v>412.05349706488812</v>
      </c>
      <c r="Z54" s="67">
        <f t="shared" si="20"/>
        <v>492.28477986475923</v>
      </c>
      <c r="AA54" s="14"/>
    </row>
    <row r="55" spans="1:27">
      <c r="A55" s="4">
        <f t="shared" si="21"/>
        <v>2061</v>
      </c>
      <c r="B55" s="4">
        <f t="shared" si="10"/>
        <v>42</v>
      </c>
      <c r="C55" s="63">
        <f t="shared" si="11"/>
        <v>45</v>
      </c>
      <c r="D55" s="64">
        <v>50</v>
      </c>
      <c r="E55" s="65">
        <f t="shared" si="12"/>
        <v>75</v>
      </c>
      <c r="F55" s="28">
        <f t="shared" si="13"/>
        <v>1204</v>
      </c>
      <c r="G55" s="27">
        <f t="shared" si="27"/>
        <v>1505</v>
      </c>
      <c r="H55" s="29">
        <f t="shared" si="7"/>
        <v>1806</v>
      </c>
      <c r="I55" s="30">
        <f t="shared" si="14"/>
        <v>1249</v>
      </c>
      <c r="J55" s="84">
        <f t="shared" si="14"/>
        <v>1555</v>
      </c>
      <c r="K55" s="31">
        <f t="shared" si="14"/>
        <v>1881</v>
      </c>
      <c r="L55" s="68">
        <f t="shared" si="28"/>
        <v>44</v>
      </c>
      <c r="M55" s="68">
        <f t="shared" si="28"/>
        <v>56.489999999999995</v>
      </c>
      <c r="N55" s="68">
        <f t="shared" si="28"/>
        <v>40</v>
      </c>
      <c r="O55" s="68">
        <f t="shared" si="28"/>
        <v>20</v>
      </c>
      <c r="P55" s="68">
        <f t="shared" si="22"/>
        <v>0</v>
      </c>
      <c r="Q55" s="66">
        <f t="shared" si="15"/>
        <v>152.46549999999999</v>
      </c>
      <c r="R55" s="70">
        <f t="shared" si="8"/>
        <v>160.49</v>
      </c>
      <c r="S55" s="67">
        <f t="shared" si="9"/>
        <v>168.51450000000003</v>
      </c>
      <c r="T55" s="66">
        <f t="shared" si="23"/>
        <v>1401.4655</v>
      </c>
      <c r="U55" s="89">
        <f t="shared" si="16"/>
        <v>1715.49</v>
      </c>
      <c r="V55" s="67">
        <f t="shared" si="16"/>
        <v>2049.5145000000002</v>
      </c>
      <c r="W55" s="7">
        <f t="shared" si="17"/>
        <v>0.23198358354580814</v>
      </c>
      <c r="X55" s="66">
        <f t="shared" si="18"/>
        <v>325.11698890581778</v>
      </c>
      <c r="Y55" s="89">
        <f t="shared" si="19"/>
        <v>397.96551773699844</v>
      </c>
      <c r="Z55" s="67">
        <f t="shared" si="20"/>
        <v>475.45371823909528</v>
      </c>
      <c r="AA55" s="90"/>
    </row>
    <row r="56" spans="1:27">
      <c r="A56" s="4">
        <f t="shared" si="21"/>
        <v>2062</v>
      </c>
      <c r="B56" s="4">
        <f t="shared" si="10"/>
        <v>43</v>
      </c>
      <c r="C56" s="63">
        <f t="shared" si="11"/>
        <v>45</v>
      </c>
      <c r="D56" s="64">
        <v>50</v>
      </c>
      <c r="E56" s="65">
        <f t="shared" si="12"/>
        <v>75</v>
      </c>
      <c r="F56" s="28">
        <f t="shared" si="13"/>
        <v>1204</v>
      </c>
      <c r="G56" s="27">
        <f t="shared" si="27"/>
        <v>1505</v>
      </c>
      <c r="H56" s="29">
        <f t="shared" si="7"/>
        <v>1806</v>
      </c>
      <c r="I56" s="30">
        <f t="shared" si="14"/>
        <v>1249</v>
      </c>
      <c r="J56" s="84">
        <f t="shared" si="14"/>
        <v>1555</v>
      </c>
      <c r="K56" s="31">
        <f t="shared" si="14"/>
        <v>1881</v>
      </c>
      <c r="L56" s="68">
        <f t="shared" si="28"/>
        <v>44</v>
      </c>
      <c r="M56" s="68">
        <f t="shared" si="28"/>
        <v>56.489999999999995</v>
      </c>
      <c r="N56" s="68">
        <f t="shared" si="28"/>
        <v>40</v>
      </c>
      <c r="O56" s="68">
        <f t="shared" si="28"/>
        <v>20</v>
      </c>
      <c r="P56" s="68">
        <f t="shared" si="22"/>
        <v>0</v>
      </c>
      <c r="Q56" s="66">
        <f t="shared" si="15"/>
        <v>152.46549999999999</v>
      </c>
      <c r="R56" s="70">
        <f t="shared" si="8"/>
        <v>160.49</v>
      </c>
      <c r="S56" s="67">
        <f t="shared" si="9"/>
        <v>168.51450000000003</v>
      </c>
      <c r="T56" s="66">
        <f t="shared" si="23"/>
        <v>1401.4655</v>
      </c>
      <c r="U56" s="89">
        <f t="shared" si="16"/>
        <v>1715.49</v>
      </c>
      <c r="V56" s="67">
        <f t="shared" si="16"/>
        <v>2049.5145000000002</v>
      </c>
      <c r="W56" s="7">
        <f t="shared" si="17"/>
        <v>0.2240521378653739</v>
      </c>
      <c r="X56" s="66">
        <f t="shared" si="18"/>
        <v>314.00134141956516</v>
      </c>
      <c r="Y56" s="89">
        <f t="shared" si="19"/>
        <v>384.35920198667026</v>
      </c>
      <c r="Z56" s="67">
        <f t="shared" si="20"/>
        <v>459.19810531108288</v>
      </c>
      <c r="AA56" s="14"/>
    </row>
    <row r="57" spans="1:27">
      <c r="A57" s="4">
        <f t="shared" si="21"/>
        <v>2063</v>
      </c>
      <c r="B57" s="4">
        <f t="shared" si="10"/>
        <v>44</v>
      </c>
      <c r="C57" s="63">
        <f t="shared" si="11"/>
        <v>45</v>
      </c>
      <c r="D57" s="64">
        <v>50</v>
      </c>
      <c r="E57" s="65">
        <f t="shared" si="12"/>
        <v>75</v>
      </c>
      <c r="F57" s="28">
        <f t="shared" si="13"/>
        <v>1204</v>
      </c>
      <c r="G57" s="27">
        <f t="shared" si="27"/>
        <v>1505</v>
      </c>
      <c r="H57" s="29">
        <f t="shared" si="7"/>
        <v>1806</v>
      </c>
      <c r="I57" s="30">
        <f t="shared" si="14"/>
        <v>1249</v>
      </c>
      <c r="J57" s="84">
        <f t="shared" si="14"/>
        <v>1555</v>
      </c>
      <c r="K57" s="31">
        <f t="shared" si="14"/>
        <v>1881</v>
      </c>
      <c r="L57" s="68">
        <f t="shared" si="28"/>
        <v>44</v>
      </c>
      <c r="M57" s="68">
        <f t="shared" si="28"/>
        <v>56.489999999999995</v>
      </c>
      <c r="N57" s="68">
        <f t="shared" si="28"/>
        <v>40</v>
      </c>
      <c r="O57" s="68">
        <f t="shared" si="28"/>
        <v>20</v>
      </c>
      <c r="P57" s="68">
        <f t="shared" si="22"/>
        <v>0</v>
      </c>
      <c r="Q57" s="66">
        <f t="shared" si="15"/>
        <v>152.46549999999999</v>
      </c>
      <c r="R57" s="70">
        <f t="shared" si="8"/>
        <v>160.49</v>
      </c>
      <c r="S57" s="67">
        <f t="shared" si="9"/>
        <v>168.51450000000003</v>
      </c>
      <c r="T57" s="66">
        <f t="shared" si="23"/>
        <v>1401.4655</v>
      </c>
      <c r="U57" s="89">
        <f t="shared" si="16"/>
        <v>1715.49</v>
      </c>
      <c r="V57" s="67">
        <f t="shared" si="16"/>
        <v>2049.5145000000002</v>
      </c>
      <c r="W57" s="7">
        <f t="shared" si="17"/>
        <v>0.21639186581550499</v>
      </c>
      <c r="X57" s="66">
        <f t="shared" si="18"/>
        <v>303.26573442105962</v>
      </c>
      <c r="Y57" s="89">
        <f t="shared" si="19"/>
        <v>371.21808188784064</v>
      </c>
      <c r="Z57" s="67">
        <f t="shared" si="20"/>
        <v>443.49826667093186</v>
      </c>
      <c r="AA57" s="14"/>
    </row>
    <row r="58" spans="1:27">
      <c r="A58" s="4">
        <f t="shared" si="21"/>
        <v>2064</v>
      </c>
      <c r="B58" s="4">
        <f t="shared" si="10"/>
        <v>45</v>
      </c>
      <c r="C58" s="63">
        <f t="shared" si="11"/>
        <v>45</v>
      </c>
      <c r="D58" s="64">
        <v>50</v>
      </c>
      <c r="E58" s="65">
        <f t="shared" si="12"/>
        <v>75</v>
      </c>
      <c r="F58" s="28">
        <f t="shared" si="13"/>
        <v>1204</v>
      </c>
      <c r="G58" s="27">
        <f t="shared" si="27"/>
        <v>1505</v>
      </c>
      <c r="H58" s="29">
        <f t="shared" si="7"/>
        <v>1806</v>
      </c>
      <c r="I58" s="30">
        <f t="shared" si="14"/>
        <v>1249</v>
      </c>
      <c r="J58" s="84">
        <f t="shared" si="14"/>
        <v>1555</v>
      </c>
      <c r="K58" s="31">
        <f t="shared" si="14"/>
        <v>1881</v>
      </c>
      <c r="L58" s="68">
        <f t="shared" si="28"/>
        <v>44</v>
      </c>
      <c r="M58" s="68">
        <f t="shared" si="28"/>
        <v>56.489999999999995</v>
      </c>
      <c r="N58" s="68">
        <f t="shared" si="28"/>
        <v>40</v>
      </c>
      <c r="O58" s="68">
        <f t="shared" si="28"/>
        <v>20</v>
      </c>
      <c r="P58" s="68">
        <f t="shared" si="22"/>
        <v>0</v>
      </c>
      <c r="Q58" s="66">
        <f t="shared" si="15"/>
        <v>152.46549999999999</v>
      </c>
      <c r="R58" s="70">
        <f t="shared" si="8"/>
        <v>160.49</v>
      </c>
      <c r="S58" s="67">
        <f t="shared" si="9"/>
        <v>168.51450000000003</v>
      </c>
      <c r="T58" s="66">
        <f t="shared" si="23"/>
        <v>1401.4655</v>
      </c>
      <c r="U58" s="89">
        <f t="shared" si="16"/>
        <v>1715.49</v>
      </c>
      <c r="V58" s="67">
        <f t="shared" si="16"/>
        <v>2049.5145000000002</v>
      </c>
      <c r="W58" s="7">
        <f t="shared" si="17"/>
        <v>0.20899349605515255</v>
      </c>
      <c r="X58" s="66">
        <f t="shared" si="18"/>
        <v>292.89717444568242</v>
      </c>
      <c r="Y58" s="89">
        <f t="shared" si="19"/>
        <v>358.52625254765366</v>
      </c>
      <c r="Z58" s="67">
        <f t="shared" si="20"/>
        <v>428.33520057072798</v>
      </c>
      <c r="AA58" s="14"/>
    </row>
    <row r="59" spans="1:27">
      <c r="A59" s="4">
        <f t="shared" si="21"/>
        <v>2065</v>
      </c>
      <c r="B59" s="4">
        <f t="shared" si="10"/>
        <v>46</v>
      </c>
      <c r="C59" s="63">
        <f t="shared" si="11"/>
        <v>22.5</v>
      </c>
      <c r="D59" s="64">
        <v>25</v>
      </c>
      <c r="E59" s="65">
        <f t="shared" si="12"/>
        <v>37.5</v>
      </c>
      <c r="F59" s="28">
        <f t="shared" si="13"/>
        <v>1204</v>
      </c>
      <c r="G59" s="27">
        <f t="shared" si="27"/>
        <v>1505</v>
      </c>
      <c r="H59" s="29">
        <f t="shared" si="7"/>
        <v>1806</v>
      </c>
      <c r="I59" s="30">
        <f t="shared" si="14"/>
        <v>1226.5</v>
      </c>
      <c r="J59" s="84">
        <f t="shared" si="14"/>
        <v>1530</v>
      </c>
      <c r="K59" s="31">
        <f t="shared" si="14"/>
        <v>1843.5</v>
      </c>
      <c r="L59" s="68">
        <f t="shared" si="28"/>
        <v>44</v>
      </c>
      <c r="M59" s="68">
        <f t="shared" si="28"/>
        <v>56.489999999999995</v>
      </c>
      <c r="N59" s="68">
        <f t="shared" si="28"/>
        <v>40</v>
      </c>
      <c r="O59" s="68">
        <f t="shared" si="28"/>
        <v>20</v>
      </c>
      <c r="P59" s="68">
        <f t="shared" si="22"/>
        <v>0</v>
      </c>
      <c r="Q59" s="66">
        <f t="shared" si="15"/>
        <v>152.46549999999999</v>
      </c>
      <c r="R59" s="70">
        <f t="shared" si="8"/>
        <v>160.49</v>
      </c>
      <c r="S59" s="67">
        <f t="shared" si="9"/>
        <v>168.51450000000003</v>
      </c>
      <c r="T59" s="66">
        <f t="shared" si="23"/>
        <v>1378.9655</v>
      </c>
      <c r="U59" s="89">
        <f t="shared" si="16"/>
        <v>1690.49</v>
      </c>
      <c r="V59" s="67">
        <f t="shared" si="16"/>
        <v>2012.0145</v>
      </c>
      <c r="W59" s="7">
        <f t="shared" si="17"/>
        <v>0.20184807422749909</v>
      </c>
      <c r="X59" s="66">
        <f t="shared" si="18"/>
        <v>278.3415306011604</v>
      </c>
      <c r="Y59" s="89">
        <f t="shared" si="19"/>
        <v>341.22215100084492</v>
      </c>
      <c r="Z59" s="67">
        <f t="shared" si="20"/>
        <v>406.12125214280445</v>
      </c>
      <c r="AA59" s="14"/>
    </row>
    <row r="60" spans="1:27">
      <c r="A60" s="4">
        <f t="shared" si="21"/>
        <v>2066</v>
      </c>
      <c r="B60" s="4">
        <f t="shared" si="10"/>
        <v>47</v>
      </c>
      <c r="C60" s="63">
        <f t="shared" si="11"/>
        <v>22.5</v>
      </c>
      <c r="D60" s="64">
        <v>25</v>
      </c>
      <c r="E60" s="65">
        <f t="shared" si="12"/>
        <v>37.5</v>
      </c>
      <c r="F60" s="28">
        <f t="shared" si="13"/>
        <v>1204</v>
      </c>
      <c r="G60" s="27">
        <f t="shared" si="27"/>
        <v>1505</v>
      </c>
      <c r="H60" s="29">
        <f t="shared" si="7"/>
        <v>1806</v>
      </c>
      <c r="I60" s="30">
        <f t="shared" si="14"/>
        <v>1226.5</v>
      </c>
      <c r="J60" s="84">
        <f t="shared" si="14"/>
        <v>1530</v>
      </c>
      <c r="K60" s="31">
        <f t="shared" si="14"/>
        <v>1843.5</v>
      </c>
      <c r="L60" s="68">
        <f t="shared" si="28"/>
        <v>44</v>
      </c>
      <c r="M60" s="68">
        <f t="shared" si="28"/>
        <v>56.489999999999995</v>
      </c>
      <c r="N60" s="68">
        <f t="shared" si="28"/>
        <v>40</v>
      </c>
      <c r="O60" s="68">
        <f t="shared" si="28"/>
        <v>20</v>
      </c>
      <c r="P60" s="68">
        <f t="shared" si="22"/>
        <v>0</v>
      </c>
      <c r="Q60" s="66">
        <f t="shared" si="15"/>
        <v>152.46549999999999</v>
      </c>
      <c r="R60" s="70">
        <f t="shared" si="8"/>
        <v>160.49</v>
      </c>
      <c r="S60" s="67">
        <f t="shared" si="9"/>
        <v>168.51450000000003</v>
      </c>
      <c r="T60" s="66">
        <f t="shared" si="23"/>
        <v>1378.9655</v>
      </c>
      <c r="U60" s="89">
        <f t="shared" si="16"/>
        <v>1690.49</v>
      </c>
      <c r="V60" s="67">
        <f t="shared" si="16"/>
        <v>2012.0145</v>
      </c>
      <c r="W60" s="7">
        <f t="shared" si="17"/>
        <v>0.19494695212236729</v>
      </c>
      <c r="X60" s="66">
        <f t="shared" si="18"/>
        <v>268.82512130689628</v>
      </c>
      <c r="Y60" s="89">
        <f t="shared" si="19"/>
        <v>329.55587309334067</v>
      </c>
      <c r="Z60" s="67">
        <f t="shared" si="20"/>
        <v>392.23609440100876</v>
      </c>
      <c r="AA60" s="90"/>
    </row>
    <row r="61" spans="1:27">
      <c r="A61" s="4">
        <f t="shared" si="21"/>
        <v>2067</v>
      </c>
      <c r="B61" s="4">
        <f t="shared" si="10"/>
        <v>48</v>
      </c>
      <c r="C61" s="63">
        <f t="shared" si="11"/>
        <v>22.5</v>
      </c>
      <c r="D61" s="64">
        <v>25</v>
      </c>
      <c r="E61" s="65">
        <f t="shared" si="12"/>
        <v>37.5</v>
      </c>
      <c r="F61" s="28">
        <f t="shared" si="13"/>
        <v>1204</v>
      </c>
      <c r="G61" s="27">
        <f t="shared" si="27"/>
        <v>1505</v>
      </c>
      <c r="H61" s="29">
        <f t="shared" si="7"/>
        <v>1806</v>
      </c>
      <c r="I61" s="30">
        <f t="shared" si="14"/>
        <v>1226.5</v>
      </c>
      <c r="J61" s="84">
        <f t="shared" si="14"/>
        <v>1530</v>
      </c>
      <c r="K61" s="31">
        <f t="shared" si="14"/>
        <v>1843.5</v>
      </c>
      <c r="L61" s="68">
        <f t="shared" si="28"/>
        <v>44</v>
      </c>
      <c r="M61" s="68">
        <f t="shared" si="28"/>
        <v>56.489999999999995</v>
      </c>
      <c r="N61" s="68">
        <f t="shared" si="28"/>
        <v>40</v>
      </c>
      <c r="O61" s="68">
        <f t="shared" si="28"/>
        <v>20</v>
      </c>
      <c r="P61" s="68">
        <f t="shared" si="22"/>
        <v>0</v>
      </c>
      <c r="Q61" s="66">
        <f t="shared" si="15"/>
        <v>152.46549999999999</v>
      </c>
      <c r="R61" s="70">
        <f t="shared" si="8"/>
        <v>160.49</v>
      </c>
      <c r="S61" s="67">
        <f t="shared" si="9"/>
        <v>168.51450000000003</v>
      </c>
      <c r="T61" s="66">
        <f t="shared" si="23"/>
        <v>1378.9655</v>
      </c>
      <c r="U61" s="89">
        <f t="shared" si="16"/>
        <v>1690.49</v>
      </c>
      <c r="V61" s="67">
        <f t="shared" si="16"/>
        <v>2012.0145</v>
      </c>
      <c r="W61" s="7">
        <f t="shared" si="17"/>
        <v>0.18828177720916289</v>
      </c>
      <c r="X61" s="66">
        <f t="shared" si="18"/>
        <v>259.63407505012191</v>
      </c>
      <c r="Y61" s="89">
        <f t="shared" si="19"/>
        <v>318.28846155431779</v>
      </c>
      <c r="Z61" s="67">
        <f t="shared" si="20"/>
        <v>378.82566583060526</v>
      </c>
      <c r="AA61" s="14"/>
    </row>
    <row r="62" spans="1:27">
      <c r="A62" s="4">
        <f t="shared" si="21"/>
        <v>2068</v>
      </c>
      <c r="B62" s="4">
        <f t="shared" si="10"/>
        <v>49</v>
      </c>
      <c r="C62" s="63">
        <f t="shared" si="11"/>
        <v>22.5</v>
      </c>
      <c r="D62" s="64">
        <v>25</v>
      </c>
      <c r="E62" s="65">
        <f t="shared" si="12"/>
        <v>37.5</v>
      </c>
      <c r="F62" s="28">
        <f t="shared" si="13"/>
        <v>1204</v>
      </c>
      <c r="G62" s="27">
        <f t="shared" si="27"/>
        <v>1505</v>
      </c>
      <c r="H62" s="29">
        <f t="shared" si="7"/>
        <v>1806</v>
      </c>
      <c r="I62" s="30">
        <f t="shared" si="14"/>
        <v>1226.5</v>
      </c>
      <c r="J62" s="84">
        <f t="shared" si="14"/>
        <v>1530</v>
      </c>
      <c r="K62" s="31">
        <f t="shared" si="14"/>
        <v>1843.5</v>
      </c>
      <c r="L62" s="68">
        <f t="shared" si="28"/>
        <v>44</v>
      </c>
      <c r="M62" s="68">
        <f t="shared" si="28"/>
        <v>56.489999999999995</v>
      </c>
      <c r="N62" s="68">
        <f t="shared" si="28"/>
        <v>40</v>
      </c>
      <c r="O62" s="68">
        <f t="shared" si="28"/>
        <v>20</v>
      </c>
      <c r="P62" s="68">
        <f t="shared" si="22"/>
        <v>0</v>
      </c>
      <c r="Q62" s="66">
        <f t="shared" si="15"/>
        <v>152.46549999999999</v>
      </c>
      <c r="R62" s="70">
        <f t="shared" si="8"/>
        <v>160.49</v>
      </c>
      <c r="S62" s="67">
        <f t="shared" si="9"/>
        <v>168.51450000000003</v>
      </c>
      <c r="T62" s="66">
        <f t="shared" si="23"/>
        <v>1378.9655</v>
      </c>
      <c r="U62" s="89">
        <f t="shared" si="16"/>
        <v>1690.49</v>
      </c>
      <c r="V62" s="67">
        <f t="shared" si="16"/>
        <v>2012.0145</v>
      </c>
      <c r="W62" s="7">
        <f t="shared" si="17"/>
        <v>0.1818444825276829</v>
      </c>
      <c r="X62" s="66">
        <f t="shared" si="18"/>
        <v>250.75726777102753</v>
      </c>
      <c r="Y62" s="89">
        <f t="shared" si="19"/>
        <v>307.40627926822265</v>
      </c>
      <c r="Z62" s="67">
        <f t="shared" si="20"/>
        <v>365.87373559069465</v>
      </c>
      <c r="AA62" s="14"/>
    </row>
    <row r="63" spans="1:27">
      <c r="A63" s="4">
        <f t="shared" si="21"/>
        <v>2069</v>
      </c>
      <c r="B63" s="4">
        <f t="shared" si="10"/>
        <v>50</v>
      </c>
      <c r="C63" s="63">
        <f t="shared" si="11"/>
        <v>22.5</v>
      </c>
      <c r="D63" s="64">
        <v>25</v>
      </c>
      <c r="E63" s="65">
        <f t="shared" si="12"/>
        <v>37.5</v>
      </c>
      <c r="F63" s="28">
        <f t="shared" si="13"/>
        <v>1204</v>
      </c>
      <c r="G63" s="27">
        <f t="shared" si="27"/>
        <v>1505</v>
      </c>
      <c r="H63" s="29">
        <f t="shared" si="7"/>
        <v>1806</v>
      </c>
      <c r="I63" s="30">
        <f t="shared" si="14"/>
        <v>1226.5</v>
      </c>
      <c r="J63" s="84">
        <f t="shared" si="14"/>
        <v>1530</v>
      </c>
      <c r="K63" s="31">
        <f t="shared" si="14"/>
        <v>1843.5</v>
      </c>
      <c r="L63" s="68">
        <f t="shared" si="28"/>
        <v>44</v>
      </c>
      <c r="M63" s="68">
        <f t="shared" si="28"/>
        <v>56.489999999999995</v>
      </c>
      <c r="N63" s="68">
        <f t="shared" si="28"/>
        <v>40</v>
      </c>
      <c r="O63" s="68">
        <f t="shared" si="28"/>
        <v>20</v>
      </c>
      <c r="P63" s="68">
        <f t="shared" si="22"/>
        <v>0</v>
      </c>
      <c r="Q63" s="66">
        <f t="shared" si="15"/>
        <v>152.46549999999999</v>
      </c>
      <c r="R63" s="70">
        <f t="shared" si="8"/>
        <v>160.49</v>
      </c>
      <c r="S63" s="67">
        <f t="shared" si="9"/>
        <v>168.51450000000003</v>
      </c>
      <c r="T63" s="66">
        <f t="shared" si="23"/>
        <v>1378.9655</v>
      </c>
      <c r="U63" s="89">
        <f t="shared" si="16"/>
        <v>1690.49</v>
      </c>
      <c r="V63" s="67">
        <f t="shared" si="16"/>
        <v>2012.0145</v>
      </c>
      <c r="W63" s="7">
        <f t="shared" si="17"/>
        <v>0.17562727692455368</v>
      </c>
      <c r="X63" s="66">
        <f t="shared" si="18"/>
        <v>242.18395573790565</v>
      </c>
      <c r="Y63" s="89">
        <f t="shared" si="19"/>
        <v>296.89615536818877</v>
      </c>
      <c r="Z63" s="67">
        <f t="shared" si="20"/>
        <v>353.36462776771742</v>
      </c>
      <c r="AA63" s="14"/>
    </row>
    <row r="64" spans="1:27">
      <c r="A64" s="4">
        <f t="shared" si="21"/>
        <v>2070</v>
      </c>
      <c r="B64" s="4">
        <f t="shared" si="10"/>
        <v>51</v>
      </c>
      <c r="C64" s="63">
        <f t="shared" si="11"/>
        <v>45</v>
      </c>
      <c r="D64" s="64">
        <v>50</v>
      </c>
      <c r="E64" s="65">
        <f t="shared" si="12"/>
        <v>75</v>
      </c>
      <c r="F64" s="28">
        <f t="shared" si="13"/>
        <v>1204</v>
      </c>
      <c r="G64" s="27">
        <f t="shared" si="27"/>
        <v>1505</v>
      </c>
      <c r="H64" s="29">
        <f t="shared" si="7"/>
        <v>1806</v>
      </c>
      <c r="I64" s="30">
        <f t="shared" si="14"/>
        <v>1249</v>
      </c>
      <c r="J64" s="84">
        <f t="shared" si="14"/>
        <v>1555</v>
      </c>
      <c r="K64" s="31">
        <f t="shared" si="14"/>
        <v>1881</v>
      </c>
      <c r="L64" s="68">
        <f t="shared" ref="L64:O73" si="29">L63</f>
        <v>44</v>
      </c>
      <c r="M64" s="68">
        <f t="shared" si="29"/>
        <v>56.489999999999995</v>
      </c>
      <c r="N64" s="68">
        <f t="shared" si="29"/>
        <v>40</v>
      </c>
      <c r="O64" s="68">
        <f t="shared" si="29"/>
        <v>20</v>
      </c>
      <c r="P64" s="68">
        <f t="shared" si="22"/>
        <v>0</v>
      </c>
      <c r="Q64" s="66">
        <f t="shared" si="15"/>
        <v>152.46549999999999</v>
      </c>
      <c r="R64" s="70">
        <f t="shared" si="8"/>
        <v>160.49</v>
      </c>
      <c r="S64" s="67">
        <f t="shared" si="9"/>
        <v>168.51450000000003</v>
      </c>
      <c r="T64" s="66">
        <f t="shared" si="23"/>
        <v>1401.4655</v>
      </c>
      <c r="U64" s="89">
        <f t="shared" si="16"/>
        <v>1715.49</v>
      </c>
      <c r="V64" s="67">
        <f t="shared" si="16"/>
        <v>2049.5145000000002</v>
      </c>
      <c r="W64" s="7">
        <f t="shared" si="17"/>
        <v>0.16962263562348243</v>
      </c>
      <c r="X64" s="66">
        <f t="shared" si="18"/>
        <v>237.7202718453816</v>
      </c>
      <c r="Y64" s="89">
        <f t="shared" si="19"/>
        <v>290.9859351857279</v>
      </c>
      <c r="Z64" s="67">
        <f t="shared" si="20"/>
        <v>347.6440512385438</v>
      </c>
      <c r="AA64" s="14"/>
    </row>
    <row r="65" spans="1:27">
      <c r="A65" s="4">
        <f t="shared" si="21"/>
        <v>2071</v>
      </c>
      <c r="B65" s="4">
        <f t="shared" si="10"/>
        <v>52</v>
      </c>
      <c r="C65" s="63">
        <f t="shared" si="11"/>
        <v>45</v>
      </c>
      <c r="D65" s="64">
        <v>50</v>
      </c>
      <c r="E65" s="65">
        <f t="shared" si="12"/>
        <v>75</v>
      </c>
      <c r="F65" s="28">
        <f t="shared" si="13"/>
        <v>1204</v>
      </c>
      <c r="G65" s="27">
        <f t="shared" si="27"/>
        <v>1505</v>
      </c>
      <c r="H65" s="29">
        <f t="shared" si="7"/>
        <v>1806</v>
      </c>
      <c r="I65" s="30">
        <f t="shared" si="14"/>
        <v>1249</v>
      </c>
      <c r="J65" s="84">
        <f t="shared" si="14"/>
        <v>1555</v>
      </c>
      <c r="K65" s="31">
        <f t="shared" si="14"/>
        <v>1881</v>
      </c>
      <c r="L65" s="68">
        <f t="shared" si="29"/>
        <v>44</v>
      </c>
      <c r="M65" s="68">
        <f t="shared" si="29"/>
        <v>56.489999999999995</v>
      </c>
      <c r="N65" s="68">
        <f t="shared" si="29"/>
        <v>40</v>
      </c>
      <c r="O65" s="68">
        <f t="shared" si="29"/>
        <v>20</v>
      </c>
      <c r="P65" s="68">
        <f t="shared" si="22"/>
        <v>0</v>
      </c>
      <c r="Q65" s="66">
        <f t="shared" si="15"/>
        <v>152.46549999999999</v>
      </c>
      <c r="R65" s="70">
        <f t="shared" si="8"/>
        <v>160.49</v>
      </c>
      <c r="S65" s="67">
        <f t="shared" si="9"/>
        <v>168.51450000000003</v>
      </c>
      <c r="T65" s="66">
        <f t="shared" si="23"/>
        <v>1401.4655</v>
      </c>
      <c r="U65" s="89">
        <f t="shared" si="16"/>
        <v>1715.49</v>
      </c>
      <c r="V65" s="67">
        <f t="shared" si="16"/>
        <v>2049.5145000000002</v>
      </c>
      <c r="W65" s="7">
        <f t="shared" si="17"/>
        <v>0.16382329111790842</v>
      </c>
      <c r="X65" s="66">
        <f t="shared" si="18"/>
        <v>229.59269059820508</v>
      </c>
      <c r="Y65" s="89">
        <f t="shared" si="19"/>
        <v>281.0372176798607</v>
      </c>
      <c r="Z65" s="67">
        <f t="shared" si="20"/>
        <v>335.75821058387453</v>
      </c>
      <c r="AA65" s="90"/>
    </row>
    <row r="66" spans="1:27">
      <c r="A66" s="4">
        <f t="shared" si="21"/>
        <v>2072</v>
      </c>
      <c r="B66" s="4">
        <f t="shared" si="10"/>
        <v>53</v>
      </c>
      <c r="C66" s="63">
        <f t="shared" si="11"/>
        <v>45</v>
      </c>
      <c r="D66" s="64">
        <v>50</v>
      </c>
      <c r="E66" s="65">
        <f t="shared" si="12"/>
        <v>75</v>
      </c>
      <c r="F66" s="28">
        <f t="shared" si="13"/>
        <v>1204</v>
      </c>
      <c r="G66" s="27">
        <f t="shared" si="27"/>
        <v>1505</v>
      </c>
      <c r="H66" s="29">
        <f t="shared" si="7"/>
        <v>1806</v>
      </c>
      <c r="I66" s="30">
        <f t="shared" si="14"/>
        <v>1249</v>
      </c>
      <c r="J66" s="84">
        <f t="shared" si="14"/>
        <v>1555</v>
      </c>
      <c r="K66" s="31">
        <f t="shared" si="14"/>
        <v>1881</v>
      </c>
      <c r="L66" s="68">
        <f t="shared" si="29"/>
        <v>44</v>
      </c>
      <c r="M66" s="68">
        <f t="shared" si="29"/>
        <v>56.489999999999995</v>
      </c>
      <c r="N66" s="68">
        <f t="shared" si="29"/>
        <v>40</v>
      </c>
      <c r="O66" s="68">
        <f t="shared" si="29"/>
        <v>20</v>
      </c>
      <c r="P66" s="68">
        <f t="shared" si="22"/>
        <v>0</v>
      </c>
      <c r="Q66" s="66">
        <f t="shared" si="15"/>
        <v>152.46549999999999</v>
      </c>
      <c r="R66" s="70">
        <f t="shared" si="8"/>
        <v>160.49</v>
      </c>
      <c r="S66" s="67">
        <f t="shared" si="9"/>
        <v>168.51450000000003</v>
      </c>
      <c r="T66" s="66">
        <f t="shared" si="23"/>
        <v>1401.4655</v>
      </c>
      <c r="U66" s="89">
        <f t="shared" si="16"/>
        <v>1715.49</v>
      </c>
      <c r="V66" s="67">
        <f t="shared" si="16"/>
        <v>2049.5145000000002</v>
      </c>
      <c r="W66" s="7">
        <f t="shared" si="17"/>
        <v>0.15822222437503228</v>
      </c>
      <c r="X66" s="66">
        <f t="shared" si="18"/>
        <v>221.74298879486679</v>
      </c>
      <c r="Y66" s="89">
        <f t="shared" si="19"/>
        <v>271.42864369312412</v>
      </c>
      <c r="Z66" s="67">
        <f t="shared" si="20"/>
        <v>324.27874307888214</v>
      </c>
      <c r="AA66" s="14"/>
    </row>
    <row r="67" spans="1:27">
      <c r="A67" s="4">
        <f t="shared" si="21"/>
        <v>2073</v>
      </c>
      <c r="B67" s="4">
        <f t="shared" si="10"/>
        <v>54</v>
      </c>
      <c r="C67" s="63">
        <f t="shared" si="11"/>
        <v>45</v>
      </c>
      <c r="D67" s="64">
        <v>50</v>
      </c>
      <c r="E67" s="65">
        <f t="shared" si="12"/>
        <v>75</v>
      </c>
      <c r="F67" s="28">
        <f t="shared" si="13"/>
        <v>1204</v>
      </c>
      <c r="G67" s="27">
        <f t="shared" si="27"/>
        <v>1505</v>
      </c>
      <c r="H67" s="29">
        <f t="shared" si="7"/>
        <v>1806</v>
      </c>
      <c r="I67" s="30">
        <f t="shared" si="14"/>
        <v>1249</v>
      </c>
      <c r="J67" s="84">
        <f t="shared" si="14"/>
        <v>1555</v>
      </c>
      <c r="K67" s="31">
        <f t="shared" si="14"/>
        <v>1881</v>
      </c>
      <c r="L67" s="68">
        <f t="shared" si="29"/>
        <v>44</v>
      </c>
      <c r="M67" s="68">
        <f t="shared" si="29"/>
        <v>56.489999999999995</v>
      </c>
      <c r="N67" s="68">
        <f t="shared" si="29"/>
        <v>40</v>
      </c>
      <c r="O67" s="68">
        <f t="shared" si="29"/>
        <v>20</v>
      </c>
      <c r="P67" s="68">
        <f t="shared" si="22"/>
        <v>0</v>
      </c>
      <c r="Q67" s="66">
        <f t="shared" si="15"/>
        <v>152.46549999999999</v>
      </c>
      <c r="R67" s="70">
        <f t="shared" si="8"/>
        <v>160.49</v>
      </c>
      <c r="S67" s="67">
        <f t="shared" si="9"/>
        <v>168.51450000000003</v>
      </c>
      <c r="T67" s="66">
        <f t="shared" si="23"/>
        <v>1401.4655</v>
      </c>
      <c r="U67" s="89">
        <f t="shared" si="16"/>
        <v>1715.49</v>
      </c>
      <c r="V67" s="67">
        <f t="shared" si="16"/>
        <v>2049.5145000000002</v>
      </c>
      <c r="W67" s="7">
        <f t="shared" si="17"/>
        <v>0.15281265634057586</v>
      </c>
      <c r="X67" s="66">
        <f t="shared" si="18"/>
        <v>214.16166582467332</v>
      </c>
      <c r="Y67" s="89">
        <f t="shared" si="19"/>
        <v>262.14858382569452</v>
      </c>
      <c r="Z67" s="67">
        <f t="shared" si="20"/>
        <v>313.19175495352721</v>
      </c>
      <c r="AA67" s="14"/>
    </row>
    <row r="68" spans="1:27">
      <c r="A68" s="4">
        <f t="shared" si="21"/>
        <v>2074</v>
      </c>
      <c r="B68" s="4">
        <f t="shared" si="10"/>
        <v>55</v>
      </c>
      <c r="C68" s="63">
        <f t="shared" si="11"/>
        <v>45</v>
      </c>
      <c r="D68" s="64">
        <v>50</v>
      </c>
      <c r="E68" s="65">
        <f t="shared" si="12"/>
        <v>75</v>
      </c>
      <c r="F68" s="28">
        <f t="shared" si="13"/>
        <v>1204</v>
      </c>
      <c r="G68" s="27">
        <f t="shared" si="27"/>
        <v>1505</v>
      </c>
      <c r="H68" s="29">
        <f t="shared" si="7"/>
        <v>1806</v>
      </c>
      <c r="I68" s="30">
        <f t="shared" si="14"/>
        <v>1249</v>
      </c>
      <c r="J68" s="84">
        <f t="shared" si="14"/>
        <v>1555</v>
      </c>
      <c r="K68" s="31">
        <f t="shared" si="14"/>
        <v>1881</v>
      </c>
      <c r="L68" s="68">
        <f t="shared" si="29"/>
        <v>44</v>
      </c>
      <c r="M68" s="68">
        <f t="shared" si="29"/>
        <v>56.489999999999995</v>
      </c>
      <c r="N68" s="68">
        <f t="shared" si="29"/>
        <v>40</v>
      </c>
      <c r="O68" s="68">
        <f t="shared" si="29"/>
        <v>20</v>
      </c>
      <c r="P68" s="68">
        <f t="shared" si="22"/>
        <v>0</v>
      </c>
      <c r="Q68" s="66">
        <f t="shared" si="15"/>
        <v>152.46549999999999</v>
      </c>
      <c r="R68" s="70">
        <f t="shared" si="8"/>
        <v>160.49</v>
      </c>
      <c r="S68" s="67">
        <f t="shared" si="9"/>
        <v>168.51450000000003</v>
      </c>
      <c r="T68" s="66">
        <f t="shared" si="23"/>
        <v>1401.4655</v>
      </c>
      <c r="U68" s="89">
        <f t="shared" si="16"/>
        <v>1715.49</v>
      </c>
      <c r="V68" s="67">
        <f t="shared" si="16"/>
        <v>2049.5145000000002</v>
      </c>
      <c r="W68" s="7">
        <f t="shared" si="17"/>
        <v>0.14758803973399254</v>
      </c>
      <c r="X68" s="66">
        <f t="shared" si="18"/>
        <v>206.83954589981971</v>
      </c>
      <c r="Y68" s="89">
        <f t="shared" si="19"/>
        <v>253.18580628326686</v>
      </c>
      <c r="Z68" s="67">
        <f t="shared" si="20"/>
        <v>302.4838274613939</v>
      </c>
      <c r="AA68" s="14"/>
    </row>
    <row r="69" spans="1:27">
      <c r="A69" s="4">
        <f t="shared" si="21"/>
        <v>2075</v>
      </c>
      <c r="B69" s="4">
        <f t="shared" si="10"/>
        <v>56</v>
      </c>
      <c r="C69" s="63">
        <f t="shared" si="11"/>
        <v>22.5</v>
      </c>
      <c r="D69" s="64">
        <v>25</v>
      </c>
      <c r="E69" s="65">
        <f t="shared" si="12"/>
        <v>37.5</v>
      </c>
      <c r="F69" s="28">
        <f t="shared" si="13"/>
        <v>1204</v>
      </c>
      <c r="G69" s="27">
        <f t="shared" si="27"/>
        <v>1505</v>
      </c>
      <c r="H69" s="29">
        <f t="shared" si="7"/>
        <v>1806</v>
      </c>
      <c r="I69" s="30">
        <f t="shared" si="14"/>
        <v>1226.5</v>
      </c>
      <c r="J69" s="84">
        <f t="shared" si="14"/>
        <v>1530</v>
      </c>
      <c r="K69" s="31">
        <f t="shared" si="14"/>
        <v>1843.5</v>
      </c>
      <c r="L69" s="68">
        <f t="shared" si="29"/>
        <v>44</v>
      </c>
      <c r="M69" s="68">
        <f t="shared" si="29"/>
        <v>56.489999999999995</v>
      </c>
      <c r="N69" s="68">
        <f t="shared" si="29"/>
        <v>40</v>
      </c>
      <c r="O69" s="68">
        <f t="shared" si="29"/>
        <v>20</v>
      </c>
      <c r="P69" s="68">
        <f t="shared" si="22"/>
        <v>0</v>
      </c>
      <c r="Q69" s="66">
        <f t="shared" si="15"/>
        <v>152.46549999999999</v>
      </c>
      <c r="R69" s="70">
        <f t="shared" si="8"/>
        <v>160.49</v>
      </c>
      <c r="S69" s="67">
        <f t="shared" si="9"/>
        <v>168.51450000000003</v>
      </c>
      <c r="T69" s="66">
        <f t="shared" si="23"/>
        <v>1378.9655</v>
      </c>
      <c r="U69" s="89">
        <f t="shared" si="16"/>
        <v>1690.49</v>
      </c>
      <c r="V69" s="67">
        <f t="shared" si="16"/>
        <v>2012.0145</v>
      </c>
      <c r="W69" s="7">
        <f t="shared" si="17"/>
        <v>0.14254205112419596</v>
      </c>
      <c r="X69" s="66">
        <f t="shared" si="18"/>
        <v>196.56057079950244</v>
      </c>
      <c r="Y69" s="89">
        <f t="shared" si="19"/>
        <v>240.96591200494203</v>
      </c>
      <c r="Z69" s="67">
        <f t="shared" si="20"/>
        <v>286.79667372162356</v>
      </c>
      <c r="AA69" s="14"/>
    </row>
    <row r="70" spans="1:27">
      <c r="A70" s="4">
        <f t="shared" si="21"/>
        <v>2076</v>
      </c>
      <c r="B70" s="4">
        <f t="shared" si="10"/>
        <v>57</v>
      </c>
      <c r="C70" s="63">
        <f t="shared" si="11"/>
        <v>22.5</v>
      </c>
      <c r="D70" s="64">
        <v>25</v>
      </c>
      <c r="E70" s="65">
        <f t="shared" si="12"/>
        <v>37.5</v>
      </c>
      <c r="F70" s="28">
        <f t="shared" si="13"/>
        <v>1204</v>
      </c>
      <c r="G70" s="27">
        <f t="shared" si="27"/>
        <v>1505</v>
      </c>
      <c r="H70" s="29">
        <f t="shared" si="7"/>
        <v>1806</v>
      </c>
      <c r="I70" s="30">
        <f t="shared" si="14"/>
        <v>1226.5</v>
      </c>
      <c r="J70" s="84">
        <f t="shared" si="14"/>
        <v>1530</v>
      </c>
      <c r="K70" s="31">
        <f t="shared" si="14"/>
        <v>1843.5</v>
      </c>
      <c r="L70" s="68">
        <f t="shared" si="29"/>
        <v>44</v>
      </c>
      <c r="M70" s="68">
        <f t="shared" si="29"/>
        <v>56.489999999999995</v>
      </c>
      <c r="N70" s="68">
        <f t="shared" si="29"/>
        <v>40</v>
      </c>
      <c r="O70" s="68">
        <f t="shared" si="29"/>
        <v>20</v>
      </c>
      <c r="P70" s="68">
        <f t="shared" si="22"/>
        <v>0</v>
      </c>
      <c r="Q70" s="66">
        <f t="shared" si="15"/>
        <v>152.46549999999999</v>
      </c>
      <c r="R70" s="70">
        <f t="shared" si="8"/>
        <v>160.49</v>
      </c>
      <c r="S70" s="67">
        <f t="shared" si="9"/>
        <v>168.51450000000003</v>
      </c>
      <c r="T70" s="66">
        <f t="shared" si="23"/>
        <v>1378.9655</v>
      </c>
      <c r="U70" s="89">
        <f t="shared" si="16"/>
        <v>1690.49</v>
      </c>
      <c r="V70" s="67">
        <f t="shared" si="16"/>
        <v>2012.0145</v>
      </c>
      <c r="W70" s="7">
        <f t="shared" si="17"/>
        <v>0.13766858327621784</v>
      </c>
      <c r="X70" s="66">
        <f t="shared" si="18"/>
        <v>189.84022677178137</v>
      </c>
      <c r="Y70" s="89">
        <f t="shared" si="19"/>
        <v>232.7273633426135</v>
      </c>
      <c r="Z70" s="67">
        <f t="shared" si="20"/>
        <v>276.9911857462078</v>
      </c>
      <c r="AA70" s="90"/>
    </row>
    <row r="71" spans="1:27">
      <c r="A71" s="4">
        <f t="shared" si="21"/>
        <v>2077</v>
      </c>
      <c r="B71" s="4">
        <f t="shared" si="10"/>
        <v>58</v>
      </c>
      <c r="C71" s="63">
        <f t="shared" si="11"/>
        <v>22.5</v>
      </c>
      <c r="D71" s="64">
        <v>25</v>
      </c>
      <c r="E71" s="65">
        <f t="shared" si="12"/>
        <v>37.5</v>
      </c>
      <c r="F71" s="28">
        <f t="shared" si="13"/>
        <v>1204</v>
      </c>
      <c r="G71" s="27">
        <f t="shared" si="27"/>
        <v>1505</v>
      </c>
      <c r="H71" s="29">
        <f t="shared" si="7"/>
        <v>1806</v>
      </c>
      <c r="I71" s="30">
        <f t="shared" si="14"/>
        <v>1226.5</v>
      </c>
      <c r="J71" s="84">
        <f t="shared" si="14"/>
        <v>1530</v>
      </c>
      <c r="K71" s="31">
        <f t="shared" si="14"/>
        <v>1843.5</v>
      </c>
      <c r="L71" s="68">
        <f t="shared" si="29"/>
        <v>44</v>
      </c>
      <c r="M71" s="68">
        <f t="shared" si="29"/>
        <v>56.489999999999995</v>
      </c>
      <c r="N71" s="68">
        <f t="shared" si="29"/>
        <v>40</v>
      </c>
      <c r="O71" s="68">
        <f t="shared" si="29"/>
        <v>20</v>
      </c>
      <c r="P71" s="68">
        <f t="shared" si="22"/>
        <v>0</v>
      </c>
      <c r="Q71" s="66">
        <f t="shared" si="15"/>
        <v>152.46549999999999</v>
      </c>
      <c r="R71" s="70">
        <f t="shared" si="8"/>
        <v>160.49</v>
      </c>
      <c r="S71" s="67">
        <f t="shared" si="9"/>
        <v>168.51450000000003</v>
      </c>
      <c r="T71" s="66">
        <f t="shared" si="23"/>
        <v>1378.9655</v>
      </c>
      <c r="U71" s="89">
        <f t="shared" si="16"/>
        <v>1690.49</v>
      </c>
      <c r="V71" s="67">
        <f t="shared" si="16"/>
        <v>2012.0145</v>
      </c>
      <c r="W71" s="7">
        <f t="shared" si="17"/>
        <v>0.13296173775953046</v>
      </c>
      <c r="X71" s="66">
        <f t="shared" si="18"/>
        <v>183.34964919043981</v>
      </c>
      <c r="Y71" s="89">
        <f t="shared" si="19"/>
        <v>224.77048806510865</v>
      </c>
      <c r="Z71" s="67">
        <f t="shared" si="20"/>
        <v>267.52094431737282</v>
      </c>
      <c r="AA71" s="14"/>
    </row>
    <row r="72" spans="1:27">
      <c r="A72" s="4">
        <f t="shared" si="21"/>
        <v>2078</v>
      </c>
      <c r="B72" s="4">
        <f t="shared" si="10"/>
        <v>59</v>
      </c>
      <c r="C72" s="63">
        <f t="shared" si="11"/>
        <v>22.5</v>
      </c>
      <c r="D72" s="64">
        <v>25</v>
      </c>
      <c r="E72" s="65">
        <f t="shared" si="12"/>
        <v>37.5</v>
      </c>
      <c r="F72" s="28">
        <f t="shared" si="13"/>
        <v>1204</v>
      </c>
      <c r="G72" s="27">
        <f t="shared" si="27"/>
        <v>1505</v>
      </c>
      <c r="H72" s="29">
        <f t="shared" si="7"/>
        <v>1806</v>
      </c>
      <c r="I72" s="30">
        <f t="shared" si="14"/>
        <v>1226.5</v>
      </c>
      <c r="J72" s="84">
        <f t="shared" si="14"/>
        <v>1530</v>
      </c>
      <c r="K72" s="31">
        <f t="shared" si="14"/>
        <v>1843.5</v>
      </c>
      <c r="L72" s="68">
        <f>L71</f>
        <v>44</v>
      </c>
      <c r="M72" s="68">
        <f t="shared" si="29"/>
        <v>56.489999999999995</v>
      </c>
      <c r="N72" s="68">
        <f t="shared" si="29"/>
        <v>40</v>
      </c>
      <c r="O72" s="68">
        <f t="shared" si="29"/>
        <v>20</v>
      </c>
      <c r="P72" s="68">
        <f t="shared" si="22"/>
        <v>0</v>
      </c>
      <c r="Q72" s="66">
        <f t="shared" si="15"/>
        <v>152.46549999999999</v>
      </c>
      <c r="R72" s="70">
        <f t="shared" si="8"/>
        <v>160.49</v>
      </c>
      <c r="S72" s="67">
        <f t="shared" si="9"/>
        <v>168.51450000000003</v>
      </c>
      <c r="T72" s="66">
        <f t="shared" si="23"/>
        <v>1378.9655</v>
      </c>
      <c r="U72" s="89">
        <f t="shared" si="16"/>
        <v>1690.49</v>
      </c>
      <c r="V72" s="67">
        <f t="shared" si="16"/>
        <v>2012.0145</v>
      </c>
      <c r="W72" s="7">
        <f t="shared" si="17"/>
        <v>0.12841581780908873</v>
      </c>
      <c r="X72" s="66">
        <f t="shared" si="18"/>
        <v>177.08098241301894</v>
      </c>
      <c r="Y72" s="89">
        <f t="shared" si="19"/>
        <v>217.08565584808642</v>
      </c>
      <c r="Z72" s="67">
        <f t="shared" si="20"/>
        <v>258.37448746124477</v>
      </c>
      <c r="AA72" s="90"/>
    </row>
    <row r="73" spans="1:27">
      <c r="A73" s="26">
        <f t="shared" si="21"/>
        <v>2079</v>
      </c>
      <c r="B73" s="26">
        <f t="shared" si="10"/>
        <v>60</v>
      </c>
      <c r="C73" s="63">
        <f t="shared" si="11"/>
        <v>22.5</v>
      </c>
      <c r="D73" s="64">
        <v>25</v>
      </c>
      <c r="E73" s="65">
        <f t="shared" si="12"/>
        <v>37.5</v>
      </c>
      <c r="F73" s="28">
        <f t="shared" si="13"/>
        <v>1204</v>
      </c>
      <c r="G73" s="27">
        <f t="shared" si="27"/>
        <v>1505</v>
      </c>
      <c r="H73" s="29">
        <f t="shared" si="7"/>
        <v>1806</v>
      </c>
      <c r="I73" s="36">
        <f t="shared" si="14"/>
        <v>1226.5</v>
      </c>
      <c r="J73" s="85">
        <f t="shared" si="14"/>
        <v>1530</v>
      </c>
      <c r="K73" s="38">
        <f t="shared" si="14"/>
        <v>1843.5</v>
      </c>
      <c r="L73" s="68">
        <f t="shared" si="29"/>
        <v>44</v>
      </c>
      <c r="M73" s="68">
        <f t="shared" si="29"/>
        <v>56.489999999999995</v>
      </c>
      <c r="N73" s="68">
        <f t="shared" si="29"/>
        <v>40</v>
      </c>
      <c r="O73" s="68">
        <f t="shared" si="29"/>
        <v>20</v>
      </c>
      <c r="P73" s="68">
        <f t="shared" si="22"/>
        <v>0</v>
      </c>
      <c r="Q73" s="66">
        <f t="shared" si="15"/>
        <v>152.46549999999999</v>
      </c>
      <c r="R73" s="70">
        <f t="shared" si="8"/>
        <v>160.49</v>
      </c>
      <c r="S73" s="67">
        <f t="shared" si="9"/>
        <v>168.51450000000003</v>
      </c>
      <c r="T73" s="66">
        <f t="shared" si="23"/>
        <v>1378.9655</v>
      </c>
      <c r="U73" s="89">
        <f t="shared" si="16"/>
        <v>1690.49</v>
      </c>
      <c r="V73" s="67">
        <f t="shared" si="16"/>
        <v>2012.0145</v>
      </c>
      <c r="W73" s="7">
        <f t="shared" si="17"/>
        <v>0.12402532143045074</v>
      </c>
      <c r="X73" s="73">
        <f t="shared" si="18"/>
        <v>171.02663937900223</v>
      </c>
      <c r="Y73" s="91">
        <f t="shared" si="19"/>
        <v>209.66356562496267</v>
      </c>
      <c r="Z73" s="74">
        <f t="shared" si="20"/>
        <v>249.54074508522763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2475</v>
      </c>
      <c r="D74" s="75">
        <f t="shared" si="30"/>
        <v>2750</v>
      </c>
      <c r="E74" s="93">
        <f t="shared" si="30"/>
        <v>4125</v>
      </c>
      <c r="F74" s="92">
        <f t="shared" si="30"/>
        <v>72076</v>
      </c>
      <c r="G74" s="75">
        <f t="shared" si="30"/>
        <v>90095</v>
      </c>
      <c r="H74" s="76">
        <f t="shared" si="30"/>
        <v>108114</v>
      </c>
      <c r="I74" s="77">
        <f t="shared" si="30"/>
        <v>74551</v>
      </c>
      <c r="J74" s="78">
        <f t="shared" si="30"/>
        <v>92845</v>
      </c>
      <c r="K74" s="79">
        <f t="shared" si="30"/>
        <v>112239</v>
      </c>
      <c r="L74" s="80">
        <f t="shared" si="30"/>
        <v>2676</v>
      </c>
      <c r="M74" s="80">
        <f t="shared" si="30"/>
        <v>3412.9099999999949</v>
      </c>
      <c r="N74" s="80">
        <f t="shared" si="30"/>
        <v>2440</v>
      </c>
      <c r="O74" s="80">
        <f t="shared" si="30"/>
        <v>1230</v>
      </c>
      <c r="P74" s="80">
        <f t="shared" si="30"/>
        <v>0</v>
      </c>
      <c r="Q74" s="77">
        <f t="shared" si="30"/>
        <v>9270.9645000000055</v>
      </c>
      <c r="R74" s="78">
        <f t="shared" si="30"/>
        <v>9758.9099999999908</v>
      </c>
      <c r="S74" s="79">
        <f t="shared" si="30"/>
        <v>10246.8555</v>
      </c>
      <c r="T74" s="77">
        <f>SUM(T13:T73)</f>
        <v>83821.964500000031</v>
      </c>
      <c r="U74" s="78">
        <f>SUM(U13:U73)</f>
        <v>102603.91000000009</v>
      </c>
      <c r="V74" s="79">
        <f>SUM(V13:V73)</f>
        <v>122485.85550000011</v>
      </c>
      <c r="W74" s="81"/>
      <c r="X74" s="77">
        <f>SUM(X13:X73)</f>
        <v>34835.206688804945</v>
      </c>
      <c r="Y74" s="78">
        <f t="shared" ref="Y74:Z74" si="31">SUM(Y13:Y73)</f>
        <v>42596.323255850817</v>
      </c>
      <c r="Z74" s="79">
        <f t="shared" si="31"/>
        <v>50929.208804466434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3">
    <mergeCell ref="W1:Y1"/>
    <mergeCell ref="A74:B74"/>
    <mergeCell ref="A4:C4"/>
    <mergeCell ref="A6:B6"/>
    <mergeCell ref="A7:B7"/>
    <mergeCell ref="A8:B8"/>
    <mergeCell ref="A11:B11"/>
    <mergeCell ref="A12:B12"/>
    <mergeCell ref="A3:B3"/>
    <mergeCell ref="A1:B1"/>
    <mergeCell ref="C1:K1"/>
    <mergeCell ref="O1:Q1"/>
    <mergeCell ref="S1:U1"/>
  </mergeCells>
  <pageMargins left="0.75" right="0.75" top="1" bottom="1" header="0.5" footer="0.5"/>
  <pageSetup paperSize="9" scale="24" orientation="portrait" r:id="rId1"/>
  <headerFooter alignWithMargins="0">
    <oddFooter>&amp;L&amp;1#&amp;"Arial"&amp;11&amp;K000000SW Internal Personal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80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G22" sqref="G22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0.73046875" customWidth="1"/>
    <col min="16" max="16" width="12.46484375" customWidth="1"/>
    <col min="17" max="17" width="10.73046875" customWidth="1"/>
    <col min="18" max="18" width="10.265625" customWidth="1"/>
    <col min="19" max="19" width="13.4648437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</cols>
  <sheetData>
    <row r="1" spans="1:29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105</v>
      </c>
      <c r="T1" s="197"/>
      <c r="U1" s="197"/>
      <c r="W1" s="197" t="str">
        <f>'Base Costs'!Q1</f>
        <v>Existing Coag UF</v>
      </c>
      <c r="X1" s="197"/>
      <c r="Y1" s="197"/>
    </row>
    <row r="2" spans="1:29" ht="17.25" customHeight="1">
      <c r="A2" s="47" t="s">
        <v>15</v>
      </c>
      <c r="B2" s="48"/>
      <c r="C2" s="23" t="s">
        <v>104</v>
      </c>
      <c r="D2" s="21"/>
      <c r="E2" s="21"/>
      <c r="F2" s="21"/>
      <c r="G2" s="21"/>
      <c r="H2" s="21"/>
      <c r="I2" s="21"/>
      <c r="J2" s="21"/>
      <c r="K2" s="22"/>
      <c r="M2" s="8" t="s">
        <v>10</v>
      </c>
      <c r="N2" s="8" t="s">
        <v>13</v>
      </c>
      <c r="O2" s="8" t="s">
        <v>11</v>
      </c>
      <c r="P2" s="8" t="s">
        <v>106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106</v>
      </c>
      <c r="Y2" s="8" t="s">
        <v>74</v>
      </c>
    </row>
    <row r="3" spans="1:29" ht="12.75" customHeight="1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96">
        <f>P3/$P$9</f>
        <v>0.61</v>
      </c>
      <c r="P3" s="97">
        <f>T3+X3</f>
        <v>30500</v>
      </c>
      <c r="Q3" s="103">
        <f>U3+Y3</f>
        <v>155</v>
      </c>
      <c r="S3" s="105">
        <v>7.0000000000000007E-2</v>
      </c>
      <c r="T3" s="97">
        <v>500</v>
      </c>
      <c r="U3" s="97">
        <v>30</v>
      </c>
      <c r="W3" s="105">
        <f>'Base Costs'!Q3</f>
        <v>0.6</v>
      </c>
      <c r="X3" s="97">
        <f>'Base Costs'!R3</f>
        <v>30000</v>
      </c>
      <c r="Y3" s="97">
        <f>(X3/N3)*25%</f>
        <v>125</v>
      </c>
      <c r="Z3" s="110" t="s">
        <v>79</v>
      </c>
      <c r="AA3" s="111"/>
    </row>
    <row r="4" spans="1:29" ht="13.5" thickBot="1">
      <c r="A4" s="191" t="s">
        <v>22</v>
      </c>
      <c r="B4" s="192"/>
      <c r="C4" s="201"/>
      <c r="D4" s="56">
        <f>X74</f>
        <v>54192.619931738678</v>
      </c>
      <c r="E4" s="57">
        <f>Y74</f>
        <v>65843.141727498223</v>
      </c>
      <c r="F4" s="58">
        <f>Z74</f>
        <v>78396.56423426597</v>
      </c>
      <c r="M4" s="8" t="s">
        <v>21</v>
      </c>
      <c r="N4" s="100">
        <v>25</v>
      </c>
      <c r="O4" s="96">
        <f t="shared" ref="O4:O9" si="0">P4/$P$9</f>
        <v>0.15</v>
      </c>
      <c r="P4" s="97">
        <f t="shared" ref="P4:Q8" si="1">T4+X4</f>
        <v>7500</v>
      </c>
      <c r="Q4" s="103">
        <f t="shared" si="1"/>
        <v>300</v>
      </c>
      <c r="S4" s="105">
        <v>0</v>
      </c>
      <c r="T4" s="97">
        <f t="shared" ref="T4:T8" si="2">S4*$T$9</f>
        <v>0</v>
      </c>
      <c r="U4" s="97">
        <f>(T4/N4)</f>
        <v>0</v>
      </c>
      <c r="W4" s="105">
        <f>'Base Costs'!Q4</f>
        <v>0.15</v>
      </c>
      <c r="X4" s="97">
        <f>'Base Costs'!R4</f>
        <v>7500</v>
      </c>
      <c r="Y4" s="97">
        <f>(X4/N4)</f>
        <v>300</v>
      </c>
      <c r="Z4" s="110" t="s">
        <v>77</v>
      </c>
      <c r="AA4" s="111"/>
    </row>
    <row r="5" spans="1:29" ht="13.15">
      <c r="D5" s="12">
        <f>D4-'Base Costs'!D4</f>
        <v>21564.518505502292</v>
      </c>
      <c r="E5" s="12">
        <f>E4-'Base Costs'!E4</f>
        <v>25757.95842135838</v>
      </c>
      <c r="F5" s="12">
        <f>F4-'Base Costs'!F4</f>
        <v>30854.299048222674</v>
      </c>
      <c r="M5" s="8" t="s">
        <v>23</v>
      </c>
      <c r="N5" s="100">
        <v>25</v>
      </c>
      <c r="O5" s="96">
        <f t="shared" si="0"/>
        <v>0.15</v>
      </c>
      <c r="P5" s="97">
        <f t="shared" si="1"/>
        <v>7500</v>
      </c>
      <c r="Q5" s="103">
        <f t="shared" si="1"/>
        <v>300</v>
      </c>
      <c r="S5" s="105">
        <v>0</v>
      </c>
      <c r="T5" s="97">
        <f t="shared" si="2"/>
        <v>0</v>
      </c>
      <c r="U5" s="97">
        <f t="shared" ref="U5:U8" si="3">(T5/N5)</f>
        <v>0</v>
      </c>
      <c r="W5" s="105">
        <f>'Base Costs'!Q5</f>
        <v>0.15</v>
      </c>
      <c r="X5" s="97">
        <f>'Base Costs'!R5</f>
        <v>7500</v>
      </c>
      <c r="Y5" s="97">
        <f>(X5/N5)</f>
        <v>300</v>
      </c>
    </row>
    <row r="6" spans="1:29" ht="28.5" customHeight="1">
      <c r="A6" s="181" t="s">
        <v>92</v>
      </c>
      <c r="B6" s="182"/>
      <c r="I6" s="30">
        <f>SUM(I13:I17)</f>
        <v>13157</v>
      </c>
      <c r="J6" s="84">
        <f t="shared" ref="J6:K6" si="4">SUM(J13:J17)</f>
        <v>15264.999999999998</v>
      </c>
      <c r="K6" s="31">
        <f t="shared" si="4"/>
        <v>18318</v>
      </c>
      <c r="M6" s="8" t="s">
        <v>24</v>
      </c>
      <c r="N6" s="100">
        <v>10</v>
      </c>
      <c r="O6" s="96">
        <f t="shared" si="0"/>
        <v>0.22500000000000001</v>
      </c>
      <c r="P6" s="97">
        <f t="shared" si="1"/>
        <v>11250</v>
      </c>
      <c r="Q6" s="103">
        <f t="shared" si="1"/>
        <v>1125</v>
      </c>
      <c r="S6" s="105">
        <v>0.93</v>
      </c>
      <c r="T6" s="97">
        <f>35000*0.25</f>
        <v>8750</v>
      </c>
      <c r="U6" s="97">
        <f t="shared" si="3"/>
        <v>875</v>
      </c>
      <c r="W6" s="105">
        <f>'Base Costs'!Q6</f>
        <v>0.05</v>
      </c>
      <c r="X6" s="97">
        <f>'Base Costs'!R6</f>
        <v>2500</v>
      </c>
      <c r="Y6" s="97">
        <f>(X6/N6)</f>
        <v>250</v>
      </c>
    </row>
    <row r="7" spans="1:29" ht="26.25" customHeight="1">
      <c r="A7" s="181" t="s">
        <v>93</v>
      </c>
      <c r="B7" s="182"/>
      <c r="C7" s="59">
        <f>SUM(C13:C73)</f>
        <v>9000</v>
      </c>
      <c r="D7" s="60">
        <f t="shared" ref="D7:E7" si="5">SUM(D13:D73)</f>
        <v>10000</v>
      </c>
      <c r="E7" s="61">
        <f t="shared" si="5"/>
        <v>11999.999999999998</v>
      </c>
      <c r="M7" s="8" t="s">
        <v>25</v>
      </c>
      <c r="N7" s="101">
        <v>10000</v>
      </c>
      <c r="O7" s="96">
        <f t="shared" si="0"/>
        <v>0</v>
      </c>
      <c r="P7" s="97">
        <f t="shared" si="1"/>
        <v>0</v>
      </c>
      <c r="Q7" s="103">
        <f t="shared" si="1"/>
        <v>0</v>
      </c>
      <c r="S7" s="105">
        <v>0</v>
      </c>
      <c r="T7" s="97">
        <f t="shared" si="2"/>
        <v>0</v>
      </c>
      <c r="U7" s="97">
        <f t="shared" si="3"/>
        <v>0</v>
      </c>
      <c r="W7" s="105">
        <f>'Base Costs'!Q7</f>
        <v>0</v>
      </c>
      <c r="X7" s="97">
        <f>'Base Costs'!R7</f>
        <v>0</v>
      </c>
      <c r="Y7" s="97">
        <f>(X7/N7)</f>
        <v>0</v>
      </c>
    </row>
    <row r="8" spans="1:29" ht="26.25" customHeight="1">
      <c r="A8" s="181" t="s">
        <v>94</v>
      </c>
      <c r="B8" s="182"/>
      <c r="F8" s="59">
        <f>SUM(F13:F73)</f>
        <v>108476</v>
      </c>
      <c r="G8" s="59">
        <f t="shared" ref="G8:H8" si="6">SUM(G13:G73)</f>
        <v>135595</v>
      </c>
      <c r="H8" s="59">
        <f t="shared" si="6"/>
        <v>162714</v>
      </c>
      <c r="M8" s="8" t="s">
        <v>26</v>
      </c>
      <c r="N8" s="101">
        <v>5</v>
      </c>
      <c r="O8" s="96">
        <f t="shared" si="0"/>
        <v>0.05</v>
      </c>
      <c r="P8" s="97">
        <f t="shared" si="1"/>
        <v>2500</v>
      </c>
      <c r="Q8" s="103">
        <f t="shared" si="1"/>
        <v>500</v>
      </c>
      <c r="S8" s="105">
        <v>0</v>
      </c>
      <c r="T8" s="97">
        <f t="shared" si="2"/>
        <v>0</v>
      </c>
      <c r="U8" s="97">
        <f t="shared" si="3"/>
        <v>0</v>
      </c>
      <c r="W8" s="105">
        <f>'Base Costs'!Q8</f>
        <v>0.05</v>
      </c>
      <c r="X8" s="97">
        <f>'Base Costs'!R8</f>
        <v>2500</v>
      </c>
      <c r="Y8" s="97">
        <f>(X8/N8)</f>
        <v>500</v>
      </c>
    </row>
    <row r="9" spans="1:29" ht="13.15">
      <c r="B9" s="1"/>
      <c r="I9" s="1"/>
      <c r="J9" s="1"/>
      <c r="K9" s="1"/>
      <c r="L9" s="1"/>
      <c r="M9" s="8" t="s">
        <v>27</v>
      </c>
      <c r="N9" s="102"/>
      <c r="O9" s="108">
        <f t="shared" si="0"/>
        <v>1</v>
      </c>
      <c r="P9" s="98">
        <f>T9+X9</f>
        <v>50000</v>
      </c>
      <c r="Q9" s="104">
        <f>SUM(Q3:Q8)</f>
        <v>2380</v>
      </c>
      <c r="S9" s="106">
        <f>SUM(S3:S8)</f>
        <v>1</v>
      </c>
      <c r="T9" s="98"/>
      <c r="U9" s="98">
        <f>SUM(U3:U8)</f>
        <v>905</v>
      </c>
      <c r="W9" s="107">
        <f>'Base Costs'!Q9</f>
        <v>1</v>
      </c>
      <c r="X9" s="98">
        <f>'Base Costs'!R9</f>
        <v>50000</v>
      </c>
      <c r="Y9" s="98">
        <f>SUM(Y3:Y8)</f>
        <v>1475</v>
      </c>
    </row>
    <row r="10" spans="1:29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29" ht="13.15">
      <c r="A11" s="196" t="s">
        <v>29</v>
      </c>
      <c r="B11" s="196"/>
      <c r="C11" s="35">
        <v>-0.1</v>
      </c>
      <c r="D11" s="35">
        <v>0</v>
      </c>
      <c r="E11" s="35">
        <v>0.2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62"/>
    </row>
    <row r="12" spans="1:29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12"/>
    </row>
    <row r="13" spans="1:29">
      <c r="A13" s="3">
        <v>2019</v>
      </c>
      <c r="B13" s="3">
        <v>0</v>
      </c>
      <c r="C13" s="63">
        <f>D13*(1+$C$11)</f>
        <v>0</v>
      </c>
      <c r="D13" s="27">
        <v>0</v>
      </c>
      <c r="E13" s="65">
        <f>D13*(1+$E$11)</f>
        <v>0</v>
      </c>
      <c r="F13" s="63">
        <f>G13*(1+$F$11)</f>
        <v>520</v>
      </c>
      <c r="G13" s="64">
        <f>1300/2</f>
        <v>650</v>
      </c>
      <c r="H13" s="65">
        <f t="shared" ref="H13:H73" si="7">G13*(1+$H$11)</f>
        <v>780</v>
      </c>
      <c r="I13" s="30">
        <f>F13+C13</f>
        <v>520</v>
      </c>
      <c r="J13" s="84">
        <f>G13+D13</f>
        <v>650</v>
      </c>
      <c r="K13" s="31">
        <f>H13+E13</f>
        <v>780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8">SUM(L13:P13)</f>
        <v>145</v>
      </c>
      <c r="S13" s="67">
        <f t="shared" ref="S13:S73" si="9">R13*(1+$S$11)</f>
        <v>152.25</v>
      </c>
      <c r="T13" s="66">
        <f>Q13+I13</f>
        <v>657.75</v>
      </c>
      <c r="U13" s="89">
        <f>R13+J13</f>
        <v>795</v>
      </c>
      <c r="V13" s="67">
        <f>S13+K13</f>
        <v>932.25</v>
      </c>
      <c r="W13" s="5">
        <v>1</v>
      </c>
      <c r="X13" s="69">
        <f>W13*T13</f>
        <v>657.75</v>
      </c>
      <c r="Y13" s="89">
        <f>W13*U13</f>
        <v>795</v>
      </c>
      <c r="Z13" s="67">
        <f>W13*V13</f>
        <v>932.25</v>
      </c>
      <c r="AA13" s="13" t="s">
        <v>116</v>
      </c>
      <c r="AC13" s="12"/>
    </row>
    <row r="14" spans="1:29">
      <c r="A14" s="4">
        <f>A13+1</f>
        <v>2020</v>
      </c>
      <c r="B14" s="4">
        <f t="shared" ref="B14:B73" si="10">(B13+1)</f>
        <v>1</v>
      </c>
      <c r="C14" s="63">
        <f t="shared" ref="C14:C73" si="11">D14*(1+$C$11)</f>
        <v>2895</v>
      </c>
      <c r="D14" s="117">
        <f>250+50+T6/3</f>
        <v>3216.6666666666665</v>
      </c>
      <c r="E14" s="65">
        <f t="shared" ref="E14:E73" si="12">D14*(1+$E$11)</f>
        <v>3859.9999999999995</v>
      </c>
      <c r="F14" s="28">
        <f t="shared" ref="F14:F73" si="13">G14*(1+$F$11)</f>
        <v>520</v>
      </c>
      <c r="G14" s="27">
        <f>G13</f>
        <v>650</v>
      </c>
      <c r="H14" s="29">
        <f t="shared" si="7"/>
        <v>780</v>
      </c>
      <c r="I14" s="30">
        <f t="shared" ref="I14:K73" si="14">F14+C14</f>
        <v>3415</v>
      </c>
      <c r="J14" s="84">
        <f t="shared" si="14"/>
        <v>3866.6666666666665</v>
      </c>
      <c r="K14" s="31">
        <f t="shared" si="14"/>
        <v>4640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5">R14*(1+$Q$11)</f>
        <v>137.75</v>
      </c>
      <c r="R14" s="70">
        <f t="shared" si="8"/>
        <v>145</v>
      </c>
      <c r="S14" s="67">
        <f t="shared" si="9"/>
        <v>152.25</v>
      </c>
      <c r="T14" s="66">
        <f>Q14+I14</f>
        <v>3552.75</v>
      </c>
      <c r="U14" s="89">
        <f t="shared" ref="U14:V73" si="16">R14+J14</f>
        <v>4011.6666666666665</v>
      </c>
      <c r="V14" s="67">
        <f t="shared" si="16"/>
        <v>4792.25</v>
      </c>
      <c r="W14" s="6">
        <f t="shared" ref="W14:W73" si="17">(1/(1+$C$3))^B14</f>
        <v>0.96581031485416258</v>
      </c>
      <c r="X14" s="66">
        <f t="shared" ref="X14:X73" si="18">W14*T14</f>
        <v>3431.2825960981263</v>
      </c>
      <c r="Y14" s="89">
        <f t="shared" ref="Y14:Y73" si="19">W14*U14</f>
        <v>3874.5090464232821</v>
      </c>
      <c r="Z14" s="67">
        <f t="shared" ref="Z14:Z73" si="20">W14*V14</f>
        <v>4628.4044813598603</v>
      </c>
      <c r="AA14" s="13"/>
    </row>
    <row r="15" spans="1:29">
      <c r="A15" s="4">
        <f t="shared" ref="A15:A73" si="21">A14+1</f>
        <v>2021</v>
      </c>
      <c r="B15" s="4">
        <f t="shared" si="10"/>
        <v>2</v>
      </c>
      <c r="C15" s="63">
        <f t="shared" si="11"/>
        <v>2895</v>
      </c>
      <c r="D15" s="117">
        <f>250+50+T6/3</f>
        <v>3216.6666666666665</v>
      </c>
      <c r="E15" s="65">
        <f t="shared" si="12"/>
        <v>3859.9999999999995</v>
      </c>
      <c r="F15" s="28">
        <f t="shared" si="13"/>
        <v>1204</v>
      </c>
      <c r="G15" s="27">
        <f>$Q$9-$U$6</f>
        <v>1505</v>
      </c>
      <c r="H15" s="29">
        <f t="shared" si="7"/>
        <v>1806</v>
      </c>
      <c r="I15" s="30">
        <f t="shared" si="14"/>
        <v>4099</v>
      </c>
      <c r="J15" s="84">
        <f t="shared" si="14"/>
        <v>4721.6666666666661</v>
      </c>
      <c r="K15" s="31">
        <f t="shared" si="14"/>
        <v>5666</v>
      </c>
      <c r="L15" s="68">
        <v>44</v>
      </c>
      <c r="M15" s="68">
        <f>M14+16.49</f>
        <v>56.489999999999995</v>
      </c>
      <c r="N15" s="68">
        <v>40</v>
      </c>
      <c r="O15" s="68">
        <f>O14*0.8</f>
        <v>20</v>
      </c>
      <c r="P15" s="68">
        <f t="shared" ref="P15:P73" si="22">P14</f>
        <v>0</v>
      </c>
      <c r="Q15" s="66">
        <f t="shared" si="15"/>
        <v>152.46549999999999</v>
      </c>
      <c r="R15" s="70">
        <f t="shared" si="8"/>
        <v>160.49</v>
      </c>
      <c r="S15" s="67">
        <f t="shared" si="9"/>
        <v>168.51450000000003</v>
      </c>
      <c r="T15" s="66">
        <f t="shared" ref="T15:T73" si="23">Q15+I15</f>
        <v>4251.4655000000002</v>
      </c>
      <c r="U15" s="89">
        <f t="shared" si="16"/>
        <v>4882.1566666666658</v>
      </c>
      <c r="V15" s="67">
        <f t="shared" si="16"/>
        <v>5834.5145000000002</v>
      </c>
      <c r="W15" s="6">
        <f t="shared" si="17"/>
        <v>0.93278956427869664</v>
      </c>
      <c r="X15" s="66">
        <f t="shared" si="18"/>
        <v>3965.7226512909115</v>
      </c>
      <c r="Y15" s="89">
        <f t="shared" si="19"/>
        <v>4554.0247898403331</v>
      </c>
      <c r="Z15" s="67">
        <f t="shared" si="20"/>
        <v>5442.3742382327382</v>
      </c>
      <c r="AA15" s="14"/>
    </row>
    <row r="16" spans="1:29">
      <c r="A16" s="4">
        <f t="shared" si="21"/>
        <v>2022</v>
      </c>
      <c r="B16" s="4">
        <f t="shared" si="10"/>
        <v>3</v>
      </c>
      <c r="C16" s="63">
        <f t="shared" si="11"/>
        <v>2670</v>
      </c>
      <c r="D16" s="118">
        <f>50+T6/3</f>
        <v>2966.6666666666665</v>
      </c>
      <c r="E16" s="65">
        <f t="shared" si="12"/>
        <v>3559.9999999999995</v>
      </c>
      <c r="F16" s="28">
        <f t="shared" si="13"/>
        <v>1204</v>
      </c>
      <c r="G16" s="27">
        <f t="shared" ref="G16:G21" si="24">$Q$9-$U$6</f>
        <v>1505</v>
      </c>
      <c r="H16" s="29">
        <f t="shared" si="7"/>
        <v>1806</v>
      </c>
      <c r="I16" s="30">
        <f t="shared" si="14"/>
        <v>3874</v>
      </c>
      <c r="J16" s="84">
        <f t="shared" si="14"/>
        <v>4471.6666666666661</v>
      </c>
      <c r="K16" s="31">
        <f t="shared" si="14"/>
        <v>5366</v>
      </c>
      <c r="L16" s="68">
        <f t="shared" ref="L16:O31" si="25">L15</f>
        <v>44</v>
      </c>
      <c r="M16" s="68">
        <f t="shared" si="25"/>
        <v>56.489999999999995</v>
      </c>
      <c r="N16" s="68">
        <f t="shared" si="25"/>
        <v>40</v>
      </c>
      <c r="O16" s="68">
        <f>O15</f>
        <v>20</v>
      </c>
      <c r="P16" s="68">
        <f t="shared" si="22"/>
        <v>0</v>
      </c>
      <c r="Q16" s="66">
        <f t="shared" si="15"/>
        <v>152.46549999999999</v>
      </c>
      <c r="R16" s="70">
        <f t="shared" si="8"/>
        <v>160.49</v>
      </c>
      <c r="S16" s="67">
        <f t="shared" si="9"/>
        <v>168.51450000000003</v>
      </c>
      <c r="T16" s="66">
        <f t="shared" si="23"/>
        <v>4026.4654999999998</v>
      </c>
      <c r="U16" s="89">
        <f t="shared" si="16"/>
        <v>4632.1566666666658</v>
      </c>
      <c r="V16" s="67">
        <f t="shared" si="16"/>
        <v>5534.5145000000002</v>
      </c>
      <c r="W16" s="6">
        <f t="shared" si="17"/>
        <v>0.90089778276868515</v>
      </c>
      <c r="X16" s="66">
        <f t="shared" si="18"/>
        <v>3627.4338413446048</v>
      </c>
      <c r="Y16" s="89">
        <f t="shared" si="19"/>
        <v>4173.0996704371828</v>
      </c>
      <c r="Z16" s="67">
        <f t="shared" si="20"/>
        <v>4986.031841751138</v>
      </c>
      <c r="AA16" s="14"/>
    </row>
    <row r="17" spans="1:30">
      <c r="A17" s="4">
        <f t="shared" si="21"/>
        <v>2023</v>
      </c>
      <c r="B17" s="4">
        <f t="shared" si="10"/>
        <v>4</v>
      </c>
      <c r="C17" s="63">
        <f t="shared" si="11"/>
        <v>45</v>
      </c>
      <c r="D17" s="64">
        <v>50</v>
      </c>
      <c r="E17" s="65">
        <f t="shared" si="12"/>
        <v>60</v>
      </c>
      <c r="F17" s="28">
        <f t="shared" si="13"/>
        <v>1204</v>
      </c>
      <c r="G17" s="27">
        <f t="shared" si="24"/>
        <v>1505</v>
      </c>
      <c r="H17" s="29">
        <f t="shared" si="7"/>
        <v>1806</v>
      </c>
      <c r="I17" s="30">
        <f t="shared" si="14"/>
        <v>1249</v>
      </c>
      <c r="J17" s="84">
        <f t="shared" si="14"/>
        <v>1555</v>
      </c>
      <c r="K17" s="31">
        <f t="shared" si="14"/>
        <v>1866</v>
      </c>
      <c r="L17" s="68">
        <f t="shared" si="25"/>
        <v>44</v>
      </c>
      <c r="M17" s="68">
        <f t="shared" si="25"/>
        <v>56.489999999999995</v>
      </c>
      <c r="N17" s="68">
        <f t="shared" si="25"/>
        <v>40</v>
      </c>
      <c r="O17" s="68">
        <f t="shared" si="25"/>
        <v>20</v>
      </c>
      <c r="P17" s="68">
        <f t="shared" si="22"/>
        <v>0</v>
      </c>
      <c r="Q17" s="66">
        <f t="shared" si="15"/>
        <v>152.46549999999999</v>
      </c>
      <c r="R17" s="70">
        <f t="shared" si="8"/>
        <v>160.49</v>
      </c>
      <c r="S17" s="67">
        <f t="shared" si="9"/>
        <v>168.51450000000003</v>
      </c>
      <c r="T17" s="66">
        <f t="shared" si="23"/>
        <v>1401.4655</v>
      </c>
      <c r="U17" s="89">
        <f t="shared" si="16"/>
        <v>1715.49</v>
      </c>
      <c r="V17" s="67">
        <f t="shared" si="16"/>
        <v>2034.5145</v>
      </c>
      <c r="W17" s="6">
        <f t="shared" si="17"/>
        <v>0.87009637122724071</v>
      </c>
      <c r="X17" s="66">
        <f t="shared" si="18"/>
        <v>1219.4100459501706</v>
      </c>
      <c r="Y17" s="89">
        <f t="shared" si="19"/>
        <v>1492.6416238766192</v>
      </c>
      <c r="Z17" s="67">
        <f t="shared" si="20"/>
        <v>1770.223683659204</v>
      </c>
      <c r="AA17" s="14"/>
    </row>
    <row r="18" spans="1:30">
      <c r="A18" s="4">
        <f t="shared" si="21"/>
        <v>2024</v>
      </c>
      <c r="B18" s="4">
        <f t="shared" si="10"/>
        <v>5</v>
      </c>
      <c r="C18" s="63">
        <f t="shared" si="11"/>
        <v>45</v>
      </c>
      <c r="D18" s="64">
        <v>50</v>
      </c>
      <c r="E18" s="65">
        <f t="shared" si="12"/>
        <v>60</v>
      </c>
      <c r="F18" s="28">
        <f t="shared" si="13"/>
        <v>1204</v>
      </c>
      <c r="G18" s="27">
        <f t="shared" si="24"/>
        <v>1505</v>
      </c>
      <c r="H18" s="29">
        <f t="shared" si="7"/>
        <v>1806</v>
      </c>
      <c r="I18" s="30">
        <f t="shared" si="14"/>
        <v>1249</v>
      </c>
      <c r="J18" s="84">
        <f t="shared" si="14"/>
        <v>1555</v>
      </c>
      <c r="K18" s="31">
        <f t="shared" si="14"/>
        <v>1866</v>
      </c>
      <c r="L18" s="68">
        <f t="shared" si="25"/>
        <v>44</v>
      </c>
      <c r="M18" s="68">
        <f t="shared" si="25"/>
        <v>56.489999999999995</v>
      </c>
      <c r="N18" s="68">
        <f t="shared" si="25"/>
        <v>40</v>
      </c>
      <c r="O18" s="68">
        <f t="shared" si="25"/>
        <v>20</v>
      </c>
      <c r="P18" s="68">
        <f t="shared" si="22"/>
        <v>0</v>
      </c>
      <c r="Q18" s="66">
        <f t="shared" si="15"/>
        <v>152.46549999999999</v>
      </c>
      <c r="R18" s="70">
        <f t="shared" si="8"/>
        <v>160.49</v>
      </c>
      <c r="S18" s="67">
        <f t="shared" si="9"/>
        <v>168.51450000000003</v>
      </c>
      <c r="T18" s="66">
        <f t="shared" si="23"/>
        <v>1401.4655</v>
      </c>
      <c r="U18" s="89">
        <f t="shared" si="16"/>
        <v>1715.49</v>
      </c>
      <c r="V18" s="67">
        <f t="shared" si="16"/>
        <v>2034.5145</v>
      </c>
      <c r="W18" s="6">
        <f t="shared" si="17"/>
        <v>0.84034805024844572</v>
      </c>
      <c r="X18" s="66">
        <f t="shared" si="18"/>
        <v>1177.7188004154632</v>
      </c>
      <c r="Y18" s="89">
        <f t="shared" si="19"/>
        <v>1441.6086767207062</v>
      </c>
      <c r="Z18" s="67">
        <f t="shared" si="20"/>
        <v>1709.7002932771913</v>
      </c>
      <c r="AA18" s="14"/>
    </row>
    <row r="19" spans="1:30">
      <c r="A19" s="4">
        <f t="shared" si="21"/>
        <v>2025</v>
      </c>
      <c r="B19" s="4">
        <f t="shared" si="10"/>
        <v>6</v>
      </c>
      <c r="C19" s="63">
        <f t="shared" si="11"/>
        <v>0</v>
      </c>
      <c r="D19" s="64"/>
      <c r="E19" s="65">
        <f t="shared" si="12"/>
        <v>0</v>
      </c>
      <c r="F19" s="28">
        <f t="shared" si="13"/>
        <v>1204</v>
      </c>
      <c r="G19" s="27">
        <f t="shared" si="24"/>
        <v>1505</v>
      </c>
      <c r="H19" s="29">
        <f t="shared" si="7"/>
        <v>1806</v>
      </c>
      <c r="I19" s="30">
        <f t="shared" si="14"/>
        <v>1204</v>
      </c>
      <c r="J19" s="84">
        <f t="shared" si="14"/>
        <v>1505</v>
      </c>
      <c r="K19" s="31">
        <f t="shared" si="14"/>
        <v>1806</v>
      </c>
      <c r="L19" s="68">
        <f t="shared" si="25"/>
        <v>44</v>
      </c>
      <c r="M19" s="68">
        <f t="shared" si="25"/>
        <v>56.489999999999995</v>
      </c>
      <c r="N19" s="68">
        <f t="shared" si="25"/>
        <v>40</v>
      </c>
      <c r="O19" s="68">
        <f t="shared" si="25"/>
        <v>20</v>
      </c>
      <c r="P19" s="68">
        <f t="shared" si="22"/>
        <v>0</v>
      </c>
      <c r="Q19" s="66">
        <f t="shared" si="15"/>
        <v>152.46549999999999</v>
      </c>
      <c r="R19" s="70">
        <f t="shared" si="8"/>
        <v>160.49</v>
      </c>
      <c r="S19" s="67">
        <f t="shared" si="9"/>
        <v>168.51450000000003</v>
      </c>
      <c r="T19" s="66">
        <f t="shared" si="23"/>
        <v>1356.4655</v>
      </c>
      <c r="U19" s="89">
        <f t="shared" si="16"/>
        <v>1665.49</v>
      </c>
      <c r="V19" s="67">
        <f t="shared" si="16"/>
        <v>1974.5145</v>
      </c>
      <c r="W19" s="6">
        <f t="shared" si="17"/>
        <v>0.81161681499753291</v>
      </c>
      <c r="X19" s="66">
        <f t="shared" si="18"/>
        <v>1100.930208764036</v>
      </c>
      <c r="Y19" s="89">
        <f t="shared" si="19"/>
        <v>1351.7396892102411</v>
      </c>
      <c r="Z19" s="67">
        <f t="shared" si="20"/>
        <v>1602.5491696564461</v>
      </c>
      <c r="AA19" s="14"/>
    </row>
    <row r="20" spans="1:30">
      <c r="A20" s="4">
        <f t="shared" si="21"/>
        <v>2026</v>
      </c>
      <c r="B20" s="4">
        <f t="shared" si="10"/>
        <v>7</v>
      </c>
      <c r="C20" s="63">
        <f t="shared" si="11"/>
        <v>0</v>
      </c>
      <c r="D20" s="64"/>
      <c r="E20" s="65">
        <f t="shared" si="12"/>
        <v>0</v>
      </c>
      <c r="F20" s="28">
        <f t="shared" si="13"/>
        <v>1204</v>
      </c>
      <c r="G20" s="27">
        <f t="shared" si="24"/>
        <v>1505</v>
      </c>
      <c r="H20" s="29">
        <f t="shared" si="7"/>
        <v>1806</v>
      </c>
      <c r="I20" s="30">
        <f t="shared" si="14"/>
        <v>1204</v>
      </c>
      <c r="J20" s="84">
        <f t="shared" si="14"/>
        <v>1505</v>
      </c>
      <c r="K20" s="31">
        <f t="shared" si="14"/>
        <v>1806</v>
      </c>
      <c r="L20" s="68">
        <f t="shared" si="25"/>
        <v>44</v>
      </c>
      <c r="M20" s="68">
        <f t="shared" si="25"/>
        <v>56.489999999999995</v>
      </c>
      <c r="N20" s="68">
        <f t="shared" si="25"/>
        <v>40</v>
      </c>
      <c r="O20" s="68">
        <f t="shared" si="25"/>
        <v>20</v>
      </c>
      <c r="P20" s="68">
        <f t="shared" si="22"/>
        <v>0</v>
      </c>
      <c r="Q20" s="66">
        <f t="shared" si="15"/>
        <v>152.46549999999999</v>
      </c>
      <c r="R20" s="70">
        <f t="shared" si="8"/>
        <v>160.49</v>
      </c>
      <c r="S20" s="67">
        <f t="shared" si="9"/>
        <v>168.51450000000003</v>
      </c>
      <c r="T20" s="66">
        <f t="shared" si="23"/>
        <v>1356.4655</v>
      </c>
      <c r="U20" s="89">
        <f t="shared" si="16"/>
        <v>1665.49</v>
      </c>
      <c r="V20" s="67">
        <f t="shared" si="16"/>
        <v>1974.5145</v>
      </c>
      <c r="W20" s="6">
        <f t="shared" si="17"/>
        <v>0.78386789163369996</v>
      </c>
      <c r="X20" s="66">
        <f t="shared" si="18"/>
        <v>1063.2897515588527</v>
      </c>
      <c r="Y20" s="89">
        <f t="shared" si="19"/>
        <v>1305.5241348370109</v>
      </c>
      <c r="Z20" s="67">
        <f t="shared" si="20"/>
        <v>1547.7585181151692</v>
      </c>
      <c r="AA20" s="14"/>
    </row>
    <row r="21" spans="1:30">
      <c r="A21" s="4">
        <f t="shared" si="21"/>
        <v>2027</v>
      </c>
      <c r="B21" s="4">
        <f t="shared" si="10"/>
        <v>8</v>
      </c>
      <c r="C21" s="63">
        <f t="shared" si="11"/>
        <v>0</v>
      </c>
      <c r="D21" s="64"/>
      <c r="E21" s="65">
        <f t="shared" si="12"/>
        <v>0</v>
      </c>
      <c r="F21" s="28">
        <f t="shared" si="13"/>
        <v>1204</v>
      </c>
      <c r="G21" s="27">
        <f t="shared" si="24"/>
        <v>1505</v>
      </c>
      <c r="H21" s="29">
        <f t="shared" si="7"/>
        <v>1806</v>
      </c>
      <c r="I21" s="30">
        <f t="shared" si="14"/>
        <v>1204</v>
      </c>
      <c r="J21" s="84">
        <f t="shared" si="14"/>
        <v>1505</v>
      </c>
      <c r="K21" s="31">
        <f t="shared" si="14"/>
        <v>1806</v>
      </c>
      <c r="L21" s="68">
        <f t="shared" si="25"/>
        <v>44</v>
      </c>
      <c r="M21" s="68">
        <f t="shared" si="25"/>
        <v>56.489999999999995</v>
      </c>
      <c r="N21" s="68">
        <f t="shared" si="25"/>
        <v>40</v>
      </c>
      <c r="O21" s="68">
        <f t="shared" si="25"/>
        <v>20</v>
      </c>
      <c r="P21" s="68">
        <f t="shared" si="22"/>
        <v>0</v>
      </c>
      <c r="Q21" s="66">
        <f t="shared" si="15"/>
        <v>152.46549999999999</v>
      </c>
      <c r="R21" s="70">
        <f t="shared" si="8"/>
        <v>160.49</v>
      </c>
      <c r="S21" s="67">
        <f t="shared" si="9"/>
        <v>168.51450000000003</v>
      </c>
      <c r="T21" s="66">
        <f t="shared" si="23"/>
        <v>1356.4655</v>
      </c>
      <c r="U21" s="89">
        <f t="shared" si="16"/>
        <v>1665.49</v>
      </c>
      <c r="V21" s="67">
        <f t="shared" si="16"/>
        <v>1974.5145</v>
      </c>
      <c r="W21" s="6">
        <f t="shared" si="17"/>
        <v>0.75706769522281225</v>
      </c>
      <c r="X21" s="66">
        <f t="shared" si="18"/>
        <v>1026.9362097342596</v>
      </c>
      <c r="Y21" s="89">
        <f t="shared" si="19"/>
        <v>1260.8886757166415</v>
      </c>
      <c r="Z21" s="67">
        <f t="shared" si="20"/>
        <v>1494.8411416990236</v>
      </c>
      <c r="AA21" s="14"/>
    </row>
    <row r="22" spans="1:30">
      <c r="A22" s="4">
        <f t="shared" si="21"/>
        <v>2028</v>
      </c>
      <c r="B22" s="4">
        <f t="shared" si="10"/>
        <v>9</v>
      </c>
      <c r="C22" s="63">
        <f t="shared" si="11"/>
        <v>0</v>
      </c>
      <c r="D22" s="64"/>
      <c r="E22" s="65">
        <f t="shared" si="12"/>
        <v>0</v>
      </c>
      <c r="F22" s="28">
        <f t="shared" si="13"/>
        <v>1904</v>
      </c>
      <c r="G22" s="27">
        <f t="shared" ref="G22:G46" si="26">$Q$9</f>
        <v>2380</v>
      </c>
      <c r="H22" s="29">
        <f t="shared" si="7"/>
        <v>2856</v>
      </c>
      <c r="I22" s="30">
        <f t="shared" si="14"/>
        <v>1904</v>
      </c>
      <c r="J22" s="84">
        <f t="shared" si="14"/>
        <v>2380</v>
      </c>
      <c r="K22" s="31">
        <f t="shared" si="14"/>
        <v>2856</v>
      </c>
      <c r="L22" s="68">
        <f t="shared" si="25"/>
        <v>44</v>
      </c>
      <c r="M22" s="68">
        <f t="shared" si="25"/>
        <v>56.489999999999995</v>
      </c>
      <c r="N22" s="68">
        <f t="shared" si="25"/>
        <v>40</v>
      </c>
      <c r="O22" s="68">
        <f t="shared" si="25"/>
        <v>20</v>
      </c>
      <c r="P22" s="68">
        <f t="shared" si="22"/>
        <v>0</v>
      </c>
      <c r="Q22" s="66">
        <f t="shared" si="15"/>
        <v>152.46549999999999</v>
      </c>
      <c r="R22" s="70">
        <f t="shared" si="8"/>
        <v>160.49</v>
      </c>
      <c r="S22" s="67">
        <f t="shared" si="9"/>
        <v>168.51450000000003</v>
      </c>
      <c r="T22" s="66">
        <f t="shared" si="23"/>
        <v>2056.4654999999998</v>
      </c>
      <c r="U22" s="89">
        <f t="shared" si="16"/>
        <v>2540.4899999999998</v>
      </c>
      <c r="V22" s="67">
        <f t="shared" si="16"/>
        <v>3024.5145000000002</v>
      </c>
      <c r="W22" s="6">
        <f t="shared" si="17"/>
        <v>0.73118378908905945</v>
      </c>
      <c r="X22" s="66">
        <f t="shared" si="18"/>
        <v>1503.654236420927</v>
      </c>
      <c r="Y22" s="89">
        <f t="shared" si="19"/>
        <v>1857.5651043428645</v>
      </c>
      <c r="Z22" s="67">
        <f t="shared" si="20"/>
        <v>2211.4759722648023</v>
      </c>
      <c r="AA22" s="14" t="s">
        <v>115</v>
      </c>
      <c r="AC22" s="12"/>
      <c r="AD22" s="71"/>
    </row>
    <row r="23" spans="1:30">
      <c r="A23" s="4">
        <f t="shared" si="21"/>
        <v>2029</v>
      </c>
      <c r="B23" s="4">
        <f t="shared" si="10"/>
        <v>10</v>
      </c>
      <c r="C23" s="63">
        <f t="shared" si="11"/>
        <v>0</v>
      </c>
      <c r="D23" s="64"/>
      <c r="E23" s="65">
        <f t="shared" si="12"/>
        <v>0</v>
      </c>
      <c r="F23" s="28">
        <f t="shared" si="13"/>
        <v>1904</v>
      </c>
      <c r="G23" s="27">
        <f t="shared" si="26"/>
        <v>2380</v>
      </c>
      <c r="H23" s="29">
        <f t="shared" si="7"/>
        <v>2856</v>
      </c>
      <c r="I23" s="30">
        <f t="shared" si="14"/>
        <v>1904</v>
      </c>
      <c r="J23" s="84">
        <f t="shared" si="14"/>
        <v>2380</v>
      </c>
      <c r="K23" s="31">
        <f t="shared" si="14"/>
        <v>2856</v>
      </c>
      <c r="L23" s="68">
        <f t="shared" si="25"/>
        <v>44</v>
      </c>
      <c r="M23" s="68">
        <f t="shared" si="25"/>
        <v>56.489999999999995</v>
      </c>
      <c r="N23" s="68">
        <f t="shared" si="25"/>
        <v>40</v>
      </c>
      <c r="O23" s="68">
        <f t="shared" si="25"/>
        <v>20</v>
      </c>
      <c r="P23" s="68">
        <f t="shared" si="22"/>
        <v>0</v>
      </c>
      <c r="Q23" s="66">
        <f t="shared" si="15"/>
        <v>152.46549999999999</v>
      </c>
      <c r="R23" s="70">
        <f t="shared" si="8"/>
        <v>160.49</v>
      </c>
      <c r="S23" s="67">
        <f t="shared" si="9"/>
        <v>168.51450000000003</v>
      </c>
      <c r="T23" s="66">
        <f t="shared" si="23"/>
        <v>2056.4654999999998</v>
      </c>
      <c r="U23" s="89">
        <f t="shared" si="16"/>
        <v>2540.4899999999998</v>
      </c>
      <c r="V23" s="67">
        <f t="shared" si="16"/>
        <v>3024.5145000000002</v>
      </c>
      <c r="W23" s="6">
        <f t="shared" si="17"/>
        <v>0.70618484555636418</v>
      </c>
      <c r="X23" s="66">
        <f t="shared" si="18"/>
        <v>1452.2447715094911</v>
      </c>
      <c r="Y23" s="89">
        <f t="shared" si="19"/>
        <v>1794.0555382874875</v>
      </c>
      <c r="Z23" s="67">
        <f t="shared" si="20"/>
        <v>2135.8663050654841</v>
      </c>
      <c r="AA23" s="14"/>
      <c r="AD23" s="71"/>
    </row>
    <row r="24" spans="1:30">
      <c r="A24" s="4">
        <f t="shared" si="21"/>
        <v>2030</v>
      </c>
      <c r="B24" s="4">
        <f t="shared" si="10"/>
        <v>11</v>
      </c>
      <c r="C24" s="63">
        <f t="shared" si="11"/>
        <v>0</v>
      </c>
      <c r="D24" s="64"/>
      <c r="E24" s="65">
        <f t="shared" si="12"/>
        <v>0</v>
      </c>
      <c r="F24" s="28">
        <f t="shared" si="13"/>
        <v>1904</v>
      </c>
      <c r="G24" s="27">
        <f t="shared" si="26"/>
        <v>2380</v>
      </c>
      <c r="H24" s="29">
        <f t="shared" si="7"/>
        <v>2856</v>
      </c>
      <c r="I24" s="30">
        <f t="shared" si="14"/>
        <v>1904</v>
      </c>
      <c r="J24" s="84">
        <f t="shared" si="14"/>
        <v>2380</v>
      </c>
      <c r="K24" s="31">
        <f t="shared" si="14"/>
        <v>2856</v>
      </c>
      <c r="L24" s="68">
        <f t="shared" si="25"/>
        <v>44</v>
      </c>
      <c r="M24" s="68">
        <f t="shared" si="25"/>
        <v>56.489999999999995</v>
      </c>
      <c r="N24" s="68">
        <f t="shared" si="25"/>
        <v>40</v>
      </c>
      <c r="O24" s="68">
        <f t="shared" si="25"/>
        <v>20</v>
      </c>
      <c r="P24" s="68">
        <f t="shared" si="22"/>
        <v>0</v>
      </c>
      <c r="Q24" s="66">
        <f t="shared" si="15"/>
        <v>152.46549999999999</v>
      </c>
      <c r="R24" s="70">
        <f t="shared" si="8"/>
        <v>160.49</v>
      </c>
      <c r="S24" s="67">
        <f t="shared" si="9"/>
        <v>168.51450000000003</v>
      </c>
      <c r="T24" s="66">
        <f t="shared" si="23"/>
        <v>2056.4654999999998</v>
      </c>
      <c r="U24" s="89">
        <f t="shared" si="16"/>
        <v>2540.4899999999998</v>
      </c>
      <c r="V24" s="67">
        <f t="shared" si="16"/>
        <v>3024.5145000000002</v>
      </c>
      <c r="W24" s="6">
        <f t="shared" si="17"/>
        <v>0.68204060803203026</v>
      </c>
      <c r="X24" s="66">
        <f t="shared" si="18"/>
        <v>1402.5929800168931</v>
      </c>
      <c r="Y24" s="89">
        <f t="shared" si="19"/>
        <v>1732.7173442992923</v>
      </c>
      <c r="Z24" s="67">
        <f t="shared" si="20"/>
        <v>2062.8417085816923</v>
      </c>
      <c r="AA24" s="14"/>
      <c r="AD24" s="71"/>
    </row>
    <row r="25" spans="1:30">
      <c r="A25" s="4">
        <f t="shared" si="21"/>
        <v>2031</v>
      </c>
      <c r="B25" s="4">
        <f t="shared" si="10"/>
        <v>12</v>
      </c>
      <c r="C25" s="63">
        <f t="shared" si="11"/>
        <v>0</v>
      </c>
      <c r="D25" s="64"/>
      <c r="E25" s="65">
        <f t="shared" si="12"/>
        <v>0</v>
      </c>
      <c r="F25" s="28">
        <f t="shared" si="13"/>
        <v>1904</v>
      </c>
      <c r="G25" s="27">
        <f t="shared" si="26"/>
        <v>2380</v>
      </c>
      <c r="H25" s="29">
        <f t="shared" si="7"/>
        <v>2856</v>
      </c>
      <c r="I25" s="30">
        <f t="shared" si="14"/>
        <v>1904</v>
      </c>
      <c r="J25" s="84">
        <f t="shared" si="14"/>
        <v>2380</v>
      </c>
      <c r="K25" s="31">
        <f t="shared" si="14"/>
        <v>2856</v>
      </c>
      <c r="L25" s="68">
        <f t="shared" si="25"/>
        <v>44</v>
      </c>
      <c r="M25" s="68">
        <f t="shared" si="25"/>
        <v>56.489999999999995</v>
      </c>
      <c r="N25" s="68">
        <f t="shared" si="25"/>
        <v>40</v>
      </c>
      <c r="O25" s="68">
        <f t="shared" si="25"/>
        <v>20</v>
      </c>
      <c r="P25" s="68">
        <f t="shared" si="22"/>
        <v>0</v>
      </c>
      <c r="Q25" s="66">
        <f t="shared" si="15"/>
        <v>152.46549999999999</v>
      </c>
      <c r="R25" s="70">
        <f t="shared" si="8"/>
        <v>160.49</v>
      </c>
      <c r="S25" s="67">
        <f t="shared" si="9"/>
        <v>168.51450000000003</v>
      </c>
      <c r="T25" s="66">
        <f t="shared" si="23"/>
        <v>2056.4654999999998</v>
      </c>
      <c r="U25" s="89">
        <f t="shared" si="16"/>
        <v>2540.4899999999998</v>
      </c>
      <c r="V25" s="67">
        <f t="shared" si="16"/>
        <v>3024.5145000000002</v>
      </c>
      <c r="W25" s="6">
        <f t="shared" si="17"/>
        <v>0.65872185438673958</v>
      </c>
      <c r="X25" s="66">
        <f t="shared" si="18"/>
        <v>1354.6387676423535</v>
      </c>
      <c r="Y25" s="89">
        <f t="shared" si="19"/>
        <v>1673.476283850968</v>
      </c>
      <c r="Z25" s="67">
        <f t="shared" si="20"/>
        <v>1992.3138000595827</v>
      </c>
      <c r="AA25" s="14"/>
      <c r="AD25" s="71"/>
    </row>
    <row r="26" spans="1:30">
      <c r="A26" s="4">
        <f t="shared" si="21"/>
        <v>2032</v>
      </c>
      <c r="B26" s="4">
        <f t="shared" si="10"/>
        <v>13</v>
      </c>
      <c r="C26" s="63">
        <f t="shared" si="11"/>
        <v>0</v>
      </c>
      <c r="D26" s="64"/>
      <c r="E26" s="65">
        <f t="shared" si="12"/>
        <v>0</v>
      </c>
      <c r="F26" s="28">
        <f>G26*(1+$F$11)</f>
        <v>1904</v>
      </c>
      <c r="G26" s="27">
        <f t="shared" si="26"/>
        <v>2380</v>
      </c>
      <c r="H26" s="29">
        <f t="shared" si="7"/>
        <v>2856</v>
      </c>
      <c r="I26" s="30">
        <f t="shared" si="14"/>
        <v>1904</v>
      </c>
      <c r="J26" s="84">
        <f t="shared" si="14"/>
        <v>2380</v>
      </c>
      <c r="K26" s="31">
        <f t="shared" si="14"/>
        <v>2856</v>
      </c>
      <c r="L26" s="68">
        <f t="shared" si="25"/>
        <v>44</v>
      </c>
      <c r="M26" s="68">
        <f t="shared" si="25"/>
        <v>56.489999999999995</v>
      </c>
      <c r="N26" s="68">
        <f t="shared" si="25"/>
        <v>40</v>
      </c>
      <c r="O26" s="68">
        <f t="shared" si="25"/>
        <v>20</v>
      </c>
      <c r="P26" s="68">
        <f t="shared" si="22"/>
        <v>0</v>
      </c>
      <c r="Q26" s="66">
        <f t="shared" si="15"/>
        <v>152.46549999999999</v>
      </c>
      <c r="R26" s="70">
        <f t="shared" si="8"/>
        <v>160.49</v>
      </c>
      <c r="S26" s="67">
        <f t="shared" si="9"/>
        <v>168.51450000000003</v>
      </c>
      <c r="T26" s="66">
        <f t="shared" si="23"/>
        <v>2056.4654999999998</v>
      </c>
      <c r="U26" s="89">
        <f t="shared" si="16"/>
        <v>2540.4899999999998</v>
      </c>
      <c r="V26" s="67">
        <f t="shared" si="16"/>
        <v>3024.5145000000002</v>
      </c>
      <c r="W26" s="6">
        <f t="shared" si="17"/>
        <v>0.63620036158657478</v>
      </c>
      <c r="X26" s="66">
        <f t="shared" si="18"/>
        <v>1308.3240946903161</v>
      </c>
      <c r="Y26" s="89">
        <f t="shared" si="19"/>
        <v>1616.2606566070772</v>
      </c>
      <c r="Z26" s="67">
        <f t="shared" si="20"/>
        <v>1924.1972185238385</v>
      </c>
      <c r="AA26" s="14"/>
      <c r="AD26" s="71"/>
    </row>
    <row r="27" spans="1:30">
      <c r="A27" s="4">
        <f t="shared" si="21"/>
        <v>2033</v>
      </c>
      <c r="B27" s="4">
        <f t="shared" si="10"/>
        <v>14</v>
      </c>
      <c r="C27" s="63">
        <f t="shared" si="11"/>
        <v>0</v>
      </c>
      <c r="D27" s="64"/>
      <c r="E27" s="65">
        <f t="shared" si="12"/>
        <v>0</v>
      </c>
      <c r="F27" s="28">
        <f t="shared" si="13"/>
        <v>1904</v>
      </c>
      <c r="G27" s="27">
        <f t="shared" si="26"/>
        <v>2380</v>
      </c>
      <c r="H27" s="29">
        <f t="shared" si="7"/>
        <v>2856</v>
      </c>
      <c r="I27" s="30">
        <f t="shared" si="14"/>
        <v>1904</v>
      </c>
      <c r="J27" s="84">
        <f t="shared" si="14"/>
        <v>2380</v>
      </c>
      <c r="K27" s="31">
        <f t="shared" si="14"/>
        <v>2856</v>
      </c>
      <c r="L27" s="68">
        <f t="shared" si="25"/>
        <v>44</v>
      </c>
      <c r="M27" s="68">
        <f t="shared" si="25"/>
        <v>56.489999999999995</v>
      </c>
      <c r="N27" s="68">
        <f t="shared" si="25"/>
        <v>40</v>
      </c>
      <c r="O27" s="68">
        <f t="shared" si="25"/>
        <v>20</v>
      </c>
      <c r="P27" s="68">
        <f t="shared" si="22"/>
        <v>0</v>
      </c>
      <c r="Q27" s="66">
        <f t="shared" si="15"/>
        <v>152.46549999999999</v>
      </c>
      <c r="R27" s="70">
        <f t="shared" si="8"/>
        <v>160.49</v>
      </c>
      <c r="S27" s="67">
        <f t="shared" si="9"/>
        <v>168.51450000000003</v>
      </c>
      <c r="T27" s="66">
        <f t="shared" si="23"/>
        <v>2056.4654999999998</v>
      </c>
      <c r="U27" s="89">
        <f t="shared" si="16"/>
        <v>2540.4899999999998</v>
      </c>
      <c r="V27" s="67">
        <f t="shared" si="16"/>
        <v>3024.5145000000002</v>
      </c>
      <c r="W27" s="6">
        <f t="shared" si="17"/>
        <v>0.61444887153426186</v>
      </c>
      <c r="X27" s="66">
        <f t="shared" si="18"/>
        <v>1263.5929058241416</v>
      </c>
      <c r="Y27" s="89">
        <f t="shared" si="19"/>
        <v>1561.0012136440769</v>
      </c>
      <c r="Z27" s="67">
        <f t="shared" si="20"/>
        <v>1858.4095214640124</v>
      </c>
      <c r="AA27" s="14"/>
      <c r="AD27" s="71"/>
    </row>
    <row r="28" spans="1:30">
      <c r="A28" s="4">
        <f t="shared" si="21"/>
        <v>2034</v>
      </c>
      <c r="B28" s="4">
        <f t="shared" si="10"/>
        <v>15</v>
      </c>
      <c r="C28" s="63">
        <f t="shared" si="11"/>
        <v>45</v>
      </c>
      <c r="D28" s="64">
        <v>50</v>
      </c>
      <c r="E28" s="65">
        <f t="shared" si="12"/>
        <v>60</v>
      </c>
      <c r="F28" s="28">
        <f t="shared" si="13"/>
        <v>1904</v>
      </c>
      <c r="G28" s="27">
        <f t="shared" si="26"/>
        <v>2380</v>
      </c>
      <c r="H28" s="29">
        <f t="shared" si="7"/>
        <v>2856</v>
      </c>
      <c r="I28" s="30">
        <f t="shared" si="14"/>
        <v>1949</v>
      </c>
      <c r="J28" s="84">
        <f t="shared" si="14"/>
        <v>2430</v>
      </c>
      <c r="K28" s="31">
        <f t="shared" si="14"/>
        <v>2916</v>
      </c>
      <c r="L28" s="68">
        <f t="shared" si="25"/>
        <v>44</v>
      </c>
      <c r="M28" s="68">
        <f t="shared" si="25"/>
        <v>56.489999999999995</v>
      </c>
      <c r="N28" s="68">
        <f t="shared" si="25"/>
        <v>40</v>
      </c>
      <c r="O28" s="68">
        <f t="shared" si="25"/>
        <v>20</v>
      </c>
      <c r="P28" s="68">
        <f t="shared" si="22"/>
        <v>0</v>
      </c>
      <c r="Q28" s="66">
        <f t="shared" si="15"/>
        <v>152.46549999999999</v>
      </c>
      <c r="R28" s="70">
        <f t="shared" si="8"/>
        <v>160.49</v>
      </c>
      <c r="S28" s="67">
        <f t="shared" si="9"/>
        <v>168.51450000000003</v>
      </c>
      <c r="T28" s="66">
        <f t="shared" si="23"/>
        <v>2101.4654999999998</v>
      </c>
      <c r="U28" s="89">
        <f t="shared" si="16"/>
        <v>2590.4899999999998</v>
      </c>
      <c r="V28" s="67">
        <f t="shared" si="16"/>
        <v>3084.5145000000002</v>
      </c>
      <c r="W28" s="6">
        <f t="shared" si="17"/>
        <v>0.5934410580782904</v>
      </c>
      <c r="X28" s="66">
        <f t="shared" si="18"/>
        <v>1247.0959098350233</v>
      </c>
      <c r="Y28" s="89">
        <f t="shared" si="19"/>
        <v>1537.3031265412303</v>
      </c>
      <c r="Z28" s="67">
        <f t="shared" si="20"/>
        <v>1830.4775485378291</v>
      </c>
      <c r="AA28" s="14" t="s">
        <v>114</v>
      </c>
    </row>
    <row r="29" spans="1:30">
      <c r="A29" s="4">
        <f t="shared" si="21"/>
        <v>2035</v>
      </c>
      <c r="B29" s="4">
        <f t="shared" si="10"/>
        <v>16</v>
      </c>
      <c r="C29" s="63">
        <f t="shared" si="11"/>
        <v>45</v>
      </c>
      <c r="D29" s="64">
        <v>50</v>
      </c>
      <c r="E29" s="65">
        <f t="shared" si="12"/>
        <v>60</v>
      </c>
      <c r="F29" s="28">
        <f t="shared" si="13"/>
        <v>1904</v>
      </c>
      <c r="G29" s="27">
        <f t="shared" si="26"/>
        <v>2380</v>
      </c>
      <c r="H29" s="29">
        <f t="shared" si="7"/>
        <v>2856</v>
      </c>
      <c r="I29" s="30">
        <f t="shared" si="14"/>
        <v>1949</v>
      </c>
      <c r="J29" s="84">
        <f t="shared" si="14"/>
        <v>2430</v>
      </c>
      <c r="K29" s="31">
        <f t="shared" si="14"/>
        <v>2916</v>
      </c>
      <c r="L29" s="68">
        <f t="shared" si="25"/>
        <v>44</v>
      </c>
      <c r="M29" s="68">
        <f t="shared" si="25"/>
        <v>56.489999999999995</v>
      </c>
      <c r="N29" s="68">
        <f t="shared" si="25"/>
        <v>40</v>
      </c>
      <c r="O29" s="68">
        <f t="shared" si="25"/>
        <v>20</v>
      </c>
      <c r="P29" s="68">
        <f t="shared" si="22"/>
        <v>0</v>
      </c>
      <c r="Q29" s="66">
        <f t="shared" si="15"/>
        <v>152.46549999999999</v>
      </c>
      <c r="R29" s="70">
        <f t="shared" si="8"/>
        <v>160.49</v>
      </c>
      <c r="S29" s="67">
        <f t="shared" si="9"/>
        <v>168.51450000000003</v>
      </c>
      <c r="T29" s="66">
        <f t="shared" si="23"/>
        <v>2101.4654999999998</v>
      </c>
      <c r="U29" s="89">
        <f t="shared" si="16"/>
        <v>2590.4899999999998</v>
      </c>
      <c r="V29" s="67">
        <f t="shared" si="16"/>
        <v>3084.5145000000002</v>
      </c>
      <c r="W29" s="6">
        <f t="shared" si="17"/>
        <v>0.57315149514998098</v>
      </c>
      <c r="X29" s="66">
        <f t="shared" si="18"/>
        <v>1204.4580933311022</v>
      </c>
      <c r="Y29" s="89">
        <f t="shared" si="19"/>
        <v>1484.7432166710742</v>
      </c>
      <c r="Z29" s="67">
        <f t="shared" si="20"/>
        <v>1767.8940974867962</v>
      </c>
      <c r="AA29" s="14"/>
    </row>
    <row r="30" spans="1:30">
      <c r="A30" s="4">
        <f t="shared" si="21"/>
        <v>2036</v>
      </c>
      <c r="B30" s="4">
        <f t="shared" si="10"/>
        <v>17</v>
      </c>
      <c r="C30" s="63">
        <f t="shared" si="11"/>
        <v>0</v>
      </c>
      <c r="D30" s="64"/>
      <c r="E30" s="65">
        <f t="shared" si="12"/>
        <v>0</v>
      </c>
      <c r="F30" s="28">
        <f t="shared" si="13"/>
        <v>1904</v>
      </c>
      <c r="G30" s="27">
        <f t="shared" si="26"/>
        <v>2380</v>
      </c>
      <c r="H30" s="29">
        <f t="shared" si="7"/>
        <v>2856</v>
      </c>
      <c r="I30" s="30">
        <f t="shared" si="14"/>
        <v>1904</v>
      </c>
      <c r="J30" s="84">
        <f t="shared" si="14"/>
        <v>2380</v>
      </c>
      <c r="K30" s="31">
        <f t="shared" si="14"/>
        <v>2856</v>
      </c>
      <c r="L30" s="68">
        <f t="shared" si="25"/>
        <v>44</v>
      </c>
      <c r="M30" s="68">
        <f t="shared" si="25"/>
        <v>56.489999999999995</v>
      </c>
      <c r="N30" s="68">
        <f t="shared" si="25"/>
        <v>40</v>
      </c>
      <c r="O30" s="68">
        <f t="shared" si="25"/>
        <v>20</v>
      </c>
      <c r="P30" s="68">
        <f t="shared" si="22"/>
        <v>0</v>
      </c>
      <c r="Q30" s="66">
        <f t="shared" si="15"/>
        <v>152.46549999999999</v>
      </c>
      <c r="R30" s="70">
        <f t="shared" si="8"/>
        <v>160.49</v>
      </c>
      <c r="S30" s="67">
        <f t="shared" si="9"/>
        <v>168.51450000000003</v>
      </c>
      <c r="T30" s="66">
        <f t="shared" si="23"/>
        <v>2056.4654999999998</v>
      </c>
      <c r="U30" s="89">
        <f t="shared" si="16"/>
        <v>2540.4899999999998</v>
      </c>
      <c r="V30" s="67">
        <f t="shared" si="16"/>
        <v>3024.5145000000002</v>
      </c>
      <c r="W30" s="6">
        <f t="shared" si="17"/>
        <v>0.55355562598993713</v>
      </c>
      <c r="X30" s="66">
        <f t="shared" si="18"/>
        <v>1138.368047179209</v>
      </c>
      <c r="Y30" s="89">
        <f t="shared" si="19"/>
        <v>1406.3025322711753</v>
      </c>
      <c r="Z30" s="67">
        <f t="shared" si="20"/>
        <v>1674.2370173631418</v>
      </c>
      <c r="AA30" s="14"/>
    </row>
    <row r="31" spans="1:30">
      <c r="A31" s="4">
        <f t="shared" si="21"/>
        <v>2037</v>
      </c>
      <c r="B31" s="4">
        <f t="shared" si="10"/>
        <v>18</v>
      </c>
      <c r="C31" s="63">
        <f t="shared" si="11"/>
        <v>0</v>
      </c>
      <c r="D31" s="64"/>
      <c r="E31" s="65">
        <f t="shared" si="12"/>
        <v>0</v>
      </c>
      <c r="F31" s="28">
        <f t="shared" si="13"/>
        <v>1904</v>
      </c>
      <c r="G31" s="27">
        <f t="shared" si="26"/>
        <v>2380</v>
      </c>
      <c r="H31" s="29">
        <f t="shared" si="7"/>
        <v>2856</v>
      </c>
      <c r="I31" s="30">
        <f t="shared" si="14"/>
        <v>1904</v>
      </c>
      <c r="J31" s="84">
        <f t="shared" si="14"/>
        <v>2380</v>
      </c>
      <c r="K31" s="31">
        <f t="shared" si="14"/>
        <v>2856</v>
      </c>
      <c r="L31" s="68">
        <f t="shared" si="25"/>
        <v>44</v>
      </c>
      <c r="M31" s="68">
        <f t="shared" si="25"/>
        <v>56.489999999999995</v>
      </c>
      <c r="N31" s="68">
        <f t="shared" si="25"/>
        <v>40</v>
      </c>
      <c r="O31" s="68">
        <f t="shared" si="25"/>
        <v>20</v>
      </c>
      <c r="P31" s="68">
        <f t="shared" si="22"/>
        <v>0</v>
      </c>
      <c r="Q31" s="66">
        <f t="shared" si="15"/>
        <v>152.46549999999999</v>
      </c>
      <c r="R31" s="70">
        <f t="shared" si="8"/>
        <v>160.49</v>
      </c>
      <c r="S31" s="67">
        <f t="shared" si="9"/>
        <v>168.51450000000003</v>
      </c>
      <c r="T31" s="66">
        <f t="shared" si="23"/>
        <v>2056.4654999999998</v>
      </c>
      <c r="U31" s="89">
        <f t="shared" si="16"/>
        <v>2540.4899999999998</v>
      </c>
      <c r="V31" s="67">
        <f t="shared" si="16"/>
        <v>3024.5145000000002</v>
      </c>
      <c r="W31" s="6">
        <f t="shared" si="17"/>
        <v>0.53462973342663422</v>
      </c>
      <c r="X31" s="66">
        <f t="shared" si="18"/>
        <v>1099.44760206607</v>
      </c>
      <c r="Y31" s="89">
        <f t="shared" si="19"/>
        <v>1358.2214914730298</v>
      </c>
      <c r="Z31" s="67">
        <f t="shared" si="20"/>
        <v>1616.9953808799901</v>
      </c>
      <c r="AA31" s="14"/>
    </row>
    <row r="32" spans="1:30">
      <c r="A32" s="4">
        <f t="shared" si="21"/>
        <v>2038</v>
      </c>
      <c r="B32" s="4">
        <f t="shared" si="10"/>
        <v>19</v>
      </c>
      <c r="C32" s="63">
        <f t="shared" si="11"/>
        <v>0</v>
      </c>
      <c r="D32" s="64"/>
      <c r="E32" s="65">
        <f t="shared" si="12"/>
        <v>0</v>
      </c>
      <c r="F32" s="28">
        <f t="shared" si="13"/>
        <v>1904</v>
      </c>
      <c r="G32" s="27">
        <f t="shared" si="26"/>
        <v>2380</v>
      </c>
      <c r="H32" s="29">
        <f t="shared" si="7"/>
        <v>2856</v>
      </c>
      <c r="I32" s="30">
        <f t="shared" si="14"/>
        <v>1904</v>
      </c>
      <c r="J32" s="84">
        <f t="shared" si="14"/>
        <v>2380</v>
      </c>
      <c r="K32" s="31">
        <f t="shared" si="14"/>
        <v>2856</v>
      </c>
      <c r="L32" s="68">
        <f t="shared" ref="L32:O47" si="27">L31</f>
        <v>44</v>
      </c>
      <c r="M32" s="68">
        <f t="shared" si="27"/>
        <v>56.489999999999995</v>
      </c>
      <c r="N32" s="68">
        <f t="shared" si="27"/>
        <v>40</v>
      </c>
      <c r="O32" s="68">
        <f t="shared" si="27"/>
        <v>20</v>
      </c>
      <c r="P32" s="68">
        <f t="shared" si="22"/>
        <v>0</v>
      </c>
      <c r="Q32" s="66">
        <f t="shared" si="15"/>
        <v>152.46549999999999</v>
      </c>
      <c r="R32" s="70">
        <f t="shared" si="8"/>
        <v>160.49</v>
      </c>
      <c r="S32" s="67">
        <f t="shared" si="9"/>
        <v>168.51450000000003</v>
      </c>
      <c r="T32" s="66">
        <f t="shared" si="23"/>
        <v>2056.4654999999998</v>
      </c>
      <c r="U32" s="89">
        <f t="shared" si="16"/>
        <v>2540.4899999999998</v>
      </c>
      <c r="V32" s="67">
        <f t="shared" si="16"/>
        <v>3024.5145000000002</v>
      </c>
      <c r="W32" s="6">
        <f t="shared" si="17"/>
        <v>0.51635091117117471</v>
      </c>
      <c r="X32" s="66">
        <f t="shared" si="18"/>
        <v>1061.8578347170853</v>
      </c>
      <c r="Y32" s="89">
        <f t="shared" si="19"/>
        <v>1311.7843263212576</v>
      </c>
      <c r="Z32" s="67">
        <f t="shared" si="20"/>
        <v>1561.7108179254301</v>
      </c>
      <c r="AA32" s="14"/>
    </row>
    <row r="33" spans="1:27">
      <c r="A33" s="4">
        <f t="shared" si="21"/>
        <v>2039</v>
      </c>
      <c r="B33" s="4">
        <f t="shared" si="10"/>
        <v>20</v>
      </c>
      <c r="C33" s="63">
        <f t="shared" si="11"/>
        <v>0</v>
      </c>
      <c r="D33" s="64"/>
      <c r="E33" s="65">
        <f t="shared" si="12"/>
        <v>0</v>
      </c>
      <c r="F33" s="28">
        <f t="shared" si="13"/>
        <v>1904</v>
      </c>
      <c r="G33" s="27">
        <f t="shared" si="26"/>
        <v>2380</v>
      </c>
      <c r="H33" s="29">
        <f t="shared" si="7"/>
        <v>2856</v>
      </c>
      <c r="I33" s="30">
        <f t="shared" si="14"/>
        <v>1904</v>
      </c>
      <c r="J33" s="84">
        <f t="shared" si="14"/>
        <v>2380</v>
      </c>
      <c r="K33" s="31">
        <f t="shared" si="14"/>
        <v>2856</v>
      </c>
      <c r="L33" s="68">
        <f t="shared" si="27"/>
        <v>44</v>
      </c>
      <c r="M33" s="68">
        <f t="shared" si="27"/>
        <v>56.489999999999995</v>
      </c>
      <c r="N33" s="68">
        <f t="shared" si="27"/>
        <v>40</v>
      </c>
      <c r="O33" s="68">
        <f t="shared" si="27"/>
        <v>20</v>
      </c>
      <c r="P33" s="68">
        <f t="shared" si="22"/>
        <v>0</v>
      </c>
      <c r="Q33" s="66">
        <f t="shared" si="15"/>
        <v>152.46549999999999</v>
      </c>
      <c r="R33" s="70">
        <f t="shared" si="8"/>
        <v>160.49</v>
      </c>
      <c r="S33" s="67">
        <f t="shared" si="9"/>
        <v>168.51450000000003</v>
      </c>
      <c r="T33" s="66">
        <f t="shared" si="23"/>
        <v>2056.4654999999998</v>
      </c>
      <c r="U33" s="89">
        <f t="shared" si="16"/>
        <v>2540.4899999999998</v>
      </c>
      <c r="V33" s="67">
        <f t="shared" si="16"/>
        <v>3024.5145000000002</v>
      </c>
      <c r="W33" s="6">
        <f t="shared" si="17"/>
        <v>0.49869703609346588</v>
      </c>
      <c r="X33" s="66">
        <f t="shared" si="18"/>
        <v>1025.5532496784672</v>
      </c>
      <c r="Y33" s="89">
        <f t="shared" si="19"/>
        <v>1266.9348332250891</v>
      </c>
      <c r="Z33" s="67">
        <f t="shared" si="20"/>
        <v>1508.3164167717111</v>
      </c>
      <c r="AA33" s="14"/>
    </row>
    <row r="34" spans="1:27">
      <c r="A34" s="4">
        <f t="shared" si="21"/>
        <v>2040</v>
      </c>
      <c r="B34" s="4">
        <f t="shared" si="10"/>
        <v>21</v>
      </c>
      <c r="C34" s="63">
        <f t="shared" si="11"/>
        <v>0</v>
      </c>
      <c r="D34" s="64"/>
      <c r="E34" s="65">
        <f t="shared" si="12"/>
        <v>0</v>
      </c>
      <c r="F34" s="28">
        <f t="shared" si="13"/>
        <v>1904</v>
      </c>
      <c r="G34" s="27">
        <f t="shared" si="26"/>
        <v>2380</v>
      </c>
      <c r="H34" s="29">
        <f t="shared" si="7"/>
        <v>2856</v>
      </c>
      <c r="I34" s="30">
        <f t="shared" si="14"/>
        <v>1904</v>
      </c>
      <c r="J34" s="84">
        <f t="shared" si="14"/>
        <v>2380</v>
      </c>
      <c r="K34" s="31">
        <f t="shared" si="14"/>
        <v>2856</v>
      </c>
      <c r="L34" s="68">
        <f t="shared" si="27"/>
        <v>44</v>
      </c>
      <c r="M34" s="68">
        <f t="shared" si="27"/>
        <v>56.489999999999995</v>
      </c>
      <c r="N34" s="68">
        <f t="shared" si="27"/>
        <v>40</v>
      </c>
      <c r="O34" s="68">
        <f t="shared" si="27"/>
        <v>20</v>
      </c>
      <c r="P34" s="68">
        <f t="shared" si="22"/>
        <v>0</v>
      </c>
      <c r="Q34" s="66">
        <f t="shared" si="15"/>
        <v>152.46549999999999</v>
      </c>
      <c r="R34" s="70">
        <f t="shared" si="8"/>
        <v>160.49</v>
      </c>
      <c r="S34" s="67">
        <f t="shared" si="9"/>
        <v>168.51450000000003</v>
      </c>
      <c r="T34" s="66">
        <f t="shared" si="23"/>
        <v>2056.4654999999998</v>
      </c>
      <c r="U34" s="89">
        <f t="shared" si="16"/>
        <v>2540.4899999999998</v>
      </c>
      <c r="V34" s="67">
        <f t="shared" si="16"/>
        <v>3024.5145000000002</v>
      </c>
      <c r="W34" s="6">
        <f t="shared" si="17"/>
        <v>0.48164674144626801</v>
      </c>
      <c r="X34" s="66">
        <f t="shared" si="18"/>
        <v>990.48990697167017</v>
      </c>
      <c r="Y34" s="89">
        <f t="shared" si="19"/>
        <v>1223.6187301768293</v>
      </c>
      <c r="Z34" s="67">
        <f t="shared" si="20"/>
        <v>1456.7475533819886</v>
      </c>
      <c r="AA34" s="14"/>
    </row>
    <row r="35" spans="1:27">
      <c r="A35" s="4">
        <f t="shared" si="21"/>
        <v>2041</v>
      </c>
      <c r="B35" s="4">
        <f t="shared" si="10"/>
        <v>22</v>
      </c>
      <c r="C35" s="63">
        <f t="shared" si="11"/>
        <v>0</v>
      </c>
      <c r="D35" s="64"/>
      <c r="E35" s="65">
        <f t="shared" si="12"/>
        <v>0</v>
      </c>
      <c r="F35" s="28">
        <f t="shared" si="13"/>
        <v>1904</v>
      </c>
      <c r="G35" s="27">
        <f t="shared" si="26"/>
        <v>2380</v>
      </c>
      <c r="H35" s="29">
        <f t="shared" si="7"/>
        <v>2856</v>
      </c>
      <c r="I35" s="30">
        <f t="shared" si="14"/>
        <v>1904</v>
      </c>
      <c r="J35" s="84">
        <f>G35+D35</f>
        <v>2380</v>
      </c>
      <c r="K35" s="31">
        <f t="shared" si="14"/>
        <v>2856</v>
      </c>
      <c r="L35" s="68">
        <f t="shared" si="27"/>
        <v>44</v>
      </c>
      <c r="M35" s="68">
        <f t="shared" si="27"/>
        <v>56.489999999999995</v>
      </c>
      <c r="N35" s="68">
        <f t="shared" si="27"/>
        <v>40</v>
      </c>
      <c r="O35" s="68">
        <f t="shared" si="27"/>
        <v>20</v>
      </c>
      <c r="P35" s="68">
        <f t="shared" si="22"/>
        <v>0</v>
      </c>
      <c r="Q35" s="66">
        <f t="shared" si="15"/>
        <v>152.46549999999999</v>
      </c>
      <c r="R35" s="70">
        <f t="shared" si="8"/>
        <v>160.49</v>
      </c>
      <c r="S35" s="67">
        <f t="shared" si="9"/>
        <v>168.51450000000003</v>
      </c>
      <c r="T35" s="66">
        <f t="shared" si="23"/>
        <v>2056.4654999999998</v>
      </c>
      <c r="U35" s="89">
        <f t="shared" si="16"/>
        <v>2540.4899999999998</v>
      </c>
      <c r="V35" s="67">
        <f t="shared" si="16"/>
        <v>3024.5145000000002</v>
      </c>
      <c r="W35" s="6">
        <f t="shared" si="17"/>
        <v>0.46517939100470151</v>
      </c>
      <c r="X35" s="66">
        <f t="shared" si="18"/>
        <v>956.62536891217894</v>
      </c>
      <c r="Y35" s="89">
        <f t="shared" si="19"/>
        <v>1181.7835910535341</v>
      </c>
      <c r="Z35" s="67">
        <f t="shared" si="20"/>
        <v>1406.9418131948894</v>
      </c>
      <c r="AA35" s="90"/>
    </row>
    <row r="36" spans="1:27">
      <c r="A36" s="4">
        <f t="shared" si="21"/>
        <v>2042</v>
      </c>
      <c r="B36" s="4">
        <f t="shared" si="10"/>
        <v>23</v>
      </c>
      <c r="C36" s="63">
        <f t="shared" si="11"/>
        <v>0</v>
      </c>
      <c r="D36" s="64"/>
      <c r="E36" s="65">
        <f t="shared" si="12"/>
        <v>0</v>
      </c>
      <c r="F36" s="28">
        <f t="shared" si="13"/>
        <v>1904</v>
      </c>
      <c r="G36" s="27">
        <f t="shared" si="26"/>
        <v>2380</v>
      </c>
      <c r="H36" s="29">
        <f t="shared" si="7"/>
        <v>2856</v>
      </c>
      <c r="I36" s="30">
        <f t="shared" si="14"/>
        <v>1904</v>
      </c>
      <c r="J36" s="84">
        <f t="shared" si="14"/>
        <v>2380</v>
      </c>
      <c r="K36" s="31">
        <f t="shared" si="14"/>
        <v>2856</v>
      </c>
      <c r="L36" s="68">
        <f t="shared" si="27"/>
        <v>44</v>
      </c>
      <c r="M36" s="68">
        <f t="shared" si="27"/>
        <v>56.489999999999995</v>
      </c>
      <c r="N36" s="68">
        <f t="shared" si="27"/>
        <v>40</v>
      </c>
      <c r="O36" s="68">
        <f t="shared" si="27"/>
        <v>20</v>
      </c>
      <c r="P36" s="68">
        <f t="shared" si="22"/>
        <v>0</v>
      </c>
      <c r="Q36" s="66">
        <f t="shared" si="15"/>
        <v>152.46549999999999</v>
      </c>
      <c r="R36" s="70">
        <f t="shared" si="8"/>
        <v>160.49</v>
      </c>
      <c r="S36" s="67">
        <f t="shared" si="9"/>
        <v>168.51450000000003</v>
      </c>
      <c r="T36" s="66">
        <f t="shared" si="23"/>
        <v>2056.4654999999998</v>
      </c>
      <c r="U36" s="89">
        <f t="shared" si="16"/>
        <v>2540.4899999999998</v>
      </c>
      <c r="V36" s="67">
        <f t="shared" si="16"/>
        <v>3024.5145000000002</v>
      </c>
      <c r="W36" s="6">
        <f t="shared" si="17"/>
        <v>0.44927505408991841</v>
      </c>
      <c r="X36" s="66">
        <f t="shared" si="18"/>
        <v>923.91864874655107</v>
      </c>
      <c r="Y36" s="89">
        <f t="shared" si="19"/>
        <v>1141.3787821648966</v>
      </c>
      <c r="Z36" s="67">
        <f t="shared" si="20"/>
        <v>1358.8389155832426</v>
      </c>
      <c r="AA36" s="14"/>
    </row>
    <row r="37" spans="1:27">
      <c r="A37" s="4">
        <f t="shared" si="21"/>
        <v>2043</v>
      </c>
      <c r="B37" s="4">
        <f t="shared" si="10"/>
        <v>24</v>
      </c>
      <c r="C37" s="63">
        <f t="shared" si="11"/>
        <v>0</v>
      </c>
      <c r="D37" s="64"/>
      <c r="E37" s="65">
        <f t="shared" si="12"/>
        <v>0</v>
      </c>
      <c r="F37" s="28">
        <f t="shared" si="13"/>
        <v>1904</v>
      </c>
      <c r="G37" s="27">
        <f t="shared" si="26"/>
        <v>2380</v>
      </c>
      <c r="H37" s="29">
        <f t="shared" si="7"/>
        <v>2856</v>
      </c>
      <c r="I37" s="30">
        <f t="shared" si="14"/>
        <v>1904</v>
      </c>
      <c r="J37" s="84">
        <f t="shared" si="14"/>
        <v>2380</v>
      </c>
      <c r="K37" s="31">
        <f t="shared" si="14"/>
        <v>2856</v>
      </c>
      <c r="L37" s="68">
        <f t="shared" si="27"/>
        <v>44</v>
      </c>
      <c r="M37" s="68">
        <f t="shared" si="27"/>
        <v>56.489999999999995</v>
      </c>
      <c r="N37" s="68">
        <f t="shared" si="27"/>
        <v>40</v>
      </c>
      <c r="O37" s="68">
        <f t="shared" si="27"/>
        <v>20</v>
      </c>
      <c r="P37" s="68">
        <f t="shared" si="22"/>
        <v>0</v>
      </c>
      <c r="Q37" s="66">
        <f t="shared" si="15"/>
        <v>152.46549999999999</v>
      </c>
      <c r="R37" s="70">
        <f t="shared" si="8"/>
        <v>160.49</v>
      </c>
      <c r="S37" s="67">
        <f t="shared" si="9"/>
        <v>168.51450000000003</v>
      </c>
      <c r="T37" s="66">
        <f t="shared" si="23"/>
        <v>2056.4654999999998</v>
      </c>
      <c r="U37" s="89">
        <f t="shared" si="16"/>
        <v>2540.4899999999998</v>
      </c>
      <c r="V37" s="67">
        <f t="shared" si="16"/>
        <v>3024.5145000000002</v>
      </c>
      <c r="W37" s="6">
        <f t="shared" si="17"/>
        <v>0.43391448144670497</v>
      </c>
      <c r="X37" s="66">
        <f t="shared" si="18"/>
        <v>892.33016104553872</v>
      </c>
      <c r="Y37" s="89">
        <f t="shared" si="19"/>
        <v>1102.3554009705394</v>
      </c>
      <c r="Z37" s="67">
        <f t="shared" si="20"/>
        <v>1312.3806408955402</v>
      </c>
      <c r="AA37" s="14"/>
    </row>
    <row r="38" spans="1:27">
      <c r="A38" s="4">
        <f t="shared" si="21"/>
        <v>2044</v>
      </c>
      <c r="B38" s="4">
        <f t="shared" si="10"/>
        <v>25</v>
      </c>
      <c r="C38" s="63">
        <f t="shared" si="11"/>
        <v>45</v>
      </c>
      <c r="D38" s="64">
        <v>50</v>
      </c>
      <c r="E38" s="65">
        <f t="shared" si="12"/>
        <v>60</v>
      </c>
      <c r="F38" s="28">
        <f t="shared" si="13"/>
        <v>1904</v>
      </c>
      <c r="G38" s="27">
        <f t="shared" si="26"/>
        <v>2380</v>
      </c>
      <c r="H38" s="29">
        <f t="shared" si="7"/>
        <v>2856</v>
      </c>
      <c r="I38" s="30">
        <f t="shared" si="14"/>
        <v>1949</v>
      </c>
      <c r="J38" s="84">
        <f t="shared" si="14"/>
        <v>2430</v>
      </c>
      <c r="K38" s="31">
        <f t="shared" si="14"/>
        <v>2916</v>
      </c>
      <c r="L38" s="68">
        <f t="shared" si="27"/>
        <v>44</v>
      </c>
      <c r="M38" s="68">
        <f t="shared" si="27"/>
        <v>56.489999999999995</v>
      </c>
      <c r="N38" s="68">
        <f t="shared" si="27"/>
        <v>40</v>
      </c>
      <c r="O38" s="68">
        <f t="shared" si="27"/>
        <v>20</v>
      </c>
      <c r="P38" s="68">
        <f t="shared" si="22"/>
        <v>0</v>
      </c>
      <c r="Q38" s="66">
        <f t="shared" si="15"/>
        <v>152.46549999999999</v>
      </c>
      <c r="R38" s="70">
        <f t="shared" si="8"/>
        <v>160.49</v>
      </c>
      <c r="S38" s="67">
        <f t="shared" si="9"/>
        <v>168.51450000000003</v>
      </c>
      <c r="T38" s="66">
        <f t="shared" si="23"/>
        <v>2101.4654999999998</v>
      </c>
      <c r="U38" s="89">
        <f t="shared" si="16"/>
        <v>2590.4899999999998</v>
      </c>
      <c r="V38" s="67">
        <f t="shared" si="16"/>
        <v>3084.5145000000002</v>
      </c>
      <c r="W38" s="7">
        <f t="shared" si="17"/>
        <v>0.41907908194582277</v>
      </c>
      <c r="X38" s="66">
        <f t="shared" si="18"/>
        <v>880.68023248081931</v>
      </c>
      <c r="Y38" s="89">
        <f t="shared" si="19"/>
        <v>1085.6201709898344</v>
      </c>
      <c r="Z38" s="67">
        <f t="shared" si="20"/>
        <v>1292.6555049085787</v>
      </c>
      <c r="AA38" s="14"/>
    </row>
    <row r="39" spans="1:27">
      <c r="A39" s="4">
        <f t="shared" si="21"/>
        <v>2045</v>
      </c>
      <c r="B39" s="4">
        <f t="shared" si="10"/>
        <v>26</v>
      </c>
      <c r="C39" s="63">
        <f t="shared" si="11"/>
        <v>45</v>
      </c>
      <c r="D39" s="64">
        <v>50</v>
      </c>
      <c r="E39" s="65">
        <f t="shared" si="12"/>
        <v>60</v>
      </c>
      <c r="F39" s="28">
        <f t="shared" si="13"/>
        <v>1904</v>
      </c>
      <c r="G39" s="27">
        <f t="shared" si="26"/>
        <v>2380</v>
      </c>
      <c r="H39" s="29">
        <f t="shared" si="7"/>
        <v>2856</v>
      </c>
      <c r="I39" s="30">
        <f t="shared" si="14"/>
        <v>1949</v>
      </c>
      <c r="J39" s="84">
        <f t="shared" si="14"/>
        <v>2430</v>
      </c>
      <c r="K39" s="31">
        <f t="shared" si="14"/>
        <v>2916</v>
      </c>
      <c r="L39" s="68">
        <f t="shared" si="27"/>
        <v>44</v>
      </c>
      <c r="M39" s="68">
        <f t="shared" si="27"/>
        <v>56.489999999999995</v>
      </c>
      <c r="N39" s="68">
        <f t="shared" si="27"/>
        <v>40</v>
      </c>
      <c r="O39" s="68">
        <f t="shared" si="27"/>
        <v>20</v>
      </c>
      <c r="P39" s="68">
        <f t="shared" si="22"/>
        <v>0</v>
      </c>
      <c r="Q39" s="66">
        <f t="shared" si="15"/>
        <v>152.46549999999999</v>
      </c>
      <c r="R39" s="70">
        <f t="shared" si="8"/>
        <v>160.49</v>
      </c>
      <c r="S39" s="67">
        <f t="shared" si="9"/>
        <v>168.51450000000003</v>
      </c>
      <c r="T39" s="66">
        <f t="shared" si="23"/>
        <v>2101.4654999999998</v>
      </c>
      <c r="U39" s="89">
        <f t="shared" si="16"/>
        <v>2590.4899999999998</v>
      </c>
      <c r="V39" s="67">
        <f t="shared" si="16"/>
        <v>3084.5145000000002</v>
      </c>
      <c r="W39" s="7">
        <f t="shared" si="17"/>
        <v>0.40475090008288855</v>
      </c>
      <c r="X39" s="66">
        <f t="shared" si="18"/>
        <v>850.57005261813731</v>
      </c>
      <c r="Y39" s="89">
        <f t="shared" si="19"/>
        <v>1048.503159155722</v>
      </c>
      <c r="Z39" s="67">
        <f t="shared" si="20"/>
        <v>1248.460020193721</v>
      </c>
      <c r="AA39" s="14"/>
    </row>
    <row r="40" spans="1:27">
      <c r="A40" s="4">
        <f t="shared" si="21"/>
        <v>2046</v>
      </c>
      <c r="B40" s="4">
        <f t="shared" si="10"/>
        <v>27</v>
      </c>
      <c r="C40" s="63">
        <f t="shared" si="11"/>
        <v>0</v>
      </c>
      <c r="D40" s="64"/>
      <c r="E40" s="65">
        <f t="shared" si="12"/>
        <v>0</v>
      </c>
      <c r="F40" s="28">
        <f t="shared" si="13"/>
        <v>1904</v>
      </c>
      <c r="G40" s="27">
        <f t="shared" si="26"/>
        <v>2380</v>
      </c>
      <c r="H40" s="29">
        <f t="shared" si="7"/>
        <v>2856</v>
      </c>
      <c r="I40" s="30">
        <f t="shared" si="14"/>
        <v>1904</v>
      </c>
      <c r="J40" s="84">
        <f t="shared" si="14"/>
        <v>2380</v>
      </c>
      <c r="K40" s="31">
        <f t="shared" si="14"/>
        <v>2856</v>
      </c>
      <c r="L40" s="68">
        <f t="shared" si="27"/>
        <v>44</v>
      </c>
      <c r="M40" s="68">
        <f t="shared" si="27"/>
        <v>56.489999999999995</v>
      </c>
      <c r="N40" s="68">
        <f t="shared" si="27"/>
        <v>40</v>
      </c>
      <c r="O40" s="68">
        <f t="shared" si="27"/>
        <v>20</v>
      </c>
      <c r="P40" s="68">
        <f t="shared" si="22"/>
        <v>0</v>
      </c>
      <c r="Q40" s="66">
        <f t="shared" si="15"/>
        <v>152.46549999999999</v>
      </c>
      <c r="R40" s="70">
        <f t="shared" si="8"/>
        <v>160.49</v>
      </c>
      <c r="S40" s="67">
        <f t="shared" si="9"/>
        <v>168.51450000000003</v>
      </c>
      <c r="T40" s="66">
        <f t="shared" si="23"/>
        <v>2056.4654999999998</v>
      </c>
      <c r="U40" s="89">
        <f t="shared" si="16"/>
        <v>2540.4899999999998</v>
      </c>
      <c r="V40" s="67">
        <f t="shared" si="16"/>
        <v>3024.5145000000002</v>
      </c>
      <c r="W40" s="7">
        <f t="shared" si="17"/>
        <v>0.39091259424656027</v>
      </c>
      <c r="X40" s="66">
        <f t="shared" si="18"/>
        <v>803.89826358354958</v>
      </c>
      <c r="Y40" s="89">
        <f t="shared" si="19"/>
        <v>993.10953655744379</v>
      </c>
      <c r="Z40" s="67">
        <f t="shared" si="20"/>
        <v>1182.3208095313382</v>
      </c>
      <c r="AA40" s="90"/>
    </row>
    <row r="41" spans="1:27">
      <c r="A41" s="4">
        <f t="shared" si="21"/>
        <v>2047</v>
      </c>
      <c r="B41" s="4">
        <f t="shared" si="10"/>
        <v>28</v>
      </c>
      <c r="C41" s="63">
        <f t="shared" si="11"/>
        <v>0</v>
      </c>
      <c r="D41" s="64"/>
      <c r="E41" s="65">
        <f t="shared" si="12"/>
        <v>0</v>
      </c>
      <c r="F41" s="28">
        <f t="shared" si="13"/>
        <v>1904</v>
      </c>
      <c r="G41" s="27">
        <f t="shared" si="26"/>
        <v>2380</v>
      </c>
      <c r="H41" s="29">
        <f t="shared" si="7"/>
        <v>2856</v>
      </c>
      <c r="I41" s="30">
        <f t="shared" si="14"/>
        <v>1904</v>
      </c>
      <c r="J41" s="84">
        <f t="shared" si="14"/>
        <v>2380</v>
      </c>
      <c r="K41" s="31">
        <f t="shared" si="14"/>
        <v>2856</v>
      </c>
      <c r="L41" s="68">
        <f t="shared" si="27"/>
        <v>44</v>
      </c>
      <c r="M41" s="68">
        <f t="shared" si="27"/>
        <v>56.489999999999995</v>
      </c>
      <c r="N41" s="68">
        <f t="shared" si="27"/>
        <v>40</v>
      </c>
      <c r="O41" s="68">
        <f t="shared" si="27"/>
        <v>20</v>
      </c>
      <c r="P41" s="68">
        <f t="shared" si="22"/>
        <v>0</v>
      </c>
      <c r="Q41" s="66">
        <f t="shared" si="15"/>
        <v>152.46549999999999</v>
      </c>
      <c r="R41" s="70">
        <f t="shared" si="8"/>
        <v>160.49</v>
      </c>
      <c r="S41" s="67">
        <f t="shared" si="9"/>
        <v>168.51450000000003</v>
      </c>
      <c r="T41" s="66">
        <f t="shared" si="23"/>
        <v>2056.4654999999998</v>
      </c>
      <c r="U41" s="89">
        <f t="shared" si="16"/>
        <v>2540.4899999999998</v>
      </c>
      <c r="V41" s="67">
        <f t="shared" si="16"/>
        <v>3024.5145000000002</v>
      </c>
      <c r="W41" s="7">
        <f t="shared" si="17"/>
        <v>0.37754741572972783</v>
      </c>
      <c r="X41" s="66">
        <f t="shared" si="18"/>
        <v>776.41323506234255</v>
      </c>
      <c r="Y41" s="89">
        <f t="shared" si="19"/>
        <v>959.1554341872162</v>
      </c>
      <c r="Z41" s="67">
        <f t="shared" si="20"/>
        <v>1141.89763331209</v>
      </c>
      <c r="AA41" s="14"/>
    </row>
    <row r="42" spans="1:27">
      <c r="A42" s="4">
        <f t="shared" si="21"/>
        <v>2048</v>
      </c>
      <c r="B42" s="4">
        <f t="shared" si="10"/>
        <v>29</v>
      </c>
      <c r="C42" s="63">
        <f t="shared" si="11"/>
        <v>0</v>
      </c>
      <c r="D42" s="64"/>
      <c r="E42" s="65">
        <f t="shared" si="12"/>
        <v>0</v>
      </c>
      <c r="F42" s="28">
        <f t="shared" si="13"/>
        <v>1904</v>
      </c>
      <c r="G42" s="27">
        <f t="shared" si="26"/>
        <v>2380</v>
      </c>
      <c r="H42" s="29">
        <f t="shared" si="7"/>
        <v>2856</v>
      </c>
      <c r="I42" s="30">
        <f t="shared" si="14"/>
        <v>1904</v>
      </c>
      <c r="J42" s="84">
        <f t="shared" si="14"/>
        <v>2380</v>
      </c>
      <c r="K42" s="31">
        <f t="shared" si="14"/>
        <v>2856</v>
      </c>
      <c r="L42" s="68">
        <f t="shared" si="27"/>
        <v>44</v>
      </c>
      <c r="M42" s="68">
        <f t="shared" si="27"/>
        <v>56.489999999999995</v>
      </c>
      <c r="N42" s="68">
        <f t="shared" si="27"/>
        <v>40</v>
      </c>
      <c r="O42" s="68">
        <f t="shared" si="27"/>
        <v>20</v>
      </c>
      <c r="P42" s="68">
        <f t="shared" si="22"/>
        <v>0</v>
      </c>
      <c r="Q42" s="66">
        <f t="shared" si="15"/>
        <v>152.46549999999999</v>
      </c>
      <c r="R42" s="70">
        <f t="shared" si="8"/>
        <v>160.49</v>
      </c>
      <c r="S42" s="67">
        <f t="shared" si="9"/>
        <v>168.51450000000003</v>
      </c>
      <c r="T42" s="66">
        <f t="shared" si="23"/>
        <v>2056.4654999999998</v>
      </c>
      <c r="U42" s="89">
        <f t="shared" si="16"/>
        <v>2540.4899999999998</v>
      </c>
      <c r="V42" s="67">
        <f t="shared" si="16"/>
        <v>3024.5145000000002</v>
      </c>
      <c r="W42" s="7">
        <f t="shared" si="17"/>
        <v>0.36463918845830384</v>
      </c>
      <c r="X42" s="66">
        <f t="shared" si="18"/>
        <v>749.86791101249992</v>
      </c>
      <c r="Y42" s="89">
        <f t="shared" si="19"/>
        <v>926.36221188643628</v>
      </c>
      <c r="Z42" s="67">
        <f t="shared" si="20"/>
        <v>1102.8565127603727</v>
      </c>
      <c r="AA42" s="14"/>
    </row>
    <row r="43" spans="1:27">
      <c r="A43" s="4">
        <f t="shared" si="21"/>
        <v>2049</v>
      </c>
      <c r="B43" s="4">
        <f t="shared" si="10"/>
        <v>30</v>
      </c>
      <c r="C43" s="63">
        <f t="shared" si="11"/>
        <v>0</v>
      </c>
      <c r="D43" s="64"/>
      <c r="E43" s="65">
        <f t="shared" si="12"/>
        <v>0</v>
      </c>
      <c r="F43" s="28">
        <f t="shared" si="13"/>
        <v>1904</v>
      </c>
      <c r="G43" s="27">
        <f t="shared" si="26"/>
        <v>2380</v>
      </c>
      <c r="H43" s="29">
        <f t="shared" si="7"/>
        <v>2856</v>
      </c>
      <c r="I43" s="30">
        <f t="shared" si="14"/>
        <v>1904</v>
      </c>
      <c r="J43" s="84">
        <f t="shared" si="14"/>
        <v>2380</v>
      </c>
      <c r="K43" s="31">
        <f t="shared" si="14"/>
        <v>2856</v>
      </c>
      <c r="L43" s="68">
        <f t="shared" si="27"/>
        <v>44</v>
      </c>
      <c r="M43" s="68">
        <f t="shared" si="27"/>
        <v>56.489999999999995</v>
      </c>
      <c r="N43" s="68">
        <f t="shared" si="27"/>
        <v>40</v>
      </c>
      <c r="O43" s="68">
        <f t="shared" si="27"/>
        <v>20</v>
      </c>
      <c r="P43" s="68">
        <f t="shared" si="22"/>
        <v>0</v>
      </c>
      <c r="Q43" s="66">
        <f t="shared" si="15"/>
        <v>152.46549999999999</v>
      </c>
      <c r="R43" s="70">
        <f t="shared" si="8"/>
        <v>160.49</v>
      </c>
      <c r="S43" s="67">
        <f t="shared" si="9"/>
        <v>168.51450000000003</v>
      </c>
      <c r="T43" s="66">
        <f t="shared" si="23"/>
        <v>2056.4654999999998</v>
      </c>
      <c r="U43" s="89">
        <f t="shared" si="16"/>
        <v>2540.4899999999998</v>
      </c>
      <c r="V43" s="67">
        <f t="shared" si="16"/>
        <v>3024.5145000000002</v>
      </c>
      <c r="W43" s="7">
        <f t="shared" si="17"/>
        <v>0.35217228941308076</v>
      </c>
      <c r="X43" s="66">
        <f t="shared" si="18"/>
        <v>724.23016323401578</v>
      </c>
      <c r="Y43" s="89">
        <f t="shared" si="19"/>
        <v>894.69017953103742</v>
      </c>
      <c r="Z43" s="67">
        <f t="shared" si="20"/>
        <v>1065.1501958280594</v>
      </c>
      <c r="AA43" s="14"/>
    </row>
    <row r="44" spans="1:27">
      <c r="A44" s="4">
        <f t="shared" si="21"/>
        <v>2050</v>
      </c>
      <c r="B44" s="4">
        <f t="shared" si="10"/>
        <v>31</v>
      </c>
      <c r="C44" s="63">
        <f t="shared" si="11"/>
        <v>0</v>
      </c>
      <c r="D44" s="64"/>
      <c r="E44" s="65">
        <f t="shared" si="12"/>
        <v>0</v>
      </c>
      <c r="F44" s="28">
        <f t="shared" si="13"/>
        <v>1904</v>
      </c>
      <c r="G44" s="27">
        <f t="shared" si="26"/>
        <v>2380</v>
      </c>
      <c r="H44" s="29">
        <f t="shared" si="7"/>
        <v>2856</v>
      </c>
      <c r="I44" s="30">
        <f t="shared" si="14"/>
        <v>1904</v>
      </c>
      <c r="J44" s="84">
        <f t="shared" si="14"/>
        <v>2380</v>
      </c>
      <c r="K44" s="31">
        <f t="shared" si="14"/>
        <v>2856</v>
      </c>
      <c r="L44" s="68">
        <f t="shared" si="27"/>
        <v>44</v>
      </c>
      <c r="M44" s="68">
        <f t="shared" si="27"/>
        <v>56.489999999999995</v>
      </c>
      <c r="N44" s="68">
        <f t="shared" si="27"/>
        <v>40</v>
      </c>
      <c r="O44" s="68">
        <f t="shared" si="27"/>
        <v>20</v>
      </c>
      <c r="P44" s="68">
        <f t="shared" si="22"/>
        <v>0</v>
      </c>
      <c r="Q44" s="66">
        <f t="shared" si="15"/>
        <v>152.46549999999999</v>
      </c>
      <c r="R44" s="70">
        <f t="shared" si="8"/>
        <v>160.49</v>
      </c>
      <c r="S44" s="67">
        <f t="shared" si="9"/>
        <v>168.51450000000003</v>
      </c>
      <c r="T44" s="66">
        <f t="shared" si="23"/>
        <v>2056.4654999999998</v>
      </c>
      <c r="U44" s="89">
        <f t="shared" si="16"/>
        <v>2540.4899999999998</v>
      </c>
      <c r="V44" s="67">
        <f t="shared" si="16"/>
        <v>3024.5145000000002</v>
      </c>
      <c r="W44" s="7">
        <f t="shared" si="17"/>
        <v>0.34013162972095884</v>
      </c>
      <c r="X44" s="66">
        <f t="shared" si="18"/>
        <v>699.46896197992646</v>
      </c>
      <c r="Y44" s="89">
        <f t="shared" si="19"/>
        <v>864.10100398979864</v>
      </c>
      <c r="Z44" s="67">
        <f t="shared" si="20"/>
        <v>1028.733045999671</v>
      </c>
      <c r="AA44" s="90"/>
    </row>
    <row r="45" spans="1:27">
      <c r="A45" s="4">
        <f t="shared" si="21"/>
        <v>2051</v>
      </c>
      <c r="B45" s="4">
        <f t="shared" si="10"/>
        <v>32</v>
      </c>
      <c r="C45" s="63">
        <f t="shared" si="11"/>
        <v>0</v>
      </c>
      <c r="D45" s="64"/>
      <c r="E45" s="65">
        <f t="shared" si="12"/>
        <v>0</v>
      </c>
      <c r="F45" s="28">
        <f t="shared" si="13"/>
        <v>1904</v>
      </c>
      <c r="G45" s="27">
        <f t="shared" si="26"/>
        <v>2380</v>
      </c>
      <c r="H45" s="29">
        <f t="shared" si="7"/>
        <v>2856</v>
      </c>
      <c r="I45" s="30">
        <f t="shared" si="14"/>
        <v>1904</v>
      </c>
      <c r="J45" s="84">
        <f t="shared" si="14"/>
        <v>2380</v>
      </c>
      <c r="K45" s="31">
        <f t="shared" si="14"/>
        <v>2856</v>
      </c>
      <c r="L45" s="68">
        <f t="shared" si="27"/>
        <v>44</v>
      </c>
      <c r="M45" s="68">
        <f t="shared" si="27"/>
        <v>56.489999999999995</v>
      </c>
      <c r="N45" s="68">
        <f t="shared" si="27"/>
        <v>40</v>
      </c>
      <c r="O45" s="68">
        <f t="shared" si="27"/>
        <v>20</v>
      </c>
      <c r="P45" s="68">
        <f t="shared" si="22"/>
        <v>0</v>
      </c>
      <c r="Q45" s="66">
        <f t="shared" si="15"/>
        <v>152.46549999999999</v>
      </c>
      <c r="R45" s="70">
        <f t="shared" si="8"/>
        <v>160.49</v>
      </c>
      <c r="S45" s="67">
        <f t="shared" si="9"/>
        <v>168.51450000000003</v>
      </c>
      <c r="T45" s="66">
        <f t="shared" si="23"/>
        <v>2056.4654999999998</v>
      </c>
      <c r="U45" s="89">
        <f t="shared" si="16"/>
        <v>2540.4899999999998</v>
      </c>
      <c r="V45" s="67">
        <f t="shared" si="16"/>
        <v>3024.5145000000002</v>
      </c>
      <c r="W45" s="7">
        <f t="shared" si="17"/>
        <v>0.3285026363926587</v>
      </c>
      <c r="X45" s="66">
        <f t="shared" si="18"/>
        <v>675.55433840054695</v>
      </c>
      <c r="Y45" s="89">
        <f t="shared" si="19"/>
        <v>834.55766272918538</v>
      </c>
      <c r="Z45" s="67">
        <f t="shared" si="20"/>
        <v>993.56098705782404</v>
      </c>
      <c r="AA45" s="90"/>
    </row>
    <row r="46" spans="1:27">
      <c r="A46" s="4">
        <f t="shared" si="21"/>
        <v>2052</v>
      </c>
      <c r="B46" s="4">
        <f t="shared" si="10"/>
        <v>33</v>
      </c>
      <c r="C46" s="63">
        <f t="shared" si="11"/>
        <v>0</v>
      </c>
      <c r="D46" s="64"/>
      <c r="E46" s="65">
        <f t="shared" si="12"/>
        <v>0</v>
      </c>
      <c r="F46" s="28">
        <f t="shared" si="13"/>
        <v>1904</v>
      </c>
      <c r="G46" s="27">
        <f t="shared" si="26"/>
        <v>2380</v>
      </c>
      <c r="H46" s="29">
        <f t="shared" si="7"/>
        <v>2856</v>
      </c>
      <c r="I46" s="30">
        <f t="shared" si="14"/>
        <v>1904</v>
      </c>
      <c r="J46" s="84">
        <f t="shared" si="14"/>
        <v>2380</v>
      </c>
      <c r="K46" s="31">
        <f t="shared" si="14"/>
        <v>2856</v>
      </c>
      <c r="L46" s="68">
        <f t="shared" si="27"/>
        <v>44</v>
      </c>
      <c r="M46" s="68">
        <f t="shared" si="27"/>
        <v>56.489999999999995</v>
      </c>
      <c r="N46" s="68">
        <f t="shared" si="27"/>
        <v>40</v>
      </c>
      <c r="O46" s="68">
        <f t="shared" si="27"/>
        <v>20</v>
      </c>
      <c r="P46" s="68">
        <f t="shared" si="22"/>
        <v>0</v>
      </c>
      <c r="Q46" s="66">
        <f t="shared" si="15"/>
        <v>152.46549999999999</v>
      </c>
      <c r="R46" s="70">
        <f t="shared" si="8"/>
        <v>160.49</v>
      </c>
      <c r="S46" s="67">
        <f t="shared" si="9"/>
        <v>168.51450000000003</v>
      </c>
      <c r="T46" s="66">
        <f t="shared" si="23"/>
        <v>2056.4654999999998</v>
      </c>
      <c r="U46" s="89">
        <f t="shared" si="16"/>
        <v>2540.4899999999998</v>
      </c>
      <c r="V46" s="67">
        <f t="shared" si="16"/>
        <v>3024.5145000000002</v>
      </c>
      <c r="W46" s="7">
        <f t="shared" si="17"/>
        <v>0.31727123468481616</v>
      </c>
      <c r="X46" s="66">
        <f t="shared" si="18"/>
        <v>652.45734827172771</v>
      </c>
      <c r="Y46" s="89">
        <f t="shared" si="19"/>
        <v>806.02439900442857</v>
      </c>
      <c r="Z46" s="67">
        <f t="shared" si="20"/>
        <v>959.59144973712944</v>
      </c>
      <c r="AA46" s="14"/>
    </row>
    <row r="47" spans="1:27">
      <c r="A47" s="4">
        <f t="shared" si="21"/>
        <v>2053</v>
      </c>
      <c r="B47" s="4">
        <f t="shared" si="10"/>
        <v>34</v>
      </c>
      <c r="C47" s="63">
        <f t="shared" si="11"/>
        <v>0</v>
      </c>
      <c r="D47" s="64"/>
      <c r="E47" s="65">
        <f t="shared" si="12"/>
        <v>0</v>
      </c>
      <c r="F47" s="28">
        <f t="shared" si="13"/>
        <v>1904</v>
      </c>
      <c r="G47" s="27">
        <f>$Q$9</f>
        <v>2380</v>
      </c>
      <c r="H47" s="29">
        <f t="shared" si="7"/>
        <v>2856</v>
      </c>
      <c r="I47" s="30">
        <f t="shared" si="14"/>
        <v>1904</v>
      </c>
      <c r="J47" s="84">
        <f t="shared" si="14"/>
        <v>2380</v>
      </c>
      <c r="K47" s="31">
        <f t="shared" si="14"/>
        <v>2856</v>
      </c>
      <c r="L47" s="68">
        <f t="shared" si="27"/>
        <v>44</v>
      </c>
      <c r="M47" s="68">
        <f t="shared" si="27"/>
        <v>56.489999999999995</v>
      </c>
      <c r="N47" s="68">
        <f t="shared" si="27"/>
        <v>40</v>
      </c>
      <c r="O47" s="68">
        <f t="shared" si="27"/>
        <v>20</v>
      </c>
      <c r="P47" s="68">
        <f t="shared" si="22"/>
        <v>0</v>
      </c>
      <c r="Q47" s="66">
        <f t="shared" si="15"/>
        <v>152.46549999999999</v>
      </c>
      <c r="R47" s="70">
        <f t="shared" si="8"/>
        <v>160.49</v>
      </c>
      <c r="S47" s="67">
        <f t="shared" si="9"/>
        <v>168.51450000000003</v>
      </c>
      <c r="T47" s="66">
        <f t="shared" si="23"/>
        <v>2056.4654999999998</v>
      </c>
      <c r="U47" s="89">
        <f t="shared" si="16"/>
        <v>2540.4899999999998</v>
      </c>
      <c r="V47" s="67">
        <f t="shared" si="16"/>
        <v>3024.5145000000002</v>
      </c>
      <c r="W47" s="7">
        <f t="shared" si="17"/>
        <v>0.30642383106511123</v>
      </c>
      <c r="X47" s="66">
        <f t="shared" si="18"/>
        <v>630.15003696322947</v>
      </c>
      <c r="Y47" s="89">
        <f t="shared" si="19"/>
        <v>778.46667858260435</v>
      </c>
      <c r="Z47" s="67">
        <f t="shared" si="20"/>
        <v>926.78332020197945</v>
      </c>
      <c r="AA47" s="14"/>
    </row>
    <row r="48" spans="1:27">
      <c r="A48" s="4">
        <f t="shared" si="21"/>
        <v>2054</v>
      </c>
      <c r="B48" s="4">
        <f t="shared" si="10"/>
        <v>35</v>
      </c>
      <c r="C48" s="63">
        <f t="shared" si="11"/>
        <v>45</v>
      </c>
      <c r="D48" s="64">
        <v>50</v>
      </c>
      <c r="E48" s="65">
        <f t="shared" si="12"/>
        <v>60</v>
      </c>
      <c r="F48" s="28">
        <f t="shared" si="13"/>
        <v>1904</v>
      </c>
      <c r="G48" s="27">
        <f t="shared" ref="G48:G73" si="28">$Q$9</f>
        <v>2380</v>
      </c>
      <c r="H48" s="29">
        <f t="shared" si="7"/>
        <v>2856</v>
      </c>
      <c r="I48" s="30">
        <f t="shared" si="14"/>
        <v>1949</v>
      </c>
      <c r="J48" s="84">
        <f t="shared" si="14"/>
        <v>2430</v>
      </c>
      <c r="K48" s="31">
        <f t="shared" si="14"/>
        <v>2916</v>
      </c>
      <c r="L48" s="68">
        <f t="shared" ref="L48:O63" si="29">L47</f>
        <v>44</v>
      </c>
      <c r="M48" s="68">
        <f t="shared" si="29"/>
        <v>56.489999999999995</v>
      </c>
      <c r="N48" s="68">
        <f t="shared" si="29"/>
        <v>40</v>
      </c>
      <c r="O48" s="68">
        <f t="shared" si="29"/>
        <v>20</v>
      </c>
      <c r="P48" s="68">
        <f t="shared" si="22"/>
        <v>0</v>
      </c>
      <c r="Q48" s="66">
        <f t="shared" si="15"/>
        <v>152.46549999999999</v>
      </c>
      <c r="R48" s="70">
        <f t="shared" si="8"/>
        <v>160.49</v>
      </c>
      <c r="S48" s="67">
        <f t="shared" si="9"/>
        <v>168.51450000000003</v>
      </c>
      <c r="T48" s="66">
        <f t="shared" si="23"/>
        <v>2101.4654999999998</v>
      </c>
      <c r="U48" s="89">
        <f t="shared" si="16"/>
        <v>2590.4899999999998</v>
      </c>
      <c r="V48" s="67">
        <f t="shared" si="16"/>
        <v>3084.5145000000002</v>
      </c>
      <c r="W48" s="7">
        <f t="shared" si="17"/>
        <v>0.29594729675981379</v>
      </c>
      <c r="X48" s="66">
        <f t="shared" si="18"/>
        <v>621.92303395901047</v>
      </c>
      <c r="Y48" s="89">
        <f t="shared" si="19"/>
        <v>766.64851278332992</v>
      </c>
      <c r="Z48" s="67">
        <f t="shared" si="20"/>
        <v>912.85372809144872</v>
      </c>
      <c r="AA48" s="14"/>
    </row>
    <row r="49" spans="1:27">
      <c r="A49" s="4">
        <f t="shared" si="21"/>
        <v>2055</v>
      </c>
      <c r="B49" s="4">
        <f t="shared" si="10"/>
        <v>36</v>
      </c>
      <c r="C49" s="63">
        <f t="shared" si="11"/>
        <v>45</v>
      </c>
      <c r="D49" s="64">
        <v>50</v>
      </c>
      <c r="E49" s="65">
        <f t="shared" si="12"/>
        <v>60</v>
      </c>
      <c r="F49" s="28">
        <f t="shared" si="13"/>
        <v>1904</v>
      </c>
      <c r="G49" s="27">
        <f t="shared" si="28"/>
        <v>2380</v>
      </c>
      <c r="H49" s="29">
        <f t="shared" si="7"/>
        <v>2856</v>
      </c>
      <c r="I49" s="30">
        <f t="shared" si="14"/>
        <v>1949</v>
      </c>
      <c r="J49" s="84">
        <f t="shared" si="14"/>
        <v>2430</v>
      </c>
      <c r="K49" s="31">
        <f t="shared" si="14"/>
        <v>2916</v>
      </c>
      <c r="L49" s="68">
        <f t="shared" si="29"/>
        <v>44</v>
      </c>
      <c r="M49" s="68">
        <f t="shared" si="29"/>
        <v>56.489999999999995</v>
      </c>
      <c r="N49" s="68">
        <f t="shared" si="29"/>
        <v>40</v>
      </c>
      <c r="O49" s="68">
        <f t="shared" si="29"/>
        <v>20</v>
      </c>
      <c r="P49" s="68">
        <f t="shared" si="22"/>
        <v>0</v>
      </c>
      <c r="Q49" s="66">
        <f t="shared" si="15"/>
        <v>152.46549999999999</v>
      </c>
      <c r="R49" s="70">
        <f t="shared" si="8"/>
        <v>160.49</v>
      </c>
      <c r="S49" s="67">
        <f t="shared" si="9"/>
        <v>168.51450000000003</v>
      </c>
      <c r="T49" s="66">
        <f t="shared" si="23"/>
        <v>2101.4654999999998</v>
      </c>
      <c r="U49" s="89">
        <f t="shared" si="16"/>
        <v>2590.4899999999998</v>
      </c>
      <c r="V49" s="67">
        <f t="shared" si="16"/>
        <v>3084.5145000000002</v>
      </c>
      <c r="W49" s="7">
        <f t="shared" si="17"/>
        <v>0.28582895186383406</v>
      </c>
      <c r="X49" s="66">
        <f t="shared" si="18"/>
        <v>600.65968124300787</v>
      </c>
      <c r="Y49" s="89">
        <f t="shared" si="19"/>
        <v>740.43704151374345</v>
      </c>
      <c r="Z49" s="67">
        <f t="shared" si="20"/>
        <v>881.64354654379827</v>
      </c>
      <c r="AA49" s="14"/>
    </row>
    <row r="50" spans="1:27">
      <c r="A50" s="4">
        <f t="shared" si="21"/>
        <v>2056</v>
      </c>
      <c r="B50" s="4">
        <f t="shared" si="10"/>
        <v>37</v>
      </c>
      <c r="C50" s="63">
        <f t="shared" si="11"/>
        <v>0</v>
      </c>
      <c r="D50" s="64"/>
      <c r="E50" s="65">
        <f t="shared" si="12"/>
        <v>0</v>
      </c>
      <c r="F50" s="28">
        <f t="shared" si="13"/>
        <v>1904</v>
      </c>
      <c r="G50" s="27">
        <f t="shared" si="28"/>
        <v>2380</v>
      </c>
      <c r="H50" s="29">
        <f t="shared" si="7"/>
        <v>2856</v>
      </c>
      <c r="I50" s="30">
        <f t="shared" si="14"/>
        <v>1904</v>
      </c>
      <c r="J50" s="84">
        <f t="shared" si="14"/>
        <v>2380</v>
      </c>
      <c r="K50" s="31">
        <f t="shared" si="14"/>
        <v>2856</v>
      </c>
      <c r="L50" s="68">
        <f t="shared" si="29"/>
        <v>44</v>
      </c>
      <c r="M50" s="68">
        <f t="shared" si="29"/>
        <v>56.489999999999995</v>
      </c>
      <c r="N50" s="68">
        <f t="shared" si="29"/>
        <v>40</v>
      </c>
      <c r="O50" s="68">
        <f t="shared" si="29"/>
        <v>20</v>
      </c>
      <c r="P50" s="68">
        <f t="shared" si="22"/>
        <v>0</v>
      </c>
      <c r="Q50" s="66">
        <f t="shared" si="15"/>
        <v>152.46549999999999</v>
      </c>
      <c r="R50" s="70">
        <f t="shared" si="8"/>
        <v>160.49</v>
      </c>
      <c r="S50" s="67">
        <f t="shared" si="9"/>
        <v>168.51450000000003</v>
      </c>
      <c r="T50" s="66">
        <f t="shared" si="23"/>
        <v>2056.4654999999998</v>
      </c>
      <c r="U50" s="89">
        <f t="shared" si="16"/>
        <v>2540.4899999999998</v>
      </c>
      <c r="V50" s="67">
        <f t="shared" si="16"/>
        <v>3024.5145000000002</v>
      </c>
      <c r="W50" s="7">
        <f t="shared" si="17"/>
        <v>0.27605654999404483</v>
      </c>
      <c r="X50" s="66">
        <f t="shared" si="18"/>
        <v>567.70077111177829</v>
      </c>
      <c r="Y50" s="89">
        <f t="shared" si="19"/>
        <v>701.31890469437087</v>
      </c>
      <c r="Z50" s="67">
        <f t="shared" si="20"/>
        <v>834.93703827696356</v>
      </c>
      <c r="AA50" s="90"/>
    </row>
    <row r="51" spans="1:27">
      <c r="A51" s="4">
        <f t="shared" si="21"/>
        <v>2057</v>
      </c>
      <c r="B51" s="4">
        <f t="shared" si="10"/>
        <v>38</v>
      </c>
      <c r="C51" s="63">
        <f t="shared" si="11"/>
        <v>0</v>
      </c>
      <c r="D51" s="64"/>
      <c r="E51" s="65">
        <f t="shared" si="12"/>
        <v>0</v>
      </c>
      <c r="F51" s="28">
        <f t="shared" si="13"/>
        <v>1904</v>
      </c>
      <c r="G51" s="27">
        <f t="shared" si="28"/>
        <v>2380</v>
      </c>
      <c r="H51" s="29">
        <f t="shared" si="7"/>
        <v>2856</v>
      </c>
      <c r="I51" s="30">
        <f t="shared" si="14"/>
        <v>1904</v>
      </c>
      <c r="J51" s="84">
        <f t="shared" si="14"/>
        <v>2380</v>
      </c>
      <c r="K51" s="31">
        <f t="shared" si="14"/>
        <v>2856</v>
      </c>
      <c r="L51" s="68">
        <f t="shared" si="29"/>
        <v>44</v>
      </c>
      <c r="M51" s="68">
        <f t="shared" si="29"/>
        <v>56.489999999999995</v>
      </c>
      <c r="N51" s="68">
        <f t="shared" si="29"/>
        <v>40</v>
      </c>
      <c r="O51" s="68">
        <f t="shared" si="29"/>
        <v>20</v>
      </c>
      <c r="P51" s="68">
        <f t="shared" si="22"/>
        <v>0</v>
      </c>
      <c r="Q51" s="66">
        <f t="shared" si="15"/>
        <v>152.46549999999999</v>
      </c>
      <c r="R51" s="70">
        <f t="shared" si="8"/>
        <v>160.49</v>
      </c>
      <c r="S51" s="67">
        <f t="shared" si="9"/>
        <v>168.51450000000003</v>
      </c>
      <c r="T51" s="66">
        <f t="shared" si="23"/>
        <v>2056.4654999999998</v>
      </c>
      <c r="U51" s="89">
        <f t="shared" si="16"/>
        <v>2540.4899999999998</v>
      </c>
      <c r="V51" s="67">
        <f t="shared" si="16"/>
        <v>3024.5145000000002</v>
      </c>
      <c r="W51" s="7">
        <f t="shared" si="17"/>
        <v>0.26661826346730227</v>
      </c>
      <c r="X51" s="66">
        <f t="shared" si="18"/>
        <v>548.29126049041747</v>
      </c>
      <c r="Y51" s="89">
        <f t="shared" si="19"/>
        <v>677.34103215604671</v>
      </c>
      <c r="Z51" s="67">
        <f t="shared" si="20"/>
        <v>806.39080382167606</v>
      </c>
      <c r="AA51" s="14"/>
    </row>
    <row r="52" spans="1:27">
      <c r="A52" s="4">
        <f t="shared" si="21"/>
        <v>2058</v>
      </c>
      <c r="B52" s="4">
        <f t="shared" si="10"/>
        <v>39</v>
      </c>
      <c r="C52" s="63">
        <f t="shared" si="11"/>
        <v>0</v>
      </c>
      <c r="D52" s="64"/>
      <c r="E52" s="65">
        <f t="shared" si="12"/>
        <v>0</v>
      </c>
      <c r="F52" s="28">
        <f t="shared" si="13"/>
        <v>1904</v>
      </c>
      <c r="G52" s="27">
        <f t="shared" si="28"/>
        <v>2380</v>
      </c>
      <c r="H52" s="29">
        <f t="shared" si="7"/>
        <v>2856</v>
      </c>
      <c r="I52" s="30">
        <f t="shared" si="14"/>
        <v>1904</v>
      </c>
      <c r="J52" s="84">
        <f t="shared" si="14"/>
        <v>2380</v>
      </c>
      <c r="K52" s="31">
        <f t="shared" si="14"/>
        <v>2856</v>
      </c>
      <c r="L52" s="68">
        <f t="shared" si="29"/>
        <v>44</v>
      </c>
      <c r="M52" s="68">
        <f t="shared" si="29"/>
        <v>56.489999999999995</v>
      </c>
      <c r="N52" s="68">
        <f t="shared" si="29"/>
        <v>40</v>
      </c>
      <c r="O52" s="68">
        <f t="shared" si="29"/>
        <v>20</v>
      </c>
      <c r="P52" s="68">
        <f t="shared" si="22"/>
        <v>0</v>
      </c>
      <c r="Q52" s="66">
        <f t="shared" si="15"/>
        <v>152.46549999999999</v>
      </c>
      <c r="R52" s="70">
        <f t="shared" si="8"/>
        <v>160.49</v>
      </c>
      <c r="S52" s="67">
        <f t="shared" si="9"/>
        <v>168.51450000000003</v>
      </c>
      <c r="T52" s="66">
        <f t="shared" si="23"/>
        <v>2056.4654999999998</v>
      </c>
      <c r="U52" s="89">
        <f t="shared" si="16"/>
        <v>2540.4899999999998</v>
      </c>
      <c r="V52" s="67">
        <f t="shared" si="16"/>
        <v>3024.5145000000002</v>
      </c>
      <c r="W52" s="7">
        <f t="shared" si="17"/>
        <v>0.25750266898522534</v>
      </c>
      <c r="X52" s="66">
        <f t="shared" si="18"/>
        <v>529.54535492603588</v>
      </c>
      <c r="Y52" s="89">
        <f t="shared" si="19"/>
        <v>654.18295553027508</v>
      </c>
      <c r="Z52" s="67">
        <f t="shared" si="20"/>
        <v>778.82055613451439</v>
      </c>
      <c r="AA52" s="14"/>
    </row>
    <row r="53" spans="1:27">
      <c r="A53" s="4">
        <f t="shared" si="21"/>
        <v>2059</v>
      </c>
      <c r="B53" s="4">
        <f t="shared" si="10"/>
        <v>40</v>
      </c>
      <c r="C53" s="63">
        <f t="shared" si="11"/>
        <v>0</v>
      </c>
      <c r="D53" s="64"/>
      <c r="E53" s="65">
        <f t="shared" si="12"/>
        <v>0</v>
      </c>
      <c r="F53" s="28">
        <f t="shared" si="13"/>
        <v>1904</v>
      </c>
      <c r="G53" s="27">
        <f t="shared" si="28"/>
        <v>2380</v>
      </c>
      <c r="H53" s="29">
        <f t="shared" si="7"/>
        <v>2856</v>
      </c>
      <c r="I53" s="30">
        <f t="shared" si="14"/>
        <v>1904</v>
      </c>
      <c r="J53" s="84">
        <f t="shared" si="14"/>
        <v>2380</v>
      </c>
      <c r="K53" s="31">
        <f t="shared" si="14"/>
        <v>2856</v>
      </c>
      <c r="L53" s="68">
        <f t="shared" si="29"/>
        <v>44</v>
      </c>
      <c r="M53" s="68">
        <f t="shared" si="29"/>
        <v>56.489999999999995</v>
      </c>
      <c r="N53" s="68">
        <f t="shared" si="29"/>
        <v>40</v>
      </c>
      <c r="O53" s="68">
        <f t="shared" si="29"/>
        <v>20</v>
      </c>
      <c r="P53" s="68">
        <f t="shared" si="22"/>
        <v>0</v>
      </c>
      <c r="Q53" s="66">
        <f t="shared" si="15"/>
        <v>152.46549999999999</v>
      </c>
      <c r="R53" s="70">
        <f t="shared" si="8"/>
        <v>160.49</v>
      </c>
      <c r="S53" s="67">
        <f t="shared" si="9"/>
        <v>168.51450000000003</v>
      </c>
      <c r="T53" s="66">
        <f t="shared" si="23"/>
        <v>2056.4654999999998</v>
      </c>
      <c r="U53" s="89">
        <f t="shared" si="16"/>
        <v>2540.4899999999998</v>
      </c>
      <c r="V53" s="67">
        <f t="shared" si="16"/>
        <v>3024.5145000000002</v>
      </c>
      <c r="W53" s="7">
        <f t="shared" si="17"/>
        <v>0.24869873380840765</v>
      </c>
      <c r="X53" s="66">
        <f t="shared" si="18"/>
        <v>511.44036597067389</v>
      </c>
      <c r="Y53" s="89">
        <f t="shared" si="19"/>
        <v>631.81664625292149</v>
      </c>
      <c r="Z53" s="67">
        <f t="shared" si="20"/>
        <v>752.19292653516925</v>
      </c>
      <c r="AA53" s="14"/>
    </row>
    <row r="54" spans="1:27">
      <c r="A54" s="4">
        <f t="shared" si="21"/>
        <v>2060</v>
      </c>
      <c r="B54" s="4">
        <f t="shared" si="10"/>
        <v>41</v>
      </c>
      <c r="C54" s="63">
        <f t="shared" si="11"/>
        <v>0</v>
      </c>
      <c r="D54" s="64"/>
      <c r="E54" s="65">
        <f t="shared" si="12"/>
        <v>0</v>
      </c>
      <c r="F54" s="28">
        <f t="shared" si="13"/>
        <v>1904</v>
      </c>
      <c r="G54" s="27">
        <f t="shared" si="28"/>
        <v>2380</v>
      </c>
      <c r="H54" s="29">
        <f t="shared" si="7"/>
        <v>2856</v>
      </c>
      <c r="I54" s="30">
        <f t="shared" si="14"/>
        <v>1904</v>
      </c>
      <c r="J54" s="84">
        <f t="shared" si="14"/>
        <v>2380</v>
      </c>
      <c r="K54" s="31">
        <f t="shared" si="14"/>
        <v>2856</v>
      </c>
      <c r="L54" s="68">
        <f t="shared" si="29"/>
        <v>44</v>
      </c>
      <c r="M54" s="68">
        <f t="shared" si="29"/>
        <v>56.489999999999995</v>
      </c>
      <c r="N54" s="68">
        <f t="shared" si="29"/>
        <v>40</v>
      </c>
      <c r="O54" s="68">
        <f t="shared" si="29"/>
        <v>20</v>
      </c>
      <c r="P54" s="68">
        <f t="shared" si="22"/>
        <v>0</v>
      </c>
      <c r="Q54" s="66">
        <f t="shared" si="15"/>
        <v>152.46549999999999</v>
      </c>
      <c r="R54" s="70">
        <f t="shared" si="8"/>
        <v>160.49</v>
      </c>
      <c r="S54" s="67">
        <f t="shared" si="9"/>
        <v>168.51450000000003</v>
      </c>
      <c r="T54" s="66">
        <f t="shared" si="23"/>
        <v>2056.4654999999998</v>
      </c>
      <c r="U54" s="89">
        <f t="shared" si="16"/>
        <v>2540.4899999999998</v>
      </c>
      <c r="V54" s="67">
        <f t="shared" si="16"/>
        <v>3024.5145000000002</v>
      </c>
      <c r="W54" s="7">
        <f t="shared" si="17"/>
        <v>0.24019580240332974</v>
      </c>
      <c r="X54" s="66">
        <f t="shared" si="18"/>
        <v>493.95438088726468</v>
      </c>
      <c r="Y54" s="89">
        <f t="shared" si="19"/>
        <v>610.21503404763519</v>
      </c>
      <c r="Z54" s="67">
        <f t="shared" si="20"/>
        <v>726.47568720800575</v>
      </c>
      <c r="AA54" s="14"/>
    </row>
    <row r="55" spans="1:27">
      <c r="A55" s="4">
        <f t="shared" si="21"/>
        <v>2061</v>
      </c>
      <c r="B55" s="4">
        <f t="shared" si="10"/>
        <v>42</v>
      </c>
      <c r="C55" s="63">
        <f t="shared" si="11"/>
        <v>0</v>
      </c>
      <c r="D55" s="64"/>
      <c r="E55" s="65">
        <f t="shared" si="12"/>
        <v>0</v>
      </c>
      <c r="F55" s="28">
        <f t="shared" si="13"/>
        <v>1904</v>
      </c>
      <c r="G55" s="27">
        <f t="shared" si="28"/>
        <v>2380</v>
      </c>
      <c r="H55" s="29">
        <f t="shared" si="7"/>
        <v>2856</v>
      </c>
      <c r="I55" s="30">
        <f t="shared" si="14"/>
        <v>1904</v>
      </c>
      <c r="J55" s="84">
        <f t="shared" si="14"/>
        <v>2380</v>
      </c>
      <c r="K55" s="31">
        <f t="shared" si="14"/>
        <v>2856</v>
      </c>
      <c r="L55" s="68">
        <f t="shared" si="29"/>
        <v>44</v>
      </c>
      <c r="M55" s="68">
        <f t="shared" si="29"/>
        <v>56.489999999999995</v>
      </c>
      <c r="N55" s="68">
        <f t="shared" si="29"/>
        <v>40</v>
      </c>
      <c r="O55" s="68">
        <f t="shared" si="29"/>
        <v>20</v>
      </c>
      <c r="P55" s="68">
        <f t="shared" si="22"/>
        <v>0</v>
      </c>
      <c r="Q55" s="66">
        <f t="shared" si="15"/>
        <v>152.46549999999999</v>
      </c>
      <c r="R55" s="70">
        <f t="shared" si="8"/>
        <v>160.49</v>
      </c>
      <c r="S55" s="67">
        <f t="shared" si="9"/>
        <v>168.51450000000003</v>
      </c>
      <c r="T55" s="66">
        <f t="shared" si="23"/>
        <v>2056.4654999999998</v>
      </c>
      <c r="U55" s="89">
        <f t="shared" si="16"/>
        <v>2540.4899999999998</v>
      </c>
      <c r="V55" s="67">
        <f t="shared" si="16"/>
        <v>3024.5145000000002</v>
      </c>
      <c r="W55" s="7">
        <f t="shared" si="17"/>
        <v>0.23198358354580814</v>
      </c>
      <c r="X55" s="66">
        <f t="shared" si="18"/>
        <v>477.06623612832209</v>
      </c>
      <c r="Y55" s="89">
        <f t="shared" si="19"/>
        <v>589.35197416229005</v>
      </c>
      <c r="Z55" s="67">
        <f t="shared" si="20"/>
        <v>701.63771219625824</v>
      </c>
      <c r="AA55" s="90"/>
    </row>
    <row r="56" spans="1:27">
      <c r="A56" s="4">
        <f t="shared" si="21"/>
        <v>2062</v>
      </c>
      <c r="B56" s="4">
        <f t="shared" si="10"/>
        <v>43</v>
      </c>
      <c r="C56" s="63">
        <f t="shared" si="11"/>
        <v>0</v>
      </c>
      <c r="D56" s="64"/>
      <c r="E56" s="65">
        <f t="shared" si="12"/>
        <v>0</v>
      </c>
      <c r="F56" s="28">
        <f t="shared" si="13"/>
        <v>1904</v>
      </c>
      <c r="G56" s="27">
        <f t="shared" si="28"/>
        <v>2380</v>
      </c>
      <c r="H56" s="29">
        <f t="shared" si="7"/>
        <v>2856</v>
      </c>
      <c r="I56" s="30">
        <f t="shared" si="14"/>
        <v>1904</v>
      </c>
      <c r="J56" s="84">
        <f t="shared" si="14"/>
        <v>2380</v>
      </c>
      <c r="K56" s="31">
        <f t="shared" si="14"/>
        <v>2856</v>
      </c>
      <c r="L56" s="68">
        <f t="shared" si="29"/>
        <v>44</v>
      </c>
      <c r="M56" s="68">
        <f t="shared" si="29"/>
        <v>56.489999999999995</v>
      </c>
      <c r="N56" s="68">
        <f t="shared" si="29"/>
        <v>40</v>
      </c>
      <c r="O56" s="68">
        <f t="shared" si="29"/>
        <v>20</v>
      </c>
      <c r="P56" s="68">
        <f t="shared" si="22"/>
        <v>0</v>
      </c>
      <c r="Q56" s="66">
        <f t="shared" si="15"/>
        <v>152.46549999999999</v>
      </c>
      <c r="R56" s="70">
        <f t="shared" si="8"/>
        <v>160.49</v>
      </c>
      <c r="S56" s="67">
        <f t="shared" si="9"/>
        <v>168.51450000000003</v>
      </c>
      <c r="T56" s="66">
        <f t="shared" si="23"/>
        <v>2056.4654999999998</v>
      </c>
      <c r="U56" s="89">
        <f t="shared" si="16"/>
        <v>2540.4899999999998</v>
      </c>
      <c r="V56" s="67">
        <f t="shared" si="16"/>
        <v>3024.5145000000002</v>
      </c>
      <c r="W56" s="7">
        <f t="shared" si="17"/>
        <v>0.2240521378653739</v>
      </c>
      <c r="X56" s="66">
        <f t="shared" si="18"/>
        <v>460.755491721385</v>
      </c>
      <c r="Y56" s="89">
        <f t="shared" si="19"/>
        <v>569.20221572560365</v>
      </c>
      <c r="Z56" s="67">
        <f t="shared" si="20"/>
        <v>677.64893972982247</v>
      </c>
      <c r="AA56" s="14"/>
    </row>
    <row r="57" spans="1:27">
      <c r="A57" s="4">
        <f t="shared" si="21"/>
        <v>2063</v>
      </c>
      <c r="B57" s="4">
        <f t="shared" si="10"/>
        <v>44</v>
      </c>
      <c r="C57" s="63">
        <f t="shared" si="11"/>
        <v>0</v>
      </c>
      <c r="D57" s="64"/>
      <c r="E57" s="65">
        <f t="shared" si="12"/>
        <v>0</v>
      </c>
      <c r="F57" s="28">
        <f t="shared" si="13"/>
        <v>1904</v>
      </c>
      <c r="G57" s="27">
        <f t="shared" si="28"/>
        <v>2380</v>
      </c>
      <c r="H57" s="29">
        <f t="shared" si="7"/>
        <v>2856</v>
      </c>
      <c r="I57" s="30">
        <f t="shared" si="14"/>
        <v>1904</v>
      </c>
      <c r="J57" s="84">
        <f t="shared" si="14"/>
        <v>2380</v>
      </c>
      <c r="K57" s="31">
        <f t="shared" si="14"/>
        <v>2856</v>
      </c>
      <c r="L57" s="68">
        <f t="shared" si="29"/>
        <v>44</v>
      </c>
      <c r="M57" s="68">
        <f t="shared" si="29"/>
        <v>56.489999999999995</v>
      </c>
      <c r="N57" s="68">
        <f t="shared" si="29"/>
        <v>40</v>
      </c>
      <c r="O57" s="68">
        <f t="shared" si="29"/>
        <v>20</v>
      </c>
      <c r="P57" s="68">
        <f t="shared" si="22"/>
        <v>0</v>
      </c>
      <c r="Q57" s="66">
        <f t="shared" si="15"/>
        <v>152.46549999999999</v>
      </c>
      <c r="R57" s="70">
        <f t="shared" si="8"/>
        <v>160.49</v>
      </c>
      <c r="S57" s="67">
        <f t="shared" si="9"/>
        <v>168.51450000000003</v>
      </c>
      <c r="T57" s="66">
        <f t="shared" si="23"/>
        <v>2056.4654999999998</v>
      </c>
      <c r="U57" s="89">
        <f t="shared" si="16"/>
        <v>2540.4899999999998</v>
      </c>
      <c r="V57" s="67">
        <f t="shared" si="16"/>
        <v>3024.5145000000002</v>
      </c>
      <c r="W57" s="7">
        <f t="shared" si="17"/>
        <v>0.21639186581550499</v>
      </c>
      <c r="X57" s="66">
        <f t="shared" si="18"/>
        <v>445.0024065302153</v>
      </c>
      <c r="Y57" s="89">
        <f t="shared" si="19"/>
        <v>549.74137118563226</v>
      </c>
      <c r="Z57" s="67">
        <f t="shared" si="20"/>
        <v>654.48033584104917</v>
      </c>
      <c r="AA57" s="14"/>
    </row>
    <row r="58" spans="1:27">
      <c r="A58" s="4">
        <f t="shared" si="21"/>
        <v>2064</v>
      </c>
      <c r="B58" s="4">
        <f t="shared" si="10"/>
        <v>45</v>
      </c>
      <c r="C58" s="63">
        <f t="shared" si="11"/>
        <v>45</v>
      </c>
      <c r="D58" s="64">
        <v>50</v>
      </c>
      <c r="E58" s="65">
        <f t="shared" si="12"/>
        <v>60</v>
      </c>
      <c r="F58" s="28">
        <f t="shared" si="13"/>
        <v>1904</v>
      </c>
      <c r="G58" s="27">
        <f t="shared" si="28"/>
        <v>2380</v>
      </c>
      <c r="H58" s="29">
        <f t="shared" si="7"/>
        <v>2856</v>
      </c>
      <c r="I58" s="30">
        <f t="shared" si="14"/>
        <v>1949</v>
      </c>
      <c r="J58" s="84">
        <f t="shared" si="14"/>
        <v>2430</v>
      </c>
      <c r="K58" s="31">
        <f t="shared" si="14"/>
        <v>2916</v>
      </c>
      <c r="L58" s="68">
        <f t="shared" si="29"/>
        <v>44</v>
      </c>
      <c r="M58" s="68">
        <f t="shared" si="29"/>
        <v>56.489999999999995</v>
      </c>
      <c r="N58" s="68">
        <f t="shared" si="29"/>
        <v>40</v>
      </c>
      <c r="O58" s="68">
        <f t="shared" si="29"/>
        <v>20</v>
      </c>
      <c r="P58" s="68">
        <f t="shared" si="22"/>
        <v>0</v>
      </c>
      <c r="Q58" s="66">
        <f t="shared" si="15"/>
        <v>152.46549999999999</v>
      </c>
      <c r="R58" s="70">
        <f t="shared" si="8"/>
        <v>160.49</v>
      </c>
      <c r="S58" s="67">
        <f t="shared" si="9"/>
        <v>168.51450000000003</v>
      </c>
      <c r="T58" s="66">
        <f t="shared" si="23"/>
        <v>2101.4654999999998</v>
      </c>
      <c r="U58" s="89">
        <f t="shared" si="16"/>
        <v>2590.4899999999998</v>
      </c>
      <c r="V58" s="67">
        <f t="shared" si="16"/>
        <v>3084.5145000000002</v>
      </c>
      <c r="W58" s="7">
        <f t="shared" si="17"/>
        <v>0.20899349605515255</v>
      </c>
      <c r="X58" s="66">
        <f t="shared" si="18"/>
        <v>439.19262168428912</v>
      </c>
      <c r="Y58" s="89">
        <f t="shared" si="19"/>
        <v>541.39556159591211</v>
      </c>
      <c r="Z58" s="67">
        <f t="shared" si="20"/>
        <v>644.64346898781093</v>
      </c>
      <c r="AA58" s="14"/>
    </row>
    <row r="59" spans="1:27">
      <c r="A59" s="4">
        <f t="shared" si="21"/>
        <v>2065</v>
      </c>
      <c r="B59" s="4">
        <f t="shared" si="10"/>
        <v>46</v>
      </c>
      <c r="C59" s="63">
        <f t="shared" si="11"/>
        <v>45</v>
      </c>
      <c r="D59" s="64">
        <v>50</v>
      </c>
      <c r="E59" s="65">
        <f t="shared" si="12"/>
        <v>60</v>
      </c>
      <c r="F59" s="28">
        <f t="shared" si="13"/>
        <v>1904</v>
      </c>
      <c r="G59" s="27">
        <f t="shared" si="28"/>
        <v>2380</v>
      </c>
      <c r="H59" s="29">
        <f t="shared" si="7"/>
        <v>2856</v>
      </c>
      <c r="I59" s="30">
        <f t="shared" si="14"/>
        <v>1949</v>
      </c>
      <c r="J59" s="84">
        <f t="shared" si="14"/>
        <v>2430</v>
      </c>
      <c r="K59" s="31">
        <f t="shared" si="14"/>
        <v>2916</v>
      </c>
      <c r="L59" s="68">
        <f t="shared" si="29"/>
        <v>44</v>
      </c>
      <c r="M59" s="68">
        <f t="shared" si="29"/>
        <v>56.489999999999995</v>
      </c>
      <c r="N59" s="68">
        <f t="shared" si="29"/>
        <v>40</v>
      </c>
      <c r="O59" s="68">
        <f t="shared" si="29"/>
        <v>20</v>
      </c>
      <c r="P59" s="68">
        <f t="shared" si="22"/>
        <v>0</v>
      </c>
      <c r="Q59" s="66">
        <f t="shared" si="15"/>
        <v>152.46549999999999</v>
      </c>
      <c r="R59" s="70">
        <f t="shared" si="8"/>
        <v>160.49</v>
      </c>
      <c r="S59" s="67">
        <f t="shared" si="9"/>
        <v>168.51450000000003</v>
      </c>
      <c r="T59" s="66">
        <f t="shared" si="23"/>
        <v>2101.4654999999998</v>
      </c>
      <c r="U59" s="89">
        <f t="shared" si="16"/>
        <v>2590.4899999999998</v>
      </c>
      <c r="V59" s="67">
        <f t="shared" si="16"/>
        <v>3084.5145000000002</v>
      </c>
      <c r="W59" s="7">
        <f t="shared" si="17"/>
        <v>0.20184807422749909</v>
      </c>
      <c r="X59" s="66">
        <f t="shared" si="18"/>
        <v>424.17676423052848</v>
      </c>
      <c r="Y59" s="89">
        <f t="shared" si="19"/>
        <v>522.8854178055941</v>
      </c>
      <c r="Z59" s="67">
        <f t="shared" si="20"/>
        <v>622.60331175179726</v>
      </c>
      <c r="AA59" s="14"/>
    </row>
    <row r="60" spans="1:27">
      <c r="A60" s="4">
        <f t="shared" si="21"/>
        <v>2066</v>
      </c>
      <c r="B60" s="4">
        <f t="shared" si="10"/>
        <v>47</v>
      </c>
      <c r="C60" s="63">
        <f t="shared" si="11"/>
        <v>0</v>
      </c>
      <c r="D60" s="64"/>
      <c r="E60" s="65">
        <f t="shared" si="12"/>
        <v>0</v>
      </c>
      <c r="F60" s="28">
        <f t="shared" si="13"/>
        <v>1904</v>
      </c>
      <c r="G60" s="27">
        <f t="shared" si="28"/>
        <v>2380</v>
      </c>
      <c r="H60" s="29">
        <f t="shared" si="7"/>
        <v>2856</v>
      </c>
      <c r="I60" s="30">
        <f t="shared" si="14"/>
        <v>1904</v>
      </c>
      <c r="J60" s="84">
        <f t="shared" si="14"/>
        <v>2380</v>
      </c>
      <c r="K60" s="31">
        <f t="shared" si="14"/>
        <v>2856</v>
      </c>
      <c r="L60" s="68">
        <f t="shared" si="29"/>
        <v>44</v>
      </c>
      <c r="M60" s="68">
        <f t="shared" si="29"/>
        <v>56.489999999999995</v>
      </c>
      <c r="N60" s="68">
        <f t="shared" si="29"/>
        <v>40</v>
      </c>
      <c r="O60" s="68">
        <f t="shared" si="29"/>
        <v>20</v>
      </c>
      <c r="P60" s="68">
        <f t="shared" si="22"/>
        <v>0</v>
      </c>
      <c r="Q60" s="66">
        <f t="shared" si="15"/>
        <v>152.46549999999999</v>
      </c>
      <c r="R60" s="70">
        <f t="shared" si="8"/>
        <v>160.49</v>
      </c>
      <c r="S60" s="67">
        <f t="shared" si="9"/>
        <v>168.51450000000003</v>
      </c>
      <c r="T60" s="66">
        <f t="shared" si="23"/>
        <v>2056.4654999999998</v>
      </c>
      <c r="U60" s="89">
        <f t="shared" si="16"/>
        <v>2540.4899999999998</v>
      </c>
      <c r="V60" s="67">
        <f t="shared" si="16"/>
        <v>3024.5145000000002</v>
      </c>
      <c r="W60" s="7">
        <f t="shared" si="17"/>
        <v>0.19494695212236729</v>
      </c>
      <c r="X60" s="66">
        <f t="shared" si="18"/>
        <v>400.90168136980009</v>
      </c>
      <c r="Y60" s="89">
        <f t="shared" si="19"/>
        <v>495.26078239735284</v>
      </c>
      <c r="Z60" s="67">
        <f t="shared" si="20"/>
        <v>589.61988342490565</v>
      </c>
      <c r="AA60" s="90"/>
    </row>
    <row r="61" spans="1:27">
      <c r="A61" s="4">
        <f t="shared" si="21"/>
        <v>2067</v>
      </c>
      <c r="B61" s="4">
        <f t="shared" si="10"/>
        <v>48</v>
      </c>
      <c r="C61" s="63">
        <f t="shared" si="11"/>
        <v>0</v>
      </c>
      <c r="D61" s="64"/>
      <c r="E61" s="65">
        <f t="shared" si="12"/>
        <v>0</v>
      </c>
      <c r="F61" s="28">
        <f t="shared" si="13"/>
        <v>1904</v>
      </c>
      <c r="G61" s="27">
        <f t="shared" si="28"/>
        <v>2380</v>
      </c>
      <c r="H61" s="29">
        <f t="shared" si="7"/>
        <v>2856</v>
      </c>
      <c r="I61" s="30">
        <f t="shared" si="14"/>
        <v>1904</v>
      </c>
      <c r="J61" s="84">
        <f t="shared" si="14"/>
        <v>2380</v>
      </c>
      <c r="K61" s="31">
        <f t="shared" si="14"/>
        <v>2856</v>
      </c>
      <c r="L61" s="68">
        <f t="shared" si="29"/>
        <v>44</v>
      </c>
      <c r="M61" s="68">
        <f t="shared" si="29"/>
        <v>56.489999999999995</v>
      </c>
      <c r="N61" s="68">
        <f t="shared" si="29"/>
        <v>40</v>
      </c>
      <c r="O61" s="68">
        <f t="shared" si="29"/>
        <v>20</v>
      </c>
      <c r="P61" s="68">
        <f t="shared" si="22"/>
        <v>0</v>
      </c>
      <c r="Q61" s="66">
        <f t="shared" si="15"/>
        <v>152.46549999999999</v>
      </c>
      <c r="R61" s="70">
        <f t="shared" si="8"/>
        <v>160.49</v>
      </c>
      <c r="S61" s="67">
        <f t="shared" si="9"/>
        <v>168.51450000000003</v>
      </c>
      <c r="T61" s="66">
        <f t="shared" si="23"/>
        <v>2056.4654999999998</v>
      </c>
      <c r="U61" s="89">
        <f t="shared" si="16"/>
        <v>2540.4899999999998</v>
      </c>
      <c r="V61" s="67">
        <f t="shared" si="16"/>
        <v>3024.5145000000002</v>
      </c>
      <c r="W61" s="7">
        <f t="shared" si="17"/>
        <v>0.18828177720916289</v>
      </c>
      <c r="X61" s="66">
        <f t="shared" si="18"/>
        <v>387.19497910932972</v>
      </c>
      <c r="Y61" s="89">
        <f t="shared" si="19"/>
        <v>478.32797218210618</v>
      </c>
      <c r="Z61" s="67">
        <f t="shared" si="20"/>
        <v>569.46096525488269</v>
      </c>
      <c r="AA61" s="14"/>
    </row>
    <row r="62" spans="1:27">
      <c r="A62" s="4">
        <f t="shared" si="21"/>
        <v>2068</v>
      </c>
      <c r="B62" s="4">
        <f t="shared" si="10"/>
        <v>49</v>
      </c>
      <c r="C62" s="63">
        <f t="shared" si="11"/>
        <v>0</v>
      </c>
      <c r="D62" s="64"/>
      <c r="E62" s="65">
        <f t="shared" si="12"/>
        <v>0</v>
      </c>
      <c r="F62" s="28">
        <f t="shared" si="13"/>
        <v>1904</v>
      </c>
      <c r="G62" s="27">
        <f t="shared" si="28"/>
        <v>2380</v>
      </c>
      <c r="H62" s="29">
        <f t="shared" si="7"/>
        <v>2856</v>
      </c>
      <c r="I62" s="30">
        <f t="shared" si="14"/>
        <v>1904</v>
      </c>
      <c r="J62" s="84">
        <f t="shared" si="14"/>
        <v>2380</v>
      </c>
      <c r="K62" s="31">
        <f t="shared" si="14"/>
        <v>2856</v>
      </c>
      <c r="L62" s="68">
        <f t="shared" si="29"/>
        <v>44</v>
      </c>
      <c r="M62" s="68">
        <f t="shared" si="29"/>
        <v>56.489999999999995</v>
      </c>
      <c r="N62" s="68">
        <f t="shared" si="29"/>
        <v>40</v>
      </c>
      <c r="O62" s="68">
        <f t="shared" si="29"/>
        <v>20</v>
      </c>
      <c r="P62" s="68">
        <f t="shared" si="22"/>
        <v>0</v>
      </c>
      <c r="Q62" s="66">
        <f t="shared" si="15"/>
        <v>152.46549999999999</v>
      </c>
      <c r="R62" s="70">
        <f t="shared" si="8"/>
        <v>160.49</v>
      </c>
      <c r="S62" s="67">
        <f t="shared" si="9"/>
        <v>168.51450000000003</v>
      </c>
      <c r="T62" s="66">
        <f t="shared" si="23"/>
        <v>2056.4654999999998</v>
      </c>
      <c r="U62" s="89">
        <f t="shared" si="16"/>
        <v>2540.4899999999998</v>
      </c>
      <c r="V62" s="67">
        <f t="shared" si="16"/>
        <v>3024.5145000000002</v>
      </c>
      <c r="W62" s="7">
        <f t="shared" si="17"/>
        <v>0.1818444825276829</v>
      </c>
      <c r="X62" s="66">
        <f t="shared" si="18"/>
        <v>373.95690468353263</v>
      </c>
      <c r="Y62" s="89">
        <f t="shared" si="19"/>
        <v>461.97408941675309</v>
      </c>
      <c r="Z62" s="67">
        <f t="shared" si="20"/>
        <v>549.99127414997361</v>
      </c>
      <c r="AA62" s="14"/>
    </row>
    <row r="63" spans="1:27">
      <c r="A63" s="4">
        <f t="shared" si="21"/>
        <v>2069</v>
      </c>
      <c r="B63" s="4">
        <f t="shared" si="10"/>
        <v>50</v>
      </c>
      <c r="C63" s="63">
        <f t="shared" si="11"/>
        <v>0</v>
      </c>
      <c r="D63" s="64"/>
      <c r="E63" s="65">
        <f t="shared" si="12"/>
        <v>0</v>
      </c>
      <c r="F63" s="28">
        <f t="shared" si="13"/>
        <v>1904</v>
      </c>
      <c r="G63" s="27">
        <f t="shared" si="28"/>
        <v>2380</v>
      </c>
      <c r="H63" s="29">
        <f t="shared" si="7"/>
        <v>2856</v>
      </c>
      <c r="I63" s="30">
        <f t="shared" si="14"/>
        <v>1904</v>
      </c>
      <c r="J63" s="84">
        <f t="shared" si="14"/>
        <v>2380</v>
      </c>
      <c r="K63" s="31">
        <f t="shared" si="14"/>
        <v>2856</v>
      </c>
      <c r="L63" s="68">
        <f t="shared" si="29"/>
        <v>44</v>
      </c>
      <c r="M63" s="68">
        <f t="shared" si="29"/>
        <v>56.489999999999995</v>
      </c>
      <c r="N63" s="68">
        <f t="shared" si="29"/>
        <v>40</v>
      </c>
      <c r="O63" s="68">
        <f t="shared" si="29"/>
        <v>20</v>
      </c>
      <c r="P63" s="68">
        <f t="shared" si="22"/>
        <v>0</v>
      </c>
      <c r="Q63" s="66">
        <f t="shared" si="15"/>
        <v>152.46549999999999</v>
      </c>
      <c r="R63" s="70">
        <f t="shared" si="8"/>
        <v>160.49</v>
      </c>
      <c r="S63" s="67">
        <f t="shared" si="9"/>
        <v>168.51450000000003</v>
      </c>
      <c r="T63" s="66">
        <f t="shared" si="23"/>
        <v>2056.4654999999998</v>
      </c>
      <c r="U63" s="89">
        <f t="shared" si="16"/>
        <v>2540.4899999999998</v>
      </c>
      <c r="V63" s="67">
        <f t="shared" si="16"/>
        <v>3024.5145000000002</v>
      </c>
      <c r="W63" s="7">
        <f t="shared" si="17"/>
        <v>0.17562727692455368</v>
      </c>
      <c r="X63" s="66">
        <f t="shared" si="18"/>
        <v>361.17143585429073</v>
      </c>
      <c r="Y63" s="89">
        <f t="shared" si="19"/>
        <v>446.17934075405935</v>
      </c>
      <c r="Z63" s="67">
        <f t="shared" si="20"/>
        <v>531.18724565382809</v>
      </c>
      <c r="AA63" s="14"/>
    </row>
    <row r="64" spans="1:27">
      <c r="A64" s="4">
        <f t="shared" si="21"/>
        <v>2070</v>
      </c>
      <c r="B64" s="4">
        <f t="shared" si="10"/>
        <v>51</v>
      </c>
      <c r="C64" s="63">
        <f t="shared" si="11"/>
        <v>0</v>
      </c>
      <c r="D64" s="64"/>
      <c r="E64" s="65">
        <f t="shared" si="12"/>
        <v>0</v>
      </c>
      <c r="F64" s="28">
        <f t="shared" si="13"/>
        <v>1904</v>
      </c>
      <c r="G64" s="27">
        <f t="shared" si="28"/>
        <v>2380</v>
      </c>
      <c r="H64" s="29">
        <f t="shared" si="7"/>
        <v>2856</v>
      </c>
      <c r="I64" s="30">
        <f t="shared" si="14"/>
        <v>1904</v>
      </c>
      <c r="J64" s="84">
        <f t="shared" si="14"/>
        <v>2380</v>
      </c>
      <c r="K64" s="31">
        <f t="shared" si="14"/>
        <v>2856</v>
      </c>
      <c r="L64" s="68">
        <f t="shared" ref="L64:O73" si="30">L63</f>
        <v>44</v>
      </c>
      <c r="M64" s="68">
        <f t="shared" si="30"/>
        <v>56.489999999999995</v>
      </c>
      <c r="N64" s="68">
        <f t="shared" si="30"/>
        <v>40</v>
      </c>
      <c r="O64" s="68">
        <f t="shared" si="30"/>
        <v>20</v>
      </c>
      <c r="P64" s="68">
        <f t="shared" si="22"/>
        <v>0</v>
      </c>
      <c r="Q64" s="66">
        <f t="shared" si="15"/>
        <v>152.46549999999999</v>
      </c>
      <c r="R64" s="70">
        <f t="shared" si="8"/>
        <v>160.49</v>
      </c>
      <c r="S64" s="67">
        <f t="shared" si="9"/>
        <v>168.51450000000003</v>
      </c>
      <c r="T64" s="66">
        <f t="shared" si="23"/>
        <v>2056.4654999999998</v>
      </c>
      <c r="U64" s="89">
        <f t="shared" si="16"/>
        <v>2540.4899999999998</v>
      </c>
      <c r="V64" s="67">
        <f t="shared" si="16"/>
        <v>3024.5145000000002</v>
      </c>
      <c r="W64" s="7">
        <f t="shared" si="17"/>
        <v>0.16962263562348243</v>
      </c>
      <c r="X64" s="66">
        <f t="shared" si="18"/>
        <v>348.82309817876256</v>
      </c>
      <c r="Y64" s="89">
        <f t="shared" si="19"/>
        <v>430.92460957510082</v>
      </c>
      <c r="Z64" s="67">
        <f t="shared" si="20"/>
        <v>513.02612097143913</v>
      </c>
      <c r="AA64" s="14"/>
    </row>
    <row r="65" spans="1:27">
      <c r="A65" s="4">
        <f t="shared" si="21"/>
        <v>2071</v>
      </c>
      <c r="B65" s="4">
        <f t="shared" si="10"/>
        <v>52</v>
      </c>
      <c r="C65" s="63">
        <f t="shared" si="11"/>
        <v>0</v>
      </c>
      <c r="D65" s="64"/>
      <c r="E65" s="65">
        <f t="shared" si="12"/>
        <v>0</v>
      </c>
      <c r="F65" s="28">
        <f t="shared" si="13"/>
        <v>1904</v>
      </c>
      <c r="G65" s="27">
        <f t="shared" si="28"/>
        <v>2380</v>
      </c>
      <c r="H65" s="29">
        <f t="shared" si="7"/>
        <v>2856</v>
      </c>
      <c r="I65" s="30">
        <f t="shared" si="14"/>
        <v>1904</v>
      </c>
      <c r="J65" s="84">
        <f t="shared" si="14"/>
        <v>2380</v>
      </c>
      <c r="K65" s="31">
        <f t="shared" si="14"/>
        <v>2856</v>
      </c>
      <c r="L65" s="68">
        <f t="shared" si="30"/>
        <v>44</v>
      </c>
      <c r="M65" s="68">
        <f t="shared" si="30"/>
        <v>56.489999999999995</v>
      </c>
      <c r="N65" s="68">
        <f t="shared" si="30"/>
        <v>40</v>
      </c>
      <c r="O65" s="68">
        <f t="shared" si="30"/>
        <v>20</v>
      </c>
      <c r="P65" s="68">
        <f t="shared" si="22"/>
        <v>0</v>
      </c>
      <c r="Q65" s="66">
        <f t="shared" si="15"/>
        <v>152.46549999999999</v>
      </c>
      <c r="R65" s="70">
        <f t="shared" si="8"/>
        <v>160.49</v>
      </c>
      <c r="S65" s="67">
        <f t="shared" si="9"/>
        <v>168.51450000000003</v>
      </c>
      <c r="T65" s="66">
        <f t="shared" si="23"/>
        <v>2056.4654999999998</v>
      </c>
      <c r="U65" s="89">
        <f t="shared" si="16"/>
        <v>2540.4899999999998</v>
      </c>
      <c r="V65" s="67">
        <f t="shared" si="16"/>
        <v>3024.5145000000002</v>
      </c>
      <c r="W65" s="7">
        <f t="shared" si="17"/>
        <v>0.16382329111790842</v>
      </c>
      <c r="X65" s="66">
        <f t="shared" si="18"/>
        <v>336.89694628043503</v>
      </c>
      <c r="Y65" s="89">
        <f t="shared" si="19"/>
        <v>416.19143285213511</v>
      </c>
      <c r="Z65" s="67">
        <f t="shared" si="20"/>
        <v>495.48591942383524</v>
      </c>
      <c r="AA65" s="90"/>
    </row>
    <row r="66" spans="1:27">
      <c r="A66" s="4">
        <f t="shared" si="21"/>
        <v>2072</v>
      </c>
      <c r="B66" s="4">
        <f t="shared" si="10"/>
        <v>53</v>
      </c>
      <c r="C66" s="63">
        <f t="shared" si="11"/>
        <v>0</v>
      </c>
      <c r="D66" s="64"/>
      <c r="E66" s="65">
        <f t="shared" si="12"/>
        <v>0</v>
      </c>
      <c r="F66" s="28">
        <f t="shared" si="13"/>
        <v>1904</v>
      </c>
      <c r="G66" s="27">
        <f t="shared" si="28"/>
        <v>2380</v>
      </c>
      <c r="H66" s="29">
        <f t="shared" si="7"/>
        <v>2856</v>
      </c>
      <c r="I66" s="30">
        <f t="shared" si="14"/>
        <v>1904</v>
      </c>
      <c r="J66" s="84">
        <f t="shared" si="14"/>
        <v>2380</v>
      </c>
      <c r="K66" s="31">
        <f t="shared" si="14"/>
        <v>2856</v>
      </c>
      <c r="L66" s="68">
        <f t="shared" si="30"/>
        <v>44</v>
      </c>
      <c r="M66" s="68">
        <f t="shared" si="30"/>
        <v>56.489999999999995</v>
      </c>
      <c r="N66" s="68">
        <f t="shared" si="30"/>
        <v>40</v>
      </c>
      <c r="O66" s="68">
        <f t="shared" si="30"/>
        <v>20</v>
      </c>
      <c r="P66" s="68">
        <f t="shared" si="22"/>
        <v>0</v>
      </c>
      <c r="Q66" s="66">
        <f t="shared" si="15"/>
        <v>152.46549999999999</v>
      </c>
      <c r="R66" s="70">
        <f t="shared" si="8"/>
        <v>160.49</v>
      </c>
      <c r="S66" s="67">
        <f t="shared" si="9"/>
        <v>168.51450000000003</v>
      </c>
      <c r="T66" s="66">
        <f t="shared" si="23"/>
        <v>2056.4654999999998</v>
      </c>
      <c r="U66" s="89">
        <f t="shared" si="16"/>
        <v>2540.4899999999998</v>
      </c>
      <c r="V66" s="67">
        <f t="shared" si="16"/>
        <v>3024.5145000000002</v>
      </c>
      <c r="W66" s="7">
        <f t="shared" si="17"/>
        <v>0.15822222437503228</v>
      </c>
      <c r="X66" s="66">
        <f t="shared" si="18"/>
        <v>325.37854576051291</v>
      </c>
      <c r="Y66" s="89">
        <f t="shared" si="19"/>
        <v>401.96197880252572</v>
      </c>
      <c r="Z66" s="67">
        <f t="shared" si="20"/>
        <v>478.54541184453859</v>
      </c>
      <c r="AA66" s="14"/>
    </row>
    <row r="67" spans="1:27">
      <c r="A67" s="4">
        <f t="shared" si="21"/>
        <v>2073</v>
      </c>
      <c r="B67" s="4">
        <f t="shared" si="10"/>
        <v>54</v>
      </c>
      <c r="C67" s="63">
        <f t="shared" si="11"/>
        <v>0</v>
      </c>
      <c r="D67" s="64"/>
      <c r="E67" s="65">
        <f t="shared" si="12"/>
        <v>0</v>
      </c>
      <c r="F67" s="28">
        <f t="shared" si="13"/>
        <v>1904</v>
      </c>
      <c r="G67" s="27">
        <f t="shared" si="28"/>
        <v>2380</v>
      </c>
      <c r="H67" s="29">
        <f t="shared" si="7"/>
        <v>2856</v>
      </c>
      <c r="I67" s="30">
        <f t="shared" si="14"/>
        <v>1904</v>
      </c>
      <c r="J67" s="84">
        <f t="shared" si="14"/>
        <v>2380</v>
      </c>
      <c r="K67" s="31">
        <f t="shared" si="14"/>
        <v>2856</v>
      </c>
      <c r="L67" s="68">
        <f t="shared" si="30"/>
        <v>44</v>
      </c>
      <c r="M67" s="68">
        <f t="shared" si="30"/>
        <v>56.489999999999995</v>
      </c>
      <c r="N67" s="68">
        <f t="shared" si="30"/>
        <v>40</v>
      </c>
      <c r="O67" s="68">
        <f t="shared" si="30"/>
        <v>20</v>
      </c>
      <c r="P67" s="68">
        <f t="shared" si="22"/>
        <v>0</v>
      </c>
      <c r="Q67" s="66">
        <f t="shared" si="15"/>
        <v>152.46549999999999</v>
      </c>
      <c r="R67" s="70">
        <f t="shared" si="8"/>
        <v>160.49</v>
      </c>
      <c r="S67" s="67">
        <f t="shared" si="9"/>
        <v>168.51450000000003</v>
      </c>
      <c r="T67" s="66">
        <f t="shared" si="23"/>
        <v>2056.4654999999998</v>
      </c>
      <c r="U67" s="89">
        <f t="shared" si="16"/>
        <v>2540.4899999999998</v>
      </c>
      <c r="V67" s="67">
        <f t="shared" si="16"/>
        <v>3024.5145000000002</v>
      </c>
      <c r="W67" s="7">
        <f t="shared" si="17"/>
        <v>0.15281265634057586</v>
      </c>
      <c r="X67" s="66">
        <f t="shared" si="18"/>
        <v>314.25395572775051</v>
      </c>
      <c r="Y67" s="89">
        <f t="shared" si="19"/>
        <v>388.21902530666955</v>
      </c>
      <c r="Z67" s="67">
        <f t="shared" si="20"/>
        <v>462.18409488558865</v>
      </c>
      <c r="AA67" s="14"/>
    </row>
    <row r="68" spans="1:27">
      <c r="A68" s="4">
        <f t="shared" si="21"/>
        <v>2074</v>
      </c>
      <c r="B68" s="4">
        <f t="shared" si="10"/>
        <v>55</v>
      </c>
      <c r="C68" s="63">
        <f t="shared" si="11"/>
        <v>45</v>
      </c>
      <c r="D68" s="64">
        <v>50</v>
      </c>
      <c r="E68" s="65">
        <f t="shared" si="12"/>
        <v>60</v>
      </c>
      <c r="F68" s="28">
        <f t="shared" si="13"/>
        <v>1904</v>
      </c>
      <c r="G68" s="27">
        <f t="shared" si="28"/>
        <v>2380</v>
      </c>
      <c r="H68" s="29">
        <f t="shared" si="7"/>
        <v>2856</v>
      </c>
      <c r="I68" s="30">
        <f t="shared" si="14"/>
        <v>1949</v>
      </c>
      <c r="J68" s="84">
        <f t="shared" si="14"/>
        <v>2430</v>
      </c>
      <c r="K68" s="31">
        <f t="shared" si="14"/>
        <v>2916</v>
      </c>
      <c r="L68" s="68">
        <f t="shared" si="30"/>
        <v>44</v>
      </c>
      <c r="M68" s="68">
        <f t="shared" si="30"/>
        <v>56.489999999999995</v>
      </c>
      <c r="N68" s="68">
        <f t="shared" si="30"/>
        <v>40</v>
      </c>
      <c r="O68" s="68">
        <f t="shared" si="30"/>
        <v>20</v>
      </c>
      <c r="P68" s="68">
        <f t="shared" si="22"/>
        <v>0</v>
      </c>
      <c r="Q68" s="66">
        <f t="shared" si="15"/>
        <v>152.46549999999999</v>
      </c>
      <c r="R68" s="70">
        <f t="shared" si="8"/>
        <v>160.49</v>
      </c>
      <c r="S68" s="67">
        <f t="shared" si="9"/>
        <v>168.51450000000003</v>
      </c>
      <c r="T68" s="66">
        <f t="shared" si="23"/>
        <v>2101.4654999999998</v>
      </c>
      <c r="U68" s="89">
        <f t="shared" si="16"/>
        <v>2590.4899999999998</v>
      </c>
      <c r="V68" s="67">
        <f t="shared" si="16"/>
        <v>3084.5145000000002</v>
      </c>
      <c r="W68" s="7">
        <f t="shared" si="17"/>
        <v>0.14758803973399254</v>
      </c>
      <c r="X68" s="66">
        <f t="shared" si="18"/>
        <v>310.15117371361447</v>
      </c>
      <c r="Y68" s="89">
        <f t="shared" si="19"/>
        <v>382.3253410505103</v>
      </c>
      <c r="Z68" s="67">
        <f t="shared" si="20"/>
        <v>455.23744858607614</v>
      </c>
      <c r="AA68" s="14"/>
    </row>
    <row r="69" spans="1:27">
      <c r="A69" s="4">
        <f t="shared" si="21"/>
        <v>2075</v>
      </c>
      <c r="B69" s="4">
        <f t="shared" si="10"/>
        <v>56</v>
      </c>
      <c r="C69" s="63">
        <f t="shared" si="11"/>
        <v>45</v>
      </c>
      <c r="D69" s="64">
        <v>50</v>
      </c>
      <c r="E69" s="65">
        <f t="shared" si="12"/>
        <v>60</v>
      </c>
      <c r="F69" s="28">
        <f t="shared" si="13"/>
        <v>1904</v>
      </c>
      <c r="G69" s="27">
        <f t="shared" si="28"/>
        <v>2380</v>
      </c>
      <c r="H69" s="29">
        <f t="shared" si="7"/>
        <v>2856</v>
      </c>
      <c r="I69" s="30">
        <f t="shared" si="14"/>
        <v>1949</v>
      </c>
      <c r="J69" s="84">
        <f t="shared" si="14"/>
        <v>2430</v>
      </c>
      <c r="K69" s="31">
        <f t="shared" si="14"/>
        <v>2916</v>
      </c>
      <c r="L69" s="68">
        <f t="shared" si="30"/>
        <v>44</v>
      </c>
      <c r="M69" s="68">
        <f t="shared" si="30"/>
        <v>56.489999999999995</v>
      </c>
      <c r="N69" s="68">
        <f t="shared" si="30"/>
        <v>40</v>
      </c>
      <c r="O69" s="68">
        <f t="shared" si="30"/>
        <v>20</v>
      </c>
      <c r="P69" s="68">
        <f t="shared" si="22"/>
        <v>0</v>
      </c>
      <c r="Q69" s="66">
        <f t="shared" si="15"/>
        <v>152.46549999999999</v>
      </c>
      <c r="R69" s="70">
        <f t="shared" si="8"/>
        <v>160.49</v>
      </c>
      <c r="S69" s="67">
        <f t="shared" si="9"/>
        <v>168.51450000000003</v>
      </c>
      <c r="T69" s="66">
        <f t="shared" si="23"/>
        <v>2101.4654999999998</v>
      </c>
      <c r="U69" s="89">
        <f t="shared" si="16"/>
        <v>2590.4899999999998</v>
      </c>
      <c r="V69" s="67">
        <f t="shared" si="16"/>
        <v>3084.5145000000002</v>
      </c>
      <c r="W69" s="7">
        <f t="shared" si="17"/>
        <v>0.14254205112419596</v>
      </c>
      <c r="X69" s="66">
        <f t="shared" si="18"/>
        <v>299.54720273673399</v>
      </c>
      <c r="Y69" s="89">
        <f t="shared" si="19"/>
        <v>369.25375801671839</v>
      </c>
      <c r="Z69" s="67">
        <f t="shared" si="20"/>
        <v>439.6730235523238</v>
      </c>
      <c r="AA69" s="14"/>
    </row>
    <row r="70" spans="1:27">
      <c r="A70" s="4">
        <f t="shared" si="21"/>
        <v>2076</v>
      </c>
      <c r="B70" s="4">
        <f t="shared" si="10"/>
        <v>57</v>
      </c>
      <c r="C70" s="63">
        <f t="shared" si="11"/>
        <v>0</v>
      </c>
      <c r="D70" s="64"/>
      <c r="E70" s="65">
        <f t="shared" si="12"/>
        <v>0</v>
      </c>
      <c r="F70" s="28">
        <f t="shared" si="13"/>
        <v>1904</v>
      </c>
      <c r="G70" s="27">
        <f t="shared" si="28"/>
        <v>2380</v>
      </c>
      <c r="H70" s="29">
        <f t="shared" si="7"/>
        <v>2856</v>
      </c>
      <c r="I70" s="30">
        <f t="shared" si="14"/>
        <v>1904</v>
      </c>
      <c r="J70" s="84">
        <f t="shared" si="14"/>
        <v>2380</v>
      </c>
      <c r="K70" s="31">
        <f t="shared" si="14"/>
        <v>2856</v>
      </c>
      <c r="L70" s="68">
        <f t="shared" si="30"/>
        <v>44</v>
      </c>
      <c r="M70" s="68">
        <f t="shared" si="30"/>
        <v>56.489999999999995</v>
      </c>
      <c r="N70" s="68">
        <f t="shared" si="30"/>
        <v>40</v>
      </c>
      <c r="O70" s="68">
        <f t="shared" si="30"/>
        <v>20</v>
      </c>
      <c r="P70" s="68">
        <f t="shared" si="22"/>
        <v>0</v>
      </c>
      <c r="Q70" s="66">
        <f t="shared" si="15"/>
        <v>152.46549999999999</v>
      </c>
      <c r="R70" s="70">
        <f t="shared" si="8"/>
        <v>160.49</v>
      </c>
      <c r="S70" s="67">
        <f t="shared" si="9"/>
        <v>168.51450000000003</v>
      </c>
      <c r="T70" s="66">
        <f t="shared" si="23"/>
        <v>2056.4654999999998</v>
      </c>
      <c r="U70" s="89">
        <f t="shared" si="16"/>
        <v>2540.4899999999998</v>
      </c>
      <c r="V70" s="67">
        <f t="shared" si="16"/>
        <v>3024.5145000000002</v>
      </c>
      <c r="W70" s="7">
        <f t="shared" si="17"/>
        <v>0.13766858327621784</v>
      </c>
      <c r="X70" s="66">
        <f t="shared" si="18"/>
        <v>283.11069194141891</v>
      </c>
      <c r="Y70" s="89">
        <f t="shared" si="19"/>
        <v>349.7456591273986</v>
      </c>
      <c r="Z70" s="67">
        <f t="shared" si="20"/>
        <v>416.3806263133784</v>
      </c>
      <c r="AA70" s="90"/>
    </row>
    <row r="71" spans="1:27">
      <c r="A71" s="4">
        <f t="shared" si="21"/>
        <v>2077</v>
      </c>
      <c r="B71" s="4">
        <f t="shared" si="10"/>
        <v>58</v>
      </c>
      <c r="C71" s="63">
        <f t="shared" si="11"/>
        <v>0</v>
      </c>
      <c r="D71" s="64"/>
      <c r="E71" s="65">
        <f t="shared" si="12"/>
        <v>0</v>
      </c>
      <c r="F71" s="28">
        <f t="shared" si="13"/>
        <v>1904</v>
      </c>
      <c r="G71" s="27">
        <f t="shared" si="28"/>
        <v>2380</v>
      </c>
      <c r="H71" s="29">
        <f t="shared" si="7"/>
        <v>2856</v>
      </c>
      <c r="I71" s="30">
        <f t="shared" si="14"/>
        <v>1904</v>
      </c>
      <c r="J71" s="84">
        <f t="shared" si="14"/>
        <v>2380</v>
      </c>
      <c r="K71" s="31">
        <f t="shared" si="14"/>
        <v>2856</v>
      </c>
      <c r="L71" s="68">
        <f t="shared" si="30"/>
        <v>44</v>
      </c>
      <c r="M71" s="68">
        <f t="shared" si="30"/>
        <v>56.489999999999995</v>
      </c>
      <c r="N71" s="68">
        <f t="shared" si="30"/>
        <v>40</v>
      </c>
      <c r="O71" s="68">
        <f t="shared" si="30"/>
        <v>20</v>
      </c>
      <c r="P71" s="68">
        <f t="shared" si="22"/>
        <v>0</v>
      </c>
      <c r="Q71" s="66">
        <f t="shared" si="15"/>
        <v>152.46549999999999</v>
      </c>
      <c r="R71" s="70">
        <f t="shared" si="8"/>
        <v>160.49</v>
      </c>
      <c r="S71" s="67">
        <f t="shared" si="9"/>
        <v>168.51450000000003</v>
      </c>
      <c r="T71" s="66">
        <f t="shared" si="23"/>
        <v>2056.4654999999998</v>
      </c>
      <c r="U71" s="89">
        <f t="shared" si="16"/>
        <v>2540.4899999999998</v>
      </c>
      <c r="V71" s="67">
        <f t="shared" si="16"/>
        <v>3024.5145000000002</v>
      </c>
      <c r="W71" s="7">
        <f t="shared" si="17"/>
        <v>0.13296173775953046</v>
      </c>
      <c r="X71" s="66">
        <f t="shared" si="18"/>
        <v>273.43122652252168</v>
      </c>
      <c r="Y71" s="89">
        <f t="shared" si="19"/>
        <v>337.78796516070952</v>
      </c>
      <c r="Z71" s="67">
        <f t="shared" si="20"/>
        <v>402.14470379889741</v>
      </c>
      <c r="AA71" s="14"/>
    </row>
    <row r="72" spans="1:27">
      <c r="A72" s="4">
        <f t="shared" si="21"/>
        <v>2078</v>
      </c>
      <c r="B72" s="4">
        <f t="shared" si="10"/>
        <v>59</v>
      </c>
      <c r="C72" s="63">
        <f t="shared" si="11"/>
        <v>0</v>
      </c>
      <c r="D72" s="64"/>
      <c r="E72" s="65">
        <f t="shared" si="12"/>
        <v>0</v>
      </c>
      <c r="F72" s="28">
        <f t="shared" si="13"/>
        <v>1904</v>
      </c>
      <c r="G72" s="27">
        <f t="shared" si="28"/>
        <v>2380</v>
      </c>
      <c r="H72" s="29">
        <f t="shared" si="7"/>
        <v>2856</v>
      </c>
      <c r="I72" s="30">
        <f t="shared" si="14"/>
        <v>1904</v>
      </c>
      <c r="J72" s="84">
        <f t="shared" si="14"/>
        <v>2380</v>
      </c>
      <c r="K72" s="31">
        <f t="shared" si="14"/>
        <v>2856</v>
      </c>
      <c r="L72" s="68">
        <f>L71</f>
        <v>44</v>
      </c>
      <c r="M72" s="68">
        <f t="shared" si="30"/>
        <v>56.489999999999995</v>
      </c>
      <c r="N72" s="68">
        <f t="shared" si="30"/>
        <v>40</v>
      </c>
      <c r="O72" s="68">
        <f t="shared" si="30"/>
        <v>20</v>
      </c>
      <c r="P72" s="68">
        <f t="shared" si="22"/>
        <v>0</v>
      </c>
      <c r="Q72" s="66">
        <f t="shared" si="15"/>
        <v>152.46549999999999</v>
      </c>
      <c r="R72" s="70">
        <f t="shared" si="8"/>
        <v>160.49</v>
      </c>
      <c r="S72" s="67">
        <f t="shared" si="9"/>
        <v>168.51450000000003</v>
      </c>
      <c r="T72" s="66">
        <f t="shared" si="23"/>
        <v>2056.4654999999998</v>
      </c>
      <c r="U72" s="89">
        <f t="shared" si="16"/>
        <v>2540.4899999999998</v>
      </c>
      <c r="V72" s="67">
        <f t="shared" si="16"/>
        <v>3024.5145000000002</v>
      </c>
      <c r="W72" s="7">
        <f t="shared" si="17"/>
        <v>0.12841581780908873</v>
      </c>
      <c r="X72" s="66">
        <f t="shared" si="18"/>
        <v>264.08269897867655</v>
      </c>
      <c r="Y72" s="89">
        <f t="shared" si="19"/>
        <v>326.23910098581177</v>
      </c>
      <c r="Z72" s="67">
        <f t="shared" si="20"/>
        <v>388.39550299294712</v>
      </c>
      <c r="AA72" s="90"/>
    </row>
    <row r="73" spans="1:27">
      <c r="A73" s="26">
        <f t="shared" si="21"/>
        <v>2079</v>
      </c>
      <c r="B73" s="26">
        <f t="shared" si="10"/>
        <v>60</v>
      </c>
      <c r="C73" s="63">
        <f t="shared" si="11"/>
        <v>0</v>
      </c>
      <c r="D73" s="64"/>
      <c r="E73" s="65">
        <f t="shared" si="12"/>
        <v>0</v>
      </c>
      <c r="F73" s="28">
        <f t="shared" si="13"/>
        <v>1904</v>
      </c>
      <c r="G73" s="27">
        <f t="shared" si="28"/>
        <v>2380</v>
      </c>
      <c r="H73" s="29">
        <f t="shared" si="7"/>
        <v>2856</v>
      </c>
      <c r="I73" s="36">
        <f t="shared" si="14"/>
        <v>1904</v>
      </c>
      <c r="J73" s="85">
        <f t="shared" si="14"/>
        <v>2380</v>
      </c>
      <c r="K73" s="38">
        <f t="shared" si="14"/>
        <v>2856</v>
      </c>
      <c r="L73" s="68">
        <f t="shared" si="30"/>
        <v>44</v>
      </c>
      <c r="M73" s="68">
        <f t="shared" si="30"/>
        <v>56.489999999999995</v>
      </c>
      <c r="N73" s="68">
        <f t="shared" si="30"/>
        <v>40</v>
      </c>
      <c r="O73" s="68">
        <f t="shared" si="30"/>
        <v>20</v>
      </c>
      <c r="P73" s="68">
        <f t="shared" si="22"/>
        <v>0</v>
      </c>
      <c r="Q73" s="66">
        <f t="shared" si="15"/>
        <v>152.46549999999999</v>
      </c>
      <c r="R73" s="70">
        <f t="shared" si="8"/>
        <v>160.49</v>
      </c>
      <c r="S73" s="67">
        <f t="shared" si="9"/>
        <v>168.51450000000003</v>
      </c>
      <c r="T73" s="66">
        <f t="shared" si="23"/>
        <v>2056.4654999999998</v>
      </c>
      <c r="U73" s="89">
        <f t="shared" si="16"/>
        <v>2540.4899999999998</v>
      </c>
      <c r="V73" s="67">
        <f t="shared" si="16"/>
        <v>3024.5145000000002</v>
      </c>
      <c r="W73" s="7">
        <f t="shared" si="17"/>
        <v>0.12402532143045074</v>
      </c>
      <c r="X73" s="73">
        <f t="shared" si="18"/>
        <v>255.05379464813257</v>
      </c>
      <c r="Y73" s="91">
        <f t="shared" si="19"/>
        <v>315.08508884084574</v>
      </c>
      <c r="Z73" s="74">
        <f t="shared" si="20"/>
        <v>375.11638303355903</v>
      </c>
      <c r="AA73" s="15"/>
    </row>
    <row r="74" spans="1:27" ht="13.5" thickBot="1">
      <c r="A74" s="185" t="s">
        <v>58</v>
      </c>
      <c r="B74" s="186"/>
      <c r="C74" s="92">
        <f t="shared" ref="C74:S74" si="31">SUM(C13:C73)</f>
        <v>9000</v>
      </c>
      <c r="D74" s="75">
        <f t="shared" si="31"/>
        <v>10000</v>
      </c>
      <c r="E74" s="93">
        <f t="shared" si="31"/>
        <v>11999.999999999998</v>
      </c>
      <c r="F74" s="92">
        <f t="shared" si="31"/>
        <v>108476</v>
      </c>
      <c r="G74" s="75">
        <f t="shared" si="31"/>
        <v>135595</v>
      </c>
      <c r="H74" s="76">
        <f t="shared" si="31"/>
        <v>162714</v>
      </c>
      <c r="I74" s="77">
        <f t="shared" si="31"/>
        <v>117476</v>
      </c>
      <c r="J74" s="78">
        <f t="shared" si="31"/>
        <v>145595</v>
      </c>
      <c r="K74" s="79">
        <f t="shared" si="31"/>
        <v>174714</v>
      </c>
      <c r="L74" s="80">
        <f t="shared" si="31"/>
        <v>2676</v>
      </c>
      <c r="M74" s="80">
        <f t="shared" si="31"/>
        <v>3412.9099999999949</v>
      </c>
      <c r="N74" s="80">
        <f t="shared" si="31"/>
        <v>2440</v>
      </c>
      <c r="O74" s="80">
        <f t="shared" si="31"/>
        <v>1230</v>
      </c>
      <c r="P74" s="80">
        <f t="shared" si="31"/>
        <v>0</v>
      </c>
      <c r="Q74" s="77">
        <f t="shared" si="31"/>
        <v>9270.9645000000055</v>
      </c>
      <c r="R74" s="78">
        <f t="shared" si="31"/>
        <v>9758.9099999999908</v>
      </c>
      <c r="S74" s="79">
        <f t="shared" si="31"/>
        <v>10246.8555</v>
      </c>
      <c r="T74" s="77">
        <f>SUM(T13:T73)</f>
        <v>126746.96450000013</v>
      </c>
      <c r="U74" s="78">
        <f>SUM(U13:U73)</f>
        <v>155353.91000000003</v>
      </c>
      <c r="V74" s="79">
        <f>SUM(V13:V73)</f>
        <v>184960.85549999992</v>
      </c>
      <c r="W74" s="81"/>
      <c r="X74" s="77">
        <f>SUM(X13:X73)</f>
        <v>54192.619931738678</v>
      </c>
      <c r="Y74" s="78">
        <f t="shared" ref="Y74:Z74" si="32">SUM(Y13:Y73)</f>
        <v>65843.141727498223</v>
      </c>
      <c r="Z74" s="79">
        <f t="shared" si="32"/>
        <v>78396.56423426597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3">
    <mergeCell ref="W1:Y1"/>
    <mergeCell ref="A74:B74"/>
    <mergeCell ref="A4:C4"/>
    <mergeCell ref="A6:B6"/>
    <mergeCell ref="A7:B7"/>
    <mergeCell ref="A8:B8"/>
    <mergeCell ref="A11:B11"/>
    <mergeCell ref="A12:B12"/>
    <mergeCell ref="A3:B3"/>
    <mergeCell ref="A1:B1"/>
    <mergeCell ref="C1:K1"/>
    <mergeCell ref="O1:Q1"/>
    <mergeCell ref="S1:U1"/>
  </mergeCells>
  <pageMargins left="0.75" right="0.75" top="1" bottom="1" header="0.5" footer="0.5"/>
  <pageSetup paperSize="9" scale="24" orientation="portrait" r:id="rId1"/>
  <headerFooter alignWithMargins="0">
    <oddFooter>&amp;L&amp;1#&amp;"Arial"&amp;11&amp;K000000SW Internal Personal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80" zoomScaleNormal="80" workbookViewId="0">
      <pane xSplit="2" ySplit="12" topLeftCell="D13" activePane="bottomRight" state="frozen"/>
      <selection pane="topRight" activeCell="O65" sqref="O65"/>
      <selection pane="bottomLeft" activeCell="O65" sqref="O65"/>
      <selection pane="bottomRight" activeCell="AA17" sqref="AA17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0.73046875" customWidth="1"/>
    <col min="16" max="16" width="12.46484375" customWidth="1"/>
    <col min="17" max="17" width="10.73046875" customWidth="1"/>
    <col min="18" max="18" width="10.265625" customWidth="1"/>
    <col min="19" max="19" width="13.4648437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</cols>
  <sheetData>
    <row r="1" spans="1:29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102</v>
      </c>
      <c r="T1" s="197"/>
      <c r="U1" s="197"/>
      <c r="W1" s="198" t="str">
        <f>'Base Costs'!Q1</f>
        <v>Existing Coag UF</v>
      </c>
      <c r="X1" s="199"/>
      <c r="Y1" s="200"/>
    </row>
    <row r="2" spans="1:29" ht="17.25" customHeight="1">
      <c r="A2" s="47" t="s">
        <v>15</v>
      </c>
      <c r="B2" s="48"/>
      <c r="C2" s="23" t="s">
        <v>210</v>
      </c>
      <c r="D2" s="21"/>
      <c r="E2" s="21"/>
      <c r="F2" s="21"/>
      <c r="G2" s="21"/>
      <c r="H2" s="21"/>
      <c r="I2" s="21"/>
      <c r="J2" s="21"/>
      <c r="K2" s="22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</row>
    <row r="3" spans="1:29" ht="12.75" customHeight="1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96">
        <f>P3/$P$9</f>
        <v>0.74522292993630568</v>
      </c>
      <c r="P3" s="97">
        <f>T3+X3</f>
        <v>58500</v>
      </c>
      <c r="Q3" s="103">
        <f>U3+Y3</f>
        <v>225</v>
      </c>
      <c r="S3" s="105">
        <v>1</v>
      </c>
      <c r="T3" s="97">
        <f t="shared" ref="T3:T8" si="0">S3*$T$9</f>
        <v>28500</v>
      </c>
      <c r="U3" s="97">
        <f>30+28000/100*0.25</f>
        <v>100</v>
      </c>
      <c r="W3" s="105">
        <f>'Base Costs'!Q3</f>
        <v>0.6</v>
      </c>
      <c r="X3" s="97">
        <f>'Base Costs'!R3</f>
        <v>30000</v>
      </c>
      <c r="Y3" s="97">
        <f>(X3/N3)*25%</f>
        <v>125</v>
      </c>
      <c r="Z3" s="110" t="s">
        <v>79</v>
      </c>
      <c r="AA3" s="111"/>
    </row>
    <row r="4" spans="1:29" ht="13.5" thickBot="1">
      <c r="A4" s="191" t="s">
        <v>22</v>
      </c>
      <c r="B4" s="192"/>
      <c r="C4" s="201"/>
      <c r="D4" s="56">
        <f>X74</f>
        <v>59229.907207884302</v>
      </c>
      <c r="E4" s="57">
        <f>Y74</f>
        <v>69886.495676735198</v>
      </c>
      <c r="F4" s="58">
        <f>Z74</f>
        <v>91365.103456643337</v>
      </c>
      <c r="M4" s="8" t="s">
        <v>21</v>
      </c>
      <c r="N4" s="100">
        <v>25</v>
      </c>
      <c r="O4" s="96">
        <f t="shared" ref="O4:O9" si="1">P4/$P$9</f>
        <v>9.5541401273885357E-2</v>
      </c>
      <c r="P4" s="97">
        <f t="shared" ref="P4:Q8" si="2">T4+X4</f>
        <v>7500</v>
      </c>
      <c r="Q4" s="103">
        <f t="shared" si="2"/>
        <v>300</v>
      </c>
      <c r="S4" s="105">
        <v>0</v>
      </c>
      <c r="T4" s="97">
        <f t="shared" si="0"/>
        <v>0</v>
      </c>
      <c r="U4" s="97">
        <f>(T4/N4)</f>
        <v>0</v>
      </c>
      <c r="W4" s="105">
        <f>'Base Costs'!Q4</f>
        <v>0.15</v>
      </c>
      <c r="X4" s="97">
        <f>'Base Costs'!R4</f>
        <v>7500</v>
      </c>
      <c r="Y4" s="97">
        <f>(X4/N4)</f>
        <v>300</v>
      </c>
      <c r="Z4" s="110" t="s">
        <v>77</v>
      </c>
      <c r="AA4" s="111"/>
    </row>
    <row r="5" spans="1:29" ht="13.15">
      <c r="D5" s="12">
        <f>D4-'Base Costs'!D4</f>
        <v>26601.805781647916</v>
      </c>
      <c r="E5" s="12">
        <f>E4-'Base Costs'!E4</f>
        <v>29801.312370595355</v>
      </c>
      <c r="F5" s="12">
        <f>F4-'Base Costs'!F4</f>
        <v>43822.838270600041</v>
      </c>
      <c r="M5" s="8" t="s">
        <v>23</v>
      </c>
      <c r="N5" s="100">
        <v>25</v>
      </c>
      <c r="O5" s="96">
        <f t="shared" si="1"/>
        <v>9.5541401273885357E-2</v>
      </c>
      <c r="P5" s="97">
        <f t="shared" si="2"/>
        <v>7500</v>
      </c>
      <c r="Q5" s="103">
        <f t="shared" si="2"/>
        <v>300</v>
      </c>
      <c r="S5" s="105">
        <v>0</v>
      </c>
      <c r="T5" s="97">
        <f t="shared" si="0"/>
        <v>0</v>
      </c>
      <c r="U5" s="97">
        <f t="shared" ref="U5:U8" si="3">(T5/N5)</f>
        <v>0</v>
      </c>
      <c r="W5" s="105">
        <f>'Base Costs'!Q5</f>
        <v>0.15</v>
      </c>
      <c r="X5" s="97">
        <f>'Base Costs'!R5</f>
        <v>7500</v>
      </c>
      <c r="Y5" s="97">
        <f>(X5/N5)</f>
        <v>300</v>
      </c>
    </row>
    <row r="6" spans="1:29" ht="28.5" customHeight="1">
      <c r="A6" s="181" t="s">
        <v>92</v>
      </c>
      <c r="B6" s="182"/>
      <c r="I6" s="30">
        <f>SUM(I13:I17)</f>
        <v>30470</v>
      </c>
      <c r="J6" s="84">
        <f t="shared" ref="J6:K6" si="4">SUM(J13:J17)</f>
        <v>34525</v>
      </c>
      <c r="K6" s="31">
        <f t="shared" si="4"/>
        <v>49980</v>
      </c>
      <c r="M6" s="8" t="s">
        <v>24</v>
      </c>
      <c r="N6" s="100">
        <v>10</v>
      </c>
      <c r="O6" s="96">
        <f t="shared" si="1"/>
        <v>3.1847133757961783E-2</v>
      </c>
      <c r="P6" s="97">
        <f t="shared" si="2"/>
        <v>2500</v>
      </c>
      <c r="Q6" s="103">
        <f t="shared" si="2"/>
        <v>250</v>
      </c>
      <c r="S6" s="105">
        <v>0</v>
      </c>
      <c r="T6" s="97">
        <f t="shared" si="0"/>
        <v>0</v>
      </c>
      <c r="U6" s="97">
        <f t="shared" si="3"/>
        <v>0</v>
      </c>
      <c r="W6" s="105">
        <f>'Base Costs'!Q6</f>
        <v>0.05</v>
      </c>
      <c r="X6" s="97">
        <f>'Base Costs'!R6</f>
        <v>2500</v>
      </c>
      <c r="Y6" s="97">
        <f>(X6/N6)</f>
        <v>250</v>
      </c>
    </row>
    <row r="7" spans="1:29" ht="26.25" customHeight="1">
      <c r="A7" s="181" t="s">
        <v>93</v>
      </c>
      <c r="B7" s="182"/>
      <c r="C7" s="59">
        <f>SUM(C13:C73)</f>
        <v>25650</v>
      </c>
      <c r="D7" s="60">
        <f t="shared" ref="D7:E7" si="5">SUM(D13:D73)</f>
        <v>28500</v>
      </c>
      <c r="E7" s="61">
        <f t="shared" si="5"/>
        <v>42750</v>
      </c>
      <c r="M7" s="8" t="s">
        <v>25</v>
      </c>
      <c r="N7" s="101">
        <v>10000</v>
      </c>
      <c r="O7" s="96">
        <f t="shared" si="1"/>
        <v>0</v>
      </c>
      <c r="P7" s="97">
        <f t="shared" si="2"/>
        <v>0</v>
      </c>
      <c r="Q7" s="103">
        <f t="shared" si="2"/>
        <v>0</v>
      </c>
      <c r="S7" s="105">
        <v>0</v>
      </c>
      <c r="T7" s="97">
        <f t="shared" si="0"/>
        <v>0</v>
      </c>
      <c r="U7" s="97">
        <f t="shared" si="3"/>
        <v>0</v>
      </c>
      <c r="W7" s="105">
        <f>'Base Costs'!Q7</f>
        <v>0</v>
      </c>
      <c r="X7" s="97">
        <f>'Base Costs'!R7</f>
        <v>0</v>
      </c>
      <c r="Y7" s="97">
        <f>(X7/N7)</f>
        <v>0</v>
      </c>
    </row>
    <row r="8" spans="1:29" ht="26.25" customHeight="1">
      <c r="A8" s="181" t="s">
        <v>94</v>
      </c>
      <c r="B8" s="182"/>
      <c r="F8" s="59">
        <f>SUM(F13:F73)</f>
        <v>75380</v>
      </c>
      <c r="G8" s="59">
        <f t="shared" ref="G8:H8" si="6">SUM(G13:G73)</f>
        <v>94225</v>
      </c>
      <c r="H8" s="59">
        <f t="shared" si="6"/>
        <v>113070</v>
      </c>
      <c r="M8" s="8" t="s">
        <v>26</v>
      </c>
      <c r="N8" s="101">
        <v>5</v>
      </c>
      <c r="O8" s="96">
        <f t="shared" si="1"/>
        <v>3.1847133757961783E-2</v>
      </c>
      <c r="P8" s="97">
        <f t="shared" si="2"/>
        <v>2500</v>
      </c>
      <c r="Q8" s="103">
        <f t="shared" si="2"/>
        <v>500</v>
      </c>
      <c r="S8" s="105">
        <v>0</v>
      </c>
      <c r="T8" s="97">
        <f t="shared" si="0"/>
        <v>0</v>
      </c>
      <c r="U8" s="97">
        <f t="shared" si="3"/>
        <v>0</v>
      </c>
      <c r="W8" s="105">
        <f>'Base Costs'!Q8</f>
        <v>0.05</v>
      </c>
      <c r="X8" s="97">
        <f>'Base Costs'!R8</f>
        <v>2500</v>
      </c>
      <c r="Y8" s="97">
        <f>(X8/N8)</f>
        <v>500</v>
      </c>
    </row>
    <row r="9" spans="1:29" ht="13.15">
      <c r="B9" s="1"/>
      <c r="I9" s="1"/>
      <c r="J9" s="1"/>
      <c r="K9" s="1"/>
      <c r="L9" s="1"/>
      <c r="M9" s="8" t="s">
        <v>27</v>
      </c>
      <c r="N9" s="102"/>
      <c r="O9" s="108">
        <f t="shared" si="1"/>
        <v>1</v>
      </c>
      <c r="P9" s="98">
        <f>T9+X9</f>
        <v>78500</v>
      </c>
      <c r="Q9" s="104">
        <f>SUM(Q3:Q8)</f>
        <v>1575</v>
      </c>
      <c r="S9" s="106">
        <f>SUM(S3:S8)</f>
        <v>1</v>
      </c>
      <c r="T9" s="97">
        <f>500+28000</f>
        <v>28500</v>
      </c>
      <c r="U9" s="98">
        <f>SUM(U3:U8)</f>
        <v>100</v>
      </c>
      <c r="W9" s="107">
        <f>'Base Costs'!Q9</f>
        <v>1</v>
      </c>
      <c r="X9" s="98">
        <f>'Base Costs'!R9</f>
        <v>50000</v>
      </c>
      <c r="Y9" s="98">
        <f>SUM(Y3:Y8)</f>
        <v>1475</v>
      </c>
    </row>
    <row r="10" spans="1:29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29" ht="13.15">
      <c r="A11" s="196" t="s">
        <v>29</v>
      </c>
      <c r="B11" s="196"/>
      <c r="C11" s="35">
        <v>-0.1</v>
      </c>
      <c r="D11" s="35">
        <v>0</v>
      </c>
      <c r="E11" s="35">
        <v>0.5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s="62"/>
    </row>
    <row r="12" spans="1:29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s="12"/>
    </row>
    <row r="13" spans="1:29">
      <c r="A13" s="3">
        <v>2019</v>
      </c>
      <c r="B13" s="3">
        <v>0</v>
      </c>
      <c r="C13" s="63">
        <f>D13*(1+$C$11)</f>
        <v>0</v>
      </c>
      <c r="D13" s="27">
        <v>0</v>
      </c>
      <c r="E13" s="65">
        <f>D13*(1+$E$11)</f>
        <v>0</v>
      </c>
      <c r="F13" s="63">
        <f>G13*(1+$F$11)</f>
        <v>520</v>
      </c>
      <c r="G13" s="64">
        <f>1300/2</f>
        <v>650</v>
      </c>
      <c r="H13" s="65">
        <f t="shared" ref="H13:H73" si="7">G13*(1+$H$11)</f>
        <v>780</v>
      </c>
      <c r="I13" s="30">
        <f>F13+C13</f>
        <v>520</v>
      </c>
      <c r="J13" s="84">
        <f>G13+D13</f>
        <v>650</v>
      </c>
      <c r="K13" s="31">
        <f>H13+E13</f>
        <v>780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8">SUM(L13:P13)</f>
        <v>145</v>
      </c>
      <c r="S13" s="67">
        <f t="shared" ref="S13:S73" si="9">R13*(1+$S$11)</f>
        <v>152.25</v>
      </c>
      <c r="T13" s="66">
        <f>Q13+I13</f>
        <v>657.75</v>
      </c>
      <c r="U13" s="89">
        <f>R13+J13</f>
        <v>795</v>
      </c>
      <c r="V13" s="67">
        <f>S13+K13</f>
        <v>932.25</v>
      </c>
      <c r="W13" s="5">
        <v>1</v>
      </c>
      <c r="X13" s="69">
        <f>W13*T13</f>
        <v>657.75</v>
      </c>
      <c r="Y13" s="89">
        <f>W13*U13</f>
        <v>795</v>
      </c>
      <c r="Z13" s="67">
        <f>W13*V13</f>
        <v>932.25</v>
      </c>
      <c r="AA13" s="13"/>
      <c r="AC13" s="12"/>
    </row>
    <row r="14" spans="1:29">
      <c r="A14" s="4">
        <f>A13+1</f>
        <v>2020</v>
      </c>
      <c r="B14" s="4">
        <f t="shared" ref="B14:B73" si="10">(B13+1)</f>
        <v>1</v>
      </c>
      <c r="C14" s="63">
        <f t="shared" ref="C14:C73" si="11">D14*(1+$C$11)</f>
        <v>12825</v>
      </c>
      <c r="D14" s="27">
        <f>T3/2</f>
        <v>14250</v>
      </c>
      <c r="E14" s="65">
        <f t="shared" ref="E14:E73" si="12">D14*(1+$E$11)</f>
        <v>21375</v>
      </c>
      <c r="F14" s="28">
        <f t="shared" ref="F14:F73" si="13">G14*(1+$F$11)</f>
        <v>520</v>
      </c>
      <c r="G14" s="27">
        <f>G13</f>
        <v>650</v>
      </c>
      <c r="H14" s="29">
        <f t="shared" si="7"/>
        <v>780</v>
      </c>
      <c r="I14" s="30">
        <f t="shared" ref="I14:K73" si="14">F14+C14</f>
        <v>13345</v>
      </c>
      <c r="J14" s="84">
        <f t="shared" si="14"/>
        <v>14900</v>
      </c>
      <c r="K14" s="31">
        <f t="shared" si="14"/>
        <v>22155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5">R14*(1+$Q$11)</f>
        <v>137.75</v>
      </c>
      <c r="R14" s="70">
        <f t="shared" si="8"/>
        <v>145</v>
      </c>
      <c r="S14" s="67">
        <f t="shared" si="9"/>
        <v>152.25</v>
      </c>
      <c r="T14" s="66">
        <f>Q14+I14</f>
        <v>13482.75</v>
      </c>
      <c r="U14" s="89">
        <f t="shared" ref="U14:V73" si="16">R14+J14</f>
        <v>15045</v>
      </c>
      <c r="V14" s="67">
        <f t="shared" si="16"/>
        <v>22307.25</v>
      </c>
      <c r="W14" s="6">
        <f t="shared" ref="W14:W73" si="17">(1/(1+$C$3))^B14</f>
        <v>0.96581031485416258</v>
      </c>
      <c r="X14" s="66">
        <f t="shared" ref="X14:X73" si="18">W14*T14</f>
        <v>13021.77902259996</v>
      </c>
      <c r="Y14" s="89">
        <f t="shared" ref="Y14:Y73" si="19">W14*U14</f>
        <v>14530.616186980877</v>
      </c>
      <c r="Z14" s="67">
        <f t="shared" ref="Z14:Z73" si="20">W14*V14</f>
        <v>21544.572146030518</v>
      </c>
      <c r="AA14" s="13" t="s">
        <v>211</v>
      </c>
    </row>
    <row r="15" spans="1:29">
      <c r="A15" s="4">
        <f t="shared" ref="A15:A73" si="21">A14+1</f>
        <v>2021</v>
      </c>
      <c r="B15" s="4">
        <f t="shared" si="10"/>
        <v>2</v>
      </c>
      <c r="C15" s="63">
        <f t="shared" si="11"/>
        <v>12825</v>
      </c>
      <c r="D15" s="64">
        <f>T3/2</f>
        <v>14250</v>
      </c>
      <c r="E15" s="65">
        <f t="shared" si="12"/>
        <v>21375</v>
      </c>
      <c r="F15" s="28">
        <f t="shared" si="13"/>
        <v>1260</v>
      </c>
      <c r="G15" s="27">
        <f>$Q$9</f>
        <v>1575</v>
      </c>
      <c r="H15" s="29">
        <f t="shared" si="7"/>
        <v>1890</v>
      </c>
      <c r="I15" s="30">
        <f t="shared" si="14"/>
        <v>14085</v>
      </c>
      <c r="J15" s="84">
        <f t="shared" si="14"/>
        <v>15825</v>
      </c>
      <c r="K15" s="31">
        <f t="shared" si="14"/>
        <v>23265</v>
      </c>
      <c r="L15" s="68">
        <v>44</v>
      </c>
      <c r="M15" s="68">
        <f>M14+16.49</f>
        <v>56.489999999999995</v>
      </c>
      <c r="N15" s="68">
        <v>40</v>
      </c>
      <c r="O15" s="68">
        <f>O14*0.8</f>
        <v>20</v>
      </c>
      <c r="P15" s="68">
        <f t="shared" ref="P15:P73" si="22">P14</f>
        <v>0</v>
      </c>
      <c r="Q15" s="66">
        <f t="shared" si="15"/>
        <v>152.46549999999999</v>
      </c>
      <c r="R15" s="70">
        <f t="shared" si="8"/>
        <v>160.49</v>
      </c>
      <c r="S15" s="67">
        <f t="shared" si="9"/>
        <v>168.51450000000003</v>
      </c>
      <c r="T15" s="66">
        <f t="shared" ref="T15:T73" si="23">Q15+I15</f>
        <v>14237.4655</v>
      </c>
      <c r="U15" s="89">
        <f t="shared" si="16"/>
        <v>15985.49</v>
      </c>
      <c r="V15" s="67">
        <f t="shared" si="16"/>
        <v>23433.514500000001</v>
      </c>
      <c r="W15" s="6">
        <f t="shared" si="17"/>
        <v>0.93278956427869664</v>
      </c>
      <c r="X15" s="66">
        <f t="shared" si="18"/>
        <v>13280.559240177976</v>
      </c>
      <c r="Y15" s="89">
        <f t="shared" si="19"/>
        <v>14911.098251881462</v>
      </c>
      <c r="Z15" s="67">
        <f t="shared" si="20"/>
        <v>21858.537779973522</v>
      </c>
      <c r="AA15" s="14"/>
    </row>
    <row r="16" spans="1:29">
      <c r="A16" s="4">
        <f t="shared" si="21"/>
        <v>2022</v>
      </c>
      <c r="B16" s="4">
        <f t="shared" si="10"/>
        <v>3</v>
      </c>
      <c r="C16" s="63">
        <f t="shared" si="11"/>
        <v>0</v>
      </c>
      <c r="D16" s="64"/>
      <c r="E16" s="65">
        <f t="shared" si="12"/>
        <v>0</v>
      </c>
      <c r="F16" s="28">
        <f t="shared" si="13"/>
        <v>1260</v>
      </c>
      <c r="G16" s="27">
        <f t="shared" ref="G16:G46" si="24">$Q$9</f>
        <v>1575</v>
      </c>
      <c r="H16" s="29">
        <f t="shared" si="7"/>
        <v>1890</v>
      </c>
      <c r="I16" s="30">
        <f t="shared" si="14"/>
        <v>1260</v>
      </c>
      <c r="J16" s="84">
        <f t="shared" si="14"/>
        <v>1575</v>
      </c>
      <c r="K16" s="31">
        <f t="shared" si="14"/>
        <v>1890</v>
      </c>
      <c r="L16" s="68">
        <f t="shared" ref="L16:O31" si="25">L15</f>
        <v>44</v>
      </c>
      <c r="M16" s="68">
        <f t="shared" si="25"/>
        <v>56.489999999999995</v>
      </c>
      <c r="N16" s="68">
        <f t="shared" si="25"/>
        <v>40</v>
      </c>
      <c r="O16" s="68">
        <f>O15</f>
        <v>20</v>
      </c>
      <c r="P16" s="68">
        <f t="shared" si="22"/>
        <v>0</v>
      </c>
      <c r="Q16" s="66">
        <f t="shared" si="15"/>
        <v>152.46549999999999</v>
      </c>
      <c r="R16" s="70">
        <f t="shared" si="8"/>
        <v>160.49</v>
      </c>
      <c r="S16" s="67">
        <f t="shared" si="9"/>
        <v>168.51450000000003</v>
      </c>
      <c r="T16" s="66">
        <f t="shared" si="23"/>
        <v>1412.4655</v>
      </c>
      <c r="U16" s="89">
        <f t="shared" si="16"/>
        <v>1735.49</v>
      </c>
      <c r="V16" s="67">
        <f t="shared" si="16"/>
        <v>2058.5145000000002</v>
      </c>
      <c r="W16" s="6">
        <f t="shared" si="17"/>
        <v>0.90089778276868515</v>
      </c>
      <c r="X16" s="66">
        <f t="shared" si="18"/>
        <v>1272.4870371872623</v>
      </c>
      <c r="Y16" s="89">
        <f t="shared" si="19"/>
        <v>1563.4990930172255</v>
      </c>
      <c r="Z16" s="67">
        <f t="shared" si="20"/>
        <v>1854.5111488471887</v>
      </c>
      <c r="AA16" s="14" t="s">
        <v>212</v>
      </c>
    </row>
    <row r="17" spans="1:30">
      <c r="A17" s="4">
        <f t="shared" si="21"/>
        <v>2023</v>
      </c>
      <c r="B17" s="4">
        <f t="shared" si="10"/>
        <v>4</v>
      </c>
      <c r="C17" s="63">
        <f t="shared" si="11"/>
        <v>0</v>
      </c>
      <c r="D17" s="64"/>
      <c r="E17" s="65">
        <f t="shared" si="12"/>
        <v>0</v>
      </c>
      <c r="F17" s="28">
        <f t="shared" si="13"/>
        <v>1260</v>
      </c>
      <c r="G17" s="27">
        <f t="shared" si="24"/>
        <v>1575</v>
      </c>
      <c r="H17" s="29">
        <f t="shared" si="7"/>
        <v>1890</v>
      </c>
      <c r="I17" s="30">
        <f t="shared" si="14"/>
        <v>1260</v>
      </c>
      <c r="J17" s="84">
        <f t="shared" si="14"/>
        <v>1575</v>
      </c>
      <c r="K17" s="31">
        <f t="shared" si="14"/>
        <v>1890</v>
      </c>
      <c r="L17" s="68">
        <f t="shared" si="25"/>
        <v>44</v>
      </c>
      <c r="M17" s="68">
        <f t="shared" si="25"/>
        <v>56.489999999999995</v>
      </c>
      <c r="N17" s="68">
        <f t="shared" si="25"/>
        <v>40</v>
      </c>
      <c r="O17" s="68">
        <f t="shared" si="25"/>
        <v>20</v>
      </c>
      <c r="P17" s="68">
        <f t="shared" si="22"/>
        <v>0</v>
      </c>
      <c r="Q17" s="66">
        <f t="shared" si="15"/>
        <v>152.46549999999999</v>
      </c>
      <c r="R17" s="70">
        <f t="shared" si="8"/>
        <v>160.49</v>
      </c>
      <c r="S17" s="67">
        <f t="shared" si="9"/>
        <v>168.51450000000003</v>
      </c>
      <c r="T17" s="66">
        <f t="shared" si="23"/>
        <v>1412.4655</v>
      </c>
      <c r="U17" s="89">
        <f t="shared" si="16"/>
        <v>1735.49</v>
      </c>
      <c r="V17" s="67">
        <f t="shared" si="16"/>
        <v>2058.5145000000002</v>
      </c>
      <c r="W17" s="6">
        <f t="shared" si="17"/>
        <v>0.87009637122724071</v>
      </c>
      <c r="X17" s="66">
        <f t="shared" si="18"/>
        <v>1228.9811060336701</v>
      </c>
      <c r="Y17" s="89">
        <f t="shared" si="19"/>
        <v>1510.0435513011639</v>
      </c>
      <c r="Z17" s="67">
        <f t="shared" si="20"/>
        <v>1791.1059965686579</v>
      </c>
      <c r="AA17" s="14"/>
    </row>
    <row r="18" spans="1:30">
      <c r="A18" s="4">
        <f t="shared" si="21"/>
        <v>2024</v>
      </c>
      <c r="B18" s="4">
        <f t="shared" si="10"/>
        <v>5</v>
      </c>
      <c r="C18" s="63">
        <f t="shared" si="11"/>
        <v>0</v>
      </c>
      <c r="D18" s="64"/>
      <c r="E18" s="65">
        <f t="shared" si="12"/>
        <v>0</v>
      </c>
      <c r="F18" s="28">
        <f t="shared" si="13"/>
        <v>1260</v>
      </c>
      <c r="G18" s="27">
        <f t="shared" si="24"/>
        <v>1575</v>
      </c>
      <c r="H18" s="29">
        <f t="shared" si="7"/>
        <v>1890</v>
      </c>
      <c r="I18" s="30">
        <f t="shared" si="14"/>
        <v>1260</v>
      </c>
      <c r="J18" s="84">
        <f t="shared" si="14"/>
        <v>1575</v>
      </c>
      <c r="K18" s="31">
        <f t="shared" si="14"/>
        <v>1890</v>
      </c>
      <c r="L18" s="68">
        <f t="shared" si="25"/>
        <v>44</v>
      </c>
      <c r="M18" s="68">
        <f t="shared" si="25"/>
        <v>56.489999999999995</v>
      </c>
      <c r="N18" s="68">
        <f t="shared" si="25"/>
        <v>40</v>
      </c>
      <c r="O18" s="68">
        <f t="shared" si="25"/>
        <v>20</v>
      </c>
      <c r="P18" s="68">
        <f t="shared" si="22"/>
        <v>0</v>
      </c>
      <c r="Q18" s="66">
        <f t="shared" si="15"/>
        <v>152.46549999999999</v>
      </c>
      <c r="R18" s="70">
        <f t="shared" si="8"/>
        <v>160.49</v>
      </c>
      <c r="S18" s="67">
        <f t="shared" si="9"/>
        <v>168.51450000000003</v>
      </c>
      <c r="T18" s="66">
        <f t="shared" si="23"/>
        <v>1412.4655</v>
      </c>
      <c r="U18" s="89">
        <f t="shared" si="16"/>
        <v>1735.49</v>
      </c>
      <c r="V18" s="67">
        <f t="shared" si="16"/>
        <v>2058.5145000000002</v>
      </c>
      <c r="W18" s="6">
        <f t="shared" si="17"/>
        <v>0.84034805024844572</v>
      </c>
      <c r="X18" s="66">
        <f t="shared" si="18"/>
        <v>1186.962628968196</v>
      </c>
      <c r="Y18" s="89">
        <f t="shared" si="19"/>
        <v>1458.415637725675</v>
      </c>
      <c r="Z18" s="67">
        <f t="shared" si="20"/>
        <v>1729.8686464831544</v>
      </c>
      <c r="AA18" s="14"/>
    </row>
    <row r="19" spans="1:30">
      <c r="A19" s="4">
        <f t="shared" si="21"/>
        <v>2025</v>
      </c>
      <c r="B19" s="4">
        <f t="shared" si="10"/>
        <v>6</v>
      </c>
      <c r="C19" s="63">
        <f t="shared" si="11"/>
        <v>0</v>
      </c>
      <c r="D19" s="64"/>
      <c r="E19" s="65">
        <f t="shared" si="12"/>
        <v>0</v>
      </c>
      <c r="F19" s="28">
        <f t="shared" si="13"/>
        <v>1260</v>
      </c>
      <c r="G19" s="27">
        <f t="shared" si="24"/>
        <v>1575</v>
      </c>
      <c r="H19" s="29">
        <f t="shared" si="7"/>
        <v>1890</v>
      </c>
      <c r="I19" s="30">
        <f t="shared" si="14"/>
        <v>1260</v>
      </c>
      <c r="J19" s="84">
        <f t="shared" si="14"/>
        <v>1575</v>
      </c>
      <c r="K19" s="31">
        <f t="shared" si="14"/>
        <v>1890</v>
      </c>
      <c r="L19" s="68">
        <f t="shared" si="25"/>
        <v>44</v>
      </c>
      <c r="M19" s="68">
        <f t="shared" si="25"/>
        <v>56.489999999999995</v>
      </c>
      <c r="N19" s="68">
        <f t="shared" si="25"/>
        <v>40</v>
      </c>
      <c r="O19" s="68">
        <f t="shared" si="25"/>
        <v>20</v>
      </c>
      <c r="P19" s="68">
        <f t="shared" si="22"/>
        <v>0</v>
      </c>
      <c r="Q19" s="66">
        <f t="shared" si="15"/>
        <v>152.46549999999999</v>
      </c>
      <c r="R19" s="70">
        <f t="shared" si="8"/>
        <v>160.49</v>
      </c>
      <c r="S19" s="67">
        <f t="shared" si="9"/>
        <v>168.51450000000003</v>
      </c>
      <c r="T19" s="66">
        <f t="shared" si="23"/>
        <v>1412.4655</v>
      </c>
      <c r="U19" s="89">
        <f t="shared" si="16"/>
        <v>1735.49</v>
      </c>
      <c r="V19" s="67">
        <f t="shared" si="16"/>
        <v>2058.5145000000002</v>
      </c>
      <c r="W19" s="6">
        <f t="shared" si="17"/>
        <v>0.81161681499753291</v>
      </c>
      <c r="X19" s="66">
        <f t="shared" si="18"/>
        <v>1146.3807504038978</v>
      </c>
      <c r="Y19" s="89">
        <f t="shared" si="19"/>
        <v>1408.5528662600684</v>
      </c>
      <c r="Z19" s="67">
        <f t="shared" si="20"/>
        <v>1670.7249821162391</v>
      </c>
      <c r="AA19" s="14"/>
    </row>
    <row r="20" spans="1:30">
      <c r="A20" s="4">
        <f t="shared" si="21"/>
        <v>2026</v>
      </c>
      <c r="B20" s="4">
        <f t="shared" si="10"/>
        <v>7</v>
      </c>
      <c r="C20" s="63">
        <f t="shared" si="11"/>
        <v>0</v>
      </c>
      <c r="D20" s="64"/>
      <c r="E20" s="65">
        <f t="shared" si="12"/>
        <v>0</v>
      </c>
      <c r="F20" s="28">
        <f t="shared" si="13"/>
        <v>1260</v>
      </c>
      <c r="G20" s="27">
        <f t="shared" si="24"/>
        <v>1575</v>
      </c>
      <c r="H20" s="29">
        <f t="shared" si="7"/>
        <v>1890</v>
      </c>
      <c r="I20" s="30">
        <f t="shared" si="14"/>
        <v>1260</v>
      </c>
      <c r="J20" s="84">
        <f t="shared" si="14"/>
        <v>1575</v>
      </c>
      <c r="K20" s="31">
        <f t="shared" si="14"/>
        <v>1890</v>
      </c>
      <c r="L20" s="68">
        <f t="shared" si="25"/>
        <v>44</v>
      </c>
      <c r="M20" s="68">
        <f t="shared" si="25"/>
        <v>56.489999999999995</v>
      </c>
      <c r="N20" s="68">
        <f t="shared" si="25"/>
        <v>40</v>
      </c>
      <c r="O20" s="68">
        <f t="shared" si="25"/>
        <v>20</v>
      </c>
      <c r="P20" s="68">
        <f t="shared" si="22"/>
        <v>0</v>
      </c>
      <c r="Q20" s="66">
        <f t="shared" si="15"/>
        <v>152.46549999999999</v>
      </c>
      <c r="R20" s="70">
        <f t="shared" si="8"/>
        <v>160.49</v>
      </c>
      <c r="S20" s="67">
        <f t="shared" si="9"/>
        <v>168.51450000000003</v>
      </c>
      <c r="T20" s="66">
        <f t="shared" si="23"/>
        <v>1412.4655</v>
      </c>
      <c r="U20" s="89">
        <f t="shared" si="16"/>
        <v>1735.49</v>
      </c>
      <c r="V20" s="67">
        <f t="shared" si="16"/>
        <v>2058.5145000000002</v>
      </c>
      <c r="W20" s="6">
        <f t="shared" si="17"/>
        <v>0.78386789163369996</v>
      </c>
      <c r="X20" s="66">
        <f t="shared" si="18"/>
        <v>1107.1863534903398</v>
      </c>
      <c r="Y20" s="89">
        <f t="shared" si="19"/>
        <v>1360.3948872513699</v>
      </c>
      <c r="Z20" s="67">
        <f t="shared" si="20"/>
        <v>1613.6034210124003</v>
      </c>
      <c r="AA20" s="14"/>
    </row>
    <row r="21" spans="1:30">
      <c r="A21" s="4">
        <f t="shared" si="21"/>
        <v>2027</v>
      </c>
      <c r="B21" s="4">
        <f t="shared" si="10"/>
        <v>8</v>
      </c>
      <c r="C21" s="63">
        <f t="shared" si="11"/>
        <v>0</v>
      </c>
      <c r="D21" s="64"/>
      <c r="E21" s="65">
        <f t="shared" si="12"/>
        <v>0</v>
      </c>
      <c r="F21" s="28">
        <f t="shared" si="13"/>
        <v>1260</v>
      </c>
      <c r="G21" s="27">
        <f t="shared" si="24"/>
        <v>1575</v>
      </c>
      <c r="H21" s="29">
        <f t="shared" si="7"/>
        <v>1890</v>
      </c>
      <c r="I21" s="30">
        <f t="shared" si="14"/>
        <v>1260</v>
      </c>
      <c r="J21" s="84">
        <f t="shared" si="14"/>
        <v>1575</v>
      </c>
      <c r="K21" s="31">
        <f t="shared" si="14"/>
        <v>1890</v>
      </c>
      <c r="L21" s="68">
        <f t="shared" si="25"/>
        <v>44</v>
      </c>
      <c r="M21" s="68">
        <f t="shared" si="25"/>
        <v>56.489999999999995</v>
      </c>
      <c r="N21" s="68">
        <f t="shared" si="25"/>
        <v>40</v>
      </c>
      <c r="O21" s="68">
        <f t="shared" si="25"/>
        <v>20</v>
      </c>
      <c r="P21" s="68">
        <f t="shared" si="22"/>
        <v>0</v>
      </c>
      <c r="Q21" s="66">
        <f t="shared" si="15"/>
        <v>152.46549999999999</v>
      </c>
      <c r="R21" s="70">
        <f t="shared" si="8"/>
        <v>160.49</v>
      </c>
      <c r="S21" s="67">
        <f t="shared" si="9"/>
        <v>168.51450000000003</v>
      </c>
      <c r="T21" s="66">
        <f t="shared" si="23"/>
        <v>1412.4655</v>
      </c>
      <c r="U21" s="89">
        <f t="shared" si="16"/>
        <v>1735.49</v>
      </c>
      <c r="V21" s="67">
        <f t="shared" si="16"/>
        <v>2058.5145000000002</v>
      </c>
      <c r="W21" s="6">
        <f t="shared" si="17"/>
        <v>0.75706769522281225</v>
      </c>
      <c r="X21" s="66">
        <f t="shared" si="18"/>
        <v>1069.332000666737</v>
      </c>
      <c r="Y21" s="89">
        <f t="shared" si="19"/>
        <v>1313.8834143822385</v>
      </c>
      <c r="Z21" s="67">
        <f t="shared" si="20"/>
        <v>1558.4348280977399</v>
      </c>
      <c r="AA21" s="14"/>
    </row>
    <row r="22" spans="1:30">
      <c r="A22" s="4">
        <f t="shared" si="21"/>
        <v>2028</v>
      </c>
      <c r="B22" s="4">
        <f t="shared" si="10"/>
        <v>9</v>
      </c>
      <c r="C22" s="63">
        <f t="shared" si="11"/>
        <v>0</v>
      </c>
      <c r="D22" s="64"/>
      <c r="E22" s="65">
        <f t="shared" si="12"/>
        <v>0</v>
      </c>
      <c r="F22" s="28">
        <f t="shared" si="13"/>
        <v>1260</v>
      </c>
      <c r="G22" s="27">
        <f t="shared" si="24"/>
        <v>1575</v>
      </c>
      <c r="H22" s="29">
        <f t="shared" si="7"/>
        <v>1890</v>
      </c>
      <c r="I22" s="30">
        <f t="shared" si="14"/>
        <v>1260</v>
      </c>
      <c r="J22" s="84">
        <f t="shared" si="14"/>
        <v>1575</v>
      </c>
      <c r="K22" s="31">
        <f t="shared" si="14"/>
        <v>1890</v>
      </c>
      <c r="L22" s="68">
        <f t="shared" si="25"/>
        <v>44</v>
      </c>
      <c r="M22" s="68">
        <f t="shared" si="25"/>
        <v>56.489999999999995</v>
      </c>
      <c r="N22" s="68">
        <f t="shared" si="25"/>
        <v>40</v>
      </c>
      <c r="O22" s="68">
        <f t="shared" si="25"/>
        <v>20</v>
      </c>
      <c r="P22" s="68">
        <f t="shared" si="22"/>
        <v>0</v>
      </c>
      <c r="Q22" s="66">
        <f t="shared" si="15"/>
        <v>152.46549999999999</v>
      </c>
      <c r="R22" s="70">
        <f t="shared" si="8"/>
        <v>160.49</v>
      </c>
      <c r="S22" s="67">
        <f t="shared" si="9"/>
        <v>168.51450000000003</v>
      </c>
      <c r="T22" s="66">
        <f t="shared" si="23"/>
        <v>1412.4655</v>
      </c>
      <c r="U22" s="89">
        <f t="shared" si="16"/>
        <v>1735.49</v>
      </c>
      <c r="V22" s="67">
        <f t="shared" si="16"/>
        <v>2058.5145000000002</v>
      </c>
      <c r="W22" s="6">
        <f t="shared" si="17"/>
        <v>0.73118378908905945</v>
      </c>
      <c r="X22" s="66">
        <f t="shared" si="18"/>
        <v>1032.7718762475729</v>
      </c>
      <c r="Y22" s="89">
        <f t="shared" si="19"/>
        <v>1268.9621541261718</v>
      </c>
      <c r="Z22" s="67">
        <f t="shared" si="20"/>
        <v>1505.1524320047708</v>
      </c>
      <c r="AA22" s="14"/>
      <c r="AC22" s="12"/>
      <c r="AD22" s="71"/>
    </row>
    <row r="23" spans="1:30">
      <c r="A23" s="4">
        <f t="shared" si="21"/>
        <v>2029</v>
      </c>
      <c r="B23" s="4">
        <f t="shared" si="10"/>
        <v>10</v>
      </c>
      <c r="C23" s="63">
        <f t="shared" si="11"/>
        <v>0</v>
      </c>
      <c r="D23" s="64"/>
      <c r="E23" s="65">
        <f t="shared" si="12"/>
        <v>0</v>
      </c>
      <c r="F23" s="28">
        <f t="shared" si="13"/>
        <v>1260</v>
      </c>
      <c r="G23" s="27">
        <f t="shared" si="24"/>
        <v>1575</v>
      </c>
      <c r="H23" s="29">
        <f t="shared" si="7"/>
        <v>1890</v>
      </c>
      <c r="I23" s="30">
        <f t="shared" si="14"/>
        <v>1260</v>
      </c>
      <c r="J23" s="84">
        <f t="shared" si="14"/>
        <v>1575</v>
      </c>
      <c r="K23" s="31">
        <f t="shared" si="14"/>
        <v>1890</v>
      </c>
      <c r="L23" s="68">
        <f t="shared" si="25"/>
        <v>44</v>
      </c>
      <c r="M23" s="68">
        <f t="shared" si="25"/>
        <v>56.489999999999995</v>
      </c>
      <c r="N23" s="68">
        <f t="shared" si="25"/>
        <v>40</v>
      </c>
      <c r="O23" s="68">
        <f t="shared" si="25"/>
        <v>20</v>
      </c>
      <c r="P23" s="68">
        <f t="shared" si="22"/>
        <v>0</v>
      </c>
      <c r="Q23" s="66">
        <f t="shared" si="15"/>
        <v>152.46549999999999</v>
      </c>
      <c r="R23" s="70">
        <f t="shared" si="8"/>
        <v>160.49</v>
      </c>
      <c r="S23" s="67">
        <f t="shared" si="9"/>
        <v>168.51450000000003</v>
      </c>
      <c r="T23" s="66">
        <f t="shared" si="23"/>
        <v>1412.4655</v>
      </c>
      <c r="U23" s="89">
        <f t="shared" si="16"/>
        <v>1735.49</v>
      </c>
      <c r="V23" s="67">
        <f t="shared" si="16"/>
        <v>2058.5145000000002</v>
      </c>
      <c r="W23" s="6">
        <f t="shared" si="17"/>
        <v>0.70618484555636418</v>
      </c>
      <c r="X23" s="66">
        <f t="shared" si="18"/>
        <v>997.46173097119276</v>
      </c>
      <c r="Y23" s="89">
        <f t="shared" si="19"/>
        <v>1225.5767376146146</v>
      </c>
      <c r="Z23" s="67">
        <f t="shared" si="20"/>
        <v>1453.6917442580364</v>
      </c>
      <c r="AA23" s="14"/>
      <c r="AD23" s="71"/>
    </row>
    <row r="24" spans="1:30">
      <c r="A24" s="4">
        <f t="shared" si="21"/>
        <v>2030</v>
      </c>
      <c r="B24" s="4">
        <f t="shared" si="10"/>
        <v>11</v>
      </c>
      <c r="C24" s="63">
        <f t="shared" si="11"/>
        <v>0</v>
      </c>
      <c r="D24" s="64"/>
      <c r="E24" s="65">
        <f t="shared" si="12"/>
        <v>0</v>
      </c>
      <c r="F24" s="28">
        <f t="shared" si="13"/>
        <v>1260</v>
      </c>
      <c r="G24" s="27">
        <f t="shared" si="24"/>
        <v>1575</v>
      </c>
      <c r="H24" s="29">
        <f t="shared" si="7"/>
        <v>1890</v>
      </c>
      <c r="I24" s="30">
        <f t="shared" si="14"/>
        <v>1260</v>
      </c>
      <c r="J24" s="84">
        <f t="shared" si="14"/>
        <v>1575</v>
      </c>
      <c r="K24" s="31">
        <f t="shared" si="14"/>
        <v>1890</v>
      </c>
      <c r="L24" s="68">
        <f t="shared" si="25"/>
        <v>44</v>
      </c>
      <c r="M24" s="68">
        <f t="shared" si="25"/>
        <v>56.489999999999995</v>
      </c>
      <c r="N24" s="68">
        <f t="shared" si="25"/>
        <v>40</v>
      </c>
      <c r="O24" s="68">
        <f t="shared" si="25"/>
        <v>20</v>
      </c>
      <c r="P24" s="68">
        <f t="shared" si="22"/>
        <v>0</v>
      </c>
      <c r="Q24" s="66">
        <f t="shared" si="15"/>
        <v>152.46549999999999</v>
      </c>
      <c r="R24" s="70">
        <f t="shared" si="8"/>
        <v>160.49</v>
      </c>
      <c r="S24" s="67">
        <f t="shared" si="9"/>
        <v>168.51450000000003</v>
      </c>
      <c r="T24" s="66">
        <f t="shared" si="23"/>
        <v>1412.4655</v>
      </c>
      <c r="U24" s="89">
        <f t="shared" si="16"/>
        <v>1735.49</v>
      </c>
      <c r="V24" s="67">
        <f t="shared" si="16"/>
        <v>2058.5145000000002</v>
      </c>
      <c r="W24" s="6">
        <f t="shared" si="17"/>
        <v>0.68204060803203026</v>
      </c>
      <c r="X24" s="66">
        <f t="shared" si="18"/>
        <v>963.35882844426567</v>
      </c>
      <c r="Y24" s="89">
        <f t="shared" si="19"/>
        <v>1183.6746548335082</v>
      </c>
      <c r="Z24" s="67">
        <f t="shared" si="20"/>
        <v>1403.990481222751</v>
      </c>
      <c r="AA24" s="14"/>
      <c r="AD24" s="71"/>
    </row>
    <row r="25" spans="1:30">
      <c r="A25" s="4">
        <f t="shared" si="21"/>
        <v>2031</v>
      </c>
      <c r="B25" s="4">
        <f t="shared" si="10"/>
        <v>12</v>
      </c>
      <c r="C25" s="63">
        <f t="shared" si="11"/>
        <v>0</v>
      </c>
      <c r="D25" s="64"/>
      <c r="E25" s="65">
        <f t="shared" si="12"/>
        <v>0</v>
      </c>
      <c r="F25" s="28">
        <f t="shared" si="13"/>
        <v>1260</v>
      </c>
      <c r="G25" s="27">
        <f t="shared" si="24"/>
        <v>1575</v>
      </c>
      <c r="H25" s="29">
        <f t="shared" si="7"/>
        <v>1890</v>
      </c>
      <c r="I25" s="30">
        <f t="shared" si="14"/>
        <v>1260</v>
      </c>
      <c r="J25" s="84">
        <f t="shared" si="14"/>
        <v>1575</v>
      </c>
      <c r="K25" s="31">
        <f t="shared" si="14"/>
        <v>1890</v>
      </c>
      <c r="L25" s="68">
        <f t="shared" si="25"/>
        <v>44</v>
      </c>
      <c r="M25" s="68">
        <f t="shared" si="25"/>
        <v>56.489999999999995</v>
      </c>
      <c r="N25" s="68">
        <f t="shared" si="25"/>
        <v>40</v>
      </c>
      <c r="O25" s="68">
        <f t="shared" si="25"/>
        <v>20</v>
      </c>
      <c r="P25" s="68">
        <f t="shared" si="22"/>
        <v>0</v>
      </c>
      <c r="Q25" s="66">
        <f t="shared" si="15"/>
        <v>152.46549999999999</v>
      </c>
      <c r="R25" s="70">
        <f t="shared" si="8"/>
        <v>160.49</v>
      </c>
      <c r="S25" s="67">
        <f t="shared" si="9"/>
        <v>168.51450000000003</v>
      </c>
      <c r="T25" s="66">
        <f t="shared" si="23"/>
        <v>1412.4655</v>
      </c>
      <c r="U25" s="89">
        <f t="shared" si="16"/>
        <v>1735.49</v>
      </c>
      <c r="V25" s="67">
        <f t="shared" si="16"/>
        <v>2058.5145000000002</v>
      </c>
      <c r="W25" s="6">
        <f t="shared" si="17"/>
        <v>0.65872185438673958</v>
      </c>
      <c r="X25" s="66">
        <f t="shared" si="18"/>
        <v>930.42189341729329</v>
      </c>
      <c r="Y25" s="89">
        <f t="shared" si="19"/>
        <v>1143.2051910696428</v>
      </c>
      <c r="Z25" s="67">
        <f t="shared" si="20"/>
        <v>1355.9884887219921</v>
      </c>
      <c r="AA25" s="14"/>
      <c r="AD25" s="71"/>
    </row>
    <row r="26" spans="1:30">
      <c r="A26" s="4">
        <f t="shared" si="21"/>
        <v>2032</v>
      </c>
      <c r="B26" s="4">
        <f t="shared" si="10"/>
        <v>13</v>
      </c>
      <c r="C26" s="63">
        <f t="shared" si="11"/>
        <v>0</v>
      </c>
      <c r="D26" s="64"/>
      <c r="E26" s="65">
        <f t="shared" si="12"/>
        <v>0</v>
      </c>
      <c r="F26" s="28">
        <f>G26*(1+$F$11)</f>
        <v>1260</v>
      </c>
      <c r="G26" s="27">
        <f t="shared" si="24"/>
        <v>1575</v>
      </c>
      <c r="H26" s="29">
        <f t="shared" si="7"/>
        <v>1890</v>
      </c>
      <c r="I26" s="30">
        <f t="shared" si="14"/>
        <v>1260</v>
      </c>
      <c r="J26" s="84">
        <f t="shared" si="14"/>
        <v>1575</v>
      </c>
      <c r="K26" s="31">
        <f t="shared" si="14"/>
        <v>1890</v>
      </c>
      <c r="L26" s="68">
        <f t="shared" si="25"/>
        <v>44</v>
      </c>
      <c r="M26" s="68">
        <f t="shared" si="25"/>
        <v>56.489999999999995</v>
      </c>
      <c r="N26" s="68">
        <f t="shared" si="25"/>
        <v>40</v>
      </c>
      <c r="O26" s="68">
        <f t="shared" si="25"/>
        <v>20</v>
      </c>
      <c r="P26" s="68">
        <f t="shared" si="22"/>
        <v>0</v>
      </c>
      <c r="Q26" s="66">
        <f t="shared" si="15"/>
        <v>152.46549999999999</v>
      </c>
      <c r="R26" s="70">
        <f t="shared" si="8"/>
        <v>160.49</v>
      </c>
      <c r="S26" s="67">
        <f t="shared" si="9"/>
        <v>168.51450000000003</v>
      </c>
      <c r="T26" s="66">
        <f t="shared" si="23"/>
        <v>1412.4655</v>
      </c>
      <c r="U26" s="89">
        <f t="shared" si="16"/>
        <v>1735.49</v>
      </c>
      <c r="V26" s="67">
        <f t="shared" si="16"/>
        <v>2058.5145000000002</v>
      </c>
      <c r="W26" s="6">
        <f t="shared" si="17"/>
        <v>0.63620036158657478</v>
      </c>
      <c r="X26" s="66">
        <f t="shared" si="18"/>
        <v>898.61106182856213</v>
      </c>
      <c r="Y26" s="89">
        <f t="shared" si="19"/>
        <v>1104.1193655298846</v>
      </c>
      <c r="Z26" s="67">
        <f t="shared" si="20"/>
        <v>1309.6276692312074</v>
      </c>
      <c r="AA26" s="14"/>
      <c r="AD26" s="71"/>
    </row>
    <row r="27" spans="1:30">
      <c r="A27" s="4">
        <f t="shared" si="21"/>
        <v>2033</v>
      </c>
      <c r="B27" s="4">
        <f t="shared" si="10"/>
        <v>14</v>
      </c>
      <c r="C27" s="63">
        <f t="shared" si="11"/>
        <v>0</v>
      </c>
      <c r="D27" s="64"/>
      <c r="E27" s="65">
        <f t="shared" si="12"/>
        <v>0</v>
      </c>
      <c r="F27" s="28">
        <f t="shared" si="13"/>
        <v>1260</v>
      </c>
      <c r="G27" s="27">
        <f t="shared" si="24"/>
        <v>1575</v>
      </c>
      <c r="H27" s="29">
        <f t="shared" si="7"/>
        <v>1890</v>
      </c>
      <c r="I27" s="30">
        <f t="shared" si="14"/>
        <v>1260</v>
      </c>
      <c r="J27" s="84">
        <f t="shared" si="14"/>
        <v>1575</v>
      </c>
      <c r="K27" s="31">
        <f t="shared" si="14"/>
        <v>1890</v>
      </c>
      <c r="L27" s="68">
        <f t="shared" si="25"/>
        <v>44</v>
      </c>
      <c r="M27" s="68">
        <f t="shared" si="25"/>
        <v>56.489999999999995</v>
      </c>
      <c r="N27" s="68">
        <f t="shared" si="25"/>
        <v>40</v>
      </c>
      <c r="O27" s="68">
        <f t="shared" si="25"/>
        <v>20</v>
      </c>
      <c r="P27" s="68">
        <f t="shared" si="22"/>
        <v>0</v>
      </c>
      <c r="Q27" s="66">
        <f t="shared" si="15"/>
        <v>152.46549999999999</v>
      </c>
      <c r="R27" s="70">
        <f t="shared" si="8"/>
        <v>160.49</v>
      </c>
      <c r="S27" s="67">
        <f t="shared" si="9"/>
        <v>168.51450000000003</v>
      </c>
      <c r="T27" s="66">
        <f t="shared" si="23"/>
        <v>1412.4655</v>
      </c>
      <c r="U27" s="89">
        <f t="shared" si="16"/>
        <v>1735.49</v>
      </c>
      <c r="V27" s="67">
        <f t="shared" si="16"/>
        <v>2058.5145000000002</v>
      </c>
      <c r="W27" s="6">
        <f t="shared" si="17"/>
        <v>0.61444887153426186</v>
      </c>
      <c r="X27" s="66">
        <f t="shared" si="18"/>
        <v>867.887832556077</v>
      </c>
      <c r="Y27" s="89">
        <f t="shared" si="19"/>
        <v>1066.3698720589962</v>
      </c>
      <c r="Z27" s="67">
        <f t="shared" si="20"/>
        <v>1264.8519115619154</v>
      </c>
      <c r="AA27" s="14"/>
      <c r="AD27" s="71"/>
    </row>
    <row r="28" spans="1:30">
      <c r="A28" s="4">
        <f t="shared" si="21"/>
        <v>2034</v>
      </c>
      <c r="B28" s="4">
        <f t="shared" si="10"/>
        <v>15</v>
      </c>
      <c r="C28" s="63">
        <f t="shared" si="11"/>
        <v>0</v>
      </c>
      <c r="D28" s="64"/>
      <c r="E28" s="65">
        <f t="shared" si="12"/>
        <v>0</v>
      </c>
      <c r="F28" s="28">
        <f t="shared" si="13"/>
        <v>1260</v>
      </c>
      <c r="G28" s="27">
        <f t="shared" si="24"/>
        <v>1575</v>
      </c>
      <c r="H28" s="29">
        <f t="shared" si="7"/>
        <v>1890</v>
      </c>
      <c r="I28" s="30">
        <f t="shared" si="14"/>
        <v>1260</v>
      </c>
      <c r="J28" s="84">
        <f t="shared" si="14"/>
        <v>1575</v>
      </c>
      <c r="K28" s="31">
        <f t="shared" si="14"/>
        <v>1890</v>
      </c>
      <c r="L28" s="68">
        <f t="shared" si="25"/>
        <v>44</v>
      </c>
      <c r="M28" s="68">
        <f t="shared" si="25"/>
        <v>56.489999999999995</v>
      </c>
      <c r="N28" s="68">
        <f t="shared" si="25"/>
        <v>40</v>
      </c>
      <c r="O28" s="68">
        <f t="shared" si="25"/>
        <v>20</v>
      </c>
      <c r="P28" s="68">
        <f t="shared" si="22"/>
        <v>0</v>
      </c>
      <c r="Q28" s="66">
        <f t="shared" si="15"/>
        <v>152.46549999999999</v>
      </c>
      <c r="R28" s="70">
        <f t="shared" si="8"/>
        <v>160.49</v>
      </c>
      <c r="S28" s="67">
        <f t="shared" si="9"/>
        <v>168.51450000000003</v>
      </c>
      <c r="T28" s="66">
        <f t="shared" si="23"/>
        <v>1412.4655</v>
      </c>
      <c r="U28" s="89">
        <f t="shared" si="16"/>
        <v>1735.49</v>
      </c>
      <c r="V28" s="67">
        <f t="shared" si="16"/>
        <v>2058.5145000000002</v>
      </c>
      <c r="W28" s="6">
        <f t="shared" si="17"/>
        <v>0.5934410580782904</v>
      </c>
      <c r="X28" s="66">
        <f t="shared" si="18"/>
        <v>838.21502081908147</v>
      </c>
      <c r="Y28" s="89">
        <f t="shared" si="19"/>
        <v>1029.9110218842923</v>
      </c>
      <c r="Z28" s="67">
        <f t="shared" si="20"/>
        <v>1221.6070229495031</v>
      </c>
      <c r="AA28" s="14"/>
    </row>
    <row r="29" spans="1:30">
      <c r="A29" s="4">
        <f t="shared" si="21"/>
        <v>2035</v>
      </c>
      <c r="B29" s="4">
        <f t="shared" si="10"/>
        <v>16</v>
      </c>
      <c r="C29" s="63">
        <f t="shared" si="11"/>
        <v>0</v>
      </c>
      <c r="D29" s="64"/>
      <c r="E29" s="65">
        <f t="shared" si="12"/>
        <v>0</v>
      </c>
      <c r="F29" s="28">
        <f t="shared" si="13"/>
        <v>1260</v>
      </c>
      <c r="G29" s="27">
        <f t="shared" si="24"/>
        <v>1575</v>
      </c>
      <c r="H29" s="29">
        <f t="shared" si="7"/>
        <v>1890</v>
      </c>
      <c r="I29" s="30">
        <f t="shared" si="14"/>
        <v>1260</v>
      </c>
      <c r="J29" s="84">
        <f t="shared" si="14"/>
        <v>1575</v>
      </c>
      <c r="K29" s="31">
        <f t="shared" si="14"/>
        <v>1890</v>
      </c>
      <c r="L29" s="68">
        <f t="shared" si="25"/>
        <v>44</v>
      </c>
      <c r="M29" s="68">
        <f t="shared" si="25"/>
        <v>56.489999999999995</v>
      </c>
      <c r="N29" s="68">
        <f t="shared" si="25"/>
        <v>40</v>
      </c>
      <c r="O29" s="68">
        <f t="shared" si="25"/>
        <v>20</v>
      </c>
      <c r="P29" s="68">
        <f t="shared" si="22"/>
        <v>0</v>
      </c>
      <c r="Q29" s="66">
        <f t="shared" si="15"/>
        <v>152.46549999999999</v>
      </c>
      <c r="R29" s="70">
        <f t="shared" si="8"/>
        <v>160.49</v>
      </c>
      <c r="S29" s="67">
        <f t="shared" si="9"/>
        <v>168.51450000000003</v>
      </c>
      <c r="T29" s="66">
        <f t="shared" si="23"/>
        <v>1412.4655</v>
      </c>
      <c r="U29" s="89">
        <f t="shared" si="16"/>
        <v>1735.49</v>
      </c>
      <c r="V29" s="67">
        <f t="shared" si="16"/>
        <v>2058.5145000000002</v>
      </c>
      <c r="W29" s="6">
        <f t="shared" si="17"/>
        <v>0.57315149514998098</v>
      </c>
      <c r="X29" s="66">
        <f t="shared" si="18"/>
        <v>809.55671317276551</v>
      </c>
      <c r="Y29" s="89">
        <f t="shared" si="19"/>
        <v>994.69868831784049</v>
      </c>
      <c r="Z29" s="67">
        <f t="shared" si="20"/>
        <v>1179.8406634629157</v>
      </c>
      <c r="AA29" s="14"/>
    </row>
    <row r="30" spans="1:30">
      <c r="A30" s="4">
        <f t="shared" si="21"/>
        <v>2036</v>
      </c>
      <c r="B30" s="4">
        <f t="shared" si="10"/>
        <v>17</v>
      </c>
      <c r="C30" s="63">
        <f t="shared" si="11"/>
        <v>0</v>
      </c>
      <c r="D30" s="64"/>
      <c r="E30" s="65">
        <f t="shared" si="12"/>
        <v>0</v>
      </c>
      <c r="F30" s="28">
        <f t="shared" si="13"/>
        <v>1260</v>
      </c>
      <c r="G30" s="27">
        <f t="shared" si="24"/>
        <v>1575</v>
      </c>
      <c r="H30" s="29">
        <f t="shared" si="7"/>
        <v>1890</v>
      </c>
      <c r="I30" s="30">
        <f t="shared" si="14"/>
        <v>1260</v>
      </c>
      <c r="J30" s="84">
        <f t="shared" si="14"/>
        <v>1575</v>
      </c>
      <c r="K30" s="31">
        <f t="shared" si="14"/>
        <v>1890</v>
      </c>
      <c r="L30" s="68">
        <f t="shared" si="25"/>
        <v>44</v>
      </c>
      <c r="M30" s="68">
        <f t="shared" si="25"/>
        <v>56.489999999999995</v>
      </c>
      <c r="N30" s="68">
        <f t="shared" si="25"/>
        <v>40</v>
      </c>
      <c r="O30" s="68">
        <f t="shared" si="25"/>
        <v>20</v>
      </c>
      <c r="P30" s="68">
        <f t="shared" si="22"/>
        <v>0</v>
      </c>
      <c r="Q30" s="66">
        <f t="shared" si="15"/>
        <v>152.46549999999999</v>
      </c>
      <c r="R30" s="70">
        <f t="shared" si="8"/>
        <v>160.49</v>
      </c>
      <c r="S30" s="67">
        <f t="shared" si="9"/>
        <v>168.51450000000003</v>
      </c>
      <c r="T30" s="66">
        <f t="shared" si="23"/>
        <v>1412.4655</v>
      </c>
      <c r="U30" s="89">
        <f t="shared" si="16"/>
        <v>1735.49</v>
      </c>
      <c r="V30" s="67">
        <f t="shared" si="16"/>
        <v>2058.5145000000002</v>
      </c>
      <c r="W30" s="6">
        <f t="shared" si="17"/>
        <v>0.55355562598993713</v>
      </c>
      <c r="X30" s="66">
        <f t="shared" si="18"/>
        <v>781.87822404168958</v>
      </c>
      <c r="Y30" s="89">
        <f t="shared" si="19"/>
        <v>960.69025334927596</v>
      </c>
      <c r="Z30" s="67">
        <f t="shared" si="20"/>
        <v>1139.5022826568625</v>
      </c>
      <c r="AA30" s="14"/>
    </row>
    <row r="31" spans="1:30">
      <c r="A31" s="4">
        <f t="shared" si="21"/>
        <v>2037</v>
      </c>
      <c r="B31" s="4">
        <f t="shared" si="10"/>
        <v>18</v>
      </c>
      <c r="C31" s="63">
        <f t="shared" si="11"/>
        <v>0</v>
      </c>
      <c r="D31" s="27"/>
      <c r="E31" s="65">
        <f t="shared" si="12"/>
        <v>0</v>
      </c>
      <c r="F31" s="28">
        <f t="shared" si="13"/>
        <v>1260</v>
      </c>
      <c r="G31" s="27">
        <f t="shared" si="24"/>
        <v>1575</v>
      </c>
      <c r="H31" s="29">
        <f t="shared" si="7"/>
        <v>1890</v>
      </c>
      <c r="I31" s="30">
        <f t="shared" si="14"/>
        <v>1260</v>
      </c>
      <c r="J31" s="84">
        <f t="shared" si="14"/>
        <v>1575</v>
      </c>
      <c r="K31" s="31">
        <f t="shared" si="14"/>
        <v>1890</v>
      </c>
      <c r="L31" s="68">
        <f t="shared" si="25"/>
        <v>44</v>
      </c>
      <c r="M31" s="68">
        <f t="shared" si="25"/>
        <v>56.489999999999995</v>
      </c>
      <c r="N31" s="68">
        <f t="shared" si="25"/>
        <v>40</v>
      </c>
      <c r="O31" s="68">
        <f t="shared" si="25"/>
        <v>20</v>
      </c>
      <c r="P31" s="68">
        <f t="shared" si="22"/>
        <v>0</v>
      </c>
      <c r="Q31" s="66">
        <f t="shared" si="15"/>
        <v>152.46549999999999</v>
      </c>
      <c r="R31" s="70">
        <f t="shared" si="8"/>
        <v>160.49</v>
      </c>
      <c r="S31" s="67">
        <f t="shared" si="9"/>
        <v>168.51450000000003</v>
      </c>
      <c r="T31" s="66">
        <f t="shared" si="23"/>
        <v>1412.4655</v>
      </c>
      <c r="U31" s="89">
        <f t="shared" si="16"/>
        <v>1735.49</v>
      </c>
      <c r="V31" s="67">
        <f t="shared" si="16"/>
        <v>2058.5145000000002</v>
      </c>
      <c r="W31" s="6">
        <f t="shared" si="17"/>
        <v>0.53462973342663422</v>
      </c>
      <c r="X31" s="66">
        <f t="shared" si="18"/>
        <v>755.14605373931761</v>
      </c>
      <c r="Y31" s="89">
        <f t="shared" si="19"/>
        <v>927.84455606458948</v>
      </c>
      <c r="Z31" s="67">
        <f t="shared" si="20"/>
        <v>1100.5430583898612</v>
      </c>
      <c r="AA31" s="14"/>
    </row>
    <row r="32" spans="1:30">
      <c r="A32" s="4">
        <f t="shared" si="21"/>
        <v>2038</v>
      </c>
      <c r="B32" s="4">
        <f t="shared" si="10"/>
        <v>19</v>
      </c>
      <c r="C32" s="63">
        <f t="shared" si="11"/>
        <v>0</v>
      </c>
      <c r="D32" s="27"/>
      <c r="E32" s="65">
        <f t="shared" si="12"/>
        <v>0</v>
      </c>
      <c r="F32" s="28">
        <f t="shared" si="13"/>
        <v>1260</v>
      </c>
      <c r="G32" s="27">
        <f t="shared" si="24"/>
        <v>1575</v>
      </c>
      <c r="H32" s="29">
        <f t="shared" si="7"/>
        <v>1890</v>
      </c>
      <c r="I32" s="30">
        <f t="shared" si="14"/>
        <v>1260</v>
      </c>
      <c r="J32" s="84">
        <f t="shared" si="14"/>
        <v>1575</v>
      </c>
      <c r="K32" s="31">
        <f t="shared" si="14"/>
        <v>1890</v>
      </c>
      <c r="L32" s="68">
        <f t="shared" ref="L32:O47" si="26">L31</f>
        <v>44</v>
      </c>
      <c r="M32" s="68">
        <f t="shared" si="26"/>
        <v>56.489999999999995</v>
      </c>
      <c r="N32" s="68">
        <f t="shared" si="26"/>
        <v>40</v>
      </c>
      <c r="O32" s="68">
        <f t="shared" si="26"/>
        <v>20</v>
      </c>
      <c r="P32" s="68">
        <f t="shared" si="22"/>
        <v>0</v>
      </c>
      <c r="Q32" s="66">
        <f t="shared" si="15"/>
        <v>152.46549999999999</v>
      </c>
      <c r="R32" s="70">
        <f t="shared" si="8"/>
        <v>160.49</v>
      </c>
      <c r="S32" s="67">
        <f t="shared" si="9"/>
        <v>168.51450000000003</v>
      </c>
      <c r="T32" s="66">
        <f t="shared" si="23"/>
        <v>1412.4655</v>
      </c>
      <c r="U32" s="89">
        <f t="shared" si="16"/>
        <v>1735.49</v>
      </c>
      <c r="V32" s="67">
        <f t="shared" si="16"/>
        <v>2058.5145000000002</v>
      </c>
      <c r="W32" s="6">
        <f t="shared" si="17"/>
        <v>0.51635091117117471</v>
      </c>
      <c r="X32" s="66">
        <f t="shared" si="18"/>
        <v>729.32784792284883</v>
      </c>
      <c r="Y32" s="89">
        <f t="shared" si="19"/>
        <v>896.12184282846204</v>
      </c>
      <c r="Z32" s="67">
        <f t="shared" si="20"/>
        <v>1062.9158377340752</v>
      </c>
      <c r="AA32" s="14"/>
    </row>
    <row r="33" spans="1:27">
      <c r="A33" s="4">
        <f t="shared" si="21"/>
        <v>2039</v>
      </c>
      <c r="B33" s="4">
        <f t="shared" si="10"/>
        <v>20</v>
      </c>
      <c r="C33" s="63">
        <f t="shared" si="11"/>
        <v>0</v>
      </c>
      <c r="D33" s="64"/>
      <c r="E33" s="65">
        <f t="shared" si="12"/>
        <v>0</v>
      </c>
      <c r="F33" s="28">
        <f t="shared" si="13"/>
        <v>1260</v>
      </c>
      <c r="G33" s="27">
        <f t="shared" si="24"/>
        <v>1575</v>
      </c>
      <c r="H33" s="29">
        <f t="shared" si="7"/>
        <v>1890</v>
      </c>
      <c r="I33" s="30">
        <f t="shared" si="14"/>
        <v>1260</v>
      </c>
      <c r="J33" s="84">
        <f t="shared" si="14"/>
        <v>1575</v>
      </c>
      <c r="K33" s="31">
        <f t="shared" si="14"/>
        <v>1890</v>
      </c>
      <c r="L33" s="68">
        <f t="shared" si="26"/>
        <v>44</v>
      </c>
      <c r="M33" s="68">
        <f t="shared" si="26"/>
        <v>56.489999999999995</v>
      </c>
      <c r="N33" s="68">
        <f t="shared" si="26"/>
        <v>40</v>
      </c>
      <c r="O33" s="68">
        <f t="shared" si="26"/>
        <v>20</v>
      </c>
      <c r="P33" s="68">
        <f t="shared" si="22"/>
        <v>0</v>
      </c>
      <c r="Q33" s="66">
        <f t="shared" si="15"/>
        <v>152.46549999999999</v>
      </c>
      <c r="R33" s="70">
        <f t="shared" si="8"/>
        <v>160.49</v>
      </c>
      <c r="S33" s="67">
        <f t="shared" si="9"/>
        <v>168.51450000000003</v>
      </c>
      <c r="T33" s="66">
        <f t="shared" si="23"/>
        <v>1412.4655</v>
      </c>
      <c r="U33" s="89">
        <f t="shared" si="16"/>
        <v>1735.49</v>
      </c>
      <c r="V33" s="67">
        <f t="shared" si="16"/>
        <v>2058.5145000000002</v>
      </c>
      <c r="W33" s="6">
        <f t="shared" si="17"/>
        <v>0.49869703609346588</v>
      </c>
      <c r="X33" s="66">
        <f t="shared" si="18"/>
        <v>704.39235843427537</v>
      </c>
      <c r="Y33" s="89">
        <f t="shared" si="19"/>
        <v>865.48371916984911</v>
      </c>
      <c r="Z33" s="67">
        <f t="shared" si="20"/>
        <v>1026.5750799054231</v>
      </c>
      <c r="AA33" s="14"/>
    </row>
    <row r="34" spans="1:27">
      <c r="A34" s="4">
        <f t="shared" si="21"/>
        <v>2040</v>
      </c>
      <c r="B34" s="4">
        <f t="shared" si="10"/>
        <v>21</v>
      </c>
      <c r="C34" s="63">
        <f t="shared" si="11"/>
        <v>0</v>
      </c>
      <c r="D34" s="64"/>
      <c r="E34" s="65">
        <f t="shared" si="12"/>
        <v>0</v>
      </c>
      <c r="F34" s="28">
        <f t="shared" si="13"/>
        <v>1260</v>
      </c>
      <c r="G34" s="27">
        <f t="shared" si="24"/>
        <v>1575</v>
      </c>
      <c r="H34" s="29">
        <f t="shared" si="7"/>
        <v>1890</v>
      </c>
      <c r="I34" s="30">
        <f t="shared" si="14"/>
        <v>1260</v>
      </c>
      <c r="J34" s="84">
        <f t="shared" si="14"/>
        <v>1575</v>
      </c>
      <c r="K34" s="31">
        <f t="shared" si="14"/>
        <v>1890</v>
      </c>
      <c r="L34" s="68">
        <f t="shared" si="26"/>
        <v>44</v>
      </c>
      <c r="M34" s="68">
        <f t="shared" si="26"/>
        <v>56.489999999999995</v>
      </c>
      <c r="N34" s="68">
        <f t="shared" si="26"/>
        <v>40</v>
      </c>
      <c r="O34" s="68">
        <f t="shared" si="26"/>
        <v>20</v>
      </c>
      <c r="P34" s="68">
        <f t="shared" si="22"/>
        <v>0</v>
      </c>
      <c r="Q34" s="66">
        <f t="shared" si="15"/>
        <v>152.46549999999999</v>
      </c>
      <c r="R34" s="70">
        <f t="shared" si="8"/>
        <v>160.49</v>
      </c>
      <c r="S34" s="67">
        <f t="shared" si="9"/>
        <v>168.51450000000003</v>
      </c>
      <c r="T34" s="66">
        <f t="shared" si="23"/>
        <v>1412.4655</v>
      </c>
      <c r="U34" s="89">
        <f t="shared" si="16"/>
        <v>1735.49</v>
      </c>
      <c r="V34" s="67">
        <f t="shared" si="16"/>
        <v>2058.5145000000002</v>
      </c>
      <c r="W34" s="6">
        <f t="shared" si="17"/>
        <v>0.48164674144626801</v>
      </c>
      <c r="X34" s="66">
        <f t="shared" si="18"/>
        <v>680.30940548027365</v>
      </c>
      <c r="Y34" s="89">
        <f t="shared" si="19"/>
        <v>835.89310331258366</v>
      </c>
      <c r="Z34" s="67">
        <f t="shared" si="20"/>
        <v>991.47680114489378</v>
      </c>
      <c r="AA34" s="14"/>
    </row>
    <row r="35" spans="1:27">
      <c r="A35" s="4">
        <f t="shared" si="21"/>
        <v>2041</v>
      </c>
      <c r="B35" s="4">
        <f t="shared" si="10"/>
        <v>22</v>
      </c>
      <c r="C35" s="63">
        <f t="shared" si="11"/>
        <v>0</v>
      </c>
      <c r="D35" s="64"/>
      <c r="E35" s="65">
        <f t="shared" si="12"/>
        <v>0</v>
      </c>
      <c r="F35" s="28">
        <f t="shared" si="13"/>
        <v>1260</v>
      </c>
      <c r="G35" s="27">
        <f t="shared" si="24"/>
        <v>1575</v>
      </c>
      <c r="H35" s="29">
        <f t="shared" si="7"/>
        <v>1890</v>
      </c>
      <c r="I35" s="30">
        <f t="shared" si="14"/>
        <v>1260</v>
      </c>
      <c r="J35" s="84">
        <f>G35+D35</f>
        <v>1575</v>
      </c>
      <c r="K35" s="31">
        <f t="shared" si="14"/>
        <v>1890</v>
      </c>
      <c r="L35" s="68">
        <f t="shared" si="26"/>
        <v>44</v>
      </c>
      <c r="M35" s="68">
        <f t="shared" si="26"/>
        <v>56.489999999999995</v>
      </c>
      <c r="N35" s="68">
        <f t="shared" si="26"/>
        <v>40</v>
      </c>
      <c r="O35" s="68">
        <f t="shared" si="26"/>
        <v>20</v>
      </c>
      <c r="P35" s="68">
        <f t="shared" si="22"/>
        <v>0</v>
      </c>
      <c r="Q35" s="66">
        <f t="shared" si="15"/>
        <v>152.46549999999999</v>
      </c>
      <c r="R35" s="70">
        <f t="shared" si="8"/>
        <v>160.49</v>
      </c>
      <c r="S35" s="67">
        <f t="shared" si="9"/>
        <v>168.51450000000003</v>
      </c>
      <c r="T35" s="66">
        <f t="shared" si="23"/>
        <v>1412.4655</v>
      </c>
      <c r="U35" s="89">
        <f t="shared" si="16"/>
        <v>1735.49</v>
      </c>
      <c r="V35" s="67">
        <f t="shared" si="16"/>
        <v>2058.5145000000002</v>
      </c>
      <c r="W35" s="6">
        <f t="shared" si="17"/>
        <v>0.46517939100470151</v>
      </c>
      <c r="X35" s="66">
        <f t="shared" si="18"/>
        <v>657.04984110515124</v>
      </c>
      <c r="Y35" s="89">
        <f t="shared" si="19"/>
        <v>807.31418129474946</v>
      </c>
      <c r="Z35" s="67">
        <f t="shared" si="20"/>
        <v>957.57852148434779</v>
      </c>
      <c r="AA35" s="90"/>
    </row>
    <row r="36" spans="1:27">
      <c r="A36" s="4">
        <f t="shared" si="21"/>
        <v>2042</v>
      </c>
      <c r="B36" s="4">
        <f t="shared" si="10"/>
        <v>23</v>
      </c>
      <c r="C36" s="63">
        <f t="shared" si="11"/>
        <v>0</v>
      </c>
      <c r="D36" s="64"/>
      <c r="E36" s="65">
        <f t="shared" si="12"/>
        <v>0</v>
      </c>
      <c r="F36" s="28">
        <f t="shared" si="13"/>
        <v>1260</v>
      </c>
      <c r="G36" s="27">
        <f t="shared" si="24"/>
        <v>1575</v>
      </c>
      <c r="H36" s="29">
        <f t="shared" si="7"/>
        <v>1890</v>
      </c>
      <c r="I36" s="30">
        <f t="shared" si="14"/>
        <v>1260</v>
      </c>
      <c r="J36" s="84">
        <f t="shared" si="14"/>
        <v>1575</v>
      </c>
      <c r="K36" s="31">
        <f t="shared" si="14"/>
        <v>1890</v>
      </c>
      <c r="L36" s="68">
        <f t="shared" si="26"/>
        <v>44</v>
      </c>
      <c r="M36" s="68">
        <f t="shared" si="26"/>
        <v>56.489999999999995</v>
      </c>
      <c r="N36" s="68">
        <f t="shared" si="26"/>
        <v>40</v>
      </c>
      <c r="O36" s="68">
        <f t="shared" si="26"/>
        <v>20</v>
      </c>
      <c r="P36" s="68">
        <f t="shared" si="22"/>
        <v>0</v>
      </c>
      <c r="Q36" s="66">
        <f t="shared" si="15"/>
        <v>152.46549999999999</v>
      </c>
      <c r="R36" s="70">
        <f t="shared" si="8"/>
        <v>160.49</v>
      </c>
      <c r="S36" s="67">
        <f t="shared" si="9"/>
        <v>168.51450000000003</v>
      </c>
      <c r="T36" s="66">
        <f t="shared" si="23"/>
        <v>1412.4655</v>
      </c>
      <c r="U36" s="89">
        <f t="shared" si="16"/>
        <v>1735.49</v>
      </c>
      <c r="V36" s="67">
        <f t="shared" si="16"/>
        <v>2058.5145000000002</v>
      </c>
      <c r="W36" s="6">
        <f t="shared" si="17"/>
        <v>0.44927505408991841</v>
      </c>
      <c r="X36" s="66">
        <f t="shared" si="18"/>
        <v>634.58551391264371</v>
      </c>
      <c r="Y36" s="89">
        <f t="shared" si="19"/>
        <v>779.7123636225125</v>
      </c>
      <c r="Z36" s="67">
        <f t="shared" si="20"/>
        <v>924.83921333238141</v>
      </c>
      <c r="AA36" s="14"/>
    </row>
    <row r="37" spans="1:27">
      <c r="A37" s="4">
        <f t="shared" si="21"/>
        <v>2043</v>
      </c>
      <c r="B37" s="4">
        <f t="shared" si="10"/>
        <v>24</v>
      </c>
      <c r="C37" s="63">
        <f t="shared" si="11"/>
        <v>0</v>
      </c>
      <c r="D37" s="64"/>
      <c r="E37" s="65">
        <f t="shared" si="12"/>
        <v>0</v>
      </c>
      <c r="F37" s="28">
        <f t="shared" si="13"/>
        <v>1260</v>
      </c>
      <c r="G37" s="27">
        <f t="shared" si="24"/>
        <v>1575</v>
      </c>
      <c r="H37" s="29">
        <f t="shared" si="7"/>
        <v>1890</v>
      </c>
      <c r="I37" s="30">
        <f t="shared" si="14"/>
        <v>1260</v>
      </c>
      <c r="J37" s="84">
        <f t="shared" si="14"/>
        <v>1575</v>
      </c>
      <c r="K37" s="31">
        <f t="shared" si="14"/>
        <v>1890</v>
      </c>
      <c r="L37" s="68">
        <f t="shared" si="26"/>
        <v>44</v>
      </c>
      <c r="M37" s="68">
        <f t="shared" si="26"/>
        <v>56.489999999999995</v>
      </c>
      <c r="N37" s="68">
        <f t="shared" si="26"/>
        <v>40</v>
      </c>
      <c r="O37" s="68">
        <f t="shared" si="26"/>
        <v>20</v>
      </c>
      <c r="P37" s="68">
        <f t="shared" si="22"/>
        <v>0</v>
      </c>
      <c r="Q37" s="66">
        <f t="shared" si="15"/>
        <v>152.46549999999999</v>
      </c>
      <c r="R37" s="70">
        <f t="shared" si="8"/>
        <v>160.49</v>
      </c>
      <c r="S37" s="67">
        <f t="shared" si="9"/>
        <v>168.51450000000003</v>
      </c>
      <c r="T37" s="66">
        <f t="shared" si="23"/>
        <v>1412.4655</v>
      </c>
      <c r="U37" s="89">
        <f t="shared" si="16"/>
        <v>1735.49</v>
      </c>
      <c r="V37" s="67">
        <f t="shared" si="16"/>
        <v>2058.5145000000002</v>
      </c>
      <c r="W37" s="6">
        <f t="shared" si="17"/>
        <v>0.43391448144670497</v>
      </c>
      <c r="X37" s="66">
        <f t="shared" si="18"/>
        <v>612.8892349938609</v>
      </c>
      <c r="Y37" s="89">
        <f t="shared" si="19"/>
        <v>753.05424340594197</v>
      </c>
      <c r="Z37" s="67">
        <f t="shared" si="20"/>
        <v>893.21925181802328</v>
      </c>
      <c r="AA37" s="14"/>
    </row>
    <row r="38" spans="1:27">
      <c r="A38" s="4">
        <f t="shared" si="21"/>
        <v>2044</v>
      </c>
      <c r="B38" s="4">
        <f t="shared" si="10"/>
        <v>25</v>
      </c>
      <c r="C38" s="63">
        <f t="shared" si="11"/>
        <v>0</v>
      </c>
      <c r="D38" s="64"/>
      <c r="E38" s="65">
        <f t="shared" si="12"/>
        <v>0</v>
      </c>
      <c r="F38" s="28">
        <f t="shared" si="13"/>
        <v>1260</v>
      </c>
      <c r="G38" s="27">
        <f t="shared" si="24"/>
        <v>1575</v>
      </c>
      <c r="H38" s="29">
        <f t="shared" si="7"/>
        <v>1890</v>
      </c>
      <c r="I38" s="30">
        <f t="shared" si="14"/>
        <v>1260</v>
      </c>
      <c r="J38" s="84">
        <f t="shared" si="14"/>
        <v>1575</v>
      </c>
      <c r="K38" s="31">
        <f t="shared" si="14"/>
        <v>1890</v>
      </c>
      <c r="L38" s="68">
        <f t="shared" si="26"/>
        <v>44</v>
      </c>
      <c r="M38" s="68">
        <f t="shared" si="26"/>
        <v>56.489999999999995</v>
      </c>
      <c r="N38" s="68">
        <f t="shared" si="26"/>
        <v>40</v>
      </c>
      <c r="O38" s="68">
        <f t="shared" si="26"/>
        <v>20</v>
      </c>
      <c r="P38" s="68">
        <f t="shared" si="22"/>
        <v>0</v>
      </c>
      <c r="Q38" s="66">
        <f t="shared" si="15"/>
        <v>152.46549999999999</v>
      </c>
      <c r="R38" s="70">
        <f t="shared" si="8"/>
        <v>160.49</v>
      </c>
      <c r="S38" s="67">
        <f t="shared" si="9"/>
        <v>168.51450000000003</v>
      </c>
      <c r="T38" s="66">
        <f t="shared" si="23"/>
        <v>1412.4655</v>
      </c>
      <c r="U38" s="89">
        <f t="shared" si="16"/>
        <v>1735.49</v>
      </c>
      <c r="V38" s="67">
        <f t="shared" si="16"/>
        <v>2058.5145000000002</v>
      </c>
      <c r="W38" s="7">
        <f t="shared" si="17"/>
        <v>0.41907908194582277</v>
      </c>
      <c r="X38" s="66">
        <f t="shared" si="18"/>
        <v>591.93474502014749</v>
      </c>
      <c r="Y38" s="89">
        <f t="shared" si="19"/>
        <v>727.30755592615594</v>
      </c>
      <c r="Z38" s="67">
        <f t="shared" si="20"/>
        <v>862.68036683216451</v>
      </c>
      <c r="AA38" s="14"/>
    </row>
    <row r="39" spans="1:27">
      <c r="A39" s="4">
        <f t="shared" si="21"/>
        <v>2045</v>
      </c>
      <c r="B39" s="4">
        <f t="shared" si="10"/>
        <v>26</v>
      </c>
      <c r="C39" s="63">
        <f t="shared" si="11"/>
        <v>0</v>
      </c>
      <c r="D39" s="64"/>
      <c r="E39" s="65">
        <f t="shared" si="12"/>
        <v>0</v>
      </c>
      <c r="F39" s="28">
        <f t="shared" si="13"/>
        <v>1260</v>
      </c>
      <c r="G39" s="27">
        <f t="shared" si="24"/>
        <v>1575</v>
      </c>
      <c r="H39" s="29">
        <f t="shared" si="7"/>
        <v>1890</v>
      </c>
      <c r="I39" s="30">
        <f t="shared" si="14"/>
        <v>1260</v>
      </c>
      <c r="J39" s="84">
        <f t="shared" si="14"/>
        <v>1575</v>
      </c>
      <c r="K39" s="31">
        <f t="shared" si="14"/>
        <v>1890</v>
      </c>
      <c r="L39" s="68">
        <f t="shared" si="26"/>
        <v>44</v>
      </c>
      <c r="M39" s="68">
        <f t="shared" si="26"/>
        <v>56.489999999999995</v>
      </c>
      <c r="N39" s="68">
        <f t="shared" si="26"/>
        <v>40</v>
      </c>
      <c r="O39" s="68">
        <f t="shared" si="26"/>
        <v>20</v>
      </c>
      <c r="P39" s="68">
        <f t="shared" si="22"/>
        <v>0</v>
      </c>
      <c r="Q39" s="66">
        <f t="shared" si="15"/>
        <v>152.46549999999999</v>
      </c>
      <c r="R39" s="70">
        <f t="shared" si="8"/>
        <v>160.49</v>
      </c>
      <c r="S39" s="67">
        <f t="shared" si="9"/>
        <v>168.51450000000003</v>
      </c>
      <c r="T39" s="66">
        <f t="shared" si="23"/>
        <v>1412.4655</v>
      </c>
      <c r="U39" s="89">
        <f t="shared" si="16"/>
        <v>1735.49</v>
      </c>
      <c r="V39" s="67">
        <f t="shared" si="16"/>
        <v>2058.5145000000002</v>
      </c>
      <c r="W39" s="7">
        <f t="shared" si="17"/>
        <v>0.40475090008288855</v>
      </c>
      <c r="X39" s="66">
        <f t="shared" si="18"/>
        <v>571.69668246102719</v>
      </c>
      <c r="Y39" s="89">
        <f t="shared" si="19"/>
        <v>702.44113958485229</v>
      </c>
      <c r="Z39" s="67">
        <f t="shared" si="20"/>
        <v>833.18559670867739</v>
      </c>
      <c r="AA39" s="14"/>
    </row>
    <row r="40" spans="1:27">
      <c r="A40" s="4">
        <f t="shared" si="21"/>
        <v>2046</v>
      </c>
      <c r="B40" s="4">
        <f t="shared" si="10"/>
        <v>27</v>
      </c>
      <c r="C40" s="63">
        <f t="shared" si="11"/>
        <v>0</v>
      </c>
      <c r="D40" s="64"/>
      <c r="E40" s="65">
        <f t="shared" si="12"/>
        <v>0</v>
      </c>
      <c r="F40" s="28">
        <f t="shared" si="13"/>
        <v>1260</v>
      </c>
      <c r="G40" s="27">
        <f t="shared" si="24"/>
        <v>1575</v>
      </c>
      <c r="H40" s="29">
        <f t="shared" si="7"/>
        <v>1890</v>
      </c>
      <c r="I40" s="30">
        <f t="shared" si="14"/>
        <v>1260</v>
      </c>
      <c r="J40" s="84">
        <f t="shared" si="14"/>
        <v>1575</v>
      </c>
      <c r="K40" s="31">
        <f t="shared" si="14"/>
        <v>1890</v>
      </c>
      <c r="L40" s="68">
        <f t="shared" si="26"/>
        <v>44</v>
      </c>
      <c r="M40" s="68">
        <f t="shared" si="26"/>
        <v>56.489999999999995</v>
      </c>
      <c r="N40" s="68">
        <f t="shared" si="26"/>
        <v>40</v>
      </c>
      <c r="O40" s="68">
        <f t="shared" si="26"/>
        <v>20</v>
      </c>
      <c r="P40" s="68">
        <f t="shared" si="22"/>
        <v>0</v>
      </c>
      <c r="Q40" s="66">
        <f t="shared" si="15"/>
        <v>152.46549999999999</v>
      </c>
      <c r="R40" s="70">
        <f t="shared" si="8"/>
        <v>160.49</v>
      </c>
      <c r="S40" s="67">
        <f t="shared" si="9"/>
        <v>168.51450000000003</v>
      </c>
      <c r="T40" s="66">
        <f t="shared" si="23"/>
        <v>1412.4655</v>
      </c>
      <c r="U40" s="89">
        <f t="shared" si="16"/>
        <v>1735.49</v>
      </c>
      <c r="V40" s="67">
        <f t="shared" si="16"/>
        <v>2058.5145000000002</v>
      </c>
      <c r="W40" s="7">
        <f t="shared" si="17"/>
        <v>0.39091259424656027</v>
      </c>
      <c r="X40" s="66">
        <f t="shared" si="18"/>
        <v>552.15055288876488</v>
      </c>
      <c r="Y40" s="89">
        <f t="shared" si="19"/>
        <v>678.42489818896286</v>
      </c>
      <c r="Z40" s="67">
        <f t="shared" si="20"/>
        <v>804.69924348916095</v>
      </c>
      <c r="AA40" s="90"/>
    </row>
    <row r="41" spans="1:27">
      <c r="A41" s="4">
        <f t="shared" si="21"/>
        <v>2047</v>
      </c>
      <c r="B41" s="4">
        <f t="shared" si="10"/>
        <v>28</v>
      </c>
      <c r="C41" s="63">
        <f t="shared" si="11"/>
        <v>0</v>
      </c>
      <c r="D41" s="64"/>
      <c r="E41" s="65">
        <f t="shared" si="12"/>
        <v>0</v>
      </c>
      <c r="F41" s="28">
        <f t="shared" si="13"/>
        <v>1260</v>
      </c>
      <c r="G41" s="27">
        <f t="shared" si="24"/>
        <v>1575</v>
      </c>
      <c r="H41" s="29">
        <f t="shared" si="7"/>
        <v>1890</v>
      </c>
      <c r="I41" s="30">
        <f t="shared" si="14"/>
        <v>1260</v>
      </c>
      <c r="J41" s="84">
        <f t="shared" si="14"/>
        <v>1575</v>
      </c>
      <c r="K41" s="31">
        <f t="shared" si="14"/>
        <v>1890</v>
      </c>
      <c r="L41" s="68">
        <f t="shared" si="26"/>
        <v>44</v>
      </c>
      <c r="M41" s="68">
        <f t="shared" si="26"/>
        <v>56.489999999999995</v>
      </c>
      <c r="N41" s="68">
        <f t="shared" si="26"/>
        <v>40</v>
      </c>
      <c r="O41" s="68">
        <f t="shared" si="26"/>
        <v>20</v>
      </c>
      <c r="P41" s="68">
        <f t="shared" si="22"/>
        <v>0</v>
      </c>
      <c r="Q41" s="66">
        <f t="shared" si="15"/>
        <v>152.46549999999999</v>
      </c>
      <c r="R41" s="70">
        <f t="shared" si="8"/>
        <v>160.49</v>
      </c>
      <c r="S41" s="67">
        <f t="shared" si="9"/>
        <v>168.51450000000003</v>
      </c>
      <c r="T41" s="66">
        <f t="shared" si="23"/>
        <v>1412.4655</v>
      </c>
      <c r="U41" s="89">
        <f t="shared" si="16"/>
        <v>1735.49</v>
      </c>
      <c r="V41" s="67">
        <f t="shared" si="16"/>
        <v>2058.5145000000002</v>
      </c>
      <c r="W41" s="7">
        <f t="shared" si="17"/>
        <v>0.37754741572972783</v>
      </c>
      <c r="X41" s="66">
        <f t="shared" si="18"/>
        <v>533.27269933239791</v>
      </c>
      <c r="Y41" s="89">
        <f t="shared" si="19"/>
        <v>655.22976452478531</v>
      </c>
      <c r="Z41" s="67">
        <f t="shared" si="20"/>
        <v>777.18682971717294</v>
      </c>
      <c r="AA41" s="14"/>
    </row>
    <row r="42" spans="1:27">
      <c r="A42" s="4">
        <f t="shared" si="21"/>
        <v>2048</v>
      </c>
      <c r="B42" s="4">
        <f t="shared" si="10"/>
        <v>29</v>
      </c>
      <c r="C42" s="63">
        <f t="shared" si="11"/>
        <v>0</v>
      </c>
      <c r="D42" s="64"/>
      <c r="E42" s="65">
        <f t="shared" si="12"/>
        <v>0</v>
      </c>
      <c r="F42" s="28">
        <f t="shared" si="13"/>
        <v>1260</v>
      </c>
      <c r="G42" s="27">
        <f t="shared" si="24"/>
        <v>1575</v>
      </c>
      <c r="H42" s="29">
        <f t="shared" si="7"/>
        <v>1890</v>
      </c>
      <c r="I42" s="30">
        <f t="shared" si="14"/>
        <v>1260</v>
      </c>
      <c r="J42" s="84">
        <f t="shared" si="14"/>
        <v>1575</v>
      </c>
      <c r="K42" s="31">
        <f t="shared" si="14"/>
        <v>1890</v>
      </c>
      <c r="L42" s="68">
        <f t="shared" si="26"/>
        <v>44</v>
      </c>
      <c r="M42" s="68">
        <f t="shared" si="26"/>
        <v>56.489999999999995</v>
      </c>
      <c r="N42" s="68">
        <f t="shared" si="26"/>
        <v>40</v>
      </c>
      <c r="O42" s="68">
        <f t="shared" si="26"/>
        <v>20</v>
      </c>
      <c r="P42" s="68">
        <f t="shared" si="22"/>
        <v>0</v>
      </c>
      <c r="Q42" s="66">
        <f t="shared" si="15"/>
        <v>152.46549999999999</v>
      </c>
      <c r="R42" s="70">
        <f t="shared" si="8"/>
        <v>160.49</v>
      </c>
      <c r="S42" s="67">
        <f t="shared" si="9"/>
        <v>168.51450000000003</v>
      </c>
      <c r="T42" s="66">
        <f t="shared" si="23"/>
        <v>1412.4655</v>
      </c>
      <c r="U42" s="89">
        <f t="shared" si="16"/>
        <v>1735.49</v>
      </c>
      <c r="V42" s="67">
        <f t="shared" si="16"/>
        <v>2058.5145000000002</v>
      </c>
      <c r="W42" s="7">
        <f t="shared" si="17"/>
        <v>0.36463918845830384</v>
      </c>
      <c r="X42" s="66">
        <f t="shared" si="18"/>
        <v>515.04027364535239</v>
      </c>
      <c r="Y42" s="89">
        <f t="shared" si="19"/>
        <v>632.82766517750179</v>
      </c>
      <c r="Z42" s="67">
        <f t="shared" si="20"/>
        <v>750.61505670965118</v>
      </c>
      <c r="AA42" s="14"/>
    </row>
    <row r="43" spans="1:27">
      <c r="A43" s="4">
        <f t="shared" si="21"/>
        <v>2049</v>
      </c>
      <c r="B43" s="4">
        <f t="shared" si="10"/>
        <v>30</v>
      </c>
      <c r="C43" s="63">
        <f t="shared" si="11"/>
        <v>0</v>
      </c>
      <c r="D43" s="64"/>
      <c r="E43" s="65">
        <f t="shared" si="12"/>
        <v>0</v>
      </c>
      <c r="F43" s="28">
        <f t="shared" si="13"/>
        <v>1260</v>
      </c>
      <c r="G43" s="27">
        <f t="shared" si="24"/>
        <v>1575</v>
      </c>
      <c r="H43" s="29">
        <f t="shared" si="7"/>
        <v>1890</v>
      </c>
      <c r="I43" s="30">
        <f t="shared" si="14"/>
        <v>1260</v>
      </c>
      <c r="J43" s="84">
        <f t="shared" si="14"/>
        <v>1575</v>
      </c>
      <c r="K43" s="31">
        <f t="shared" si="14"/>
        <v>1890</v>
      </c>
      <c r="L43" s="68">
        <f t="shared" si="26"/>
        <v>44</v>
      </c>
      <c r="M43" s="68">
        <f t="shared" si="26"/>
        <v>56.489999999999995</v>
      </c>
      <c r="N43" s="68">
        <f t="shared" si="26"/>
        <v>40</v>
      </c>
      <c r="O43" s="68">
        <f t="shared" si="26"/>
        <v>20</v>
      </c>
      <c r="P43" s="68">
        <f t="shared" si="22"/>
        <v>0</v>
      </c>
      <c r="Q43" s="66">
        <f t="shared" si="15"/>
        <v>152.46549999999999</v>
      </c>
      <c r="R43" s="70">
        <f t="shared" si="8"/>
        <v>160.49</v>
      </c>
      <c r="S43" s="67">
        <f t="shared" si="9"/>
        <v>168.51450000000003</v>
      </c>
      <c r="T43" s="66">
        <f t="shared" si="23"/>
        <v>1412.4655</v>
      </c>
      <c r="U43" s="89">
        <f t="shared" si="16"/>
        <v>1735.49</v>
      </c>
      <c r="V43" s="67">
        <f t="shared" si="16"/>
        <v>2058.5145000000002</v>
      </c>
      <c r="W43" s="7">
        <f t="shared" si="17"/>
        <v>0.35217228941308076</v>
      </c>
      <c r="X43" s="66">
        <f t="shared" si="18"/>
        <v>497.43120885199181</v>
      </c>
      <c r="Y43" s="89">
        <f t="shared" si="19"/>
        <v>611.1914865535075</v>
      </c>
      <c r="Z43" s="67">
        <f t="shared" si="20"/>
        <v>724.95176425502336</v>
      </c>
      <c r="AA43" s="14"/>
    </row>
    <row r="44" spans="1:27">
      <c r="A44" s="4">
        <f t="shared" si="21"/>
        <v>2050</v>
      </c>
      <c r="B44" s="4">
        <f t="shared" si="10"/>
        <v>31</v>
      </c>
      <c r="C44" s="63">
        <f t="shared" si="11"/>
        <v>0</v>
      </c>
      <c r="D44" s="64"/>
      <c r="E44" s="65">
        <f t="shared" si="12"/>
        <v>0</v>
      </c>
      <c r="F44" s="28">
        <f t="shared" si="13"/>
        <v>1260</v>
      </c>
      <c r="G44" s="27">
        <f t="shared" si="24"/>
        <v>1575</v>
      </c>
      <c r="H44" s="29">
        <f t="shared" si="7"/>
        <v>1890</v>
      </c>
      <c r="I44" s="30">
        <f t="shared" si="14"/>
        <v>1260</v>
      </c>
      <c r="J44" s="84">
        <f t="shared" si="14"/>
        <v>1575</v>
      </c>
      <c r="K44" s="31">
        <f t="shared" si="14"/>
        <v>1890</v>
      </c>
      <c r="L44" s="68">
        <f t="shared" si="26"/>
        <v>44</v>
      </c>
      <c r="M44" s="68">
        <f t="shared" si="26"/>
        <v>56.489999999999995</v>
      </c>
      <c r="N44" s="68">
        <f t="shared" si="26"/>
        <v>40</v>
      </c>
      <c r="O44" s="68">
        <f t="shared" si="26"/>
        <v>20</v>
      </c>
      <c r="P44" s="68">
        <f t="shared" si="22"/>
        <v>0</v>
      </c>
      <c r="Q44" s="66">
        <f t="shared" si="15"/>
        <v>152.46549999999999</v>
      </c>
      <c r="R44" s="70">
        <f t="shared" si="8"/>
        <v>160.49</v>
      </c>
      <c r="S44" s="67">
        <f t="shared" si="9"/>
        <v>168.51450000000003</v>
      </c>
      <c r="T44" s="66">
        <f t="shared" si="23"/>
        <v>1412.4655</v>
      </c>
      <c r="U44" s="89">
        <f t="shared" si="16"/>
        <v>1735.49</v>
      </c>
      <c r="V44" s="67">
        <f t="shared" si="16"/>
        <v>2058.5145000000002</v>
      </c>
      <c r="W44" s="7">
        <f t="shared" si="17"/>
        <v>0.34013162972095884</v>
      </c>
      <c r="X44" s="66">
        <f t="shared" si="18"/>
        <v>480.424192439629</v>
      </c>
      <c r="Y44" s="89">
        <f t="shared" si="19"/>
        <v>590.29504206442687</v>
      </c>
      <c r="Z44" s="67">
        <f t="shared" si="20"/>
        <v>700.16589168922485</v>
      </c>
      <c r="AA44" s="90"/>
    </row>
    <row r="45" spans="1:27">
      <c r="A45" s="4">
        <f t="shared" si="21"/>
        <v>2051</v>
      </c>
      <c r="B45" s="4">
        <f t="shared" si="10"/>
        <v>32</v>
      </c>
      <c r="C45" s="63">
        <f t="shared" si="11"/>
        <v>0</v>
      </c>
      <c r="D45" s="64"/>
      <c r="E45" s="65">
        <f t="shared" si="12"/>
        <v>0</v>
      </c>
      <c r="F45" s="28">
        <f t="shared" si="13"/>
        <v>1260</v>
      </c>
      <c r="G45" s="27">
        <f t="shared" si="24"/>
        <v>1575</v>
      </c>
      <c r="H45" s="29">
        <f t="shared" si="7"/>
        <v>1890</v>
      </c>
      <c r="I45" s="30">
        <f t="shared" si="14"/>
        <v>1260</v>
      </c>
      <c r="J45" s="84">
        <f t="shared" si="14"/>
        <v>1575</v>
      </c>
      <c r="K45" s="31">
        <f t="shared" si="14"/>
        <v>1890</v>
      </c>
      <c r="L45" s="68">
        <f t="shared" si="26"/>
        <v>44</v>
      </c>
      <c r="M45" s="68">
        <f t="shared" si="26"/>
        <v>56.489999999999995</v>
      </c>
      <c r="N45" s="68">
        <f t="shared" si="26"/>
        <v>40</v>
      </c>
      <c r="O45" s="68">
        <f t="shared" si="26"/>
        <v>20</v>
      </c>
      <c r="P45" s="68">
        <f t="shared" si="22"/>
        <v>0</v>
      </c>
      <c r="Q45" s="66">
        <f t="shared" si="15"/>
        <v>152.46549999999999</v>
      </c>
      <c r="R45" s="70">
        <f t="shared" si="8"/>
        <v>160.49</v>
      </c>
      <c r="S45" s="67">
        <f t="shared" si="9"/>
        <v>168.51450000000003</v>
      </c>
      <c r="T45" s="66">
        <f t="shared" si="23"/>
        <v>1412.4655</v>
      </c>
      <c r="U45" s="89">
        <f t="shared" si="16"/>
        <v>1735.49</v>
      </c>
      <c r="V45" s="67">
        <f t="shared" si="16"/>
        <v>2058.5145000000002</v>
      </c>
      <c r="W45" s="7">
        <f t="shared" si="17"/>
        <v>0.3285026363926587</v>
      </c>
      <c r="X45" s="66">
        <f t="shared" si="18"/>
        <v>463.99864056367488</v>
      </c>
      <c r="Y45" s="89">
        <f t="shared" si="19"/>
        <v>570.11304043309519</v>
      </c>
      <c r="Z45" s="67">
        <f t="shared" si="20"/>
        <v>676.22744030251567</v>
      </c>
      <c r="AA45" s="90"/>
    </row>
    <row r="46" spans="1:27">
      <c r="A46" s="4">
        <f t="shared" si="21"/>
        <v>2052</v>
      </c>
      <c r="B46" s="4">
        <f t="shared" si="10"/>
        <v>33</v>
      </c>
      <c r="C46" s="63">
        <f t="shared" si="11"/>
        <v>0</v>
      </c>
      <c r="D46" s="64"/>
      <c r="E46" s="65">
        <f t="shared" si="12"/>
        <v>0</v>
      </c>
      <c r="F46" s="28">
        <f t="shared" si="13"/>
        <v>1260</v>
      </c>
      <c r="G46" s="27">
        <f t="shared" si="24"/>
        <v>1575</v>
      </c>
      <c r="H46" s="29">
        <f t="shared" si="7"/>
        <v>1890</v>
      </c>
      <c r="I46" s="30">
        <f t="shared" si="14"/>
        <v>1260</v>
      </c>
      <c r="J46" s="84">
        <f t="shared" si="14"/>
        <v>1575</v>
      </c>
      <c r="K46" s="31">
        <f t="shared" si="14"/>
        <v>1890</v>
      </c>
      <c r="L46" s="68">
        <f t="shared" si="26"/>
        <v>44</v>
      </c>
      <c r="M46" s="68">
        <f t="shared" si="26"/>
        <v>56.489999999999995</v>
      </c>
      <c r="N46" s="68">
        <f t="shared" si="26"/>
        <v>40</v>
      </c>
      <c r="O46" s="68">
        <f t="shared" si="26"/>
        <v>20</v>
      </c>
      <c r="P46" s="68">
        <f t="shared" si="22"/>
        <v>0</v>
      </c>
      <c r="Q46" s="66">
        <f t="shared" si="15"/>
        <v>152.46549999999999</v>
      </c>
      <c r="R46" s="70">
        <f t="shared" si="8"/>
        <v>160.49</v>
      </c>
      <c r="S46" s="67">
        <f t="shared" si="9"/>
        <v>168.51450000000003</v>
      </c>
      <c r="T46" s="66">
        <f t="shared" si="23"/>
        <v>1412.4655</v>
      </c>
      <c r="U46" s="89">
        <f t="shared" si="16"/>
        <v>1735.49</v>
      </c>
      <c r="V46" s="67">
        <f t="shared" si="16"/>
        <v>2058.5145000000002</v>
      </c>
      <c r="W46" s="7">
        <f t="shared" si="17"/>
        <v>0.31727123468481616</v>
      </c>
      <c r="X46" s="66">
        <f t="shared" si="18"/>
        <v>448.13467313470619</v>
      </c>
      <c r="Y46" s="89">
        <f t="shared" si="19"/>
        <v>550.62105508315165</v>
      </c>
      <c r="Z46" s="67">
        <f t="shared" si="20"/>
        <v>653.1074370315971</v>
      </c>
      <c r="AA46" s="14"/>
    </row>
    <row r="47" spans="1:27">
      <c r="A47" s="4">
        <f t="shared" si="21"/>
        <v>2053</v>
      </c>
      <c r="B47" s="4">
        <f t="shared" si="10"/>
        <v>34</v>
      </c>
      <c r="C47" s="63">
        <f t="shared" si="11"/>
        <v>0</v>
      </c>
      <c r="D47" s="64"/>
      <c r="E47" s="65">
        <f t="shared" si="12"/>
        <v>0</v>
      </c>
      <c r="F47" s="28">
        <f t="shared" si="13"/>
        <v>1260</v>
      </c>
      <c r="G47" s="27">
        <f>$Q$9</f>
        <v>1575</v>
      </c>
      <c r="H47" s="29">
        <f t="shared" si="7"/>
        <v>1890</v>
      </c>
      <c r="I47" s="30">
        <f t="shared" si="14"/>
        <v>1260</v>
      </c>
      <c r="J47" s="84">
        <f t="shared" si="14"/>
        <v>1575</v>
      </c>
      <c r="K47" s="31">
        <f t="shared" si="14"/>
        <v>1890</v>
      </c>
      <c r="L47" s="68">
        <f t="shared" si="26"/>
        <v>44</v>
      </c>
      <c r="M47" s="68">
        <f t="shared" si="26"/>
        <v>56.489999999999995</v>
      </c>
      <c r="N47" s="68">
        <f t="shared" si="26"/>
        <v>40</v>
      </c>
      <c r="O47" s="68">
        <f t="shared" si="26"/>
        <v>20</v>
      </c>
      <c r="P47" s="68">
        <f t="shared" si="22"/>
        <v>0</v>
      </c>
      <c r="Q47" s="66">
        <f t="shared" si="15"/>
        <v>152.46549999999999</v>
      </c>
      <c r="R47" s="70">
        <f t="shared" si="8"/>
        <v>160.49</v>
      </c>
      <c r="S47" s="67">
        <f t="shared" si="9"/>
        <v>168.51450000000003</v>
      </c>
      <c r="T47" s="66">
        <f t="shared" si="23"/>
        <v>1412.4655</v>
      </c>
      <c r="U47" s="89">
        <f t="shared" si="16"/>
        <v>1735.49</v>
      </c>
      <c r="V47" s="67">
        <f t="shared" si="16"/>
        <v>2058.5145000000002</v>
      </c>
      <c r="W47" s="7">
        <f t="shared" si="17"/>
        <v>0.30642383106511123</v>
      </c>
      <c r="X47" s="66">
        <f t="shared" si="18"/>
        <v>432.81308975729786</v>
      </c>
      <c r="Y47" s="89">
        <f t="shared" si="19"/>
        <v>531.79549457518988</v>
      </c>
      <c r="Z47" s="67">
        <f t="shared" si="20"/>
        <v>630.77789939308195</v>
      </c>
      <c r="AA47" s="14"/>
    </row>
    <row r="48" spans="1:27">
      <c r="A48" s="4">
        <f t="shared" si="21"/>
        <v>2054</v>
      </c>
      <c r="B48" s="4">
        <f t="shared" si="10"/>
        <v>35</v>
      </c>
      <c r="C48" s="63">
        <f t="shared" si="11"/>
        <v>0</v>
      </c>
      <c r="D48" s="64"/>
      <c r="E48" s="65">
        <f t="shared" si="12"/>
        <v>0</v>
      </c>
      <c r="F48" s="28">
        <f t="shared" si="13"/>
        <v>1260</v>
      </c>
      <c r="G48" s="27">
        <f t="shared" ref="G48:G73" si="27">$Q$9</f>
        <v>1575</v>
      </c>
      <c r="H48" s="29">
        <f t="shared" si="7"/>
        <v>1890</v>
      </c>
      <c r="I48" s="30">
        <f t="shared" si="14"/>
        <v>1260</v>
      </c>
      <c r="J48" s="84">
        <f t="shared" si="14"/>
        <v>1575</v>
      </c>
      <c r="K48" s="31">
        <f t="shared" si="14"/>
        <v>1890</v>
      </c>
      <c r="L48" s="68">
        <f t="shared" ref="L48:O63" si="28">L47</f>
        <v>44</v>
      </c>
      <c r="M48" s="68">
        <f t="shared" si="28"/>
        <v>56.489999999999995</v>
      </c>
      <c r="N48" s="68">
        <f t="shared" si="28"/>
        <v>40</v>
      </c>
      <c r="O48" s="68">
        <f t="shared" si="28"/>
        <v>20</v>
      </c>
      <c r="P48" s="68">
        <f t="shared" si="22"/>
        <v>0</v>
      </c>
      <c r="Q48" s="66">
        <f t="shared" si="15"/>
        <v>152.46549999999999</v>
      </c>
      <c r="R48" s="70">
        <f t="shared" si="8"/>
        <v>160.49</v>
      </c>
      <c r="S48" s="67">
        <f t="shared" si="9"/>
        <v>168.51450000000003</v>
      </c>
      <c r="T48" s="66">
        <f t="shared" si="23"/>
        <v>1412.4655</v>
      </c>
      <c r="U48" s="89">
        <f t="shared" si="16"/>
        <v>1735.49</v>
      </c>
      <c r="V48" s="67">
        <f t="shared" si="16"/>
        <v>2058.5145000000002</v>
      </c>
      <c r="W48" s="7">
        <f t="shared" si="17"/>
        <v>0.29594729675981379</v>
      </c>
      <c r="X48" s="66">
        <f t="shared" si="18"/>
        <v>418.0153464914988</v>
      </c>
      <c r="Y48" s="89">
        <f t="shared" si="19"/>
        <v>513.61357405368926</v>
      </c>
      <c r="Z48" s="67">
        <f t="shared" si="20"/>
        <v>609.21180161587972</v>
      </c>
      <c r="AA48" s="14"/>
    </row>
    <row r="49" spans="1:27">
      <c r="A49" s="4">
        <f t="shared" si="21"/>
        <v>2055</v>
      </c>
      <c r="B49" s="4">
        <f t="shared" si="10"/>
        <v>36</v>
      </c>
      <c r="C49" s="63">
        <f t="shared" si="11"/>
        <v>0</v>
      </c>
      <c r="D49" s="64"/>
      <c r="E49" s="65">
        <f t="shared" si="12"/>
        <v>0</v>
      </c>
      <c r="F49" s="28">
        <f t="shared" si="13"/>
        <v>1260</v>
      </c>
      <c r="G49" s="27">
        <f t="shared" si="27"/>
        <v>1575</v>
      </c>
      <c r="H49" s="29">
        <f t="shared" si="7"/>
        <v>1890</v>
      </c>
      <c r="I49" s="30">
        <f t="shared" si="14"/>
        <v>1260</v>
      </c>
      <c r="J49" s="84">
        <f t="shared" si="14"/>
        <v>1575</v>
      </c>
      <c r="K49" s="31">
        <f t="shared" si="14"/>
        <v>1890</v>
      </c>
      <c r="L49" s="68">
        <f t="shared" si="28"/>
        <v>44</v>
      </c>
      <c r="M49" s="68">
        <f t="shared" si="28"/>
        <v>56.489999999999995</v>
      </c>
      <c r="N49" s="68">
        <f t="shared" si="28"/>
        <v>40</v>
      </c>
      <c r="O49" s="68">
        <f t="shared" si="28"/>
        <v>20</v>
      </c>
      <c r="P49" s="68">
        <f t="shared" si="22"/>
        <v>0</v>
      </c>
      <c r="Q49" s="66">
        <f t="shared" si="15"/>
        <v>152.46549999999999</v>
      </c>
      <c r="R49" s="70">
        <f t="shared" si="8"/>
        <v>160.49</v>
      </c>
      <c r="S49" s="67">
        <f t="shared" si="9"/>
        <v>168.51450000000003</v>
      </c>
      <c r="T49" s="66">
        <f t="shared" si="23"/>
        <v>1412.4655</v>
      </c>
      <c r="U49" s="89">
        <f t="shared" si="16"/>
        <v>1735.49</v>
      </c>
      <c r="V49" s="67">
        <f t="shared" si="16"/>
        <v>2058.5145000000002</v>
      </c>
      <c r="W49" s="7">
        <f t="shared" si="17"/>
        <v>0.28582895186383406</v>
      </c>
      <c r="X49" s="66">
        <f t="shared" si="18"/>
        <v>403.72353340882631</v>
      </c>
      <c r="Y49" s="89">
        <f t="shared" si="19"/>
        <v>496.05328767016539</v>
      </c>
      <c r="Z49" s="67">
        <f t="shared" si="20"/>
        <v>588.38304193150452</v>
      </c>
      <c r="AA49" s="14"/>
    </row>
    <row r="50" spans="1:27">
      <c r="A50" s="4">
        <f t="shared" si="21"/>
        <v>2056</v>
      </c>
      <c r="B50" s="4">
        <f t="shared" si="10"/>
        <v>37</v>
      </c>
      <c r="C50" s="63">
        <f t="shared" si="11"/>
        <v>0</v>
      </c>
      <c r="D50" s="64"/>
      <c r="E50" s="65">
        <f t="shared" si="12"/>
        <v>0</v>
      </c>
      <c r="F50" s="28">
        <f t="shared" si="13"/>
        <v>1260</v>
      </c>
      <c r="G50" s="27">
        <f t="shared" si="27"/>
        <v>1575</v>
      </c>
      <c r="H50" s="29">
        <f t="shared" si="7"/>
        <v>1890</v>
      </c>
      <c r="I50" s="30">
        <f t="shared" si="14"/>
        <v>1260</v>
      </c>
      <c r="J50" s="84">
        <f t="shared" si="14"/>
        <v>1575</v>
      </c>
      <c r="K50" s="31">
        <f t="shared" si="14"/>
        <v>1890</v>
      </c>
      <c r="L50" s="68">
        <f t="shared" si="28"/>
        <v>44</v>
      </c>
      <c r="M50" s="68">
        <f t="shared" si="28"/>
        <v>56.489999999999995</v>
      </c>
      <c r="N50" s="68">
        <f t="shared" si="28"/>
        <v>40</v>
      </c>
      <c r="O50" s="68">
        <f t="shared" si="28"/>
        <v>20</v>
      </c>
      <c r="P50" s="68">
        <f t="shared" si="22"/>
        <v>0</v>
      </c>
      <c r="Q50" s="66">
        <f t="shared" si="15"/>
        <v>152.46549999999999</v>
      </c>
      <c r="R50" s="70">
        <f t="shared" si="8"/>
        <v>160.49</v>
      </c>
      <c r="S50" s="67">
        <f t="shared" si="9"/>
        <v>168.51450000000003</v>
      </c>
      <c r="T50" s="66">
        <f t="shared" si="23"/>
        <v>1412.4655</v>
      </c>
      <c r="U50" s="89">
        <f t="shared" si="16"/>
        <v>1735.49</v>
      </c>
      <c r="V50" s="67">
        <f t="shared" si="16"/>
        <v>2058.5145000000002</v>
      </c>
      <c r="W50" s="7">
        <f t="shared" si="17"/>
        <v>0.27605654999404483</v>
      </c>
      <c r="X50" s="66">
        <f t="shared" si="18"/>
        <v>389.92035291561353</v>
      </c>
      <c r="Y50" s="89">
        <f t="shared" si="19"/>
        <v>479.09338194916489</v>
      </c>
      <c r="Z50" s="67">
        <f t="shared" si="20"/>
        <v>568.26641098271625</v>
      </c>
      <c r="AA50" s="90"/>
    </row>
    <row r="51" spans="1:27">
      <c r="A51" s="4">
        <f t="shared" si="21"/>
        <v>2057</v>
      </c>
      <c r="B51" s="4">
        <f t="shared" si="10"/>
        <v>38</v>
      </c>
      <c r="C51" s="63">
        <f t="shared" si="11"/>
        <v>0</v>
      </c>
      <c r="D51" s="64"/>
      <c r="E51" s="65">
        <f t="shared" si="12"/>
        <v>0</v>
      </c>
      <c r="F51" s="28">
        <f t="shared" si="13"/>
        <v>1260</v>
      </c>
      <c r="G51" s="27">
        <f t="shared" si="27"/>
        <v>1575</v>
      </c>
      <c r="H51" s="29">
        <f t="shared" si="7"/>
        <v>1890</v>
      </c>
      <c r="I51" s="30">
        <f t="shared" si="14"/>
        <v>1260</v>
      </c>
      <c r="J51" s="84">
        <f t="shared" si="14"/>
        <v>1575</v>
      </c>
      <c r="K51" s="31">
        <f t="shared" si="14"/>
        <v>1890</v>
      </c>
      <c r="L51" s="68">
        <f t="shared" si="28"/>
        <v>44</v>
      </c>
      <c r="M51" s="68">
        <f t="shared" si="28"/>
        <v>56.489999999999995</v>
      </c>
      <c r="N51" s="68">
        <f t="shared" si="28"/>
        <v>40</v>
      </c>
      <c r="O51" s="68">
        <f t="shared" si="28"/>
        <v>20</v>
      </c>
      <c r="P51" s="68">
        <f t="shared" si="22"/>
        <v>0</v>
      </c>
      <c r="Q51" s="66">
        <f t="shared" si="15"/>
        <v>152.46549999999999</v>
      </c>
      <c r="R51" s="70">
        <f t="shared" si="8"/>
        <v>160.49</v>
      </c>
      <c r="S51" s="67">
        <f t="shared" si="9"/>
        <v>168.51450000000003</v>
      </c>
      <c r="T51" s="66">
        <f t="shared" si="23"/>
        <v>1412.4655</v>
      </c>
      <c r="U51" s="89">
        <f t="shared" si="16"/>
        <v>1735.49</v>
      </c>
      <c r="V51" s="67">
        <f t="shared" si="16"/>
        <v>2058.5145000000002</v>
      </c>
      <c r="W51" s="7">
        <f t="shared" si="17"/>
        <v>0.26661826346730227</v>
      </c>
      <c r="X51" s="66">
        <f t="shared" si="18"/>
        <v>376.58909881747485</v>
      </c>
      <c r="Y51" s="89">
        <f t="shared" si="19"/>
        <v>462.71333006486844</v>
      </c>
      <c r="Z51" s="67">
        <f t="shared" si="20"/>
        <v>548.8375613122621</v>
      </c>
      <c r="AA51" s="14"/>
    </row>
    <row r="52" spans="1:27">
      <c r="A52" s="4">
        <f t="shared" si="21"/>
        <v>2058</v>
      </c>
      <c r="B52" s="4">
        <f t="shared" si="10"/>
        <v>39</v>
      </c>
      <c r="C52" s="63">
        <f t="shared" si="11"/>
        <v>0</v>
      </c>
      <c r="D52" s="64"/>
      <c r="E52" s="65">
        <f t="shared" si="12"/>
        <v>0</v>
      </c>
      <c r="F52" s="28">
        <f t="shared" si="13"/>
        <v>1260</v>
      </c>
      <c r="G52" s="27">
        <f t="shared" si="27"/>
        <v>1575</v>
      </c>
      <c r="H52" s="29">
        <f t="shared" si="7"/>
        <v>1890</v>
      </c>
      <c r="I52" s="30">
        <f t="shared" si="14"/>
        <v>1260</v>
      </c>
      <c r="J52" s="84">
        <f t="shared" si="14"/>
        <v>1575</v>
      </c>
      <c r="K52" s="31">
        <f t="shared" si="14"/>
        <v>1890</v>
      </c>
      <c r="L52" s="68">
        <f t="shared" si="28"/>
        <v>44</v>
      </c>
      <c r="M52" s="68">
        <f t="shared" si="28"/>
        <v>56.489999999999995</v>
      </c>
      <c r="N52" s="68">
        <f t="shared" si="28"/>
        <v>40</v>
      </c>
      <c r="O52" s="68">
        <f t="shared" si="28"/>
        <v>20</v>
      </c>
      <c r="P52" s="68">
        <f t="shared" si="22"/>
        <v>0</v>
      </c>
      <c r="Q52" s="66">
        <f t="shared" si="15"/>
        <v>152.46549999999999</v>
      </c>
      <c r="R52" s="70">
        <f t="shared" si="8"/>
        <v>160.49</v>
      </c>
      <c r="S52" s="67">
        <f t="shared" si="9"/>
        <v>168.51450000000003</v>
      </c>
      <c r="T52" s="66">
        <f t="shared" si="23"/>
        <v>1412.4655</v>
      </c>
      <c r="U52" s="89">
        <f t="shared" si="16"/>
        <v>1735.49</v>
      </c>
      <c r="V52" s="67">
        <f t="shared" si="16"/>
        <v>2058.5145000000002</v>
      </c>
      <c r="W52" s="7">
        <f t="shared" si="17"/>
        <v>0.25750266898522534</v>
      </c>
      <c r="X52" s="66">
        <f t="shared" si="18"/>
        <v>363.7136360995508</v>
      </c>
      <c r="Y52" s="89">
        <f t="shared" si="19"/>
        <v>446.89330699716874</v>
      </c>
      <c r="Z52" s="67">
        <f t="shared" si="20"/>
        <v>530.07297789478673</v>
      </c>
      <c r="AA52" s="14"/>
    </row>
    <row r="53" spans="1:27">
      <c r="A53" s="4">
        <f t="shared" si="21"/>
        <v>2059</v>
      </c>
      <c r="B53" s="4">
        <f t="shared" si="10"/>
        <v>40</v>
      </c>
      <c r="C53" s="63">
        <f t="shared" si="11"/>
        <v>0</v>
      </c>
      <c r="D53" s="64"/>
      <c r="E53" s="65">
        <f t="shared" si="12"/>
        <v>0</v>
      </c>
      <c r="F53" s="28">
        <f t="shared" si="13"/>
        <v>1260</v>
      </c>
      <c r="G53" s="27">
        <f t="shared" si="27"/>
        <v>1575</v>
      </c>
      <c r="H53" s="29">
        <f t="shared" si="7"/>
        <v>1890</v>
      </c>
      <c r="I53" s="30">
        <f t="shared" si="14"/>
        <v>1260</v>
      </c>
      <c r="J53" s="84">
        <f t="shared" si="14"/>
        <v>1575</v>
      </c>
      <c r="K53" s="31">
        <f t="shared" si="14"/>
        <v>1890</v>
      </c>
      <c r="L53" s="68">
        <f t="shared" si="28"/>
        <v>44</v>
      </c>
      <c r="M53" s="68">
        <f t="shared" si="28"/>
        <v>56.489999999999995</v>
      </c>
      <c r="N53" s="68">
        <f t="shared" si="28"/>
        <v>40</v>
      </c>
      <c r="O53" s="68">
        <f t="shared" si="28"/>
        <v>20</v>
      </c>
      <c r="P53" s="68">
        <f t="shared" si="22"/>
        <v>0</v>
      </c>
      <c r="Q53" s="66">
        <f t="shared" si="15"/>
        <v>152.46549999999999</v>
      </c>
      <c r="R53" s="70">
        <f t="shared" si="8"/>
        <v>160.49</v>
      </c>
      <c r="S53" s="67">
        <f t="shared" si="9"/>
        <v>168.51450000000003</v>
      </c>
      <c r="T53" s="66">
        <f t="shared" si="23"/>
        <v>1412.4655</v>
      </c>
      <c r="U53" s="89">
        <f t="shared" si="16"/>
        <v>1735.49</v>
      </c>
      <c r="V53" s="67">
        <f t="shared" si="16"/>
        <v>2058.5145000000002</v>
      </c>
      <c r="W53" s="7">
        <f t="shared" si="17"/>
        <v>0.24869873380840765</v>
      </c>
      <c r="X53" s="66">
        <f t="shared" si="18"/>
        <v>351.27838139805942</v>
      </c>
      <c r="Y53" s="89">
        <f t="shared" si="19"/>
        <v>431.61416553715338</v>
      </c>
      <c r="Z53" s="67">
        <f t="shared" si="20"/>
        <v>511.94994967624746</v>
      </c>
      <c r="AA53" s="14"/>
    </row>
    <row r="54" spans="1:27">
      <c r="A54" s="4">
        <f t="shared" si="21"/>
        <v>2060</v>
      </c>
      <c r="B54" s="4">
        <f t="shared" si="10"/>
        <v>41</v>
      </c>
      <c r="C54" s="63">
        <f t="shared" si="11"/>
        <v>0</v>
      </c>
      <c r="D54" s="64"/>
      <c r="E54" s="65">
        <f t="shared" si="12"/>
        <v>0</v>
      </c>
      <c r="F54" s="28">
        <f t="shared" si="13"/>
        <v>1260</v>
      </c>
      <c r="G54" s="27">
        <f t="shared" si="27"/>
        <v>1575</v>
      </c>
      <c r="H54" s="29">
        <f t="shared" si="7"/>
        <v>1890</v>
      </c>
      <c r="I54" s="30">
        <f t="shared" si="14"/>
        <v>1260</v>
      </c>
      <c r="J54" s="84">
        <f t="shared" si="14"/>
        <v>1575</v>
      </c>
      <c r="K54" s="31">
        <f t="shared" si="14"/>
        <v>1890</v>
      </c>
      <c r="L54" s="68">
        <f t="shared" si="28"/>
        <v>44</v>
      </c>
      <c r="M54" s="68">
        <f t="shared" si="28"/>
        <v>56.489999999999995</v>
      </c>
      <c r="N54" s="68">
        <f t="shared" si="28"/>
        <v>40</v>
      </c>
      <c r="O54" s="68">
        <f t="shared" si="28"/>
        <v>20</v>
      </c>
      <c r="P54" s="68">
        <f t="shared" si="22"/>
        <v>0</v>
      </c>
      <c r="Q54" s="66">
        <f t="shared" si="15"/>
        <v>152.46549999999999</v>
      </c>
      <c r="R54" s="70">
        <f t="shared" si="8"/>
        <v>160.49</v>
      </c>
      <c r="S54" s="67">
        <f t="shared" si="9"/>
        <v>168.51450000000003</v>
      </c>
      <c r="T54" s="66">
        <f t="shared" si="23"/>
        <v>1412.4655</v>
      </c>
      <c r="U54" s="89">
        <f t="shared" si="16"/>
        <v>1735.49</v>
      </c>
      <c r="V54" s="67">
        <f t="shared" si="16"/>
        <v>2058.5145000000002</v>
      </c>
      <c r="W54" s="7">
        <f t="shared" si="17"/>
        <v>0.24019580240332974</v>
      </c>
      <c r="X54" s="66">
        <f t="shared" si="18"/>
        <v>339.26828413952035</v>
      </c>
      <c r="Y54" s="89">
        <f t="shared" si="19"/>
        <v>416.85741311295476</v>
      </c>
      <c r="Z54" s="67">
        <f t="shared" si="20"/>
        <v>494.44654208638917</v>
      </c>
      <c r="AA54" s="14"/>
    </row>
    <row r="55" spans="1:27">
      <c r="A55" s="4">
        <f t="shared" si="21"/>
        <v>2061</v>
      </c>
      <c r="B55" s="4">
        <f t="shared" si="10"/>
        <v>42</v>
      </c>
      <c r="C55" s="63">
        <f t="shared" si="11"/>
        <v>0</v>
      </c>
      <c r="D55" s="64"/>
      <c r="E55" s="65">
        <f t="shared" si="12"/>
        <v>0</v>
      </c>
      <c r="F55" s="28">
        <f t="shared" si="13"/>
        <v>1260</v>
      </c>
      <c r="G55" s="27">
        <f t="shared" si="27"/>
        <v>1575</v>
      </c>
      <c r="H55" s="29">
        <f t="shared" si="7"/>
        <v>1890</v>
      </c>
      <c r="I55" s="30">
        <f t="shared" si="14"/>
        <v>1260</v>
      </c>
      <c r="J55" s="84">
        <f t="shared" si="14"/>
        <v>1575</v>
      </c>
      <c r="K55" s="31">
        <f t="shared" si="14"/>
        <v>1890</v>
      </c>
      <c r="L55" s="68">
        <f t="shared" si="28"/>
        <v>44</v>
      </c>
      <c r="M55" s="68">
        <f t="shared" si="28"/>
        <v>56.489999999999995</v>
      </c>
      <c r="N55" s="68">
        <f t="shared" si="28"/>
        <v>40</v>
      </c>
      <c r="O55" s="68">
        <f t="shared" si="28"/>
        <v>20</v>
      </c>
      <c r="P55" s="68">
        <f t="shared" si="22"/>
        <v>0</v>
      </c>
      <c r="Q55" s="66">
        <f t="shared" si="15"/>
        <v>152.46549999999999</v>
      </c>
      <c r="R55" s="70">
        <f t="shared" si="8"/>
        <v>160.49</v>
      </c>
      <c r="S55" s="67">
        <f t="shared" si="9"/>
        <v>168.51450000000003</v>
      </c>
      <c r="T55" s="66">
        <f t="shared" si="23"/>
        <v>1412.4655</v>
      </c>
      <c r="U55" s="89">
        <f t="shared" si="16"/>
        <v>1735.49</v>
      </c>
      <c r="V55" s="67">
        <f t="shared" si="16"/>
        <v>2058.5145000000002</v>
      </c>
      <c r="W55" s="7">
        <f t="shared" si="17"/>
        <v>0.23198358354580814</v>
      </c>
      <c r="X55" s="66">
        <f t="shared" si="18"/>
        <v>327.66880832482167</v>
      </c>
      <c r="Y55" s="89">
        <f t="shared" si="19"/>
        <v>402.60518940791457</v>
      </c>
      <c r="Z55" s="67">
        <f t="shared" si="20"/>
        <v>477.54157049100752</v>
      </c>
      <c r="AA55" s="90"/>
    </row>
    <row r="56" spans="1:27">
      <c r="A56" s="4">
        <f t="shared" si="21"/>
        <v>2062</v>
      </c>
      <c r="B56" s="4">
        <f t="shared" si="10"/>
        <v>43</v>
      </c>
      <c r="C56" s="63">
        <f t="shared" si="11"/>
        <v>0</v>
      </c>
      <c r="D56" s="64"/>
      <c r="E56" s="65">
        <f t="shared" si="12"/>
        <v>0</v>
      </c>
      <c r="F56" s="28">
        <f t="shared" si="13"/>
        <v>1260</v>
      </c>
      <c r="G56" s="27">
        <f t="shared" si="27"/>
        <v>1575</v>
      </c>
      <c r="H56" s="29">
        <f t="shared" si="7"/>
        <v>1890</v>
      </c>
      <c r="I56" s="30">
        <f t="shared" si="14"/>
        <v>1260</v>
      </c>
      <c r="J56" s="84">
        <f t="shared" si="14"/>
        <v>1575</v>
      </c>
      <c r="K56" s="31">
        <f t="shared" si="14"/>
        <v>1890</v>
      </c>
      <c r="L56" s="68">
        <f t="shared" si="28"/>
        <v>44</v>
      </c>
      <c r="M56" s="68">
        <f t="shared" si="28"/>
        <v>56.489999999999995</v>
      </c>
      <c r="N56" s="68">
        <f t="shared" si="28"/>
        <v>40</v>
      </c>
      <c r="O56" s="68">
        <f t="shared" si="28"/>
        <v>20</v>
      </c>
      <c r="P56" s="68">
        <f t="shared" si="22"/>
        <v>0</v>
      </c>
      <c r="Q56" s="66">
        <f t="shared" si="15"/>
        <v>152.46549999999999</v>
      </c>
      <c r="R56" s="70">
        <f t="shared" si="8"/>
        <v>160.49</v>
      </c>
      <c r="S56" s="67">
        <f t="shared" si="9"/>
        <v>168.51450000000003</v>
      </c>
      <c r="T56" s="66">
        <f t="shared" si="23"/>
        <v>1412.4655</v>
      </c>
      <c r="U56" s="89">
        <f t="shared" si="16"/>
        <v>1735.49</v>
      </c>
      <c r="V56" s="67">
        <f t="shared" si="16"/>
        <v>2058.5145000000002</v>
      </c>
      <c r="W56" s="7">
        <f t="shared" si="17"/>
        <v>0.2240521378653739</v>
      </c>
      <c r="X56" s="66">
        <f t="shared" si="18"/>
        <v>316.46591493608429</v>
      </c>
      <c r="Y56" s="89">
        <f t="shared" si="19"/>
        <v>388.84024474397773</v>
      </c>
      <c r="Z56" s="67">
        <f t="shared" si="20"/>
        <v>461.21457455187124</v>
      </c>
      <c r="AA56" s="14"/>
    </row>
    <row r="57" spans="1:27">
      <c r="A57" s="4">
        <f t="shared" si="21"/>
        <v>2063</v>
      </c>
      <c r="B57" s="4">
        <f t="shared" si="10"/>
        <v>44</v>
      </c>
      <c r="C57" s="63">
        <f t="shared" si="11"/>
        <v>0</v>
      </c>
      <c r="D57" s="64"/>
      <c r="E57" s="65">
        <f t="shared" si="12"/>
        <v>0</v>
      </c>
      <c r="F57" s="28">
        <f t="shared" si="13"/>
        <v>1260</v>
      </c>
      <c r="G57" s="27">
        <f t="shared" si="27"/>
        <v>1575</v>
      </c>
      <c r="H57" s="29">
        <f t="shared" si="7"/>
        <v>1890</v>
      </c>
      <c r="I57" s="30">
        <f t="shared" si="14"/>
        <v>1260</v>
      </c>
      <c r="J57" s="84">
        <f t="shared" si="14"/>
        <v>1575</v>
      </c>
      <c r="K57" s="31">
        <f t="shared" si="14"/>
        <v>1890</v>
      </c>
      <c r="L57" s="68">
        <f t="shared" si="28"/>
        <v>44</v>
      </c>
      <c r="M57" s="68">
        <f t="shared" si="28"/>
        <v>56.489999999999995</v>
      </c>
      <c r="N57" s="68">
        <f t="shared" si="28"/>
        <v>40</v>
      </c>
      <c r="O57" s="68">
        <f t="shared" si="28"/>
        <v>20</v>
      </c>
      <c r="P57" s="68">
        <f t="shared" si="22"/>
        <v>0</v>
      </c>
      <c r="Q57" s="66">
        <f t="shared" si="15"/>
        <v>152.46549999999999</v>
      </c>
      <c r="R57" s="70">
        <f t="shared" si="8"/>
        <v>160.49</v>
      </c>
      <c r="S57" s="67">
        <f t="shared" si="9"/>
        <v>168.51450000000003</v>
      </c>
      <c r="T57" s="66">
        <f t="shared" si="23"/>
        <v>1412.4655</v>
      </c>
      <c r="U57" s="89">
        <f t="shared" si="16"/>
        <v>1735.49</v>
      </c>
      <c r="V57" s="67">
        <f t="shared" si="16"/>
        <v>2058.5145000000002</v>
      </c>
      <c r="W57" s="7">
        <f t="shared" si="17"/>
        <v>0.21639186581550499</v>
      </c>
      <c r="X57" s="66">
        <f t="shared" si="18"/>
        <v>305.64604494503016</v>
      </c>
      <c r="Y57" s="89">
        <f t="shared" si="19"/>
        <v>375.54591920415078</v>
      </c>
      <c r="Z57" s="67">
        <f t="shared" si="20"/>
        <v>445.4457934632714</v>
      </c>
      <c r="AA57" s="14"/>
    </row>
    <row r="58" spans="1:27">
      <c r="A58" s="4">
        <f t="shared" si="21"/>
        <v>2064</v>
      </c>
      <c r="B58" s="4">
        <f t="shared" si="10"/>
        <v>45</v>
      </c>
      <c r="C58" s="63">
        <f t="shared" si="11"/>
        <v>0</v>
      </c>
      <c r="D58" s="64"/>
      <c r="E58" s="65">
        <f t="shared" si="12"/>
        <v>0</v>
      </c>
      <c r="F58" s="28">
        <f t="shared" si="13"/>
        <v>1260</v>
      </c>
      <c r="G58" s="27">
        <f t="shared" si="27"/>
        <v>1575</v>
      </c>
      <c r="H58" s="29">
        <f t="shared" si="7"/>
        <v>1890</v>
      </c>
      <c r="I58" s="30">
        <f t="shared" si="14"/>
        <v>1260</v>
      </c>
      <c r="J58" s="84">
        <f t="shared" si="14"/>
        <v>1575</v>
      </c>
      <c r="K58" s="31">
        <f t="shared" si="14"/>
        <v>1890</v>
      </c>
      <c r="L58" s="68">
        <f t="shared" si="28"/>
        <v>44</v>
      </c>
      <c r="M58" s="68">
        <f t="shared" si="28"/>
        <v>56.489999999999995</v>
      </c>
      <c r="N58" s="68">
        <f t="shared" si="28"/>
        <v>40</v>
      </c>
      <c r="O58" s="68">
        <f t="shared" si="28"/>
        <v>20</v>
      </c>
      <c r="P58" s="68">
        <f t="shared" si="22"/>
        <v>0</v>
      </c>
      <c r="Q58" s="66">
        <f t="shared" si="15"/>
        <v>152.46549999999999</v>
      </c>
      <c r="R58" s="70">
        <f t="shared" si="8"/>
        <v>160.49</v>
      </c>
      <c r="S58" s="67">
        <f t="shared" si="9"/>
        <v>168.51450000000003</v>
      </c>
      <c r="T58" s="66">
        <f t="shared" si="23"/>
        <v>1412.4655</v>
      </c>
      <c r="U58" s="89">
        <f t="shared" si="16"/>
        <v>1735.49</v>
      </c>
      <c r="V58" s="67">
        <f t="shared" si="16"/>
        <v>2058.5145000000002</v>
      </c>
      <c r="W58" s="7">
        <f t="shared" si="17"/>
        <v>0.20899349605515255</v>
      </c>
      <c r="X58" s="66">
        <f t="shared" si="18"/>
        <v>295.19610290228906</v>
      </c>
      <c r="Y58" s="89">
        <f t="shared" si="19"/>
        <v>362.70612246875669</v>
      </c>
      <c r="Z58" s="67">
        <f t="shared" si="20"/>
        <v>430.21614203522438</v>
      </c>
      <c r="AA58" s="14"/>
    </row>
    <row r="59" spans="1:27">
      <c r="A59" s="4">
        <f t="shared" si="21"/>
        <v>2065</v>
      </c>
      <c r="B59" s="4">
        <f t="shared" si="10"/>
        <v>46</v>
      </c>
      <c r="C59" s="63">
        <f t="shared" si="11"/>
        <v>0</v>
      </c>
      <c r="D59" s="64"/>
      <c r="E59" s="65">
        <f t="shared" si="12"/>
        <v>0</v>
      </c>
      <c r="F59" s="28">
        <f t="shared" si="13"/>
        <v>1260</v>
      </c>
      <c r="G59" s="27">
        <f t="shared" si="27"/>
        <v>1575</v>
      </c>
      <c r="H59" s="29">
        <f t="shared" si="7"/>
        <v>1890</v>
      </c>
      <c r="I59" s="30">
        <f t="shared" si="14"/>
        <v>1260</v>
      </c>
      <c r="J59" s="84">
        <f t="shared" si="14"/>
        <v>1575</v>
      </c>
      <c r="K59" s="31">
        <f t="shared" si="14"/>
        <v>1890</v>
      </c>
      <c r="L59" s="68">
        <f t="shared" si="28"/>
        <v>44</v>
      </c>
      <c r="M59" s="68">
        <f t="shared" si="28"/>
        <v>56.489999999999995</v>
      </c>
      <c r="N59" s="68">
        <f t="shared" si="28"/>
        <v>40</v>
      </c>
      <c r="O59" s="68">
        <f t="shared" si="28"/>
        <v>20</v>
      </c>
      <c r="P59" s="68">
        <f t="shared" si="22"/>
        <v>0</v>
      </c>
      <c r="Q59" s="66">
        <f t="shared" si="15"/>
        <v>152.46549999999999</v>
      </c>
      <c r="R59" s="70">
        <f t="shared" si="8"/>
        <v>160.49</v>
      </c>
      <c r="S59" s="67">
        <f t="shared" si="9"/>
        <v>168.51450000000003</v>
      </c>
      <c r="T59" s="66">
        <f t="shared" si="23"/>
        <v>1412.4655</v>
      </c>
      <c r="U59" s="89">
        <f t="shared" si="16"/>
        <v>1735.49</v>
      </c>
      <c r="V59" s="67">
        <f t="shared" si="16"/>
        <v>2058.5145000000002</v>
      </c>
      <c r="W59" s="7">
        <f t="shared" si="17"/>
        <v>0.20184807422749909</v>
      </c>
      <c r="X59" s="66">
        <f t="shared" si="18"/>
        <v>285.10344108778162</v>
      </c>
      <c r="Y59" s="89">
        <f t="shared" si="19"/>
        <v>350.30531434108241</v>
      </c>
      <c r="Z59" s="67">
        <f t="shared" si="20"/>
        <v>415.5071875943832</v>
      </c>
      <c r="AA59" s="14"/>
    </row>
    <row r="60" spans="1:27">
      <c r="A60" s="4">
        <f t="shared" si="21"/>
        <v>2066</v>
      </c>
      <c r="B60" s="4">
        <f t="shared" si="10"/>
        <v>47</v>
      </c>
      <c r="C60" s="63">
        <f t="shared" si="11"/>
        <v>0</v>
      </c>
      <c r="D60" s="64"/>
      <c r="E60" s="65">
        <f t="shared" si="12"/>
        <v>0</v>
      </c>
      <c r="F60" s="28">
        <f t="shared" si="13"/>
        <v>1260</v>
      </c>
      <c r="G60" s="27">
        <f t="shared" si="27"/>
        <v>1575</v>
      </c>
      <c r="H60" s="29">
        <f t="shared" si="7"/>
        <v>1890</v>
      </c>
      <c r="I60" s="30">
        <f t="shared" si="14"/>
        <v>1260</v>
      </c>
      <c r="J60" s="84">
        <f t="shared" si="14"/>
        <v>1575</v>
      </c>
      <c r="K60" s="31">
        <f t="shared" si="14"/>
        <v>1890</v>
      </c>
      <c r="L60" s="68">
        <f t="shared" si="28"/>
        <v>44</v>
      </c>
      <c r="M60" s="68">
        <f t="shared" si="28"/>
        <v>56.489999999999995</v>
      </c>
      <c r="N60" s="68">
        <f t="shared" si="28"/>
        <v>40</v>
      </c>
      <c r="O60" s="68">
        <f t="shared" si="28"/>
        <v>20</v>
      </c>
      <c r="P60" s="68">
        <f t="shared" si="22"/>
        <v>0</v>
      </c>
      <c r="Q60" s="66">
        <f t="shared" si="15"/>
        <v>152.46549999999999</v>
      </c>
      <c r="R60" s="70">
        <f t="shared" si="8"/>
        <v>160.49</v>
      </c>
      <c r="S60" s="67">
        <f t="shared" si="9"/>
        <v>168.51450000000003</v>
      </c>
      <c r="T60" s="66">
        <f t="shared" si="23"/>
        <v>1412.4655</v>
      </c>
      <c r="U60" s="89">
        <f t="shared" si="16"/>
        <v>1735.49</v>
      </c>
      <c r="V60" s="67">
        <f t="shared" si="16"/>
        <v>2058.5145000000002</v>
      </c>
      <c r="W60" s="7">
        <f t="shared" si="17"/>
        <v>0.19494695212236729</v>
      </c>
      <c r="X60" s="66">
        <f t="shared" si="18"/>
        <v>275.35584420299557</v>
      </c>
      <c r="Y60" s="89">
        <f t="shared" si="19"/>
        <v>338.32848593884722</v>
      </c>
      <c r="Z60" s="67">
        <f t="shared" si="20"/>
        <v>401.30112767469888</v>
      </c>
      <c r="AA60" s="90"/>
    </row>
    <row r="61" spans="1:27">
      <c r="A61" s="4">
        <f t="shared" si="21"/>
        <v>2067</v>
      </c>
      <c r="B61" s="4">
        <f t="shared" si="10"/>
        <v>48</v>
      </c>
      <c r="C61" s="63">
        <f t="shared" si="11"/>
        <v>0</v>
      </c>
      <c r="D61" s="64"/>
      <c r="E61" s="65">
        <f t="shared" si="12"/>
        <v>0</v>
      </c>
      <c r="F61" s="28">
        <f t="shared" si="13"/>
        <v>1260</v>
      </c>
      <c r="G61" s="27">
        <f t="shared" si="27"/>
        <v>1575</v>
      </c>
      <c r="H61" s="29">
        <f t="shared" si="7"/>
        <v>1890</v>
      </c>
      <c r="I61" s="30">
        <f t="shared" si="14"/>
        <v>1260</v>
      </c>
      <c r="J61" s="84">
        <f t="shared" si="14"/>
        <v>1575</v>
      </c>
      <c r="K61" s="31">
        <f t="shared" si="14"/>
        <v>1890</v>
      </c>
      <c r="L61" s="68">
        <f t="shared" si="28"/>
        <v>44</v>
      </c>
      <c r="M61" s="68">
        <f t="shared" si="28"/>
        <v>56.489999999999995</v>
      </c>
      <c r="N61" s="68">
        <f t="shared" si="28"/>
        <v>40</v>
      </c>
      <c r="O61" s="68">
        <f t="shared" si="28"/>
        <v>20</v>
      </c>
      <c r="P61" s="68">
        <f t="shared" si="22"/>
        <v>0</v>
      </c>
      <c r="Q61" s="66">
        <f t="shared" si="15"/>
        <v>152.46549999999999</v>
      </c>
      <c r="R61" s="70">
        <f t="shared" si="8"/>
        <v>160.49</v>
      </c>
      <c r="S61" s="67">
        <f t="shared" si="9"/>
        <v>168.51450000000003</v>
      </c>
      <c r="T61" s="66">
        <f t="shared" si="23"/>
        <v>1412.4655</v>
      </c>
      <c r="U61" s="89">
        <f t="shared" si="16"/>
        <v>1735.49</v>
      </c>
      <c r="V61" s="67">
        <f t="shared" si="16"/>
        <v>2058.5145000000002</v>
      </c>
      <c r="W61" s="7">
        <f t="shared" si="17"/>
        <v>0.18828177720916289</v>
      </c>
      <c r="X61" s="66">
        <f t="shared" si="18"/>
        <v>265.9415145866289</v>
      </c>
      <c r="Y61" s="89">
        <f t="shared" si="19"/>
        <v>326.76114152873009</v>
      </c>
      <c r="Z61" s="67">
        <f t="shared" si="20"/>
        <v>387.5807684708314</v>
      </c>
      <c r="AA61" s="14"/>
    </row>
    <row r="62" spans="1:27">
      <c r="A62" s="4">
        <f t="shared" si="21"/>
        <v>2068</v>
      </c>
      <c r="B62" s="4">
        <f t="shared" si="10"/>
        <v>49</v>
      </c>
      <c r="C62" s="63">
        <f t="shared" si="11"/>
        <v>0</v>
      </c>
      <c r="D62" s="64"/>
      <c r="E62" s="65">
        <f t="shared" si="12"/>
        <v>0</v>
      </c>
      <c r="F62" s="28">
        <f t="shared" si="13"/>
        <v>1260</v>
      </c>
      <c r="G62" s="27">
        <f t="shared" si="27"/>
        <v>1575</v>
      </c>
      <c r="H62" s="29">
        <f t="shared" si="7"/>
        <v>1890</v>
      </c>
      <c r="I62" s="30">
        <f t="shared" si="14"/>
        <v>1260</v>
      </c>
      <c r="J62" s="84">
        <f t="shared" si="14"/>
        <v>1575</v>
      </c>
      <c r="K62" s="31">
        <f t="shared" si="14"/>
        <v>1890</v>
      </c>
      <c r="L62" s="68">
        <f t="shared" si="28"/>
        <v>44</v>
      </c>
      <c r="M62" s="68">
        <f t="shared" si="28"/>
        <v>56.489999999999995</v>
      </c>
      <c r="N62" s="68">
        <f t="shared" si="28"/>
        <v>40</v>
      </c>
      <c r="O62" s="68">
        <f t="shared" si="28"/>
        <v>20</v>
      </c>
      <c r="P62" s="68">
        <f t="shared" si="22"/>
        <v>0</v>
      </c>
      <c r="Q62" s="66">
        <f t="shared" si="15"/>
        <v>152.46549999999999</v>
      </c>
      <c r="R62" s="70">
        <f t="shared" si="8"/>
        <v>160.49</v>
      </c>
      <c r="S62" s="67">
        <f t="shared" si="9"/>
        <v>168.51450000000003</v>
      </c>
      <c r="T62" s="66">
        <f t="shared" si="23"/>
        <v>1412.4655</v>
      </c>
      <c r="U62" s="89">
        <f t="shared" si="16"/>
        <v>1735.49</v>
      </c>
      <c r="V62" s="67">
        <f t="shared" si="16"/>
        <v>2058.5145000000002</v>
      </c>
      <c r="W62" s="7">
        <f t="shared" si="17"/>
        <v>0.1818444825276829</v>
      </c>
      <c r="X62" s="66">
        <f t="shared" si="18"/>
        <v>256.84905793570488</v>
      </c>
      <c r="Y62" s="89">
        <f t="shared" si="19"/>
        <v>315.58928098196839</v>
      </c>
      <c r="Z62" s="67">
        <f t="shared" si="20"/>
        <v>374.32950402823195</v>
      </c>
      <c r="AA62" s="14"/>
    </row>
    <row r="63" spans="1:27">
      <c r="A63" s="4">
        <f t="shared" si="21"/>
        <v>2069</v>
      </c>
      <c r="B63" s="4">
        <f t="shared" si="10"/>
        <v>50</v>
      </c>
      <c r="C63" s="63">
        <f t="shared" si="11"/>
        <v>0</v>
      </c>
      <c r="D63" s="64"/>
      <c r="E63" s="65">
        <f t="shared" si="12"/>
        <v>0</v>
      </c>
      <c r="F63" s="28">
        <f t="shared" si="13"/>
        <v>1260</v>
      </c>
      <c r="G63" s="27">
        <f t="shared" si="27"/>
        <v>1575</v>
      </c>
      <c r="H63" s="29">
        <f t="shared" si="7"/>
        <v>1890</v>
      </c>
      <c r="I63" s="30">
        <f t="shared" si="14"/>
        <v>1260</v>
      </c>
      <c r="J63" s="84">
        <f t="shared" si="14"/>
        <v>1575</v>
      </c>
      <c r="K63" s="31">
        <f t="shared" si="14"/>
        <v>1890</v>
      </c>
      <c r="L63" s="68">
        <f t="shared" si="28"/>
        <v>44</v>
      </c>
      <c r="M63" s="68">
        <f t="shared" si="28"/>
        <v>56.489999999999995</v>
      </c>
      <c r="N63" s="68">
        <f t="shared" si="28"/>
        <v>40</v>
      </c>
      <c r="O63" s="68">
        <f t="shared" si="28"/>
        <v>20</v>
      </c>
      <c r="P63" s="68">
        <f t="shared" si="22"/>
        <v>0</v>
      </c>
      <c r="Q63" s="66">
        <f t="shared" si="15"/>
        <v>152.46549999999999</v>
      </c>
      <c r="R63" s="70">
        <f t="shared" si="8"/>
        <v>160.49</v>
      </c>
      <c r="S63" s="67">
        <f t="shared" si="9"/>
        <v>168.51450000000003</v>
      </c>
      <c r="T63" s="66">
        <f t="shared" si="23"/>
        <v>1412.4655</v>
      </c>
      <c r="U63" s="89">
        <f t="shared" si="16"/>
        <v>1735.49</v>
      </c>
      <c r="V63" s="67">
        <f t="shared" si="16"/>
        <v>2058.5145000000002</v>
      </c>
      <c r="W63" s="7">
        <f t="shared" si="17"/>
        <v>0.17562727692455368</v>
      </c>
      <c r="X63" s="66">
        <f t="shared" si="18"/>
        <v>248.06746951487818</v>
      </c>
      <c r="Y63" s="89">
        <f t="shared" si="19"/>
        <v>304.79938282979367</v>
      </c>
      <c r="Z63" s="67">
        <f t="shared" si="20"/>
        <v>361.53129614470919</v>
      </c>
      <c r="AA63" s="14"/>
    </row>
    <row r="64" spans="1:27">
      <c r="A64" s="4">
        <f t="shared" si="21"/>
        <v>2070</v>
      </c>
      <c r="B64" s="4">
        <f t="shared" si="10"/>
        <v>51</v>
      </c>
      <c r="C64" s="63">
        <f t="shared" si="11"/>
        <v>0</v>
      </c>
      <c r="D64" s="64"/>
      <c r="E64" s="65">
        <f t="shared" si="12"/>
        <v>0</v>
      </c>
      <c r="F64" s="28">
        <f t="shared" si="13"/>
        <v>1260</v>
      </c>
      <c r="G64" s="27">
        <f t="shared" si="27"/>
        <v>1575</v>
      </c>
      <c r="H64" s="29">
        <f t="shared" si="7"/>
        <v>1890</v>
      </c>
      <c r="I64" s="30">
        <f t="shared" si="14"/>
        <v>1260</v>
      </c>
      <c r="J64" s="84">
        <f t="shared" si="14"/>
        <v>1575</v>
      </c>
      <c r="K64" s="31">
        <f t="shared" si="14"/>
        <v>1890</v>
      </c>
      <c r="L64" s="68">
        <f t="shared" ref="L64:O73" si="29">L63</f>
        <v>44</v>
      </c>
      <c r="M64" s="68">
        <f t="shared" si="29"/>
        <v>56.489999999999995</v>
      </c>
      <c r="N64" s="68">
        <f t="shared" si="29"/>
        <v>40</v>
      </c>
      <c r="O64" s="68">
        <f t="shared" si="29"/>
        <v>20</v>
      </c>
      <c r="P64" s="68">
        <f t="shared" si="22"/>
        <v>0</v>
      </c>
      <c r="Q64" s="66">
        <f t="shared" si="15"/>
        <v>152.46549999999999</v>
      </c>
      <c r="R64" s="70">
        <f t="shared" si="8"/>
        <v>160.49</v>
      </c>
      <c r="S64" s="67">
        <f t="shared" si="9"/>
        <v>168.51450000000003</v>
      </c>
      <c r="T64" s="66">
        <f t="shared" si="23"/>
        <v>1412.4655</v>
      </c>
      <c r="U64" s="89">
        <f t="shared" si="16"/>
        <v>1735.49</v>
      </c>
      <c r="V64" s="67">
        <f t="shared" si="16"/>
        <v>2058.5145000000002</v>
      </c>
      <c r="W64" s="7">
        <f t="shared" si="17"/>
        <v>0.16962263562348243</v>
      </c>
      <c r="X64" s="66">
        <f t="shared" si="18"/>
        <v>239.58612083723992</v>
      </c>
      <c r="Y64" s="89">
        <f t="shared" si="19"/>
        <v>294.3783878981975</v>
      </c>
      <c r="Z64" s="67">
        <f t="shared" si="20"/>
        <v>349.17065495915517</v>
      </c>
      <c r="AA64" s="14"/>
    </row>
    <row r="65" spans="1:27">
      <c r="A65" s="4">
        <f t="shared" si="21"/>
        <v>2071</v>
      </c>
      <c r="B65" s="4">
        <f t="shared" si="10"/>
        <v>52</v>
      </c>
      <c r="C65" s="63">
        <f t="shared" si="11"/>
        <v>0</v>
      </c>
      <c r="D65" s="64"/>
      <c r="E65" s="65">
        <f t="shared" si="12"/>
        <v>0</v>
      </c>
      <c r="F65" s="28">
        <f t="shared" si="13"/>
        <v>1260</v>
      </c>
      <c r="G65" s="27">
        <f t="shared" si="27"/>
        <v>1575</v>
      </c>
      <c r="H65" s="29">
        <f t="shared" si="7"/>
        <v>1890</v>
      </c>
      <c r="I65" s="30">
        <f t="shared" si="14"/>
        <v>1260</v>
      </c>
      <c r="J65" s="84">
        <f t="shared" si="14"/>
        <v>1575</v>
      </c>
      <c r="K65" s="31">
        <f t="shared" si="14"/>
        <v>1890</v>
      </c>
      <c r="L65" s="68">
        <f t="shared" si="29"/>
        <v>44</v>
      </c>
      <c r="M65" s="68">
        <f t="shared" si="29"/>
        <v>56.489999999999995</v>
      </c>
      <c r="N65" s="68">
        <f t="shared" si="29"/>
        <v>40</v>
      </c>
      <c r="O65" s="68">
        <f t="shared" si="29"/>
        <v>20</v>
      </c>
      <c r="P65" s="68">
        <f t="shared" si="22"/>
        <v>0</v>
      </c>
      <c r="Q65" s="66">
        <f t="shared" si="15"/>
        <v>152.46549999999999</v>
      </c>
      <c r="R65" s="70">
        <f t="shared" si="8"/>
        <v>160.49</v>
      </c>
      <c r="S65" s="67">
        <f t="shared" si="9"/>
        <v>168.51450000000003</v>
      </c>
      <c r="T65" s="66">
        <f t="shared" si="23"/>
        <v>1412.4655</v>
      </c>
      <c r="U65" s="89">
        <f t="shared" si="16"/>
        <v>1735.49</v>
      </c>
      <c r="V65" s="67">
        <f t="shared" si="16"/>
        <v>2058.5145000000002</v>
      </c>
      <c r="W65" s="7">
        <f t="shared" si="17"/>
        <v>0.16382329111790842</v>
      </c>
      <c r="X65" s="66">
        <f t="shared" si="18"/>
        <v>231.39474680050208</v>
      </c>
      <c r="Y65" s="89">
        <f t="shared" si="19"/>
        <v>284.31368350221885</v>
      </c>
      <c r="Z65" s="67">
        <f t="shared" si="20"/>
        <v>337.23262020393571</v>
      </c>
      <c r="AA65" s="90"/>
    </row>
    <row r="66" spans="1:27">
      <c r="A66" s="4">
        <f t="shared" si="21"/>
        <v>2072</v>
      </c>
      <c r="B66" s="4">
        <f t="shared" si="10"/>
        <v>53</v>
      </c>
      <c r="C66" s="63">
        <f t="shared" si="11"/>
        <v>0</v>
      </c>
      <c r="D66" s="64"/>
      <c r="E66" s="65">
        <f t="shared" si="12"/>
        <v>0</v>
      </c>
      <c r="F66" s="28">
        <f t="shared" si="13"/>
        <v>1260</v>
      </c>
      <c r="G66" s="27">
        <f t="shared" si="27"/>
        <v>1575</v>
      </c>
      <c r="H66" s="29">
        <f t="shared" si="7"/>
        <v>1890</v>
      </c>
      <c r="I66" s="30">
        <f t="shared" si="14"/>
        <v>1260</v>
      </c>
      <c r="J66" s="84">
        <f t="shared" si="14"/>
        <v>1575</v>
      </c>
      <c r="K66" s="31">
        <f t="shared" si="14"/>
        <v>1890</v>
      </c>
      <c r="L66" s="68">
        <f t="shared" si="29"/>
        <v>44</v>
      </c>
      <c r="M66" s="68">
        <f t="shared" si="29"/>
        <v>56.489999999999995</v>
      </c>
      <c r="N66" s="68">
        <f t="shared" si="29"/>
        <v>40</v>
      </c>
      <c r="O66" s="68">
        <f t="shared" si="29"/>
        <v>20</v>
      </c>
      <c r="P66" s="68">
        <f t="shared" si="22"/>
        <v>0</v>
      </c>
      <c r="Q66" s="66">
        <f t="shared" si="15"/>
        <v>152.46549999999999</v>
      </c>
      <c r="R66" s="70">
        <f t="shared" si="8"/>
        <v>160.49</v>
      </c>
      <c r="S66" s="67">
        <f t="shared" si="9"/>
        <v>168.51450000000003</v>
      </c>
      <c r="T66" s="66">
        <f t="shared" si="23"/>
        <v>1412.4655</v>
      </c>
      <c r="U66" s="89">
        <f t="shared" si="16"/>
        <v>1735.49</v>
      </c>
      <c r="V66" s="67">
        <f t="shared" si="16"/>
        <v>2058.5145000000002</v>
      </c>
      <c r="W66" s="7">
        <f t="shared" si="17"/>
        <v>0.15822222437503228</v>
      </c>
      <c r="X66" s="66">
        <f t="shared" si="18"/>
        <v>223.48343326299215</v>
      </c>
      <c r="Y66" s="89">
        <f t="shared" si="19"/>
        <v>274.59308818062476</v>
      </c>
      <c r="Z66" s="67">
        <f t="shared" si="20"/>
        <v>325.70274309825743</v>
      </c>
      <c r="AA66" s="14"/>
    </row>
    <row r="67" spans="1:27">
      <c r="A67" s="4">
        <f t="shared" si="21"/>
        <v>2073</v>
      </c>
      <c r="B67" s="4">
        <f t="shared" si="10"/>
        <v>54</v>
      </c>
      <c r="C67" s="63">
        <f t="shared" si="11"/>
        <v>0</v>
      </c>
      <c r="D67" s="64"/>
      <c r="E67" s="65">
        <f t="shared" si="12"/>
        <v>0</v>
      </c>
      <c r="F67" s="28">
        <f t="shared" si="13"/>
        <v>1260</v>
      </c>
      <c r="G67" s="27">
        <f t="shared" si="27"/>
        <v>1575</v>
      </c>
      <c r="H67" s="29">
        <f t="shared" si="7"/>
        <v>1890</v>
      </c>
      <c r="I67" s="30">
        <f t="shared" si="14"/>
        <v>1260</v>
      </c>
      <c r="J67" s="84">
        <f t="shared" si="14"/>
        <v>1575</v>
      </c>
      <c r="K67" s="31">
        <f t="shared" si="14"/>
        <v>1890</v>
      </c>
      <c r="L67" s="68">
        <f t="shared" si="29"/>
        <v>44</v>
      </c>
      <c r="M67" s="68">
        <f t="shared" si="29"/>
        <v>56.489999999999995</v>
      </c>
      <c r="N67" s="68">
        <f t="shared" si="29"/>
        <v>40</v>
      </c>
      <c r="O67" s="68">
        <f t="shared" si="29"/>
        <v>20</v>
      </c>
      <c r="P67" s="68">
        <f t="shared" si="22"/>
        <v>0</v>
      </c>
      <c r="Q67" s="66">
        <f t="shared" si="15"/>
        <v>152.46549999999999</v>
      </c>
      <c r="R67" s="70">
        <f t="shared" si="8"/>
        <v>160.49</v>
      </c>
      <c r="S67" s="67">
        <f t="shared" si="9"/>
        <v>168.51450000000003</v>
      </c>
      <c r="T67" s="66">
        <f t="shared" si="23"/>
        <v>1412.4655</v>
      </c>
      <c r="U67" s="89">
        <f t="shared" si="16"/>
        <v>1735.49</v>
      </c>
      <c r="V67" s="67">
        <f t="shared" si="16"/>
        <v>2058.5145000000002</v>
      </c>
      <c r="W67" s="7">
        <f t="shared" si="17"/>
        <v>0.15281265634057586</v>
      </c>
      <c r="X67" s="66">
        <f t="shared" si="18"/>
        <v>215.84260504441966</v>
      </c>
      <c r="Y67" s="89">
        <f t="shared" si="19"/>
        <v>265.20483695250601</v>
      </c>
      <c r="Z67" s="67">
        <f t="shared" si="20"/>
        <v>314.56706886059237</v>
      </c>
      <c r="AA67" s="14"/>
    </row>
    <row r="68" spans="1:27">
      <c r="A68" s="4">
        <f t="shared" si="21"/>
        <v>2074</v>
      </c>
      <c r="B68" s="4">
        <f t="shared" si="10"/>
        <v>55</v>
      </c>
      <c r="C68" s="63">
        <f t="shared" si="11"/>
        <v>0</v>
      </c>
      <c r="D68" s="64"/>
      <c r="E68" s="65">
        <f t="shared" si="12"/>
        <v>0</v>
      </c>
      <c r="F68" s="28">
        <f t="shared" si="13"/>
        <v>1260</v>
      </c>
      <c r="G68" s="27">
        <f t="shared" si="27"/>
        <v>1575</v>
      </c>
      <c r="H68" s="29">
        <f t="shared" si="7"/>
        <v>1890</v>
      </c>
      <c r="I68" s="30">
        <f t="shared" si="14"/>
        <v>1260</v>
      </c>
      <c r="J68" s="84">
        <f t="shared" si="14"/>
        <v>1575</v>
      </c>
      <c r="K68" s="31">
        <f t="shared" si="14"/>
        <v>1890</v>
      </c>
      <c r="L68" s="68">
        <f t="shared" si="29"/>
        <v>44</v>
      </c>
      <c r="M68" s="68">
        <f t="shared" si="29"/>
        <v>56.489999999999995</v>
      </c>
      <c r="N68" s="68">
        <f t="shared" si="29"/>
        <v>40</v>
      </c>
      <c r="O68" s="68">
        <f t="shared" si="29"/>
        <v>20</v>
      </c>
      <c r="P68" s="68">
        <f t="shared" si="22"/>
        <v>0</v>
      </c>
      <c r="Q68" s="66">
        <f t="shared" si="15"/>
        <v>152.46549999999999</v>
      </c>
      <c r="R68" s="70">
        <f t="shared" si="8"/>
        <v>160.49</v>
      </c>
      <c r="S68" s="67">
        <f t="shared" si="9"/>
        <v>168.51450000000003</v>
      </c>
      <c r="T68" s="66">
        <f t="shared" si="23"/>
        <v>1412.4655</v>
      </c>
      <c r="U68" s="89">
        <f t="shared" si="16"/>
        <v>1735.49</v>
      </c>
      <c r="V68" s="67">
        <f t="shared" si="16"/>
        <v>2058.5145000000002</v>
      </c>
      <c r="W68" s="7">
        <f t="shared" si="17"/>
        <v>0.14758803973399254</v>
      </c>
      <c r="X68" s="66">
        <f t="shared" si="18"/>
        <v>208.46301433689365</v>
      </c>
      <c r="Y68" s="89">
        <f t="shared" si="19"/>
        <v>256.1375670779467</v>
      </c>
      <c r="Z68" s="67">
        <f t="shared" si="20"/>
        <v>303.8121198189998</v>
      </c>
      <c r="AA68" s="14"/>
    </row>
    <row r="69" spans="1:27">
      <c r="A69" s="4">
        <f t="shared" si="21"/>
        <v>2075</v>
      </c>
      <c r="B69" s="4">
        <f t="shared" si="10"/>
        <v>56</v>
      </c>
      <c r="C69" s="63">
        <f t="shared" si="11"/>
        <v>0</v>
      </c>
      <c r="D69" s="64"/>
      <c r="E69" s="65">
        <f t="shared" si="12"/>
        <v>0</v>
      </c>
      <c r="F69" s="28">
        <f t="shared" si="13"/>
        <v>1260</v>
      </c>
      <c r="G69" s="27">
        <f t="shared" si="27"/>
        <v>1575</v>
      </c>
      <c r="H69" s="29">
        <f t="shared" si="7"/>
        <v>1890</v>
      </c>
      <c r="I69" s="30">
        <f t="shared" si="14"/>
        <v>1260</v>
      </c>
      <c r="J69" s="84">
        <f t="shared" si="14"/>
        <v>1575</v>
      </c>
      <c r="K69" s="31">
        <f t="shared" si="14"/>
        <v>1890</v>
      </c>
      <c r="L69" s="68">
        <f t="shared" si="29"/>
        <v>44</v>
      </c>
      <c r="M69" s="68">
        <f t="shared" si="29"/>
        <v>56.489999999999995</v>
      </c>
      <c r="N69" s="68">
        <f t="shared" si="29"/>
        <v>40</v>
      </c>
      <c r="O69" s="68">
        <f t="shared" si="29"/>
        <v>20</v>
      </c>
      <c r="P69" s="68">
        <f t="shared" si="22"/>
        <v>0</v>
      </c>
      <c r="Q69" s="66">
        <f t="shared" si="15"/>
        <v>152.46549999999999</v>
      </c>
      <c r="R69" s="70">
        <f t="shared" si="8"/>
        <v>160.49</v>
      </c>
      <c r="S69" s="67">
        <f t="shared" si="9"/>
        <v>168.51450000000003</v>
      </c>
      <c r="T69" s="66">
        <f t="shared" si="23"/>
        <v>1412.4655</v>
      </c>
      <c r="U69" s="89">
        <f t="shared" si="16"/>
        <v>1735.49</v>
      </c>
      <c r="V69" s="67">
        <f t="shared" si="16"/>
        <v>2058.5145000000002</v>
      </c>
      <c r="W69" s="7">
        <f t="shared" si="17"/>
        <v>0.14254205112419596</v>
      </c>
      <c r="X69" s="66">
        <f t="shared" si="18"/>
        <v>201.33572951216303</v>
      </c>
      <c r="Y69" s="89">
        <f t="shared" si="19"/>
        <v>247.38030430553084</v>
      </c>
      <c r="Z69" s="67">
        <f t="shared" si="20"/>
        <v>293.42487909889871</v>
      </c>
      <c r="AA69" s="14"/>
    </row>
    <row r="70" spans="1:27">
      <c r="A70" s="4">
        <f t="shared" si="21"/>
        <v>2076</v>
      </c>
      <c r="B70" s="4">
        <f t="shared" si="10"/>
        <v>57</v>
      </c>
      <c r="C70" s="63">
        <f t="shared" si="11"/>
        <v>0</v>
      </c>
      <c r="D70" s="64"/>
      <c r="E70" s="65">
        <f t="shared" si="12"/>
        <v>0</v>
      </c>
      <c r="F70" s="28">
        <f t="shared" si="13"/>
        <v>1260</v>
      </c>
      <c r="G70" s="27">
        <f t="shared" si="27"/>
        <v>1575</v>
      </c>
      <c r="H70" s="29">
        <f t="shared" si="7"/>
        <v>1890</v>
      </c>
      <c r="I70" s="30">
        <f t="shared" si="14"/>
        <v>1260</v>
      </c>
      <c r="J70" s="84">
        <f t="shared" si="14"/>
        <v>1575</v>
      </c>
      <c r="K70" s="31">
        <f t="shared" si="14"/>
        <v>1890</v>
      </c>
      <c r="L70" s="68">
        <f t="shared" si="29"/>
        <v>44</v>
      </c>
      <c r="M70" s="68">
        <f t="shared" si="29"/>
        <v>56.489999999999995</v>
      </c>
      <c r="N70" s="68">
        <f t="shared" si="29"/>
        <v>40</v>
      </c>
      <c r="O70" s="68">
        <f t="shared" si="29"/>
        <v>20</v>
      </c>
      <c r="P70" s="68">
        <f t="shared" si="22"/>
        <v>0</v>
      </c>
      <c r="Q70" s="66">
        <f t="shared" si="15"/>
        <v>152.46549999999999</v>
      </c>
      <c r="R70" s="70">
        <f t="shared" si="8"/>
        <v>160.49</v>
      </c>
      <c r="S70" s="67">
        <f t="shared" si="9"/>
        <v>168.51450000000003</v>
      </c>
      <c r="T70" s="66">
        <f t="shared" si="23"/>
        <v>1412.4655</v>
      </c>
      <c r="U70" s="89">
        <f t="shared" si="16"/>
        <v>1735.49</v>
      </c>
      <c r="V70" s="67">
        <f t="shared" si="16"/>
        <v>2058.5145000000002</v>
      </c>
      <c r="W70" s="7">
        <f t="shared" si="17"/>
        <v>0.13766858327621784</v>
      </c>
      <c r="X70" s="66">
        <f t="shared" si="18"/>
        <v>194.45212431153467</v>
      </c>
      <c r="Y70" s="89">
        <f t="shared" si="19"/>
        <v>238.9224495900433</v>
      </c>
      <c r="Z70" s="67">
        <f t="shared" si="20"/>
        <v>283.39277486855195</v>
      </c>
      <c r="AA70" s="90"/>
    </row>
    <row r="71" spans="1:27">
      <c r="A71" s="4">
        <f t="shared" si="21"/>
        <v>2077</v>
      </c>
      <c r="B71" s="4">
        <f t="shared" si="10"/>
        <v>58</v>
      </c>
      <c r="C71" s="63">
        <f t="shared" si="11"/>
        <v>0</v>
      </c>
      <c r="D71" s="64"/>
      <c r="E71" s="65">
        <f t="shared" si="12"/>
        <v>0</v>
      </c>
      <c r="F71" s="28">
        <f t="shared" si="13"/>
        <v>1260</v>
      </c>
      <c r="G71" s="27">
        <f t="shared" si="27"/>
        <v>1575</v>
      </c>
      <c r="H71" s="29">
        <f t="shared" si="7"/>
        <v>1890</v>
      </c>
      <c r="I71" s="30">
        <f t="shared" si="14"/>
        <v>1260</v>
      </c>
      <c r="J71" s="84">
        <f t="shared" si="14"/>
        <v>1575</v>
      </c>
      <c r="K71" s="31">
        <f t="shared" si="14"/>
        <v>1890</v>
      </c>
      <c r="L71" s="68">
        <f t="shared" si="29"/>
        <v>44</v>
      </c>
      <c r="M71" s="68">
        <f t="shared" si="29"/>
        <v>56.489999999999995</v>
      </c>
      <c r="N71" s="68">
        <f t="shared" si="29"/>
        <v>40</v>
      </c>
      <c r="O71" s="68">
        <f t="shared" si="29"/>
        <v>20</v>
      </c>
      <c r="P71" s="68">
        <f t="shared" si="22"/>
        <v>0</v>
      </c>
      <c r="Q71" s="66">
        <f t="shared" si="15"/>
        <v>152.46549999999999</v>
      </c>
      <c r="R71" s="70">
        <f t="shared" si="8"/>
        <v>160.49</v>
      </c>
      <c r="S71" s="67">
        <f t="shared" si="9"/>
        <v>168.51450000000003</v>
      </c>
      <c r="T71" s="66">
        <f t="shared" si="23"/>
        <v>1412.4655</v>
      </c>
      <c r="U71" s="89">
        <f t="shared" si="16"/>
        <v>1735.49</v>
      </c>
      <c r="V71" s="67">
        <f t="shared" si="16"/>
        <v>2058.5145000000002</v>
      </c>
      <c r="W71" s="7">
        <f t="shared" si="17"/>
        <v>0.13296173775953046</v>
      </c>
      <c r="X71" s="66">
        <f t="shared" si="18"/>
        <v>187.80386740538407</v>
      </c>
      <c r="Y71" s="89">
        <f t="shared" si="19"/>
        <v>230.75376626428752</v>
      </c>
      <c r="Z71" s="67">
        <f t="shared" si="20"/>
        <v>273.703665123191</v>
      </c>
      <c r="AA71" s="14"/>
    </row>
    <row r="72" spans="1:27">
      <c r="A72" s="4">
        <f t="shared" si="21"/>
        <v>2078</v>
      </c>
      <c r="B72" s="4">
        <f t="shared" si="10"/>
        <v>59</v>
      </c>
      <c r="C72" s="63">
        <f t="shared" si="11"/>
        <v>0</v>
      </c>
      <c r="D72" s="64"/>
      <c r="E72" s="65">
        <f t="shared" si="12"/>
        <v>0</v>
      </c>
      <c r="F72" s="28">
        <f t="shared" si="13"/>
        <v>1260</v>
      </c>
      <c r="G72" s="27">
        <f t="shared" si="27"/>
        <v>1575</v>
      </c>
      <c r="H72" s="29">
        <f t="shared" si="7"/>
        <v>1890</v>
      </c>
      <c r="I72" s="30">
        <f t="shared" si="14"/>
        <v>1260</v>
      </c>
      <c r="J72" s="84">
        <f t="shared" si="14"/>
        <v>1575</v>
      </c>
      <c r="K72" s="31">
        <f t="shared" si="14"/>
        <v>1890</v>
      </c>
      <c r="L72" s="68">
        <f>L71</f>
        <v>44</v>
      </c>
      <c r="M72" s="68">
        <f t="shared" si="29"/>
        <v>56.489999999999995</v>
      </c>
      <c r="N72" s="68">
        <f t="shared" si="29"/>
        <v>40</v>
      </c>
      <c r="O72" s="68">
        <f t="shared" si="29"/>
        <v>20</v>
      </c>
      <c r="P72" s="68">
        <f t="shared" si="22"/>
        <v>0</v>
      </c>
      <c r="Q72" s="66">
        <f t="shared" si="15"/>
        <v>152.46549999999999</v>
      </c>
      <c r="R72" s="70">
        <f t="shared" si="8"/>
        <v>160.49</v>
      </c>
      <c r="S72" s="67">
        <f t="shared" si="9"/>
        <v>168.51450000000003</v>
      </c>
      <c r="T72" s="66">
        <f t="shared" si="23"/>
        <v>1412.4655</v>
      </c>
      <c r="U72" s="89">
        <f t="shared" si="16"/>
        <v>1735.49</v>
      </c>
      <c r="V72" s="67">
        <f t="shared" si="16"/>
        <v>2058.5145000000002</v>
      </c>
      <c r="W72" s="7">
        <f t="shared" si="17"/>
        <v>0.12841581780908873</v>
      </c>
      <c r="X72" s="66">
        <f t="shared" si="18"/>
        <v>181.38291230962341</v>
      </c>
      <c r="Y72" s="89">
        <f t="shared" si="19"/>
        <v>222.86436764949539</v>
      </c>
      <c r="Z72" s="67">
        <f t="shared" si="20"/>
        <v>264.34582298936743</v>
      </c>
      <c r="AA72" s="90"/>
    </row>
    <row r="73" spans="1:27">
      <c r="A73" s="26">
        <f t="shared" si="21"/>
        <v>2079</v>
      </c>
      <c r="B73" s="26">
        <f t="shared" si="10"/>
        <v>60</v>
      </c>
      <c r="C73" s="63">
        <f t="shared" si="11"/>
        <v>0</v>
      </c>
      <c r="D73" s="72"/>
      <c r="E73" s="65">
        <f t="shared" si="12"/>
        <v>0</v>
      </c>
      <c r="F73" s="28">
        <f t="shared" si="13"/>
        <v>1260</v>
      </c>
      <c r="G73" s="27">
        <f t="shared" si="27"/>
        <v>1575</v>
      </c>
      <c r="H73" s="29">
        <f t="shared" si="7"/>
        <v>1890</v>
      </c>
      <c r="I73" s="36">
        <f t="shared" si="14"/>
        <v>1260</v>
      </c>
      <c r="J73" s="85">
        <f t="shared" si="14"/>
        <v>1575</v>
      </c>
      <c r="K73" s="38">
        <f t="shared" si="14"/>
        <v>1890</v>
      </c>
      <c r="L73" s="68">
        <f t="shared" si="29"/>
        <v>44</v>
      </c>
      <c r="M73" s="68">
        <f t="shared" si="29"/>
        <v>56.489999999999995</v>
      </c>
      <c r="N73" s="68">
        <f t="shared" si="29"/>
        <v>40</v>
      </c>
      <c r="O73" s="68">
        <f t="shared" si="29"/>
        <v>20</v>
      </c>
      <c r="P73" s="68">
        <f t="shared" si="22"/>
        <v>0</v>
      </c>
      <c r="Q73" s="66">
        <f t="shared" si="15"/>
        <v>152.46549999999999</v>
      </c>
      <c r="R73" s="70">
        <f t="shared" si="8"/>
        <v>160.49</v>
      </c>
      <c r="S73" s="67">
        <f t="shared" si="9"/>
        <v>168.51450000000003</v>
      </c>
      <c r="T73" s="66">
        <f t="shared" si="23"/>
        <v>1412.4655</v>
      </c>
      <c r="U73" s="89">
        <f t="shared" si="16"/>
        <v>1735.49</v>
      </c>
      <c r="V73" s="67">
        <f t="shared" si="16"/>
        <v>2058.5145000000002</v>
      </c>
      <c r="W73" s="7">
        <f t="shared" si="17"/>
        <v>0.12402532143045074</v>
      </c>
      <c r="X73" s="73">
        <f t="shared" si="18"/>
        <v>175.18148764692231</v>
      </c>
      <c r="Y73" s="91">
        <f t="shared" si="19"/>
        <v>215.24470508933294</v>
      </c>
      <c r="Z73" s="74">
        <f t="shared" si="20"/>
        <v>255.30792253174363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25650</v>
      </c>
      <c r="D74" s="75">
        <f t="shared" si="30"/>
        <v>28500</v>
      </c>
      <c r="E74" s="93">
        <f t="shared" si="30"/>
        <v>42750</v>
      </c>
      <c r="F74" s="92">
        <f t="shared" si="30"/>
        <v>75380</v>
      </c>
      <c r="G74" s="75">
        <f t="shared" si="30"/>
        <v>94225</v>
      </c>
      <c r="H74" s="76">
        <f t="shared" si="30"/>
        <v>113070</v>
      </c>
      <c r="I74" s="77">
        <f t="shared" si="30"/>
        <v>101030</v>
      </c>
      <c r="J74" s="78">
        <f t="shared" si="30"/>
        <v>122725</v>
      </c>
      <c r="K74" s="79">
        <f t="shared" si="30"/>
        <v>155820</v>
      </c>
      <c r="L74" s="80">
        <f t="shared" si="30"/>
        <v>2676</v>
      </c>
      <c r="M74" s="80">
        <f t="shared" si="30"/>
        <v>3412.9099999999949</v>
      </c>
      <c r="N74" s="80">
        <f t="shared" si="30"/>
        <v>2440</v>
      </c>
      <c r="O74" s="80">
        <f t="shared" si="30"/>
        <v>1230</v>
      </c>
      <c r="P74" s="80">
        <f t="shared" si="30"/>
        <v>0</v>
      </c>
      <c r="Q74" s="77">
        <f t="shared" si="30"/>
        <v>9270.9645000000055</v>
      </c>
      <c r="R74" s="78">
        <f t="shared" si="30"/>
        <v>9758.9099999999908</v>
      </c>
      <c r="S74" s="79">
        <f t="shared" si="30"/>
        <v>10246.8555</v>
      </c>
      <c r="T74" s="77">
        <f>SUM(T13:T73)</f>
        <v>110300.96450000013</v>
      </c>
      <c r="U74" s="78">
        <f>SUM(U13:U73)</f>
        <v>132483.91000000015</v>
      </c>
      <c r="V74" s="79">
        <f>SUM(V13:V73)</f>
        <v>166066.85549999995</v>
      </c>
      <c r="W74" s="81"/>
      <c r="X74" s="77">
        <f>SUM(X13:X73)</f>
        <v>59229.907207884302</v>
      </c>
      <c r="Y74" s="78">
        <f t="shared" ref="Y74:Z74" si="31">SUM(Y13:Y73)</f>
        <v>69886.495676735198</v>
      </c>
      <c r="Z74" s="79">
        <f t="shared" si="31"/>
        <v>91365.103456643337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3">
    <mergeCell ref="W1:Y1"/>
    <mergeCell ref="A74:B74"/>
    <mergeCell ref="A4:C4"/>
    <mergeCell ref="A6:B6"/>
    <mergeCell ref="A7:B7"/>
    <mergeCell ref="A8:B8"/>
    <mergeCell ref="A11:B11"/>
    <mergeCell ref="A12:B12"/>
    <mergeCell ref="A3:B3"/>
    <mergeCell ref="A1:B1"/>
    <mergeCell ref="C1:K1"/>
    <mergeCell ref="O1:Q1"/>
    <mergeCell ref="S1:U1"/>
  </mergeCells>
  <pageMargins left="0.75" right="0.75" top="1" bottom="1" header="0.5" footer="0.5"/>
  <pageSetup paperSize="9" scale="24" orientation="portrait" r:id="rId1"/>
  <headerFooter alignWithMargins="0">
    <oddFooter>&amp;L&amp;1#&amp;"Arial"&amp;11&amp;K000000SW Internal Personal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0" zoomScaleNormal="80" workbookViewId="0">
      <pane xSplit="2" ySplit="12" topLeftCell="C13" activePane="bottomRight" state="frozen"/>
      <selection pane="topRight" activeCell="O65" sqref="O65"/>
      <selection pane="bottomLeft" activeCell="O65" sqref="O65"/>
      <selection pane="bottomRight" activeCell="M15" sqref="M15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202" t="s">
        <v>109</v>
      </c>
      <c r="D2" s="203"/>
      <c r="E2" s="203"/>
      <c r="F2" s="203"/>
      <c r="G2" s="203"/>
      <c r="H2" s="203"/>
      <c r="I2" s="203"/>
      <c r="J2" s="203"/>
      <c r="K2" s="204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10146.254868293137</v>
      </c>
      <c r="U3" s="97">
        <v>0</v>
      </c>
      <c r="W3" s="105">
        <v>0.56000000000000005</v>
      </c>
      <c r="X3" s="97">
        <f t="shared" ref="X3:X8" si="0">W3*$X$9</f>
        <v>11051.6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79922.530361667377</v>
      </c>
      <c r="E4" s="57">
        <f>Y74</f>
        <v>93090.789488694834</v>
      </c>
      <c r="F4" s="58">
        <f>Z74</f>
        <v>106259.04861572219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2029.2509736586276</v>
      </c>
      <c r="U4" s="97">
        <f>(T4/N4)</f>
        <v>81.170038946345102</v>
      </c>
      <c r="W4" s="105">
        <v>0.27</v>
      </c>
      <c r="X4" s="97">
        <f t="shared" si="0"/>
        <v>5328.4500000000007</v>
      </c>
      <c r="Y4" s="97">
        <f>(X4/N4)</f>
        <v>213.13800000000003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1884.304475540154</v>
      </c>
      <c r="U5" s="97">
        <f t="shared" ref="U5:U8" si="1">(T5/N5)</f>
        <v>75.372179021606158</v>
      </c>
      <c r="W5" s="105">
        <v>0.08</v>
      </c>
      <c r="X5" s="97">
        <f t="shared" si="0"/>
        <v>1578.8</v>
      </c>
      <c r="Y5" s="97">
        <f>(X5/N5)</f>
        <v>63.152000000000001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35594.684830662605</v>
      </c>
      <c r="J6" s="84">
        <f t="shared" ref="J6:K6" si="3">SUM(J13:J17)</f>
        <v>40214.649811847339</v>
      </c>
      <c r="K6" s="31">
        <f t="shared" si="3"/>
        <v>44834.614793032073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434.83949435542019</v>
      </c>
      <c r="U6" s="97">
        <f t="shared" si="1"/>
        <v>43.483949435542016</v>
      </c>
      <c r="W6" s="105">
        <v>0.05</v>
      </c>
      <c r="X6" s="97">
        <f t="shared" si="0"/>
        <v>986.75</v>
      </c>
      <c r="Y6" s="97">
        <f>(X6/N6)</f>
        <v>98.674999999999997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30806.684830662605</v>
      </c>
      <c r="D7" s="60">
        <f t="shared" ref="D7:E7" si="4">SUM(D13:D73)</f>
        <v>34229.649811847339</v>
      </c>
      <c r="E7" s="61">
        <f t="shared" si="4"/>
        <v>37652.614793032073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789.4</v>
      </c>
      <c r="Y7" s="97">
        <f>(X7/N7)</f>
        <v>7.8939999999999996E-2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93867.646696139738</v>
      </c>
      <c r="G8" s="59">
        <f t="shared" ref="G8:H8" si="5">SUM(G13:G73)</f>
        <v>117334.55837017467</v>
      </c>
      <c r="H8" s="59">
        <f t="shared" si="5"/>
        <v>140801.47004420956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'Option 2b'!T9-1000</f>
        <v>14494.649811847339</v>
      </c>
      <c r="U9" s="98">
        <f>SUM(U3:U8)</f>
        <v>200.02616740349328</v>
      </c>
      <c r="V9" s="1"/>
      <c r="W9" s="106">
        <f>SUM(W3:W8)</f>
        <v>1</v>
      </c>
      <c r="X9" s="98">
        <f>'Option 2b'!X9-3000</f>
        <v>19735</v>
      </c>
      <c r="Y9" s="98">
        <f>SUM(Y3:Y8)</f>
        <v>375.04394000000002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15403.342415331303</v>
      </c>
      <c r="D13" s="27">
        <f>(T9+X9)/2</f>
        <v>17114.82490592367</v>
      </c>
      <c r="E13" s="65">
        <f>D13*(1+$E$11)</f>
        <v>18826.307396516037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16027.342415331303</v>
      </c>
      <c r="J13" s="89">
        <f>G13+D13</f>
        <v>17894.82490592367</v>
      </c>
      <c r="K13" s="67">
        <f>H13+E13</f>
        <v>19762.307396516037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16165.092415331303</v>
      </c>
      <c r="U13" s="89">
        <f>R13+J13</f>
        <v>18039.82490592367</v>
      </c>
      <c r="V13" s="67">
        <f>S13+K13</f>
        <v>19914.557396516037</v>
      </c>
      <c r="W13" s="5">
        <v>1</v>
      </c>
      <c r="X13" s="69">
        <f>W13*T13</f>
        <v>16165.092415331303</v>
      </c>
      <c r="Y13" s="89">
        <f>W13*U13</f>
        <v>18039.82490592367</v>
      </c>
      <c r="Z13" s="67">
        <f>W13*V13</f>
        <v>19914.557396516037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15403.342415331303</v>
      </c>
      <c r="D14" s="27">
        <f>D13</f>
        <v>17114.82490592367</v>
      </c>
      <c r="E14" s="65">
        <f t="shared" ref="E14:E73" si="11">D14*(1+$E$11)</f>
        <v>18826.307396516037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16027.342415331303</v>
      </c>
      <c r="J14" s="89">
        <f t="shared" si="13"/>
        <v>17894.82490592367</v>
      </c>
      <c r="K14" s="67">
        <f t="shared" si="13"/>
        <v>19762.307396516037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16165.092415331303</v>
      </c>
      <c r="U14" s="89">
        <f t="shared" ref="U14:V73" si="15">R14+J14</f>
        <v>18039.82490592367</v>
      </c>
      <c r="V14" s="67">
        <f t="shared" si="15"/>
        <v>19914.557396516037</v>
      </c>
      <c r="W14" s="6">
        <f t="shared" ref="W14:W73" si="16">(1/(1+$C$3))^B14</f>
        <v>0.96581031485416258</v>
      </c>
      <c r="X14" s="66">
        <f t="shared" ref="X14:X73" si="17">W14*T14</f>
        <v>15612.41299529776</v>
      </c>
      <c r="Y14" s="89">
        <f t="shared" ref="Y14:Y73" si="18">W14*U14</f>
        <v>17423.048972304103</v>
      </c>
      <c r="Z14" s="67">
        <f t="shared" ref="Z14:Z73" si="19">W14*V14</f>
        <v>19233.684949310446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$M$14+'[1]Summary 40MLD'!R5/1000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4"/>
        <v>354.28812267999268</v>
      </c>
      <c r="R15" s="70">
        <f t="shared" si="7"/>
        <v>372.93486597893968</v>
      </c>
      <c r="S15" s="67">
        <f t="shared" si="8"/>
        <v>391.58160927788668</v>
      </c>
      <c r="T15" s="66">
        <f t="shared" ref="T15:T73" si="21">Q15+I15</f>
        <v>1534.2881226799927</v>
      </c>
      <c r="U15" s="89">
        <f t="shared" si="15"/>
        <v>1847.9348659789398</v>
      </c>
      <c r="V15" s="67">
        <f t="shared" si="15"/>
        <v>2161.5816092778869</v>
      </c>
      <c r="W15" s="6">
        <f t="shared" si="16"/>
        <v>0.93278956427869664</v>
      </c>
      <c r="X15" s="66">
        <f t="shared" si="17"/>
        <v>1431.1679494326499</v>
      </c>
      <c r="Y15" s="89">
        <f t="shared" si="18"/>
        <v>1723.7343584519069</v>
      </c>
      <c r="Z15" s="67">
        <f t="shared" si="19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$M$14+'[1]Summary 40MLD'!R6/1000</f>
        <v>291.51556076584779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369.56478272755538</v>
      </c>
      <c r="R16" s="70">
        <f t="shared" si="7"/>
        <v>389.01556076584779</v>
      </c>
      <c r="S16" s="67">
        <f t="shared" si="8"/>
        <v>408.46633880414021</v>
      </c>
      <c r="T16" s="66">
        <f t="shared" si="21"/>
        <v>1549.5647827275554</v>
      </c>
      <c r="U16" s="89">
        <f t="shared" si="15"/>
        <v>1864.0155607658478</v>
      </c>
      <c r="V16" s="67">
        <f t="shared" si="15"/>
        <v>2178.4663388041404</v>
      </c>
      <c r="W16" s="6">
        <f t="shared" si="16"/>
        <v>0.90089778276868515</v>
      </c>
      <c r="X16" s="66">
        <f t="shared" si="17"/>
        <v>1395.9994770156941</v>
      </c>
      <c r="Y16" s="89">
        <f t="shared" si="18"/>
        <v>1679.2874857402796</v>
      </c>
      <c r="Z16" s="67">
        <f t="shared" si="19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1180</v>
      </c>
      <c r="J17" s="89">
        <f t="shared" si="13"/>
        <v>1475</v>
      </c>
      <c r="K17" s="67">
        <f t="shared" si="13"/>
        <v>1770</v>
      </c>
      <c r="L17" s="68">
        <f t="shared" si="23"/>
        <v>55</v>
      </c>
      <c r="M17" s="68">
        <f>$M$14+'[1]Summary 40MLD'!R7/1000</f>
        <v>302.30825444493053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379.81784172268397</v>
      </c>
      <c r="R17" s="70">
        <f t="shared" si="7"/>
        <v>399.80825444493053</v>
      </c>
      <c r="S17" s="67">
        <f t="shared" si="8"/>
        <v>419.79866716717709</v>
      </c>
      <c r="T17" s="66">
        <f t="shared" si="21"/>
        <v>1559.8178417226841</v>
      </c>
      <c r="U17" s="89">
        <f t="shared" si="15"/>
        <v>1874.8082544449305</v>
      </c>
      <c r="V17" s="67">
        <f t="shared" si="15"/>
        <v>2189.798667167177</v>
      </c>
      <c r="W17" s="6">
        <f t="shared" si="16"/>
        <v>0.87009637122724071</v>
      </c>
      <c r="X17" s="66">
        <f t="shared" si="17"/>
        <v>1357.1918438584139</v>
      </c>
      <c r="Y17" s="89">
        <f t="shared" si="18"/>
        <v>1631.2638589394114</v>
      </c>
      <c r="Z17" s="67">
        <f t="shared" si="19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$M$14+'[1]Summary 40MLD'!R8/1000</f>
        <v>316.0747916778588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392.89605209396586</v>
      </c>
      <c r="R18" s="70">
        <f t="shared" si="7"/>
        <v>413.5747916778588</v>
      </c>
      <c r="S18" s="67">
        <f t="shared" si="8"/>
        <v>434.25353126175173</v>
      </c>
      <c r="T18" s="66">
        <f t="shared" si="21"/>
        <v>1572.8960520939659</v>
      </c>
      <c r="U18" s="89">
        <f t="shared" si="15"/>
        <v>1888.5747916778587</v>
      </c>
      <c r="V18" s="67">
        <f t="shared" si="15"/>
        <v>2204.253531261752</v>
      </c>
      <c r="W18" s="6">
        <f t="shared" si="16"/>
        <v>0.84034805024844572</v>
      </c>
      <c r="X18" s="66">
        <f t="shared" si="17"/>
        <v>1321.780130620642</v>
      </c>
      <c r="Y18" s="89">
        <f t="shared" si="18"/>
        <v>1587.0601439348532</v>
      </c>
      <c r="Z18" s="67">
        <f t="shared" si="19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$M$14+'[1]Summary 40MLD'!R9/1000</f>
        <v>326.23258389956914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402.54595470459066</v>
      </c>
      <c r="R19" s="70">
        <f t="shared" si="7"/>
        <v>423.73258389956914</v>
      </c>
      <c r="S19" s="67">
        <f t="shared" si="8"/>
        <v>444.91921309454762</v>
      </c>
      <c r="T19" s="66">
        <f t="shared" si="21"/>
        <v>1582.5459547045907</v>
      </c>
      <c r="U19" s="89">
        <f t="shared" si="15"/>
        <v>1898.7325838995691</v>
      </c>
      <c r="V19" s="67">
        <f t="shared" si="15"/>
        <v>2214.9192130945476</v>
      </c>
      <c r="W19" s="6">
        <f t="shared" si="16"/>
        <v>0.81161681499753291</v>
      </c>
      <c r="X19" s="66">
        <f t="shared" si="17"/>
        <v>1284.42090734457</v>
      </c>
      <c r="Y19" s="89">
        <f t="shared" si="18"/>
        <v>1541.0432922766042</v>
      </c>
      <c r="Z19" s="67">
        <f t="shared" si="19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1180</v>
      </c>
      <c r="J20" s="89">
        <f t="shared" si="13"/>
        <v>1475</v>
      </c>
      <c r="K20" s="67">
        <f t="shared" si="13"/>
        <v>1770</v>
      </c>
      <c r="L20" s="68">
        <f t="shared" si="23"/>
        <v>55</v>
      </c>
      <c r="M20" s="68">
        <f>$M$14+'[1]Summary 40MLD'!R10/1000</f>
        <v>330.97372987921659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407.05004338525572</v>
      </c>
      <c r="R20" s="70">
        <f t="shared" si="7"/>
        <v>428.47372987921659</v>
      </c>
      <c r="S20" s="67">
        <f t="shared" si="8"/>
        <v>449.89741637317746</v>
      </c>
      <c r="T20" s="66">
        <f t="shared" si="21"/>
        <v>1587.0500433852558</v>
      </c>
      <c r="U20" s="89">
        <f t="shared" si="15"/>
        <v>1903.4737298792165</v>
      </c>
      <c r="V20" s="67">
        <f t="shared" si="15"/>
        <v>2219.8974163731773</v>
      </c>
      <c r="W20" s="6">
        <f t="shared" si="16"/>
        <v>0.78386789163369996</v>
      </c>
      <c r="X20" s="66">
        <f t="shared" si="17"/>
        <v>1244.0375714255724</v>
      </c>
      <c r="Y20" s="89">
        <f t="shared" si="18"/>
        <v>1492.0719394205564</v>
      </c>
      <c r="Z20" s="67">
        <f t="shared" si="19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1180</v>
      </c>
      <c r="J21" s="89">
        <f t="shared" si="13"/>
        <v>1475</v>
      </c>
      <c r="K21" s="67">
        <f t="shared" si="13"/>
        <v>1770</v>
      </c>
      <c r="L21" s="68">
        <f t="shared" si="23"/>
        <v>55</v>
      </c>
      <c r="M21" s="68">
        <f>$M$14+'[1]Summary 40MLD'!R11/1000</f>
        <v>336.42671869662865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412.23038276179722</v>
      </c>
      <c r="R21" s="70">
        <f t="shared" si="7"/>
        <v>433.92671869662865</v>
      </c>
      <c r="S21" s="67">
        <f t="shared" si="8"/>
        <v>455.62305463146009</v>
      </c>
      <c r="T21" s="66">
        <f t="shared" si="21"/>
        <v>1592.2303827617973</v>
      </c>
      <c r="U21" s="89">
        <f t="shared" si="15"/>
        <v>1908.9267186966285</v>
      </c>
      <c r="V21" s="67">
        <f t="shared" si="15"/>
        <v>2225.62305463146</v>
      </c>
      <c r="W21" s="6">
        <f t="shared" si="16"/>
        <v>0.75706769522281225</v>
      </c>
      <c r="X21" s="66">
        <f t="shared" si="17"/>
        <v>1205.4261861412101</v>
      </c>
      <c r="Y21" s="89">
        <f t="shared" si="18"/>
        <v>1445.1867512729023</v>
      </c>
      <c r="Z21" s="67">
        <f t="shared" si="19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1180</v>
      </c>
      <c r="J22" s="89">
        <f t="shared" si="13"/>
        <v>1475</v>
      </c>
      <c r="K22" s="67">
        <f t="shared" si="13"/>
        <v>1770</v>
      </c>
      <c r="L22" s="68">
        <f t="shared" si="23"/>
        <v>55</v>
      </c>
      <c r="M22" s="68">
        <f>$M$14+'[1]Summary 40MLD'!R12/1000</f>
        <v>344.07809776603415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419.49919287773241</v>
      </c>
      <c r="R22" s="70">
        <f t="shared" si="7"/>
        <v>441.57809776603415</v>
      </c>
      <c r="S22" s="67">
        <f t="shared" si="8"/>
        <v>463.65700265433588</v>
      </c>
      <c r="T22" s="66">
        <f t="shared" si="21"/>
        <v>1599.4991928777324</v>
      </c>
      <c r="U22" s="89">
        <f t="shared" si="15"/>
        <v>1916.5780977660343</v>
      </c>
      <c r="V22" s="67">
        <f t="shared" si="15"/>
        <v>2233.6570026543359</v>
      </c>
      <c r="W22" s="6">
        <f t="shared" si="16"/>
        <v>0.73118378908905945</v>
      </c>
      <c r="X22" s="66">
        <f t="shared" si="17"/>
        <v>1169.5278804932327</v>
      </c>
      <c r="Y22" s="89">
        <f t="shared" si="18"/>
        <v>1401.3708356096708</v>
      </c>
      <c r="Z22" s="67">
        <f t="shared" si="19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$M$14+'[1]Summary 40MLD'!R13/1000</f>
        <v>358.31074175170977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433.02020466412426</v>
      </c>
      <c r="R23" s="70">
        <f t="shared" si="7"/>
        <v>455.81074175170977</v>
      </c>
      <c r="S23" s="67">
        <f t="shared" si="8"/>
        <v>478.60127883929528</v>
      </c>
      <c r="T23" s="66">
        <f t="shared" si="21"/>
        <v>1613.0202046641243</v>
      </c>
      <c r="U23" s="89">
        <f t="shared" si="15"/>
        <v>1930.8107417517099</v>
      </c>
      <c r="V23" s="67">
        <f t="shared" si="15"/>
        <v>2248.6012788392954</v>
      </c>
      <c r="W23" s="6">
        <f t="shared" si="16"/>
        <v>0.70618484555636418</v>
      </c>
      <c r="X23" s="66">
        <f t="shared" si="17"/>
        <v>1139.0904241100295</v>
      </c>
      <c r="Y23" s="89">
        <f t="shared" si="18"/>
        <v>1363.5092854625002</v>
      </c>
      <c r="Z23" s="67">
        <f t="shared" si="19"/>
        <v>1587.9281468149709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2317.2715954843366</v>
      </c>
      <c r="G24" s="64">
        <f>$AC$9+T6+X6</f>
        <v>2896.5894943554204</v>
      </c>
      <c r="H24" s="65">
        <f t="shared" si="6"/>
        <v>3475.9073932265042</v>
      </c>
      <c r="I24" s="66">
        <f t="shared" si="13"/>
        <v>2317.2715954843366</v>
      </c>
      <c r="J24" s="89">
        <f t="shared" si="13"/>
        <v>2896.5894943554204</v>
      </c>
      <c r="K24" s="67">
        <f t="shared" si="13"/>
        <v>3475.9073932265042</v>
      </c>
      <c r="L24" s="68">
        <f t="shared" si="23"/>
        <v>55</v>
      </c>
      <c r="M24" s="68">
        <f>$M$14+'[1]Summary 40MLD'!R14/1000</f>
        <v>368.40388078689898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442.60868674755403</v>
      </c>
      <c r="R24" s="70">
        <f t="shared" si="7"/>
        <v>465.90388078689898</v>
      </c>
      <c r="S24" s="67">
        <f t="shared" si="8"/>
        <v>489.19907482624393</v>
      </c>
      <c r="T24" s="66">
        <f t="shared" si="21"/>
        <v>2759.8802822318908</v>
      </c>
      <c r="U24" s="89">
        <f t="shared" si="15"/>
        <v>3362.4933751423196</v>
      </c>
      <c r="V24" s="67">
        <f t="shared" si="15"/>
        <v>3965.1064680527479</v>
      </c>
      <c r="W24" s="6">
        <f t="shared" si="16"/>
        <v>0.68204060803203026</v>
      </c>
      <c r="X24" s="66">
        <f t="shared" si="17"/>
        <v>1882.35042578905</v>
      </c>
      <c r="Y24" s="89">
        <f t="shared" si="18"/>
        <v>2293.3570260857414</v>
      </c>
      <c r="Z24" s="67">
        <f t="shared" si="19"/>
        <v>2704.3636263824324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$M$14+'[1]Summary 40MLD'!R15/1000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$M$14+'[1]Summary 40MLD'!R16/1000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$M$14+'[1]Summary 40MLD'!R17/1000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$M$14+'[1]Summary 40MLD'!R18/1000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$M$14+'[1]Summary 40MLD'!R19/1000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$M$14+'[1]Summary 40MLD'!R20/1000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$M$14+'[1]Summary 40MLD'!R21/1000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7">L31</f>
        <v>55</v>
      </c>
      <c r="M32" s="68">
        <f>$M$14+'[1]Summary 40MLD'!R22/1000</f>
        <v>454.49530981036185</v>
      </c>
      <c r="N32" s="68">
        <f t="shared" si="27"/>
        <v>30</v>
      </c>
      <c r="O32" s="68">
        <f t="shared" si="27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7"/>
        <v>55</v>
      </c>
      <c r="M33" s="68">
        <f>$M$14+'[1]Summary 40MLD'!R23/1000</f>
        <v>468.91011753151565</v>
      </c>
      <c r="N33" s="68">
        <f t="shared" si="27"/>
        <v>30</v>
      </c>
      <c r="O33" s="68">
        <f t="shared" si="27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2317.2715954843366</v>
      </c>
      <c r="G34" s="64">
        <f>$AC$9+T6+X6+X8</f>
        <v>2896.5894943554204</v>
      </c>
      <c r="H34" s="65">
        <f t="shared" si="6"/>
        <v>3475.9073932265042</v>
      </c>
      <c r="I34" s="66">
        <f t="shared" si="13"/>
        <v>2317.2715954843366</v>
      </c>
      <c r="J34" s="89">
        <f t="shared" si="13"/>
        <v>2896.5894943554204</v>
      </c>
      <c r="K34" s="67">
        <f t="shared" si="13"/>
        <v>3475.9073932265042</v>
      </c>
      <c r="L34" s="68">
        <f t="shared" si="27"/>
        <v>55</v>
      </c>
      <c r="M34" s="68">
        <f>$M$14+'[1]Summary 40MLD'!R24/1000</f>
        <v>483.56425355965922</v>
      </c>
      <c r="N34" s="68">
        <f t="shared" si="27"/>
        <v>30</v>
      </c>
      <c r="O34" s="68">
        <f t="shared" si="27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2869.2826363660129</v>
      </c>
      <c r="U34" s="89">
        <f t="shared" si="15"/>
        <v>3477.6537479150793</v>
      </c>
      <c r="V34" s="67">
        <f t="shared" si="15"/>
        <v>4086.0248594641462</v>
      </c>
      <c r="W34" s="6">
        <f t="shared" si="16"/>
        <v>0.48164674144626801</v>
      </c>
      <c r="X34" s="66">
        <f t="shared" si="17"/>
        <v>1381.9806320940472</v>
      </c>
      <c r="Y34" s="89">
        <f t="shared" si="18"/>
        <v>1675.0005955616991</v>
      </c>
      <c r="Z34" s="67">
        <f t="shared" si="19"/>
        <v>1968.0205590293513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7"/>
        <v>55</v>
      </c>
      <c r="M35" s="68">
        <f>$M$14+'[1]Summary 40MLD'!R25/1000</f>
        <v>498.41448773437878</v>
      </c>
      <c r="N35" s="68">
        <f t="shared" si="27"/>
        <v>30</v>
      </c>
      <c r="O35" s="68">
        <f t="shared" si="27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7"/>
        <v>55</v>
      </c>
      <c r="M36" s="68">
        <f>$M$14+'[1]Summary 40MLD'!R26/1000</f>
        <v>507.11810941023009</v>
      </c>
      <c r="N36" s="68">
        <f t="shared" si="27"/>
        <v>30</v>
      </c>
      <c r="O36" s="68">
        <f t="shared" si="27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7"/>
        <v>55</v>
      </c>
      <c r="M37" s="68">
        <f>$M$14+'[1]Summary 40MLD'!R27/1000</f>
        <v>515.8217310860814</v>
      </c>
      <c r="N37" s="68">
        <f t="shared" si="27"/>
        <v>30</v>
      </c>
      <c r="O37" s="68">
        <f t="shared" si="27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>$AC$9+X8</f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7"/>
        <v>55</v>
      </c>
      <c r="M38" s="68">
        <f>$M$14+'[1]Summary 40MLD'!R28/1000</f>
        <v>524.52535276193271</v>
      </c>
      <c r="N38" s="68">
        <f t="shared" si="27"/>
        <v>30</v>
      </c>
      <c r="O38" s="68">
        <f t="shared" si="27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9836.6443593590266</v>
      </c>
      <c r="G39" s="64">
        <f>$AC$9+T5+T4+X4+X5</f>
        <v>12295.805449198782</v>
      </c>
      <c r="H39" s="65">
        <f t="shared" si="6"/>
        <v>14754.966539038538</v>
      </c>
      <c r="I39" s="66">
        <f t="shared" si="13"/>
        <v>9836.6443593590266</v>
      </c>
      <c r="J39" s="89">
        <f t="shared" si="13"/>
        <v>12295.805449198782</v>
      </c>
      <c r="K39" s="67">
        <f t="shared" si="13"/>
        <v>14754.966539038538</v>
      </c>
      <c r="L39" s="68">
        <f t="shared" si="27"/>
        <v>55</v>
      </c>
      <c r="M39" s="68">
        <f>$M$14+'[1]Summary 40MLD'!R29/1000</f>
        <v>533.22897443778402</v>
      </c>
      <c r="N39" s="68">
        <f t="shared" si="27"/>
        <v>30</v>
      </c>
      <c r="O39" s="68">
        <f t="shared" si="27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10435.836885074921</v>
      </c>
      <c r="U39" s="89">
        <f t="shared" si="15"/>
        <v>12926.534423636567</v>
      </c>
      <c r="V39" s="67">
        <f t="shared" si="15"/>
        <v>15417.231962198211</v>
      </c>
      <c r="W39" s="7">
        <f t="shared" si="16"/>
        <v>0.40475090008288855</v>
      </c>
      <c r="X39" s="66">
        <f t="shared" si="17"/>
        <v>4223.914372352282</v>
      </c>
      <c r="Y39" s="89">
        <f t="shared" si="18"/>
        <v>5232.0264429193439</v>
      </c>
      <c r="Z39" s="67">
        <f t="shared" si="19"/>
        <v>6240.138513486404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7"/>
        <v>55</v>
      </c>
      <c r="M40" s="68">
        <f>$M$14+'[1]Summary 40MLD'!R30/1000</f>
        <v>541.93259611363521</v>
      </c>
      <c r="N40" s="68">
        <f t="shared" si="27"/>
        <v>30</v>
      </c>
      <c r="O40" s="68">
        <f t="shared" si="27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7"/>
        <v>55</v>
      </c>
      <c r="M41" s="68">
        <f>$M$14+'[1]Summary 40MLD'!R31/1000</f>
        <v>550.63621778948652</v>
      </c>
      <c r="N41" s="68">
        <f t="shared" si="27"/>
        <v>30</v>
      </c>
      <c r="O41" s="68">
        <f t="shared" si="27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7"/>
        <v>55</v>
      </c>
      <c r="M42" s="68">
        <f>$M$14+'[1]Summary 40MLD'!R32/1000</f>
        <v>559.33983946533783</v>
      </c>
      <c r="N42" s="68">
        <f t="shared" si="27"/>
        <v>30</v>
      </c>
      <c r="O42" s="68">
        <f t="shared" si="27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 t="shared" si="13"/>
        <v>1475</v>
      </c>
      <c r="K43" s="67">
        <f t="shared" si="13"/>
        <v>1770</v>
      </c>
      <c r="L43" s="68">
        <f t="shared" si="27"/>
        <v>55</v>
      </c>
      <c r="M43" s="68">
        <f>$M$14+'[1]Summary 40MLD'!R33/1000</f>
        <v>568.04346114118914</v>
      </c>
      <c r="N43" s="68">
        <f t="shared" si="27"/>
        <v>30</v>
      </c>
      <c r="O43" s="68">
        <f t="shared" si="27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2317.2715954843366</v>
      </c>
      <c r="G44" s="64">
        <f>$AC$9+T6+X6</f>
        <v>2896.5894943554204</v>
      </c>
      <c r="H44" s="65">
        <f t="shared" si="6"/>
        <v>3475.9073932265042</v>
      </c>
      <c r="I44" s="66">
        <f t="shared" si="13"/>
        <v>2317.2715954843366</v>
      </c>
      <c r="J44" s="89">
        <f t="shared" si="13"/>
        <v>2896.5894943554204</v>
      </c>
      <c r="K44" s="67">
        <f t="shared" si="13"/>
        <v>3475.9073932265042</v>
      </c>
      <c r="L44" s="68">
        <f t="shared" si="27"/>
        <v>55</v>
      </c>
      <c r="M44" s="68">
        <f>$M$14+'[1]Summary 40MLD'!R34/1000</f>
        <v>576.74708281704034</v>
      </c>
      <c r="N44" s="68">
        <f t="shared" si="27"/>
        <v>30</v>
      </c>
      <c r="O44" s="68">
        <f t="shared" si="27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2957.806324160525</v>
      </c>
      <c r="U44" s="89">
        <f t="shared" si="15"/>
        <v>3570.8365771724607</v>
      </c>
      <c r="V44" s="67">
        <f t="shared" si="15"/>
        <v>4183.8668301843963</v>
      </c>
      <c r="W44" s="7">
        <f t="shared" si="16"/>
        <v>0.34013162972095884</v>
      </c>
      <c r="X44" s="66">
        <f t="shared" si="17"/>
        <v>1006.043485435678</v>
      </c>
      <c r="Y44" s="89">
        <f t="shared" si="18"/>
        <v>1214.5544644608794</v>
      </c>
      <c r="Z44" s="67">
        <f t="shared" si="19"/>
        <v>1423.0654434860808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7"/>
        <v>55</v>
      </c>
      <c r="M45" s="68">
        <f>$M$14+'[1]Summary 40MLD'!R35/1000</f>
        <v>585.45070449289165</v>
      </c>
      <c r="N45" s="68">
        <f t="shared" si="27"/>
        <v>30</v>
      </c>
      <c r="O45" s="68">
        <f t="shared" si="27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7"/>
        <v>55</v>
      </c>
      <c r="M46" s="68">
        <f>$M$14+'[1]Summary 40MLD'!R36/1000</f>
        <v>594.15432616874295</v>
      </c>
      <c r="N46" s="68">
        <f t="shared" si="27"/>
        <v>30</v>
      </c>
      <c r="O46" s="68">
        <f t="shared" si="27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7"/>
        <v>55</v>
      </c>
      <c r="M47" s="68">
        <f>$M$14+'[1]Summary 40MLD'!R37/1000</f>
        <v>602.85794784459426</v>
      </c>
      <c r="N47" s="68">
        <f t="shared" si="27"/>
        <v>30</v>
      </c>
      <c r="O47" s="68">
        <f t="shared" si="27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8">L47</f>
        <v>55</v>
      </c>
      <c r="M48" s="68">
        <f>$M$14+'[1]Summary 40MLD'!R38/1000</f>
        <v>611.56156952044557</v>
      </c>
      <c r="N48" s="68">
        <f t="shared" si="28"/>
        <v>30</v>
      </c>
      <c r="O48" s="68">
        <f t="shared" si="28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1180</v>
      </c>
      <c r="G49" s="64">
        <f t="shared" si="22"/>
        <v>1475</v>
      </c>
      <c r="H49" s="65">
        <f t="shared" si="6"/>
        <v>1770</v>
      </c>
      <c r="I49" s="66">
        <f t="shared" si="13"/>
        <v>1180</v>
      </c>
      <c r="J49" s="89">
        <f t="shared" si="13"/>
        <v>1475</v>
      </c>
      <c r="K49" s="67">
        <f t="shared" si="13"/>
        <v>1770</v>
      </c>
      <c r="L49" s="68">
        <f t="shared" si="28"/>
        <v>55</v>
      </c>
      <c r="M49" s="68">
        <f>$M$14+'[1]Summary 40MLD'!R39/1000</f>
        <v>620.26519119629688</v>
      </c>
      <c r="N49" s="68">
        <f t="shared" si="28"/>
        <v>30</v>
      </c>
      <c r="O49" s="68">
        <f t="shared" si="28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1861.8769316364819</v>
      </c>
      <c r="U49" s="89">
        <f t="shared" si="15"/>
        <v>2192.7651911962967</v>
      </c>
      <c r="V49" s="67">
        <f t="shared" si="15"/>
        <v>2523.6534507561119</v>
      </c>
      <c r="W49" s="7">
        <f t="shared" si="16"/>
        <v>0.28582895186383406</v>
      </c>
      <c r="X49" s="66">
        <f t="shared" si="17"/>
        <v>532.17833186910707</v>
      </c>
      <c r="Y49" s="89">
        <f t="shared" si="18"/>
        <v>626.75577628313715</v>
      </c>
      <c r="Z49" s="67">
        <f t="shared" si="19"/>
        <v>721.33322069716746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8"/>
        <v>55</v>
      </c>
      <c r="M50" s="68">
        <f>$M$14+'[1]Summary 40MLD'!R40/1000</f>
        <v>628.96881287214808</v>
      </c>
      <c r="N50" s="68">
        <f t="shared" si="28"/>
        <v>30</v>
      </c>
      <c r="O50" s="68">
        <f t="shared" si="28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8"/>
        <v>55</v>
      </c>
      <c r="M51" s="68">
        <f>$M$14+'[1]Summary 40MLD'!R41/1000</f>
        <v>637.67243454799939</v>
      </c>
      <c r="N51" s="68">
        <f t="shared" si="28"/>
        <v>30</v>
      </c>
      <c r="O51" s="68">
        <f t="shared" si="28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8"/>
        <v>55</v>
      </c>
      <c r="M52" s="68">
        <f>$M$14+'[1]Summary 40MLD'!R42/1000</f>
        <v>646.3760562238507</v>
      </c>
      <c r="N52" s="68">
        <f t="shared" si="28"/>
        <v>30</v>
      </c>
      <c r="O52" s="68">
        <f t="shared" si="28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8"/>
        <v>55</v>
      </c>
      <c r="M53" s="68">
        <f>$M$14+'[1]Summary 40MLD'!R43/1000</f>
        <v>655.07967789970201</v>
      </c>
      <c r="N53" s="68">
        <f t="shared" si="28"/>
        <v>30</v>
      </c>
      <c r="O53" s="68">
        <f t="shared" si="28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2317.2715954843366</v>
      </c>
      <c r="G54" s="64">
        <f>$AC$9+T6+X6+X8</f>
        <v>2896.5894943554204</v>
      </c>
      <c r="H54" s="65">
        <f t="shared" si="6"/>
        <v>3475.9073932265042</v>
      </c>
      <c r="I54" s="66">
        <f t="shared" si="13"/>
        <v>2317.2715954843366</v>
      </c>
      <c r="J54" s="89">
        <f t="shared" si="13"/>
        <v>2896.5894943554204</v>
      </c>
      <c r="K54" s="67">
        <f t="shared" si="13"/>
        <v>3475.9073932265042</v>
      </c>
      <c r="L54" s="68">
        <f t="shared" si="28"/>
        <v>55</v>
      </c>
      <c r="M54" s="68">
        <f>$M$14+'[1]Summary 40MLD'!R44/1000</f>
        <v>663.78329957555331</v>
      </c>
      <c r="N54" s="68">
        <f t="shared" si="28"/>
        <v>30</v>
      </c>
      <c r="O54" s="68">
        <f t="shared" si="28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3040.4907300811119</v>
      </c>
      <c r="U54" s="89">
        <f t="shared" si="15"/>
        <v>3657.8727939309738</v>
      </c>
      <c r="V54" s="67">
        <f t="shared" si="15"/>
        <v>4275.2548577808357</v>
      </c>
      <c r="W54" s="7">
        <f t="shared" si="16"/>
        <v>0.24019580240332974</v>
      </c>
      <c r="X54" s="66">
        <f t="shared" si="17"/>
        <v>730.31311061171857</v>
      </c>
      <c r="Y54" s="89">
        <f t="shared" si="18"/>
        <v>878.6056908275599</v>
      </c>
      <c r="Z54" s="67">
        <f t="shared" si="19"/>
        <v>1026.8982710434011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8"/>
        <v>55</v>
      </c>
      <c r="M55" s="68">
        <f>$M$14+'[1]Summary 40MLD'!R45/1000</f>
        <v>672.48692125140451</v>
      </c>
      <c r="N55" s="68">
        <f t="shared" si="28"/>
        <v>30</v>
      </c>
      <c r="O55" s="68">
        <f t="shared" si="28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8"/>
        <v>55</v>
      </c>
      <c r="M56" s="68">
        <f>$M$14+'[1]Summary 40MLD'!R46/1000</f>
        <v>681.19054292725582</v>
      </c>
      <c r="N56" s="68">
        <f t="shared" si="28"/>
        <v>30</v>
      </c>
      <c r="O56" s="68">
        <f t="shared" si="28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8"/>
        <v>55</v>
      </c>
      <c r="M57" s="68">
        <f>$M$14+'[1]Summary 40MLD'!R47/1000</f>
        <v>689.89416460310713</v>
      </c>
      <c r="N57" s="68">
        <f t="shared" si="28"/>
        <v>30</v>
      </c>
      <c r="O57" s="68">
        <f t="shared" si="28"/>
        <v>12.5</v>
      </c>
      <c r="P57" s="68">
        <f t="shared" si="24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f t="shared" si="10"/>
        <v>0</v>
      </c>
      <c r="D58" s="64"/>
      <c r="E58" s="65">
        <f t="shared" si="11"/>
        <v>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1180</v>
      </c>
      <c r="J58" s="89">
        <f t="shared" si="13"/>
        <v>1475</v>
      </c>
      <c r="K58" s="67">
        <f t="shared" si="13"/>
        <v>1770</v>
      </c>
      <c r="L58" s="68">
        <f t="shared" si="28"/>
        <v>55</v>
      </c>
      <c r="M58" s="68">
        <f>$M$14+'[1]Summary 40MLD'!R48/1000</f>
        <v>698.59778627895844</v>
      </c>
      <c r="N58" s="68">
        <f t="shared" si="28"/>
        <v>30</v>
      </c>
      <c r="O58" s="68">
        <f t="shared" si="28"/>
        <v>12.5</v>
      </c>
      <c r="P58" s="68">
        <f t="shared" si="24"/>
        <v>0</v>
      </c>
      <c r="Q58" s="66">
        <f t="shared" si="14"/>
        <v>756.29289696501053</v>
      </c>
      <c r="R58" s="70">
        <f t="shared" si="7"/>
        <v>796.09778627895844</v>
      </c>
      <c r="S58" s="67">
        <f t="shared" si="8"/>
        <v>835.90267559290635</v>
      </c>
      <c r="T58" s="66">
        <f t="shared" si="21"/>
        <v>1936.2928969650106</v>
      </c>
      <c r="U58" s="89">
        <f t="shared" si="15"/>
        <v>2271.0977862789587</v>
      </c>
      <c r="V58" s="67">
        <f t="shared" si="15"/>
        <v>2605.9026755929062</v>
      </c>
      <c r="W58" s="7">
        <f t="shared" si="16"/>
        <v>0.20899349605515255</v>
      </c>
      <c r="X58" s="66">
        <f t="shared" si="17"/>
        <v>404.67262192347687</v>
      </c>
      <c r="Y58" s="89">
        <f t="shared" si="18"/>
        <v>474.64466623755726</v>
      </c>
      <c r="Z58" s="67">
        <f t="shared" si="19"/>
        <v>544.61671055163754</v>
      </c>
      <c r="AA58" s="14"/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 t="shared" si="13"/>
        <v>1475</v>
      </c>
      <c r="K59" s="67">
        <f t="shared" si="13"/>
        <v>1770</v>
      </c>
      <c r="L59" s="68">
        <f t="shared" si="28"/>
        <v>55</v>
      </c>
      <c r="M59" s="68">
        <f>$M$14+'[1]Summary 40MLD'!R49/1000</f>
        <v>707.30140795480975</v>
      </c>
      <c r="N59" s="68">
        <f t="shared" si="28"/>
        <v>30</v>
      </c>
      <c r="O59" s="68">
        <f t="shared" si="28"/>
        <v>12.5</v>
      </c>
      <c r="P59" s="68">
        <f t="shared" si="24"/>
        <v>0</v>
      </c>
      <c r="Q59" s="66">
        <f t="shared" si="14"/>
        <v>764.56133755706924</v>
      </c>
      <c r="R59" s="70">
        <f t="shared" si="7"/>
        <v>804.80140795480975</v>
      </c>
      <c r="S59" s="67">
        <f t="shared" si="8"/>
        <v>845.04147835255026</v>
      </c>
      <c r="T59" s="66">
        <f t="shared" si="21"/>
        <v>1944.5613375570692</v>
      </c>
      <c r="U59" s="89">
        <f t="shared" si="15"/>
        <v>2279.8014079548097</v>
      </c>
      <c r="V59" s="67">
        <f t="shared" si="15"/>
        <v>2615.0414783525503</v>
      </c>
      <c r="W59" s="7">
        <f t="shared" si="16"/>
        <v>0.20184807422749909</v>
      </c>
      <c r="X59" s="66">
        <f t="shared" si="17"/>
        <v>392.50596120314424</v>
      </c>
      <c r="Y59" s="89">
        <f t="shared" si="18"/>
        <v>460.1735238168194</v>
      </c>
      <c r="Z59" s="67">
        <f t="shared" si="19"/>
        <v>527.84108643049456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8"/>
        <v>55</v>
      </c>
      <c r="M60" s="68">
        <f>$M$14+'[1]Summary 40MLD'!R50/1000</f>
        <v>716.00502963066106</v>
      </c>
      <c r="N60" s="68">
        <f t="shared" si="28"/>
        <v>30</v>
      </c>
      <c r="O60" s="68">
        <f t="shared" si="28"/>
        <v>12.5</v>
      </c>
      <c r="P60" s="68">
        <f t="shared" si="24"/>
        <v>0</v>
      </c>
      <c r="Q60" s="66">
        <f t="shared" si="14"/>
        <v>772.82977814912795</v>
      </c>
      <c r="R60" s="70">
        <f t="shared" si="7"/>
        <v>813.50502963066106</v>
      </c>
      <c r="S60" s="67">
        <f t="shared" si="8"/>
        <v>854.18028111219417</v>
      </c>
      <c r="T60" s="66">
        <f t="shared" si="21"/>
        <v>1952.8297781491278</v>
      </c>
      <c r="U60" s="89">
        <f t="shared" si="15"/>
        <v>2288.5050296306608</v>
      </c>
      <c r="V60" s="67">
        <f t="shared" si="15"/>
        <v>2624.1802811121943</v>
      </c>
      <c r="W60" s="7">
        <f t="shared" si="16"/>
        <v>0.19494695212236729</v>
      </c>
      <c r="X60" s="66">
        <f t="shared" si="17"/>
        <v>380.69821326397118</v>
      </c>
      <c r="Y60" s="89">
        <f t="shared" si="18"/>
        <v>446.13708044320515</v>
      </c>
      <c r="Z60" s="67">
        <f t="shared" si="19"/>
        <v>511.57594762243929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8"/>
        <v>55</v>
      </c>
      <c r="M61" s="68">
        <f>$M$14+'[1]Summary 40MLD'!R51/1000</f>
        <v>724.70865130651225</v>
      </c>
      <c r="N61" s="68">
        <f t="shared" si="28"/>
        <v>30</v>
      </c>
      <c r="O61" s="68">
        <f t="shared" si="28"/>
        <v>12.5</v>
      </c>
      <c r="P61" s="68">
        <f t="shared" si="24"/>
        <v>0</v>
      </c>
      <c r="Q61" s="66">
        <f t="shared" si="14"/>
        <v>781.09821874118666</v>
      </c>
      <c r="R61" s="70">
        <f t="shared" si="7"/>
        <v>822.20865130651225</v>
      </c>
      <c r="S61" s="67">
        <f t="shared" si="8"/>
        <v>863.31908387183785</v>
      </c>
      <c r="T61" s="66">
        <f t="shared" si="21"/>
        <v>1961.0982187411867</v>
      </c>
      <c r="U61" s="89">
        <f t="shared" si="15"/>
        <v>2297.2086513065124</v>
      </c>
      <c r="V61" s="67">
        <f t="shared" si="15"/>
        <v>2633.3190838718378</v>
      </c>
      <c r="W61" s="7">
        <f t="shared" si="16"/>
        <v>0.18828177720916289</v>
      </c>
      <c r="X61" s="66">
        <f t="shared" si="17"/>
        <v>369.23905790631432</v>
      </c>
      <c r="Y61" s="89">
        <f t="shared" si="18"/>
        <v>432.52252748825435</v>
      </c>
      <c r="Z61" s="67">
        <f t="shared" si="19"/>
        <v>495.80599707019428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8"/>
        <v>55</v>
      </c>
      <c r="M62" s="68">
        <f>$M$14+'[1]Summary 40MLD'!R52/1000</f>
        <v>733.41227298236356</v>
      </c>
      <c r="N62" s="68">
        <f t="shared" si="28"/>
        <v>30</v>
      </c>
      <c r="O62" s="68">
        <f t="shared" si="28"/>
        <v>12.5</v>
      </c>
      <c r="P62" s="68">
        <f t="shared" si="24"/>
        <v>0</v>
      </c>
      <c r="Q62" s="66">
        <f t="shared" si="14"/>
        <v>789.36665933324537</v>
      </c>
      <c r="R62" s="70">
        <f t="shared" si="7"/>
        <v>830.91227298236356</v>
      </c>
      <c r="S62" s="67">
        <f t="shared" si="8"/>
        <v>872.45788663148176</v>
      </c>
      <c r="T62" s="66">
        <f t="shared" si="21"/>
        <v>1969.3666593332455</v>
      </c>
      <c r="U62" s="89">
        <f t="shared" si="15"/>
        <v>2305.9122729823634</v>
      </c>
      <c r="V62" s="67">
        <f t="shared" si="15"/>
        <v>2642.4578866314819</v>
      </c>
      <c r="W62" s="7">
        <f t="shared" si="16"/>
        <v>0.1818444825276829</v>
      </c>
      <c r="X62" s="66">
        <f t="shared" si="17"/>
        <v>358.1184610737256</v>
      </c>
      <c r="Y62" s="89">
        <f t="shared" si="18"/>
        <v>419.31742403471094</v>
      </c>
      <c r="Z62" s="67">
        <f t="shared" si="19"/>
        <v>480.51638699569639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8"/>
        <v>55</v>
      </c>
      <c r="M63" s="68">
        <f>$M$14+'[1]Summary 40MLD'!R53/1000</f>
        <v>742.11589465821487</v>
      </c>
      <c r="N63" s="68">
        <f t="shared" si="28"/>
        <v>30</v>
      </c>
      <c r="O63" s="68">
        <f t="shared" si="28"/>
        <v>12.5</v>
      </c>
      <c r="P63" s="68">
        <f t="shared" si="24"/>
        <v>0</v>
      </c>
      <c r="Q63" s="66">
        <f t="shared" si="14"/>
        <v>797.63509992530408</v>
      </c>
      <c r="R63" s="70">
        <f t="shared" si="7"/>
        <v>839.61589465821487</v>
      </c>
      <c r="S63" s="67">
        <f t="shared" si="8"/>
        <v>881.59668939112566</v>
      </c>
      <c r="T63" s="66">
        <f t="shared" si="21"/>
        <v>1977.6350999253041</v>
      </c>
      <c r="U63" s="89">
        <f t="shared" si="15"/>
        <v>2314.615894658215</v>
      </c>
      <c r="V63" s="67">
        <f t="shared" si="15"/>
        <v>2651.5966893911254</v>
      </c>
      <c r="W63" s="7">
        <f t="shared" si="16"/>
        <v>0.17562727692455368</v>
      </c>
      <c r="X63" s="66">
        <f t="shared" si="17"/>
        <v>347.32666735029875</v>
      </c>
      <c r="Y63" s="89">
        <f t="shared" si="18"/>
        <v>406.5096867051119</v>
      </c>
      <c r="Z63" s="67">
        <f t="shared" si="19"/>
        <v>465.69270605992494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10973.915954843362</v>
      </c>
      <c r="G64" s="64">
        <f>$AC$9+T6+T5+T4+X4+X5+X6</f>
        <v>13717.394943554202</v>
      </c>
      <c r="H64" s="65">
        <f t="shared" si="6"/>
        <v>16460.87393226504</v>
      </c>
      <c r="I64" s="66">
        <f t="shared" si="13"/>
        <v>10973.915954843362</v>
      </c>
      <c r="J64" s="89">
        <f t="shared" si="13"/>
        <v>13717.394943554202</v>
      </c>
      <c r="K64" s="67">
        <f t="shared" si="13"/>
        <v>16460.87393226504</v>
      </c>
      <c r="L64" s="68">
        <f t="shared" ref="L64:O73" si="29">L63</f>
        <v>55</v>
      </c>
      <c r="M64" s="68">
        <f>$M$14+'[1]Summary 40MLD'!R54/1000</f>
        <v>750.81951633406618</v>
      </c>
      <c r="N64" s="68">
        <f t="shared" si="29"/>
        <v>30</v>
      </c>
      <c r="O64" s="68">
        <f t="shared" si="29"/>
        <v>12.5</v>
      </c>
      <c r="P64" s="68">
        <f t="shared" si="24"/>
        <v>0</v>
      </c>
      <c r="Q64" s="66">
        <f t="shared" si="14"/>
        <v>805.90354051736279</v>
      </c>
      <c r="R64" s="70">
        <f t="shared" si="7"/>
        <v>848.31951633406618</v>
      </c>
      <c r="S64" s="67">
        <f t="shared" si="8"/>
        <v>890.73549215076957</v>
      </c>
      <c r="T64" s="66">
        <f t="shared" si="21"/>
        <v>11779.819495360725</v>
      </c>
      <c r="U64" s="89">
        <f t="shared" si="15"/>
        <v>14565.714459888268</v>
      </c>
      <c r="V64" s="67">
        <f t="shared" si="15"/>
        <v>17351.609424415808</v>
      </c>
      <c r="W64" s="7">
        <f t="shared" si="16"/>
        <v>0.16962263562348243</v>
      </c>
      <c r="X64" s="66">
        <f t="shared" si="17"/>
        <v>1998.124029971967</v>
      </c>
      <c r="Y64" s="89">
        <f t="shared" si="18"/>
        <v>2470.6748764253166</v>
      </c>
      <c r="Z64" s="67">
        <f t="shared" si="19"/>
        <v>2943.2257228786661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29"/>
        <v>55</v>
      </c>
      <c r="M65" s="68">
        <f>$M$14+'[1]Summary 40MLD'!R55/1000</f>
        <v>759.52313800991749</v>
      </c>
      <c r="N65" s="68">
        <f t="shared" si="29"/>
        <v>30</v>
      </c>
      <c r="O65" s="68">
        <f t="shared" si="29"/>
        <v>12.5</v>
      </c>
      <c r="P65" s="68">
        <f t="shared" si="24"/>
        <v>0</v>
      </c>
      <c r="Q65" s="66">
        <f t="shared" si="14"/>
        <v>814.17198110942161</v>
      </c>
      <c r="R65" s="70">
        <f t="shared" si="7"/>
        <v>857.02313800991749</v>
      </c>
      <c r="S65" s="67">
        <f t="shared" si="8"/>
        <v>899.87429491041337</v>
      </c>
      <c r="T65" s="66">
        <f t="shared" si="21"/>
        <v>1994.1719811094217</v>
      </c>
      <c r="U65" s="89">
        <f t="shared" si="15"/>
        <v>2332.0231380099176</v>
      </c>
      <c r="V65" s="67">
        <f t="shared" si="15"/>
        <v>2669.8742949104135</v>
      </c>
      <c r="W65" s="7">
        <f t="shared" si="16"/>
        <v>0.16382329111790842</v>
      </c>
      <c r="X65" s="66">
        <f t="shared" si="17"/>
        <v>326.69181700046494</v>
      </c>
      <c r="Y65" s="89">
        <f t="shared" si="18"/>
        <v>382.03970543189706</v>
      </c>
      <c r="Z65" s="67">
        <f t="shared" si="19"/>
        <v>437.38759386332913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29"/>
        <v>55</v>
      </c>
      <c r="M66" s="68">
        <f>$M$14+'[1]Summary 40MLD'!R56/1000</f>
        <v>768.2267596857688</v>
      </c>
      <c r="N66" s="68">
        <f t="shared" si="29"/>
        <v>30</v>
      </c>
      <c r="O66" s="68">
        <f t="shared" si="29"/>
        <v>12.5</v>
      </c>
      <c r="P66" s="68">
        <f t="shared" si="24"/>
        <v>0</v>
      </c>
      <c r="Q66" s="66">
        <f t="shared" si="14"/>
        <v>822.44042170148032</v>
      </c>
      <c r="R66" s="70">
        <f t="shared" si="7"/>
        <v>865.7267596857688</v>
      </c>
      <c r="S66" s="67">
        <f t="shared" si="8"/>
        <v>909.01309767005728</v>
      </c>
      <c r="T66" s="66">
        <f t="shared" si="21"/>
        <v>2002.4404217014803</v>
      </c>
      <c r="U66" s="89">
        <f t="shared" si="15"/>
        <v>2340.7267596857687</v>
      </c>
      <c r="V66" s="67">
        <f t="shared" si="15"/>
        <v>2679.0130976700575</v>
      </c>
      <c r="W66" s="7">
        <f t="shared" si="16"/>
        <v>0.15822222437503228</v>
      </c>
      <c r="X66" s="66">
        <f t="shared" si="17"/>
        <v>316.83057770008588</v>
      </c>
      <c r="Y66" s="89">
        <f t="shared" si="18"/>
        <v>370.35499457164394</v>
      </c>
      <c r="Z66" s="67">
        <f t="shared" si="19"/>
        <v>423.87941144320212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29"/>
        <v>55</v>
      </c>
      <c r="M67" s="68">
        <f>$M$14+'[1]Summary 40MLD'!R57/1000</f>
        <v>776.93038136161999</v>
      </c>
      <c r="N67" s="68">
        <f t="shared" si="29"/>
        <v>30</v>
      </c>
      <c r="O67" s="68">
        <f t="shared" si="29"/>
        <v>12.5</v>
      </c>
      <c r="P67" s="68">
        <f t="shared" si="24"/>
        <v>0</v>
      </c>
      <c r="Q67" s="66">
        <f t="shared" si="14"/>
        <v>830.70886229353891</v>
      </c>
      <c r="R67" s="70">
        <f t="shared" si="7"/>
        <v>874.43038136161999</v>
      </c>
      <c r="S67" s="67">
        <f t="shared" si="8"/>
        <v>918.15190042970107</v>
      </c>
      <c r="T67" s="66">
        <f t="shared" si="21"/>
        <v>2010.7088622935389</v>
      </c>
      <c r="U67" s="89">
        <f t="shared" si="15"/>
        <v>2349.4303813616198</v>
      </c>
      <c r="V67" s="67">
        <f t="shared" si="15"/>
        <v>2688.1519004297011</v>
      </c>
      <c r="W67" s="7">
        <f t="shared" si="16"/>
        <v>0.15281265634057586</v>
      </c>
      <c r="X67" s="66">
        <f t="shared" si="17"/>
        <v>307.26176237461283</v>
      </c>
      <c r="Y67" s="89">
        <f t="shared" si="18"/>
        <v>359.02269746312129</v>
      </c>
      <c r="Z67" s="67">
        <f t="shared" si="19"/>
        <v>410.78363255162981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1180</v>
      </c>
      <c r="G68" s="64">
        <f t="shared" si="22"/>
        <v>1475</v>
      </c>
      <c r="H68" s="65">
        <f t="shared" si="6"/>
        <v>1770</v>
      </c>
      <c r="I68" s="66">
        <f t="shared" si="13"/>
        <v>1180</v>
      </c>
      <c r="J68" s="89">
        <f t="shared" si="13"/>
        <v>1475</v>
      </c>
      <c r="K68" s="67">
        <f t="shared" si="13"/>
        <v>1770</v>
      </c>
      <c r="L68" s="68">
        <f t="shared" si="29"/>
        <v>55</v>
      </c>
      <c r="M68" s="68">
        <f>$M$14+'[1]Summary 40MLD'!R58/1000</f>
        <v>785.6340030374713</v>
      </c>
      <c r="N68" s="68">
        <f t="shared" si="29"/>
        <v>30</v>
      </c>
      <c r="O68" s="68">
        <f t="shared" si="29"/>
        <v>12.5</v>
      </c>
      <c r="P68" s="68">
        <f t="shared" si="24"/>
        <v>0</v>
      </c>
      <c r="Q68" s="66">
        <f t="shared" si="14"/>
        <v>838.97730288559774</v>
      </c>
      <c r="R68" s="70">
        <f t="shared" si="7"/>
        <v>883.1340030374713</v>
      </c>
      <c r="S68" s="67">
        <f t="shared" si="8"/>
        <v>927.29070318934487</v>
      </c>
      <c r="T68" s="66">
        <f t="shared" si="21"/>
        <v>2018.9773028855977</v>
      </c>
      <c r="U68" s="89">
        <f t="shared" si="15"/>
        <v>2358.1340030374713</v>
      </c>
      <c r="V68" s="67">
        <f t="shared" si="15"/>
        <v>2697.2907031893446</v>
      </c>
      <c r="W68" s="7">
        <f t="shared" si="16"/>
        <v>0.14758803973399254</v>
      </c>
      <c r="X68" s="66">
        <f t="shared" si="17"/>
        <v>297.97690240030869</v>
      </c>
      <c r="Y68" s="89">
        <f t="shared" si="18"/>
        <v>348.03237493837321</v>
      </c>
      <c r="Z68" s="67">
        <f t="shared" si="19"/>
        <v>398.08784747643767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29"/>
        <v>55</v>
      </c>
      <c r="M69" s="68">
        <f>$M$14+'[1]Summary 40MLD'!R59/1000</f>
        <v>794.33762471332261</v>
      </c>
      <c r="N69" s="68">
        <f t="shared" si="29"/>
        <v>30</v>
      </c>
      <c r="O69" s="68">
        <f t="shared" si="29"/>
        <v>12.5</v>
      </c>
      <c r="P69" s="68">
        <f t="shared" si="24"/>
        <v>0</v>
      </c>
      <c r="Q69" s="66">
        <f t="shared" si="14"/>
        <v>847.24574347765645</v>
      </c>
      <c r="R69" s="70">
        <f t="shared" si="7"/>
        <v>891.83762471332261</v>
      </c>
      <c r="S69" s="67">
        <f t="shared" si="8"/>
        <v>936.42950594898878</v>
      </c>
      <c r="T69" s="66">
        <f t="shared" si="21"/>
        <v>2027.2457434776566</v>
      </c>
      <c r="U69" s="89">
        <f t="shared" si="15"/>
        <v>2366.8376247133228</v>
      </c>
      <c r="V69" s="67">
        <f t="shared" si="15"/>
        <v>2706.4295059489887</v>
      </c>
      <c r="W69" s="7">
        <f t="shared" si="16"/>
        <v>0.14254205112419596</v>
      </c>
      <c r="X69" s="66">
        <f t="shared" si="17"/>
        <v>288.96776640810077</v>
      </c>
      <c r="Y69" s="89">
        <f t="shared" si="18"/>
        <v>337.37388970455697</v>
      </c>
      <c r="Z69" s="67">
        <f t="shared" si="19"/>
        <v>385.78001300101317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29"/>
        <v>55</v>
      </c>
      <c r="M70" s="68">
        <f>$M$14+'[1]Summary 40MLD'!R60/1000</f>
        <v>803.04124638917392</v>
      </c>
      <c r="N70" s="68">
        <f t="shared" si="29"/>
        <v>30</v>
      </c>
      <c r="O70" s="68">
        <f t="shared" si="29"/>
        <v>12.5</v>
      </c>
      <c r="P70" s="68">
        <f t="shared" si="24"/>
        <v>0</v>
      </c>
      <c r="Q70" s="66">
        <f t="shared" si="14"/>
        <v>855.51418406971516</v>
      </c>
      <c r="R70" s="70">
        <f t="shared" si="7"/>
        <v>900.54124638917392</v>
      </c>
      <c r="S70" s="67">
        <f t="shared" si="8"/>
        <v>945.56830870863269</v>
      </c>
      <c r="T70" s="66">
        <f t="shared" si="21"/>
        <v>2035.5141840697152</v>
      </c>
      <c r="U70" s="89">
        <f t="shared" si="15"/>
        <v>2375.5412463891739</v>
      </c>
      <c r="V70" s="67">
        <f t="shared" si="15"/>
        <v>2715.5683087086327</v>
      </c>
      <c r="W70" s="7">
        <f t="shared" si="16"/>
        <v>0.13766858327621784</v>
      </c>
      <c r="X70" s="66">
        <f t="shared" si="17"/>
        <v>280.2263539595242</v>
      </c>
      <c r="Y70" s="89">
        <f t="shared" si="18"/>
        <v>327.03739790461833</v>
      </c>
      <c r="Z70" s="67">
        <f t="shared" si="19"/>
        <v>373.8484418497124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29"/>
        <v>55</v>
      </c>
      <c r="M71" s="68">
        <f>$M$14+'[1]Summary 40MLD'!R61/1000</f>
        <v>811.74486806502523</v>
      </c>
      <c r="N71" s="68">
        <f t="shared" si="29"/>
        <v>30</v>
      </c>
      <c r="O71" s="68">
        <f t="shared" si="29"/>
        <v>12.5</v>
      </c>
      <c r="P71" s="68">
        <f t="shared" si="24"/>
        <v>0</v>
      </c>
      <c r="Q71" s="66">
        <f t="shared" si="14"/>
        <v>863.78262466177398</v>
      </c>
      <c r="R71" s="70">
        <f t="shared" si="7"/>
        <v>909.24486806502523</v>
      </c>
      <c r="S71" s="67">
        <f t="shared" si="8"/>
        <v>954.70711146827648</v>
      </c>
      <c r="T71" s="66">
        <f t="shared" si="21"/>
        <v>2043.782624661774</v>
      </c>
      <c r="U71" s="89">
        <f t="shared" si="15"/>
        <v>2384.244868065025</v>
      </c>
      <c r="V71" s="67">
        <f t="shared" si="15"/>
        <v>2724.7071114682767</v>
      </c>
      <c r="W71" s="7">
        <f t="shared" si="16"/>
        <v>0.13296173775953046</v>
      </c>
      <c r="X71" s="66">
        <f t="shared" si="17"/>
        <v>271.74488937776368</v>
      </c>
      <c r="Y71" s="89">
        <f t="shared" si="18"/>
        <v>317.01334090216818</v>
      </c>
      <c r="Z71" s="67">
        <f t="shared" si="19"/>
        <v>362.28179242657274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29"/>
        <v>55</v>
      </c>
      <c r="M72" s="68">
        <f>$M$14+'[1]Summary 40MLD'!R62/1000</f>
        <v>820.44848974087643</v>
      </c>
      <c r="N72" s="68">
        <f t="shared" si="29"/>
        <v>30</v>
      </c>
      <c r="O72" s="68">
        <f t="shared" si="29"/>
        <v>12.5</v>
      </c>
      <c r="P72" s="68">
        <f t="shared" si="24"/>
        <v>0</v>
      </c>
      <c r="Q72" s="66">
        <f t="shared" si="14"/>
        <v>872.05106525383258</v>
      </c>
      <c r="R72" s="70">
        <f t="shared" si="7"/>
        <v>917.94848974087643</v>
      </c>
      <c r="S72" s="67">
        <f t="shared" si="8"/>
        <v>963.84591422792028</v>
      </c>
      <c r="T72" s="66">
        <f t="shared" si="21"/>
        <v>2052.0510652538323</v>
      </c>
      <c r="U72" s="89">
        <f t="shared" si="15"/>
        <v>2392.9484897408765</v>
      </c>
      <c r="V72" s="67">
        <f t="shared" si="15"/>
        <v>2733.8459142279203</v>
      </c>
      <c r="W72" s="7">
        <f t="shared" si="16"/>
        <v>0.12841581780908873</v>
      </c>
      <c r="X72" s="66">
        <f t="shared" si="17"/>
        <v>263.51581573058257</v>
      </c>
      <c r="Y72" s="89">
        <f t="shared" si="18"/>
        <v>307.2924372850984</v>
      </c>
      <c r="Z72" s="67">
        <f t="shared" si="19"/>
        <v>351.06905883961423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29"/>
        <v>55</v>
      </c>
      <c r="M73" s="68">
        <f>$M$14+'[1]Summary 40MLD'!R63/1000</f>
        <v>829.15211141672773</v>
      </c>
      <c r="N73" s="68">
        <f t="shared" si="29"/>
        <v>30</v>
      </c>
      <c r="O73" s="68">
        <f t="shared" si="29"/>
        <v>12.5</v>
      </c>
      <c r="P73" s="68">
        <f t="shared" si="24"/>
        <v>0</v>
      </c>
      <c r="Q73" s="66">
        <f t="shared" si="14"/>
        <v>880.31950584589129</v>
      </c>
      <c r="R73" s="70">
        <f t="shared" si="7"/>
        <v>926.65211141672773</v>
      </c>
      <c r="S73" s="67">
        <f t="shared" si="8"/>
        <v>972.98471698756418</v>
      </c>
      <c r="T73" s="66">
        <f t="shared" si="21"/>
        <v>2060.3195058458914</v>
      </c>
      <c r="U73" s="89">
        <f t="shared" si="15"/>
        <v>2401.6521114167276</v>
      </c>
      <c r="V73" s="67">
        <f t="shared" si="15"/>
        <v>2742.9847169875643</v>
      </c>
      <c r="W73" s="7">
        <f t="shared" si="16"/>
        <v>0.12402532143045074</v>
      </c>
      <c r="X73" s="73">
        <f t="shared" si="17"/>
        <v>255.53178896196411</v>
      </c>
      <c r="Y73" s="91">
        <f t="shared" si="18"/>
        <v>297.86567508258031</v>
      </c>
      <c r="Z73" s="74">
        <f t="shared" si="19"/>
        <v>340.19956120319659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30806.684830662605</v>
      </c>
      <c r="D74" s="75">
        <f t="shared" si="30"/>
        <v>34229.649811847339</v>
      </c>
      <c r="E74" s="93">
        <f t="shared" si="30"/>
        <v>37652.614793032073</v>
      </c>
      <c r="F74" s="92">
        <f t="shared" si="30"/>
        <v>93867.646696139738</v>
      </c>
      <c r="G74" s="75">
        <f t="shared" si="30"/>
        <v>117334.55837017467</v>
      </c>
      <c r="H74" s="76">
        <f t="shared" si="30"/>
        <v>140801.47004420956</v>
      </c>
      <c r="I74" s="77">
        <f t="shared" si="30"/>
        <v>124674.33152680233</v>
      </c>
      <c r="J74" s="78">
        <f t="shared" si="30"/>
        <v>151564.208182022</v>
      </c>
      <c r="K74" s="79">
        <f t="shared" si="30"/>
        <v>178454.08483724165</v>
      </c>
      <c r="L74" s="80">
        <f t="shared" si="30"/>
        <v>3325</v>
      </c>
      <c r="M74" s="80">
        <f t="shared" si="30"/>
        <v>33467.325894993897</v>
      </c>
      <c r="N74" s="80">
        <f t="shared" si="30"/>
        <v>1850</v>
      </c>
      <c r="O74" s="80">
        <f t="shared" si="30"/>
        <v>787.5</v>
      </c>
      <c r="P74" s="80">
        <f t="shared" si="30"/>
        <v>0</v>
      </c>
      <c r="Q74" s="77">
        <f t="shared" si="30"/>
        <v>37458.334600244205</v>
      </c>
      <c r="R74" s="78">
        <f t="shared" si="30"/>
        <v>39429.825894993897</v>
      </c>
      <c r="S74" s="79">
        <f t="shared" si="30"/>
        <v>41401.31718974359</v>
      </c>
      <c r="T74" s="77">
        <f>SUM(T13:T73)</f>
        <v>162132.66612704645</v>
      </c>
      <c r="U74" s="78">
        <f>SUM(U13:U73)</f>
        <v>190994.03407701588</v>
      </c>
      <c r="V74" s="79">
        <f>SUM(V13:V73)</f>
        <v>219855.40202698525</v>
      </c>
      <c r="W74" s="81"/>
      <c r="X74" s="77">
        <f>SUM(X13:X73)</f>
        <v>79922.530361667377</v>
      </c>
      <c r="Y74" s="78">
        <f t="shared" ref="Y74:Z74" si="31">SUM(Y13:Y73)</f>
        <v>93090.789488694834</v>
      </c>
      <c r="Z74" s="79">
        <f t="shared" si="31"/>
        <v>106259.04861572219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A1:AC1"/>
    <mergeCell ref="A1:B1"/>
    <mergeCell ref="C1:K1"/>
    <mergeCell ref="O1:Q1"/>
    <mergeCell ref="S1:U1"/>
    <mergeCell ref="W1:Y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82"/>
  <sheetViews>
    <sheetView zoomScale="85" zoomScaleNormal="80" workbookViewId="0">
      <pane xSplit="2" ySplit="12" topLeftCell="D47" activePane="bottomRight" state="frozen"/>
      <selection pane="topRight" activeCell="O65" sqref="O65"/>
      <selection pane="bottomLeft" activeCell="O65" sqref="O65"/>
      <selection pane="bottomRight" activeCell="D58" sqref="D58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123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10846.254868293137</v>
      </c>
      <c r="U3" s="97">
        <v>0</v>
      </c>
      <c r="W3" s="105">
        <v>0.56000000000000005</v>
      </c>
      <c r="X3" s="97">
        <f t="shared" ref="X3:X8" si="0">W3*$X$9</f>
        <v>12731.6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86948.050329412275</v>
      </c>
      <c r="E4" s="57">
        <f>Y74</f>
        <v>101362.08478942046</v>
      </c>
      <c r="F4" s="58">
        <f>Z74</f>
        <v>116194.10624153889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2169.2509736586276</v>
      </c>
      <c r="U4" s="97">
        <f>(T4/N4)</f>
        <v>86.770038946345096</v>
      </c>
      <c r="W4" s="105">
        <v>0.27</v>
      </c>
      <c r="X4" s="97">
        <f t="shared" si="0"/>
        <v>6138.4500000000007</v>
      </c>
      <c r="Y4" s="97">
        <f>(X4/N4)</f>
        <v>245.53800000000004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2014.3044755401543</v>
      </c>
      <c r="U5" s="97">
        <f t="shared" ref="U5:U8" si="1">(T5/N5)</f>
        <v>80.572179021606175</v>
      </c>
      <c r="W5" s="105">
        <v>0.08</v>
      </c>
      <c r="X5" s="97">
        <f t="shared" si="0"/>
        <v>1818.8</v>
      </c>
      <c r="Y5" s="97">
        <f>(X5/N5)</f>
        <v>72.751999999999995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39194.684830662605</v>
      </c>
      <c r="J6" s="84">
        <f t="shared" ref="J6:K6" si="3">SUM(J13:J17)</f>
        <v>44214.649811847339</v>
      </c>
      <c r="K6" s="31">
        <f t="shared" si="3"/>
        <v>49234.614793032073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464.83949435542013</v>
      </c>
      <c r="U6" s="97">
        <f t="shared" si="1"/>
        <v>46.483949435542016</v>
      </c>
      <c r="W6" s="105">
        <v>0.05</v>
      </c>
      <c r="X6" s="97">
        <f t="shared" si="0"/>
        <v>1136.75</v>
      </c>
      <c r="Y6" s="97">
        <f>(X6/N6)</f>
        <v>113.675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46406.684830662605</v>
      </c>
      <c r="D7" s="60">
        <f t="shared" ref="D7:E7" si="4">SUM(D13:D73)</f>
        <v>53229.649811847339</v>
      </c>
      <c r="E7" s="61">
        <f t="shared" si="4"/>
        <v>62052.614793032073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909.4</v>
      </c>
      <c r="Y7" s="97">
        <f>(X7/N7)</f>
        <v>9.0939999999999993E-2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96699.646696139738</v>
      </c>
      <c r="G8" s="59">
        <f t="shared" ref="G8:H8" si="5">SUM(G13:G73)</f>
        <v>120874.55837017467</v>
      </c>
      <c r="H8" s="59">
        <f t="shared" si="5"/>
        <v>145049.47004420956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([2]Summary!$G$6+[2]Summary!$G$8)/1000</f>
        <v>15494.649811847339</v>
      </c>
      <c r="U9" s="98">
        <f>SUM(U3:U8)</f>
        <v>213.82616740349329</v>
      </c>
      <c r="V9" s="1"/>
      <c r="W9" s="106">
        <f>SUM(W3:W8)</f>
        <v>1</v>
      </c>
      <c r="X9" s="98">
        <v>22735</v>
      </c>
      <c r="Y9" s="98">
        <f>SUM(Y3:Y8)</f>
        <v>432.05594000000002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17203.342415331303</v>
      </c>
      <c r="D13" s="27">
        <f>(T9+X9)/2</f>
        <v>19114.82490592367</v>
      </c>
      <c r="E13" s="65">
        <f>D13*(1+$E$11)</f>
        <v>21026.307396516037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17827.342415331303</v>
      </c>
      <c r="J13" s="89">
        <f>G13+D13</f>
        <v>19894.82490592367</v>
      </c>
      <c r="K13" s="67">
        <f>H13+E13</f>
        <v>21962.307396516037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17965.092415331303</v>
      </c>
      <c r="U13" s="89">
        <f>R13+J13</f>
        <v>20039.82490592367</v>
      </c>
      <c r="V13" s="67">
        <f>S13+K13</f>
        <v>22114.557396516037</v>
      </c>
      <c r="W13" s="5">
        <v>1</v>
      </c>
      <c r="X13" s="69">
        <f>W13*T13</f>
        <v>17965.092415331303</v>
      </c>
      <c r="Y13" s="89">
        <f>W13*U13</f>
        <v>20039.82490592367</v>
      </c>
      <c r="Z13" s="67">
        <f>W13*V13</f>
        <v>22114.557396516037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17203.342415331303</v>
      </c>
      <c r="D14" s="27">
        <f>D13</f>
        <v>19114.82490592367</v>
      </c>
      <c r="E14" s="65">
        <f t="shared" ref="E14:E73" si="11">D14*(1+$E$11)</f>
        <v>21026.307396516037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17827.342415331303</v>
      </c>
      <c r="J14" s="89">
        <f t="shared" si="13"/>
        <v>19894.82490592367</v>
      </c>
      <c r="K14" s="67">
        <f t="shared" si="13"/>
        <v>21962.307396516037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17965.092415331303</v>
      </c>
      <c r="U14" s="89">
        <f t="shared" ref="U14:V73" si="15">R14+J14</f>
        <v>20039.82490592367</v>
      </c>
      <c r="V14" s="67">
        <f t="shared" si="15"/>
        <v>22114.557396516037</v>
      </c>
      <c r="W14" s="6">
        <f t="shared" ref="W14:W73" si="16">(1/(1+$C$3))^B14</f>
        <v>0.96581031485416258</v>
      </c>
      <c r="X14" s="66">
        <f t="shared" ref="X14:X73" si="17">W14*T14</f>
        <v>17350.871562035252</v>
      </c>
      <c r="Y14" s="89">
        <f t="shared" ref="Y14:Y73" si="18">W14*U14</f>
        <v>19354.669602012429</v>
      </c>
      <c r="Z14" s="67">
        <f t="shared" ref="Z14:Z73" si="19">W14*V14</f>
        <v>21358.467641989602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$M$14+'[1]Summary 40MLD'!R5/1000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4"/>
        <v>354.28812267999268</v>
      </c>
      <c r="R15" s="70">
        <f t="shared" si="7"/>
        <v>372.93486597893968</v>
      </c>
      <c r="S15" s="67">
        <f t="shared" si="8"/>
        <v>391.58160927788668</v>
      </c>
      <c r="T15" s="66">
        <f t="shared" ref="T15:T73" si="21">Q15+I15</f>
        <v>1534.2881226799927</v>
      </c>
      <c r="U15" s="89">
        <f t="shared" si="15"/>
        <v>1847.9348659789398</v>
      </c>
      <c r="V15" s="67">
        <f t="shared" si="15"/>
        <v>2161.5816092778869</v>
      </c>
      <c r="W15" s="6">
        <f t="shared" si="16"/>
        <v>0.93278956427869664</v>
      </c>
      <c r="X15" s="66">
        <f t="shared" si="17"/>
        <v>1431.1679494326499</v>
      </c>
      <c r="Y15" s="89">
        <f t="shared" si="18"/>
        <v>1723.7343584519069</v>
      </c>
      <c r="Z15" s="67">
        <f t="shared" si="19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L31" si="23">L15</f>
        <v>55</v>
      </c>
      <c r="M16" s="68">
        <f>$M$14+'[1]Summary 40MLD'!R6/1000</f>
        <v>291.51556076584779</v>
      </c>
      <c r="N16" s="68">
        <f t="shared" ref="N16:O73" si="24">N15</f>
        <v>30</v>
      </c>
      <c r="O16" s="68">
        <f>O15</f>
        <v>12.5</v>
      </c>
      <c r="P16" s="68">
        <f t="shared" ref="P16:P73" si="25">P15</f>
        <v>0</v>
      </c>
      <c r="Q16" s="66">
        <f t="shared" si="14"/>
        <v>369.56478272755538</v>
      </c>
      <c r="R16" s="70">
        <f t="shared" si="7"/>
        <v>389.01556076584779</v>
      </c>
      <c r="S16" s="67">
        <f t="shared" si="8"/>
        <v>408.46633880414021</v>
      </c>
      <c r="T16" s="66">
        <f t="shared" si="21"/>
        <v>1549.5647827275554</v>
      </c>
      <c r="U16" s="89">
        <f t="shared" si="15"/>
        <v>1864.0155607658478</v>
      </c>
      <c r="V16" s="67">
        <f t="shared" si="15"/>
        <v>2178.4663388041404</v>
      </c>
      <c r="W16" s="6">
        <f t="shared" si="16"/>
        <v>0.90089778276868515</v>
      </c>
      <c r="X16" s="66">
        <f t="shared" si="17"/>
        <v>1395.9994770156941</v>
      </c>
      <c r="Y16" s="89">
        <f t="shared" si="18"/>
        <v>1679.2874857402796</v>
      </c>
      <c r="Z16" s="67">
        <f t="shared" si="19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6">AG16*$AH$22</f>
        <v>2693.3846153846148</v>
      </c>
      <c r="AK16" s="115">
        <f t="shared" ref="AK16:AK21" si="27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1180</v>
      </c>
      <c r="J17" s="89">
        <f t="shared" si="13"/>
        <v>1475</v>
      </c>
      <c r="K17" s="67">
        <f t="shared" si="13"/>
        <v>1770</v>
      </c>
      <c r="L17" s="68">
        <f t="shared" si="23"/>
        <v>55</v>
      </c>
      <c r="M17" s="68">
        <f>$M$14+'[1]Summary 40MLD'!R7/1000</f>
        <v>302.30825444493053</v>
      </c>
      <c r="N17" s="68">
        <f t="shared" si="24"/>
        <v>30</v>
      </c>
      <c r="O17" s="68">
        <f t="shared" si="24"/>
        <v>12.5</v>
      </c>
      <c r="P17" s="68">
        <f t="shared" si="25"/>
        <v>0</v>
      </c>
      <c r="Q17" s="66">
        <f t="shared" si="14"/>
        <v>379.81784172268397</v>
      </c>
      <c r="R17" s="70">
        <f t="shared" si="7"/>
        <v>399.80825444493053</v>
      </c>
      <c r="S17" s="67">
        <f t="shared" si="8"/>
        <v>419.79866716717709</v>
      </c>
      <c r="T17" s="66">
        <f t="shared" si="21"/>
        <v>1559.8178417226841</v>
      </c>
      <c r="U17" s="89">
        <f t="shared" si="15"/>
        <v>1874.8082544449305</v>
      </c>
      <c r="V17" s="67">
        <f t="shared" si="15"/>
        <v>2189.798667167177</v>
      </c>
      <c r="W17" s="6">
        <f t="shared" si="16"/>
        <v>0.87009637122724071</v>
      </c>
      <c r="X17" s="66">
        <f t="shared" si="17"/>
        <v>1357.1918438584139</v>
      </c>
      <c r="Y17" s="89">
        <f t="shared" si="18"/>
        <v>1631.2638589394114</v>
      </c>
      <c r="Z17" s="67">
        <f t="shared" si="19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6"/>
        <v>2364.9230769230767</v>
      </c>
      <c r="AK17" s="115">
        <f t="shared" si="27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$M$14+'[1]Summary 40MLD'!R8/1000</f>
        <v>316.0747916778588</v>
      </c>
      <c r="N18" s="68">
        <f t="shared" si="24"/>
        <v>30</v>
      </c>
      <c r="O18" s="68">
        <f t="shared" si="24"/>
        <v>12.5</v>
      </c>
      <c r="P18" s="68">
        <f t="shared" si="25"/>
        <v>0</v>
      </c>
      <c r="Q18" s="66">
        <f t="shared" si="14"/>
        <v>392.89605209396586</v>
      </c>
      <c r="R18" s="70">
        <f t="shared" si="7"/>
        <v>413.5747916778588</v>
      </c>
      <c r="S18" s="67">
        <f t="shared" si="8"/>
        <v>434.25353126175173</v>
      </c>
      <c r="T18" s="66">
        <f t="shared" si="21"/>
        <v>1572.8960520939659</v>
      </c>
      <c r="U18" s="89">
        <f t="shared" si="15"/>
        <v>1888.5747916778587</v>
      </c>
      <c r="V18" s="67">
        <f t="shared" si="15"/>
        <v>2204.253531261752</v>
      </c>
      <c r="W18" s="6">
        <f t="shared" si="16"/>
        <v>0.84034805024844572</v>
      </c>
      <c r="X18" s="66">
        <f t="shared" si="17"/>
        <v>1321.780130620642</v>
      </c>
      <c r="Y18" s="89">
        <f t="shared" si="18"/>
        <v>1587.0601439348532</v>
      </c>
      <c r="Z18" s="67">
        <f t="shared" si="19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6"/>
        <v>656.92307692307691</v>
      </c>
      <c r="AK18" s="115">
        <f t="shared" si="27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$M$14+'[1]Summary 40MLD'!R9/1000</f>
        <v>326.23258389956914</v>
      </c>
      <c r="N19" s="68">
        <f t="shared" si="24"/>
        <v>30</v>
      </c>
      <c r="O19" s="68">
        <f t="shared" si="24"/>
        <v>12.5</v>
      </c>
      <c r="P19" s="68">
        <f t="shared" si="25"/>
        <v>0</v>
      </c>
      <c r="Q19" s="66">
        <f t="shared" si="14"/>
        <v>402.54595470459066</v>
      </c>
      <c r="R19" s="70">
        <f t="shared" si="7"/>
        <v>423.73258389956914</v>
      </c>
      <c r="S19" s="67">
        <f t="shared" si="8"/>
        <v>444.91921309454762</v>
      </c>
      <c r="T19" s="66">
        <f t="shared" si="21"/>
        <v>1582.5459547045907</v>
      </c>
      <c r="U19" s="89">
        <f t="shared" si="15"/>
        <v>1898.7325838995691</v>
      </c>
      <c r="V19" s="67">
        <f t="shared" si="15"/>
        <v>2214.9192130945476</v>
      </c>
      <c r="W19" s="6">
        <f t="shared" si="16"/>
        <v>0.81161681499753291</v>
      </c>
      <c r="X19" s="66">
        <f t="shared" si="17"/>
        <v>1284.42090734457</v>
      </c>
      <c r="Y19" s="89">
        <f t="shared" si="18"/>
        <v>1541.0432922766042</v>
      </c>
      <c r="Z19" s="67">
        <f t="shared" si="19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6"/>
        <v>459.84615384615387</v>
      </c>
      <c r="AK19" s="115">
        <f t="shared" si="27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1180</v>
      </c>
      <c r="J20" s="89">
        <f t="shared" si="13"/>
        <v>1475</v>
      </c>
      <c r="K20" s="67">
        <f t="shared" si="13"/>
        <v>1770</v>
      </c>
      <c r="L20" s="68">
        <f t="shared" si="23"/>
        <v>55</v>
      </c>
      <c r="M20" s="68">
        <f>$M$14+'[1]Summary 40MLD'!R10/1000</f>
        <v>330.97372987921659</v>
      </c>
      <c r="N20" s="68">
        <f t="shared" si="24"/>
        <v>30</v>
      </c>
      <c r="O20" s="68">
        <f t="shared" si="24"/>
        <v>12.5</v>
      </c>
      <c r="P20" s="68">
        <f t="shared" si="25"/>
        <v>0</v>
      </c>
      <c r="Q20" s="66">
        <f t="shared" si="14"/>
        <v>407.05004338525572</v>
      </c>
      <c r="R20" s="70">
        <f t="shared" si="7"/>
        <v>428.47372987921659</v>
      </c>
      <c r="S20" s="67">
        <f t="shared" si="8"/>
        <v>449.89741637317746</v>
      </c>
      <c r="T20" s="66">
        <f t="shared" si="21"/>
        <v>1587.0500433852558</v>
      </c>
      <c r="U20" s="89">
        <f t="shared" si="15"/>
        <v>1903.4737298792165</v>
      </c>
      <c r="V20" s="67">
        <f t="shared" si="15"/>
        <v>2219.8974163731773</v>
      </c>
      <c r="W20" s="6">
        <f t="shared" si="16"/>
        <v>0.78386789163369996</v>
      </c>
      <c r="X20" s="66">
        <f t="shared" si="17"/>
        <v>1244.0375714255724</v>
      </c>
      <c r="Y20" s="89">
        <f t="shared" si="18"/>
        <v>1492.0719394205564</v>
      </c>
      <c r="Z20" s="67">
        <f t="shared" si="19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6"/>
        <v>0</v>
      </c>
      <c r="AK20" s="115">
        <f t="shared" si="27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1180</v>
      </c>
      <c r="J21" s="89">
        <f t="shared" si="13"/>
        <v>1475</v>
      </c>
      <c r="K21" s="67">
        <f t="shared" si="13"/>
        <v>1770</v>
      </c>
      <c r="L21" s="68">
        <f t="shared" si="23"/>
        <v>55</v>
      </c>
      <c r="M21" s="68">
        <f>$M$14+'[1]Summary 40MLD'!R11/1000</f>
        <v>336.42671869662865</v>
      </c>
      <c r="N21" s="68">
        <f t="shared" si="24"/>
        <v>30</v>
      </c>
      <c r="O21" s="68">
        <f t="shared" si="24"/>
        <v>12.5</v>
      </c>
      <c r="P21" s="68">
        <f t="shared" si="25"/>
        <v>0</v>
      </c>
      <c r="Q21" s="66">
        <f t="shared" si="14"/>
        <v>412.23038276179722</v>
      </c>
      <c r="R21" s="70">
        <f t="shared" si="7"/>
        <v>433.92671869662865</v>
      </c>
      <c r="S21" s="67">
        <f t="shared" si="8"/>
        <v>455.62305463146009</v>
      </c>
      <c r="T21" s="66">
        <f t="shared" si="21"/>
        <v>1592.2303827617973</v>
      </c>
      <c r="U21" s="89">
        <f t="shared" si="15"/>
        <v>1908.9267186966285</v>
      </c>
      <c r="V21" s="67">
        <f t="shared" si="15"/>
        <v>2225.62305463146</v>
      </c>
      <c r="W21" s="6">
        <f t="shared" si="16"/>
        <v>0.75706769522281225</v>
      </c>
      <c r="X21" s="66">
        <f t="shared" si="17"/>
        <v>1205.4261861412101</v>
      </c>
      <c r="Y21" s="89">
        <f t="shared" si="18"/>
        <v>1445.1867512729023</v>
      </c>
      <c r="Z21" s="67">
        <f t="shared" si="19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6"/>
        <v>328.46153846153845</v>
      </c>
      <c r="AK21" s="115">
        <f t="shared" si="27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1180</v>
      </c>
      <c r="J22" s="89">
        <f t="shared" si="13"/>
        <v>1475</v>
      </c>
      <c r="K22" s="67">
        <f t="shared" si="13"/>
        <v>1770</v>
      </c>
      <c r="L22" s="68">
        <f t="shared" si="23"/>
        <v>55</v>
      </c>
      <c r="M22" s="68">
        <f>$M$14+'[1]Summary 40MLD'!R12/1000</f>
        <v>344.07809776603415</v>
      </c>
      <c r="N22" s="68">
        <f t="shared" si="24"/>
        <v>30</v>
      </c>
      <c r="O22" s="68">
        <f t="shared" si="24"/>
        <v>12.5</v>
      </c>
      <c r="P22" s="68">
        <f t="shared" si="25"/>
        <v>0</v>
      </c>
      <c r="Q22" s="66">
        <f t="shared" si="14"/>
        <v>419.49919287773241</v>
      </c>
      <c r="R22" s="70">
        <f t="shared" si="7"/>
        <v>441.57809776603415</v>
      </c>
      <c r="S22" s="67">
        <f t="shared" si="8"/>
        <v>463.65700265433588</v>
      </c>
      <c r="T22" s="66">
        <f t="shared" si="21"/>
        <v>1599.4991928777324</v>
      </c>
      <c r="U22" s="89">
        <f t="shared" si="15"/>
        <v>1916.5780977660343</v>
      </c>
      <c r="V22" s="67">
        <f t="shared" si="15"/>
        <v>2233.6570026543359</v>
      </c>
      <c r="W22" s="6">
        <f t="shared" si="16"/>
        <v>0.73118378908905945</v>
      </c>
      <c r="X22" s="66">
        <f t="shared" si="17"/>
        <v>1169.5278804932327</v>
      </c>
      <c r="Y22" s="89">
        <f t="shared" si="18"/>
        <v>1401.3708356096708</v>
      </c>
      <c r="Z22" s="67">
        <f t="shared" si="19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$M$14+'[1]Summary 40MLD'!R13/1000</f>
        <v>358.31074175170977</v>
      </c>
      <c r="N23" s="68">
        <f t="shared" si="24"/>
        <v>30</v>
      </c>
      <c r="O23" s="68">
        <f t="shared" si="24"/>
        <v>12.5</v>
      </c>
      <c r="P23" s="68">
        <f t="shared" si="25"/>
        <v>0</v>
      </c>
      <c r="Q23" s="66">
        <f t="shared" si="14"/>
        <v>433.02020466412426</v>
      </c>
      <c r="R23" s="70">
        <f t="shared" si="7"/>
        <v>455.81074175170977</v>
      </c>
      <c r="S23" s="67">
        <f t="shared" si="8"/>
        <v>478.60127883929528</v>
      </c>
      <c r="T23" s="66">
        <f t="shared" si="21"/>
        <v>1613.0202046641243</v>
      </c>
      <c r="U23" s="89">
        <f t="shared" si="15"/>
        <v>1930.8107417517099</v>
      </c>
      <c r="V23" s="67">
        <f t="shared" si="15"/>
        <v>2248.6012788392954</v>
      </c>
      <c r="W23" s="6">
        <f t="shared" si="16"/>
        <v>0.70618484555636418</v>
      </c>
      <c r="X23" s="66">
        <f t="shared" si="17"/>
        <v>1139.0904241100295</v>
      </c>
      <c r="Y23" s="89">
        <f t="shared" si="18"/>
        <v>1363.5092854625002</v>
      </c>
      <c r="Z23" s="67">
        <f t="shared" si="19"/>
        <v>1587.9281468149709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2461.2715954843366</v>
      </c>
      <c r="G24" s="64">
        <f>$AC$9+T6+X6</f>
        <v>3076.5894943554204</v>
      </c>
      <c r="H24" s="65">
        <f t="shared" si="6"/>
        <v>3691.9073932265042</v>
      </c>
      <c r="I24" s="66">
        <f t="shared" si="13"/>
        <v>2461.2715954843366</v>
      </c>
      <c r="J24" s="89">
        <f t="shared" si="13"/>
        <v>3076.5894943554204</v>
      </c>
      <c r="K24" s="67">
        <f t="shared" si="13"/>
        <v>3691.9073932265042</v>
      </c>
      <c r="L24" s="68">
        <f t="shared" si="23"/>
        <v>55</v>
      </c>
      <c r="M24" s="68">
        <f>$M$14+'[1]Summary 40MLD'!R14/1000</f>
        <v>368.40388078689898</v>
      </c>
      <c r="N24" s="68">
        <f t="shared" si="24"/>
        <v>30</v>
      </c>
      <c r="O24" s="68">
        <f t="shared" si="24"/>
        <v>12.5</v>
      </c>
      <c r="P24" s="68">
        <f t="shared" si="25"/>
        <v>0</v>
      </c>
      <c r="Q24" s="66">
        <f t="shared" si="14"/>
        <v>442.60868674755403</v>
      </c>
      <c r="R24" s="70">
        <f t="shared" si="7"/>
        <v>465.90388078689898</v>
      </c>
      <c r="S24" s="67">
        <f t="shared" si="8"/>
        <v>489.19907482624393</v>
      </c>
      <c r="T24" s="66">
        <f t="shared" si="21"/>
        <v>2903.8802822318908</v>
      </c>
      <c r="U24" s="89">
        <f t="shared" si="15"/>
        <v>3542.4933751423196</v>
      </c>
      <c r="V24" s="67">
        <f t="shared" si="15"/>
        <v>4181.1064680527479</v>
      </c>
      <c r="W24" s="6">
        <f t="shared" si="16"/>
        <v>0.68204060803203026</v>
      </c>
      <c r="X24" s="66">
        <f t="shared" si="17"/>
        <v>1980.5642733456625</v>
      </c>
      <c r="Y24" s="89">
        <f t="shared" si="18"/>
        <v>2416.1243355315069</v>
      </c>
      <c r="Z24" s="67">
        <f t="shared" si="19"/>
        <v>2851.6843977173507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$M$14+'[1]Summary 40MLD'!R15/1000</f>
        <v>378.92006329236165</v>
      </c>
      <c r="N25" s="68">
        <f t="shared" si="24"/>
        <v>30</v>
      </c>
      <c r="O25" s="68">
        <f t="shared" si="24"/>
        <v>12.5</v>
      </c>
      <c r="P25" s="68">
        <f t="shared" si="25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$M$14+'[1]Summary 40MLD'!R16/1000</f>
        <v>386.06526709799408</v>
      </c>
      <c r="N26" s="68">
        <f t="shared" si="24"/>
        <v>30</v>
      </c>
      <c r="O26" s="68">
        <f t="shared" si="24"/>
        <v>12.5</v>
      </c>
      <c r="P26" s="68">
        <f t="shared" si="25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$M$14+'[1]Summary 40MLD'!R17/1000</f>
        <v>395.18188690263975</v>
      </c>
      <c r="N27" s="68">
        <f t="shared" si="24"/>
        <v>30</v>
      </c>
      <c r="O27" s="68">
        <f t="shared" si="24"/>
        <v>12.5</v>
      </c>
      <c r="P27" s="68">
        <f t="shared" si="25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$M$14+'[1]Summary 40MLD'!R18/1000</f>
        <v>403.01537403156146</v>
      </c>
      <c r="N28" s="68">
        <f t="shared" si="24"/>
        <v>30</v>
      </c>
      <c r="O28" s="68">
        <f t="shared" si="24"/>
        <v>12.5</v>
      </c>
      <c r="P28" s="68">
        <f t="shared" si="25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$M$14+'[1]Summary 40MLD'!R19/1000</f>
        <v>410.78669209169692</v>
      </c>
      <c r="N29" s="68">
        <f t="shared" si="24"/>
        <v>30</v>
      </c>
      <c r="O29" s="68">
        <f t="shared" si="24"/>
        <v>12.5</v>
      </c>
      <c r="P29" s="68">
        <f t="shared" si="25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$M$14+'[1]Summary 40MLD'!R20/1000</f>
        <v>426.79445308876024</v>
      </c>
      <c r="N30" s="68">
        <f t="shared" si="24"/>
        <v>30</v>
      </c>
      <c r="O30" s="68">
        <f t="shared" si="24"/>
        <v>12.5</v>
      </c>
      <c r="P30" s="68">
        <f t="shared" si="25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$M$14+'[1]Summary 40MLD'!R21/1000</f>
        <v>442.28456849312823</v>
      </c>
      <c r="N31" s="68">
        <f t="shared" si="24"/>
        <v>30</v>
      </c>
      <c r="O31" s="68">
        <f t="shared" si="24"/>
        <v>12.5</v>
      </c>
      <c r="P31" s="68">
        <f t="shared" si="25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L47" si="28">L31</f>
        <v>55</v>
      </c>
      <c r="M32" s="68">
        <f>$M$14+'[1]Summary 40MLD'!R22/1000</f>
        <v>454.49530981036185</v>
      </c>
      <c r="N32" s="68">
        <f t="shared" si="24"/>
        <v>30</v>
      </c>
      <c r="O32" s="68">
        <f t="shared" si="24"/>
        <v>12.5</v>
      </c>
      <c r="P32" s="68">
        <f t="shared" si="25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8"/>
        <v>55</v>
      </c>
      <c r="M33" s="68">
        <f>$M$14+'[1]Summary 40MLD'!R23/1000</f>
        <v>468.91011753151565</v>
      </c>
      <c r="N33" s="68">
        <f t="shared" si="24"/>
        <v>30</v>
      </c>
      <c r="O33" s="68">
        <f t="shared" si="24"/>
        <v>12.5</v>
      </c>
      <c r="P33" s="68">
        <f t="shared" si="25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2461.2715954843366</v>
      </c>
      <c r="G34" s="64">
        <f>$AC$9+T6+X6+X8</f>
        <v>3076.5894943554204</v>
      </c>
      <c r="H34" s="65">
        <f t="shared" si="6"/>
        <v>3691.9073932265042</v>
      </c>
      <c r="I34" s="66">
        <f t="shared" si="13"/>
        <v>2461.2715954843366</v>
      </c>
      <c r="J34" s="89">
        <f t="shared" si="13"/>
        <v>3076.5894943554204</v>
      </c>
      <c r="K34" s="67">
        <f t="shared" si="13"/>
        <v>3691.9073932265042</v>
      </c>
      <c r="L34" s="68">
        <f t="shared" si="28"/>
        <v>55</v>
      </c>
      <c r="M34" s="68">
        <f>$M$14+'[1]Summary 40MLD'!R24/1000</f>
        <v>483.56425355965922</v>
      </c>
      <c r="N34" s="68">
        <f t="shared" si="24"/>
        <v>30</v>
      </c>
      <c r="O34" s="68">
        <f t="shared" si="24"/>
        <v>12.5</v>
      </c>
      <c r="P34" s="68">
        <f t="shared" si="25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3013.2826363660129</v>
      </c>
      <c r="U34" s="89">
        <f t="shared" si="15"/>
        <v>3657.6537479150793</v>
      </c>
      <c r="V34" s="67">
        <f t="shared" si="15"/>
        <v>4302.0248594641462</v>
      </c>
      <c r="W34" s="6">
        <f t="shared" si="16"/>
        <v>0.48164674144626801</v>
      </c>
      <c r="X34" s="66">
        <f t="shared" si="17"/>
        <v>1451.3377628623098</v>
      </c>
      <c r="Y34" s="89">
        <f t="shared" si="18"/>
        <v>1761.6970090220273</v>
      </c>
      <c r="Z34" s="67">
        <f t="shared" si="19"/>
        <v>2072.0562551817452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8"/>
        <v>55</v>
      </c>
      <c r="M35" s="68">
        <f>$M$14+'[1]Summary 40MLD'!R25/1000</f>
        <v>498.41448773437878</v>
      </c>
      <c r="N35" s="68">
        <f t="shared" si="24"/>
        <v>30</v>
      </c>
      <c r="O35" s="68">
        <f t="shared" si="24"/>
        <v>12.5</v>
      </c>
      <c r="P35" s="68">
        <f t="shared" si="25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8"/>
        <v>55</v>
      </c>
      <c r="M36" s="68">
        <f>$M$14+'[1]Summary 40MLD'!R26/1000</f>
        <v>507.11810941023009</v>
      </c>
      <c r="N36" s="68">
        <f t="shared" si="24"/>
        <v>30</v>
      </c>
      <c r="O36" s="68">
        <f t="shared" si="24"/>
        <v>12.5</v>
      </c>
      <c r="P36" s="68">
        <f t="shared" si="25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8"/>
        <v>55</v>
      </c>
      <c r="M37" s="68">
        <f>$M$14+'[1]Summary 40MLD'!R27/1000</f>
        <v>515.8217310860814</v>
      </c>
      <c r="N37" s="68">
        <f t="shared" si="24"/>
        <v>30</v>
      </c>
      <c r="O37" s="68">
        <f t="shared" si="24"/>
        <v>12.5</v>
      </c>
      <c r="P37" s="68">
        <f t="shared" si="25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>$AC$9+X8</f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8"/>
        <v>55</v>
      </c>
      <c r="M38" s="68">
        <f>$M$14+'[1]Summary 40MLD'!R28/1000</f>
        <v>524.52535276193271</v>
      </c>
      <c r="N38" s="68">
        <f t="shared" si="24"/>
        <v>30</v>
      </c>
      <c r="O38" s="68">
        <f t="shared" si="24"/>
        <v>12.5</v>
      </c>
      <c r="P38" s="68">
        <f t="shared" si="25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10892.644359359027</v>
      </c>
      <c r="G39" s="64">
        <f>$AC$9+T5+T4+X4+X5</f>
        <v>13615.805449198782</v>
      </c>
      <c r="H39" s="65">
        <f t="shared" si="6"/>
        <v>16338.966539038538</v>
      </c>
      <c r="I39" s="66">
        <f t="shared" si="13"/>
        <v>10892.644359359027</v>
      </c>
      <c r="J39" s="89">
        <f t="shared" si="13"/>
        <v>13615.805449198782</v>
      </c>
      <c r="K39" s="67">
        <f t="shared" si="13"/>
        <v>16338.966539038538</v>
      </c>
      <c r="L39" s="68">
        <f t="shared" si="28"/>
        <v>55</v>
      </c>
      <c r="M39" s="68">
        <f>$M$14+'[1]Summary 40MLD'!R29/1000</f>
        <v>533.22897443778402</v>
      </c>
      <c r="N39" s="68">
        <f t="shared" si="24"/>
        <v>30</v>
      </c>
      <c r="O39" s="68">
        <f t="shared" si="24"/>
        <v>12.5</v>
      </c>
      <c r="P39" s="68">
        <f t="shared" si="25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11491.836885074921</v>
      </c>
      <c r="U39" s="89">
        <f t="shared" si="15"/>
        <v>14246.534423636567</v>
      </c>
      <c r="V39" s="67">
        <f t="shared" si="15"/>
        <v>17001.23196219821</v>
      </c>
      <c r="W39" s="7">
        <f t="shared" si="16"/>
        <v>0.40475090008288855</v>
      </c>
      <c r="X39" s="66">
        <f t="shared" si="17"/>
        <v>4651.3313228398129</v>
      </c>
      <c r="Y39" s="89">
        <f t="shared" si="18"/>
        <v>5766.2976310287568</v>
      </c>
      <c r="Z39" s="67">
        <f t="shared" si="19"/>
        <v>6881.2639392176989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8"/>
        <v>55</v>
      </c>
      <c r="M40" s="68">
        <f>$M$14+'[1]Summary 40MLD'!R30/1000</f>
        <v>541.93259611363521</v>
      </c>
      <c r="N40" s="68">
        <f t="shared" si="24"/>
        <v>30</v>
      </c>
      <c r="O40" s="68">
        <f t="shared" si="24"/>
        <v>12.5</v>
      </c>
      <c r="P40" s="68">
        <f t="shared" si="25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8"/>
        <v>55</v>
      </c>
      <c r="M41" s="68">
        <f>$M$14+'[1]Summary 40MLD'!R31/1000</f>
        <v>550.63621778948652</v>
      </c>
      <c r="N41" s="68">
        <f t="shared" si="24"/>
        <v>30</v>
      </c>
      <c r="O41" s="68">
        <f t="shared" si="24"/>
        <v>12.5</v>
      </c>
      <c r="P41" s="68">
        <f t="shared" si="25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8"/>
        <v>55</v>
      </c>
      <c r="M42" s="68">
        <f>$M$14+'[1]Summary 40MLD'!R32/1000</f>
        <v>559.33983946533783</v>
      </c>
      <c r="N42" s="68">
        <f t="shared" si="24"/>
        <v>30</v>
      </c>
      <c r="O42" s="68">
        <f t="shared" si="24"/>
        <v>12.5</v>
      </c>
      <c r="P42" s="68">
        <f t="shared" si="25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0</v>
      </c>
      <c r="D43" s="64"/>
      <c r="E43" s="65">
        <f t="shared" si="11"/>
        <v>0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1180</v>
      </c>
      <c r="J43" s="89">
        <f t="shared" si="13"/>
        <v>1475</v>
      </c>
      <c r="K43" s="67">
        <f t="shared" si="13"/>
        <v>1770</v>
      </c>
      <c r="L43" s="68">
        <f t="shared" si="28"/>
        <v>55</v>
      </c>
      <c r="M43" s="68">
        <f>$M$14+'[1]Summary 40MLD'!R33/1000</f>
        <v>568.04346114118914</v>
      </c>
      <c r="N43" s="68">
        <f t="shared" si="24"/>
        <v>30</v>
      </c>
      <c r="O43" s="68">
        <f t="shared" si="24"/>
        <v>12.5</v>
      </c>
      <c r="P43" s="68">
        <f t="shared" si="25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1812.2662880841297</v>
      </c>
      <c r="U43" s="89">
        <f t="shared" si="15"/>
        <v>2140.5434611411893</v>
      </c>
      <c r="V43" s="67">
        <f t="shared" si="15"/>
        <v>2468.8206341982486</v>
      </c>
      <c r="W43" s="7">
        <f t="shared" si="16"/>
        <v>0.35217228941308076</v>
      </c>
      <c r="X43" s="66">
        <f t="shared" si="17"/>
        <v>638.22996770073371</v>
      </c>
      <c r="Y43" s="89">
        <f t="shared" si="18"/>
        <v>753.84009129829246</v>
      </c>
      <c r="Z43" s="67">
        <f t="shared" si="19"/>
        <v>869.45021489585122</v>
      </c>
      <c r="AA43" s="14"/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0</v>
      </c>
      <c r="D44" s="64"/>
      <c r="E44" s="65">
        <f t="shared" si="11"/>
        <v>0</v>
      </c>
      <c r="F44" s="63">
        <f t="shared" si="12"/>
        <v>2461.2715954843366</v>
      </c>
      <c r="G44" s="64">
        <f>$AC$9+T6+X6</f>
        <v>3076.5894943554204</v>
      </c>
      <c r="H44" s="65">
        <f t="shared" si="6"/>
        <v>3691.9073932265042</v>
      </c>
      <c r="I44" s="66">
        <f t="shared" si="13"/>
        <v>2461.2715954843366</v>
      </c>
      <c r="J44" s="89">
        <f t="shared" si="13"/>
        <v>3076.5894943554204</v>
      </c>
      <c r="K44" s="67">
        <f t="shared" si="13"/>
        <v>3691.9073932265042</v>
      </c>
      <c r="L44" s="68">
        <f t="shared" si="28"/>
        <v>55</v>
      </c>
      <c r="M44" s="68">
        <f>$M$14+'[1]Summary 40MLD'!R34/1000</f>
        <v>576.74708281704034</v>
      </c>
      <c r="N44" s="68">
        <f t="shared" si="24"/>
        <v>30</v>
      </c>
      <c r="O44" s="68">
        <f t="shared" si="24"/>
        <v>12.5</v>
      </c>
      <c r="P44" s="68">
        <f t="shared" si="25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3101.806324160525</v>
      </c>
      <c r="U44" s="89">
        <f t="shared" si="15"/>
        <v>3750.8365771724607</v>
      </c>
      <c r="V44" s="67">
        <f t="shared" si="15"/>
        <v>4399.8668301843963</v>
      </c>
      <c r="W44" s="7">
        <f t="shared" si="16"/>
        <v>0.34013162972095884</v>
      </c>
      <c r="X44" s="66">
        <f t="shared" si="17"/>
        <v>1055.0224401154962</v>
      </c>
      <c r="Y44" s="89">
        <f t="shared" si="18"/>
        <v>1275.7781578106521</v>
      </c>
      <c r="Z44" s="67">
        <f t="shared" si="19"/>
        <v>1496.5338755058081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8"/>
        <v>55</v>
      </c>
      <c r="M45" s="68">
        <f>$M$14+'[1]Summary 40MLD'!R35/1000</f>
        <v>585.45070449289165</v>
      </c>
      <c r="N45" s="68">
        <f t="shared" si="24"/>
        <v>30</v>
      </c>
      <c r="O45" s="68">
        <f t="shared" si="24"/>
        <v>12.5</v>
      </c>
      <c r="P45" s="68">
        <f t="shared" si="25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8"/>
        <v>55</v>
      </c>
      <c r="M46" s="68">
        <f>$M$14+'[1]Summary 40MLD'!R36/1000</f>
        <v>594.15432616874295</v>
      </c>
      <c r="N46" s="68">
        <f t="shared" si="24"/>
        <v>30</v>
      </c>
      <c r="O46" s="68">
        <f t="shared" si="24"/>
        <v>12.5</v>
      </c>
      <c r="P46" s="68">
        <f t="shared" si="25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8"/>
        <v>55</v>
      </c>
      <c r="M47" s="68">
        <f>$M$14+'[1]Summary 40MLD'!R37/1000</f>
        <v>602.85794784459426</v>
      </c>
      <c r="N47" s="68">
        <f t="shared" si="24"/>
        <v>30</v>
      </c>
      <c r="O47" s="68">
        <f t="shared" si="24"/>
        <v>12.5</v>
      </c>
      <c r="P47" s="68">
        <f t="shared" si="25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L63" si="29">L47</f>
        <v>55</v>
      </c>
      <c r="M48" s="68">
        <f>$M$14+'[1]Summary 40MLD'!R38/1000</f>
        <v>611.56156952044557</v>
      </c>
      <c r="N48" s="68">
        <f t="shared" si="24"/>
        <v>30</v>
      </c>
      <c r="O48" s="68">
        <f t="shared" si="24"/>
        <v>12.5</v>
      </c>
      <c r="P48" s="68">
        <f t="shared" si="25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1180</v>
      </c>
      <c r="G49" s="64">
        <f t="shared" si="22"/>
        <v>1475</v>
      </c>
      <c r="H49" s="65">
        <f t="shared" si="6"/>
        <v>1770</v>
      </c>
      <c r="I49" s="66">
        <f t="shared" si="13"/>
        <v>1180</v>
      </c>
      <c r="J49" s="89">
        <f t="shared" si="13"/>
        <v>1475</v>
      </c>
      <c r="K49" s="67">
        <f t="shared" si="13"/>
        <v>1770</v>
      </c>
      <c r="L49" s="68">
        <f t="shared" si="29"/>
        <v>55</v>
      </c>
      <c r="M49" s="68">
        <f>$M$14+'[1]Summary 40MLD'!R39/1000</f>
        <v>620.26519119629688</v>
      </c>
      <c r="N49" s="68">
        <f t="shared" si="24"/>
        <v>30</v>
      </c>
      <c r="O49" s="68">
        <f t="shared" si="24"/>
        <v>12.5</v>
      </c>
      <c r="P49" s="68">
        <f t="shared" si="25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1861.8769316364819</v>
      </c>
      <c r="U49" s="89">
        <f t="shared" si="15"/>
        <v>2192.7651911962967</v>
      </c>
      <c r="V49" s="67">
        <f t="shared" si="15"/>
        <v>2523.6534507561119</v>
      </c>
      <c r="W49" s="7">
        <f t="shared" si="16"/>
        <v>0.28582895186383406</v>
      </c>
      <c r="X49" s="66">
        <f t="shared" si="17"/>
        <v>532.17833186910707</v>
      </c>
      <c r="Y49" s="89">
        <f t="shared" si="18"/>
        <v>626.75577628313715</v>
      </c>
      <c r="Z49" s="67">
        <f t="shared" si="19"/>
        <v>721.33322069716746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9"/>
        <v>55</v>
      </c>
      <c r="M50" s="68">
        <f>$M$14+'[1]Summary 40MLD'!R40/1000</f>
        <v>628.96881287214808</v>
      </c>
      <c r="N50" s="68">
        <f t="shared" si="24"/>
        <v>30</v>
      </c>
      <c r="O50" s="68">
        <f t="shared" si="24"/>
        <v>12.5</v>
      </c>
      <c r="P50" s="68">
        <f t="shared" si="25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9"/>
        <v>55</v>
      </c>
      <c r="M51" s="68">
        <f>$M$14+'[1]Summary 40MLD'!R41/1000</f>
        <v>637.67243454799939</v>
      </c>
      <c r="N51" s="68">
        <f t="shared" si="24"/>
        <v>30</v>
      </c>
      <c r="O51" s="68">
        <f t="shared" si="24"/>
        <v>12.5</v>
      </c>
      <c r="P51" s="68">
        <f t="shared" si="25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9"/>
        <v>55</v>
      </c>
      <c r="M52" s="68">
        <f>$M$14+'[1]Summary 40MLD'!R42/1000</f>
        <v>646.3760562238507</v>
      </c>
      <c r="N52" s="68">
        <f t="shared" si="24"/>
        <v>30</v>
      </c>
      <c r="O52" s="68">
        <f t="shared" si="24"/>
        <v>12.5</v>
      </c>
      <c r="P52" s="68">
        <f t="shared" si="25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9"/>
        <v>55</v>
      </c>
      <c r="M53" s="68">
        <f>$M$14+'[1]Summary 40MLD'!R43/1000</f>
        <v>655.07967789970201</v>
      </c>
      <c r="N53" s="68">
        <f t="shared" si="24"/>
        <v>30</v>
      </c>
      <c r="O53" s="68">
        <f t="shared" si="24"/>
        <v>12.5</v>
      </c>
      <c r="P53" s="68">
        <f t="shared" si="25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2461.2715954843366</v>
      </c>
      <c r="G54" s="64">
        <f>$AC$9+T6+X6+X8</f>
        <v>3076.5894943554204</v>
      </c>
      <c r="H54" s="65">
        <f t="shared" si="6"/>
        <v>3691.9073932265042</v>
      </c>
      <c r="I54" s="66">
        <f t="shared" si="13"/>
        <v>2461.2715954843366</v>
      </c>
      <c r="J54" s="89">
        <f t="shared" si="13"/>
        <v>3076.5894943554204</v>
      </c>
      <c r="K54" s="67">
        <f t="shared" si="13"/>
        <v>3691.9073932265042</v>
      </c>
      <c r="L54" s="68">
        <f t="shared" si="29"/>
        <v>55</v>
      </c>
      <c r="M54" s="68">
        <f>$M$14+'[1]Summary 40MLD'!R44/1000</f>
        <v>663.78329957555331</v>
      </c>
      <c r="N54" s="68">
        <f t="shared" si="24"/>
        <v>30</v>
      </c>
      <c r="O54" s="68">
        <f t="shared" si="24"/>
        <v>12.5</v>
      </c>
      <c r="P54" s="68">
        <f t="shared" si="25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3184.4907300811119</v>
      </c>
      <c r="U54" s="89">
        <f t="shared" si="15"/>
        <v>3837.8727939309738</v>
      </c>
      <c r="V54" s="67">
        <f t="shared" si="15"/>
        <v>4491.2548577808357</v>
      </c>
      <c r="W54" s="7">
        <f t="shared" si="16"/>
        <v>0.24019580240332974</v>
      </c>
      <c r="X54" s="66">
        <f t="shared" si="17"/>
        <v>764.90130615779799</v>
      </c>
      <c r="Y54" s="89">
        <f t="shared" si="18"/>
        <v>921.8409352601592</v>
      </c>
      <c r="Z54" s="67">
        <f t="shared" si="19"/>
        <v>1078.7805643625204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9"/>
        <v>55</v>
      </c>
      <c r="M55" s="68">
        <f>$M$14+'[1]Summary 40MLD'!R45/1000</f>
        <v>672.48692125140451</v>
      </c>
      <c r="N55" s="68">
        <f t="shared" si="24"/>
        <v>30</v>
      </c>
      <c r="O55" s="68">
        <f t="shared" si="24"/>
        <v>12.5</v>
      </c>
      <c r="P55" s="68">
        <f t="shared" si="25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9"/>
        <v>55</v>
      </c>
      <c r="M56" s="68">
        <f>$M$14+'[1]Summary 40MLD'!R46/1000</f>
        <v>681.19054292725582</v>
      </c>
      <c r="N56" s="68">
        <f t="shared" si="24"/>
        <v>30</v>
      </c>
      <c r="O56" s="68">
        <f t="shared" si="24"/>
        <v>12.5</v>
      </c>
      <c r="P56" s="68">
        <f t="shared" si="25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9"/>
        <v>55</v>
      </c>
      <c r="M57" s="68">
        <f>$M$14+'[1]Summary 40MLD'!R47/1000</f>
        <v>689.89416460310713</v>
      </c>
      <c r="N57" s="68">
        <f t="shared" si="24"/>
        <v>30</v>
      </c>
      <c r="O57" s="68">
        <f t="shared" si="24"/>
        <v>12.5</v>
      </c>
      <c r="P57" s="68">
        <f t="shared" si="25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v>15000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16475</v>
      </c>
      <c r="K58" s="67">
        <f t="shared" si="13"/>
        <v>21770</v>
      </c>
      <c r="L58" s="68">
        <f t="shared" si="29"/>
        <v>55</v>
      </c>
      <c r="M58" s="68">
        <f>$M$14+'[1]Summary 40MLD'!R48/1000</f>
        <v>698.59778627895844</v>
      </c>
      <c r="N58" s="68">
        <f>N57*1.5</f>
        <v>45</v>
      </c>
      <c r="O58" s="68">
        <f t="shared" si="24"/>
        <v>12.5</v>
      </c>
      <c r="P58" s="68">
        <f t="shared" si="25"/>
        <v>0</v>
      </c>
      <c r="Q58" s="66">
        <f t="shared" si="14"/>
        <v>770.54289696501053</v>
      </c>
      <c r="R58" s="70">
        <f t="shared" si="7"/>
        <v>811.09778627895844</v>
      </c>
      <c r="S58" s="67">
        <f t="shared" si="8"/>
        <v>851.65267559290635</v>
      </c>
      <c r="T58" s="66">
        <f t="shared" si="21"/>
        <v>13950.542896965011</v>
      </c>
      <c r="U58" s="89">
        <f t="shared" si="15"/>
        <v>17286.097786278959</v>
      </c>
      <c r="V58" s="67">
        <f t="shared" si="15"/>
        <v>22621.652675592908</v>
      </c>
      <c r="W58" s="7">
        <f t="shared" si="16"/>
        <v>0.20899349605515255</v>
      </c>
      <c r="X58" s="66">
        <f t="shared" si="17"/>
        <v>2915.5727319040934</v>
      </c>
      <c r="Y58" s="89">
        <f t="shared" si="18"/>
        <v>3612.6820095056728</v>
      </c>
      <c r="Z58" s="67">
        <f t="shared" si="19"/>
        <v>4727.7782792175576</v>
      </c>
      <c r="AA58" s="14" t="s">
        <v>119</v>
      </c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 t="shared" si="13"/>
        <v>1475</v>
      </c>
      <c r="K59" s="67">
        <f t="shared" si="13"/>
        <v>1770</v>
      </c>
      <c r="L59" s="68">
        <f t="shared" si="29"/>
        <v>55</v>
      </c>
      <c r="M59" s="68">
        <f>$M$14*1.5+'[1]Summary 40MLD'!R49/1000</f>
        <v>727.30140795480975</v>
      </c>
      <c r="N59" s="68">
        <f t="shared" si="24"/>
        <v>45</v>
      </c>
      <c r="O59" s="68">
        <f>O58*1.5</f>
        <v>18.75</v>
      </c>
      <c r="P59" s="68">
        <f t="shared" si="25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1983.7488375570692</v>
      </c>
      <c r="U59" s="89">
        <f t="shared" si="15"/>
        <v>2321.0514079548097</v>
      </c>
      <c r="V59" s="67">
        <f t="shared" si="15"/>
        <v>2658.3539783525503</v>
      </c>
      <c r="W59" s="7">
        <f t="shared" si="16"/>
        <v>0.20184807422749909</v>
      </c>
      <c r="X59" s="66">
        <f t="shared" si="17"/>
        <v>400.41588261193436</v>
      </c>
      <c r="Y59" s="89">
        <f t="shared" si="18"/>
        <v>468.49975687870369</v>
      </c>
      <c r="Z59" s="67">
        <f t="shared" si="19"/>
        <v>536.58363114547308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9"/>
        <v>55</v>
      </c>
      <c r="M60" s="68">
        <f>$M$14*1.5+'[1]Summary 40MLD'!R50/1000</f>
        <v>736.00502963066106</v>
      </c>
      <c r="N60" s="68">
        <f t="shared" si="24"/>
        <v>45</v>
      </c>
      <c r="O60" s="68">
        <f t="shared" si="24"/>
        <v>18.75</v>
      </c>
      <c r="P60" s="68">
        <f t="shared" si="25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9"/>
        <v>55</v>
      </c>
      <c r="M61" s="68">
        <f>$M$14*1.5+'[1]Summary 40MLD'!R51/1000</f>
        <v>744.70865130651225</v>
      </c>
      <c r="N61" s="68">
        <f t="shared" si="24"/>
        <v>45</v>
      </c>
      <c r="O61" s="68">
        <f t="shared" si="24"/>
        <v>18.75</v>
      </c>
      <c r="P61" s="68">
        <f t="shared" si="25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9"/>
        <v>55</v>
      </c>
      <c r="M62" s="68">
        <f>$M$14*1.5+'[1]Summary 40MLD'!R52/1000</f>
        <v>753.41227298236356</v>
      </c>
      <c r="N62" s="68">
        <f t="shared" si="24"/>
        <v>45</v>
      </c>
      <c r="O62" s="68">
        <f t="shared" si="24"/>
        <v>18.75</v>
      </c>
      <c r="P62" s="68">
        <f t="shared" si="25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9"/>
        <v>55</v>
      </c>
      <c r="M63" s="68">
        <f>$M$14*1.5+'[1]Summary 40MLD'!R53/1000</f>
        <v>762.11589465821487</v>
      </c>
      <c r="N63" s="68">
        <f t="shared" si="24"/>
        <v>45</v>
      </c>
      <c r="O63" s="68">
        <f t="shared" si="24"/>
        <v>18.75</v>
      </c>
      <c r="P63" s="68">
        <f t="shared" si="25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2016.8225999253041</v>
      </c>
      <c r="U63" s="89">
        <f t="shared" si="15"/>
        <v>2355.865894658215</v>
      </c>
      <c r="V63" s="67">
        <f t="shared" si="15"/>
        <v>2694.9091893911254</v>
      </c>
      <c r="W63" s="7">
        <f t="shared" si="16"/>
        <v>0.17562727692455368</v>
      </c>
      <c r="X63" s="66">
        <f t="shared" si="17"/>
        <v>354.20906126477973</v>
      </c>
      <c r="Y63" s="89">
        <f t="shared" si="18"/>
        <v>413.75431187824972</v>
      </c>
      <c r="Z63" s="67">
        <f t="shared" si="19"/>
        <v>473.29956249171966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12173.915954843362</v>
      </c>
      <c r="G64" s="64">
        <f>$AC$9+T6+T5+T4+X4+X5+X6</f>
        <v>15217.394943554202</v>
      </c>
      <c r="H64" s="65">
        <f t="shared" si="6"/>
        <v>18260.87393226504</v>
      </c>
      <c r="I64" s="66">
        <f t="shared" si="13"/>
        <v>12173.915954843362</v>
      </c>
      <c r="J64" s="89">
        <f t="shared" si="13"/>
        <v>15217.394943554202</v>
      </c>
      <c r="K64" s="67">
        <f t="shared" si="13"/>
        <v>18260.87393226504</v>
      </c>
      <c r="L64" s="68">
        <f t="shared" ref="L64:L73" si="30">L63</f>
        <v>55</v>
      </c>
      <c r="M64" s="68">
        <f>$M$14*1.5+'[1]Summary 40MLD'!R54/1000</f>
        <v>770.81951633406618</v>
      </c>
      <c r="N64" s="68">
        <f t="shared" si="24"/>
        <v>45</v>
      </c>
      <c r="O64" s="68">
        <f t="shared" si="24"/>
        <v>18.75</v>
      </c>
      <c r="P64" s="68">
        <f t="shared" si="25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13019.006995360725</v>
      </c>
      <c r="U64" s="89">
        <f t="shared" si="15"/>
        <v>16106.964459888268</v>
      </c>
      <c r="V64" s="67">
        <f t="shared" si="15"/>
        <v>19194.921924415808</v>
      </c>
      <c r="W64" s="7">
        <f t="shared" si="16"/>
        <v>0.16962263562348243</v>
      </c>
      <c r="X64" s="66">
        <f t="shared" si="17"/>
        <v>2208.318279753641</v>
      </c>
      <c r="Y64" s="89">
        <f t="shared" si="18"/>
        <v>2732.1057635800089</v>
      </c>
      <c r="Z64" s="67">
        <f t="shared" si="19"/>
        <v>3255.8932474063768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30"/>
        <v>55</v>
      </c>
      <c r="M65" s="68">
        <f>$M$14*1.5+'[1]Summary 40MLD'!R55/1000</f>
        <v>779.52313800991749</v>
      </c>
      <c r="N65" s="68">
        <f t="shared" si="24"/>
        <v>45</v>
      </c>
      <c r="O65" s="68">
        <f t="shared" si="24"/>
        <v>18.75</v>
      </c>
      <c r="P65" s="68">
        <f t="shared" si="25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30"/>
        <v>55</v>
      </c>
      <c r="M66" s="68">
        <f>$M$14*1.5+'[1]Summary 40MLD'!R56/1000</f>
        <v>788.2267596857688</v>
      </c>
      <c r="N66" s="68">
        <f t="shared" si="24"/>
        <v>45</v>
      </c>
      <c r="O66" s="68">
        <f t="shared" si="24"/>
        <v>18.75</v>
      </c>
      <c r="P66" s="68">
        <f t="shared" si="25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30"/>
        <v>55</v>
      </c>
      <c r="M67" s="68">
        <f>$M$14*1.5+'[1]Summary 40MLD'!R57/1000</f>
        <v>796.93038136161999</v>
      </c>
      <c r="N67" s="68">
        <f t="shared" si="24"/>
        <v>45</v>
      </c>
      <c r="O67" s="68">
        <f t="shared" si="24"/>
        <v>18.75</v>
      </c>
      <c r="P67" s="68">
        <f t="shared" si="25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1180</v>
      </c>
      <c r="G68" s="64">
        <f t="shared" si="22"/>
        <v>1475</v>
      </c>
      <c r="H68" s="65">
        <f t="shared" si="6"/>
        <v>1770</v>
      </c>
      <c r="I68" s="66">
        <f t="shared" si="13"/>
        <v>1180</v>
      </c>
      <c r="J68" s="89">
        <f t="shared" si="13"/>
        <v>1475</v>
      </c>
      <c r="K68" s="67">
        <f t="shared" si="13"/>
        <v>1770</v>
      </c>
      <c r="L68" s="68">
        <f t="shared" si="30"/>
        <v>55</v>
      </c>
      <c r="M68" s="68">
        <f>$M$14*1.5+'[1]Summary 40MLD'!R58/1000</f>
        <v>805.6340030374713</v>
      </c>
      <c r="N68" s="68">
        <f t="shared" si="24"/>
        <v>45</v>
      </c>
      <c r="O68" s="68">
        <f t="shared" si="24"/>
        <v>18.75</v>
      </c>
      <c r="P68" s="68">
        <f t="shared" si="25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2058.164802885598</v>
      </c>
      <c r="U68" s="89">
        <f t="shared" si="15"/>
        <v>2399.3840030374713</v>
      </c>
      <c r="V68" s="67">
        <f t="shared" si="15"/>
        <v>2740.6032031893446</v>
      </c>
      <c r="W68" s="7">
        <f t="shared" si="16"/>
        <v>0.14758803973399254</v>
      </c>
      <c r="X68" s="66">
        <f t="shared" si="17"/>
        <v>303.76050870738453</v>
      </c>
      <c r="Y68" s="89">
        <f t="shared" si="18"/>
        <v>354.12038157740039</v>
      </c>
      <c r="Z68" s="67">
        <f t="shared" si="19"/>
        <v>404.4802544474162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30"/>
        <v>55</v>
      </c>
      <c r="M69" s="68">
        <f>$M$14*1.5+'[1]Summary 40MLD'!R59/1000</f>
        <v>814.33762471332261</v>
      </c>
      <c r="N69" s="68">
        <f t="shared" si="24"/>
        <v>45</v>
      </c>
      <c r="O69" s="68">
        <f t="shared" si="24"/>
        <v>18.75</v>
      </c>
      <c r="P69" s="68">
        <f t="shared" si="25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30"/>
        <v>55</v>
      </c>
      <c r="M70" s="68">
        <f>$M$14*1.5+'[1]Summary 40MLD'!R60/1000</f>
        <v>823.04124638917392</v>
      </c>
      <c r="N70" s="68">
        <f t="shared" si="24"/>
        <v>45</v>
      </c>
      <c r="O70" s="68">
        <f t="shared" si="24"/>
        <v>18.75</v>
      </c>
      <c r="P70" s="68">
        <f t="shared" si="25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30"/>
        <v>55</v>
      </c>
      <c r="M71" s="68">
        <f>$M$14*1.5+'[1]Summary 40MLD'!R61/1000</f>
        <v>831.74486806502523</v>
      </c>
      <c r="N71" s="68">
        <f t="shared" si="24"/>
        <v>45</v>
      </c>
      <c r="O71" s="68">
        <f t="shared" si="24"/>
        <v>18.75</v>
      </c>
      <c r="P71" s="68">
        <f t="shared" si="25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30"/>
        <v>55</v>
      </c>
      <c r="M72" s="68">
        <f>$M$14*1.5+'[1]Summary 40MLD'!R62/1000</f>
        <v>840.44848974087643</v>
      </c>
      <c r="N72" s="68">
        <f t="shared" si="24"/>
        <v>45</v>
      </c>
      <c r="O72" s="68">
        <f t="shared" si="24"/>
        <v>18.75</v>
      </c>
      <c r="P72" s="68">
        <f t="shared" si="25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30"/>
        <v>55</v>
      </c>
      <c r="M73" s="68">
        <f>$M$14*1.5+'[1]Summary 40MLD'!R63/1000</f>
        <v>849.15211141672773</v>
      </c>
      <c r="N73" s="68">
        <f t="shared" si="24"/>
        <v>45</v>
      </c>
      <c r="O73" s="68">
        <f t="shared" si="24"/>
        <v>18.75</v>
      </c>
      <c r="P73" s="68">
        <f t="shared" si="25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2099.5070058458914</v>
      </c>
      <c r="U73" s="89">
        <f t="shared" si="15"/>
        <v>2442.9021114167276</v>
      </c>
      <c r="V73" s="67">
        <f t="shared" si="15"/>
        <v>2786.2972169875643</v>
      </c>
      <c r="W73" s="7">
        <f t="shared" si="16"/>
        <v>0.12402532143045074</v>
      </c>
      <c r="X73" s="73">
        <f t="shared" si="17"/>
        <v>260.39203124551989</v>
      </c>
      <c r="Y73" s="91">
        <f t="shared" si="18"/>
        <v>302.9817195915864</v>
      </c>
      <c r="Z73" s="74">
        <f t="shared" si="19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1">SUM(C13:C73)</f>
        <v>46406.684830662605</v>
      </c>
      <c r="D74" s="75">
        <f t="shared" si="31"/>
        <v>53229.649811847339</v>
      </c>
      <c r="E74" s="93">
        <f t="shared" si="31"/>
        <v>62052.614793032073</v>
      </c>
      <c r="F74" s="92">
        <f t="shared" si="31"/>
        <v>96699.646696139738</v>
      </c>
      <c r="G74" s="75">
        <f t="shared" si="31"/>
        <v>120874.55837017467</v>
      </c>
      <c r="H74" s="76">
        <f t="shared" si="31"/>
        <v>145049.47004420956</v>
      </c>
      <c r="I74" s="77">
        <f t="shared" si="31"/>
        <v>143106.33152680233</v>
      </c>
      <c r="J74" s="78">
        <f t="shared" si="31"/>
        <v>174104.20818202198</v>
      </c>
      <c r="K74" s="79">
        <f t="shared" si="31"/>
        <v>207102.08483724168</v>
      </c>
      <c r="L74" s="80">
        <f t="shared" si="31"/>
        <v>3325</v>
      </c>
      <c r="M74" s="80">
        <f t="shared" si="31"/>
        <v>33767.32589499389</v>
      </c>
      <c r="N74" s="80">
        <f t="shared" si="31"/>
        <v>2090</v>
      </c>
      <c r="O74" s="80">
        <f t="shared" si="31"/>
        <v>881.25</v>
      </c>
      <c r="P74" s="80">
        <f t="shared" si="31"/>
        <v>0</v>
      </c>
      <c r="Q74" s="77">
        <f t="shared" si="31"/>
        <v>38060.397100244205</v>
      </c>
      <c r="R74" s="78">
        <f t="shared" si="31"/>
        <v>40063.575894993897</v>
      </c>
      <c r="S74" s="79">
        <f t="shared" si="31"/>
        <v>42066.75468974359</v>
      </c>
      <c r="T74" s="77">
        <f>SUM(T13:T73)</f>
        <v>181166.72862704648</v>
      </c>
      <c r="U74" s="78">
        <f>SUM(U13:U73)</f>
        <v>214167.78407701585</v>
      </c>
      <c r="V74" s="79">
        <f>SUM(V13:V73)</f>
        <v>249168.83952698522</v>
      </c>
      <c r="W74" s="81"/>
      <c r="X74" s="77">
        <f>SUM(X13:X73)</f>
        <v>86948.050329412275</v>
      </c>
      <c r="Y74" s="78">
        <f t="shared" ref="Y74:Z74" si="32">SUM(Y13:Y73)</f>
        <v>101362.08478942046</v>
      </c>
      <c r="Z74" s="79">
        <f t="shared" si="32"/>
        <v>116194.10624153889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O1:Q1"/>
    <mergeCell ref="S1:U1"/>
    <mergeCell ref="W1:Y1"/>
    <mergeCell ref="AA1:AC1"/>
    <mergeCell ref="A6:B6"/>
    <mergeCell ref="A11:B11"/>
    <mergeCell ref="A12:B12"/>
    <mergeCell ref="A74:B74"/>
    <mergeCell ref="A7:B7"/>
    <mergeCell ref="A8:B8"/>
    <mergeCell ref="A1:B1"/>
    <mergeCell ref="C1:K1"/>
    <mergeCell ref="C2:K2"/>
    <mergeCell ref="A3:B3"/>
    <mergeCell ref="A4:C4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82"/>
  <sheetViews>
    <sheetView zoomScale="80" zoomScaleNormal="80" workbookViewId="0">
      <pane xSplit="2" ySplit="12" topLeftCell="D34" activePane="bottomRight" state="frozen"/>
      <selection pane="topRight" activeCell="O65" sqref="O65"/>
      <selection pane="bottomLeft" activeCell="O65" sqref="O65"/>
      <selection pane="bottomRight" activeCell="E43" sqref="E43"/>
    </sheetView>
  </sheetViews>
  <sheetFormatPr defaultRowHeight="12.75"/>
  <cols>
    <col min="1" max="1" width="11.265625" customWidth="1"/>
    <col min="2" max="2" width="4.73046875" customWidth="1"/>
    <col min="3" max="3" width="14" customWidth="1"/>
    <col min="4" max="4" width="13.796875" customWidth="1"/>
    <col min="5" max="5" width="13.265625" customWidth="1"/>
    <col min="6" max="6" width="12.19921875" customWidth="1"/>
    <col min="7" max="7" width="13.265625" customWidth="1"/>
    <col min="8" max="8" width="13.796875" customWidth="1"/>
    <col min="9" max="9" width="10" customWidth="1"/>
    <col min="10" max="10" width="11.19921875" customWidth="1"/>
    <col min="11" max="11" width="10" customWidth="1"/>
    <col min="12" max="12" width="10.265625" customWidth="1"/>
    <col min="13" max="13" width="14.796875" customWidth="1"/>
    <col min="14" max="14" width="10.53125" customWidth="1"/>
    <col min="15" max="15" width="11.53125" customWidth="1"/>
    <col min="16" max="16" width="12.46484375" customWidth="1"/>
    <col min="17" max="17" width="10.73046875" customWidth="1"/>
    <col min="18" max="18" width="10.265625" customWidth="1"/>
    <col min="19" max="19" width="10.53125" customWidth="1"/>
    <col min="20" max="20" width="9.19921875" customWidth="1"/>
    <col min="21" max="21" width="10.265625" customWidth="1"/>
    <col min="22" max="22" width="9" customWidth="1"/>
    <col min="23" max="23" width="10.265625" customWidth="1"/>
    <col min="24" max="24" width="11.796875" customWidth="1"/>
    <col min="25" max="26" width="12.19921875" customWidth="1"/>
    <col min="27" max="27" width="46" bestFit="1" customWidth="1"/>
    <col min="28" max="28" width="9.265625" customWidth="1"/>
    <col min="29" max="29" width="14" bestFit="1" customWidth="1"/>
    <col min="30" max="30" width="14.53125" customWidth="1"/>
    <col min="33" max="33" width="17.265625" customWidth="1"/>
    <col min="34" max="34" width="10.796875" bestFit="1" customWidth="1"/>
    <col min="37" max="37" width="15.73046875" customWidth="1"/>
    <col min="38" max="38" width="10.796875" bestFit="1" customWidth="1"/>
  </cols>
  <sheetData>
    <row r="1" spans="1:38" ht="17.25" customHeight="1">
      <c r="A1" s="194" t="s">
        <v>3</v>
      </c>
      <c r="B1" s="195"/>
      <c r="C1" s="187" t="str">
        <f>'Summary New'!F5</f>
        <v>Inverness Nairn supply resilience</v>
      </c>
      <c r="D1" s="188"/>
      <c r="E1" s="188"/>
      <c r="F1" s="188"/>
      <c r="G1" s="188"/>
      <c r="H1" s="188"/>
      <c r="I1" s="188"/>
      <c r="J1" s="188"/>
      <c r="K1" s="189"/>
      <c r="M1" s="83"/>
      <c r="O1" s="197" t="s">
        <v>73</v>
      </c>
      <c r="P1" s="197"/>
      <c r="Q1" s="197"/>
      <c r="S1" s="197" t="s">
        <v>108</v>
      </c>
      <c r="T1" s="197"/>
      <c r="U1" s="197"/>
      <c r="W1" s="179" t="s">
        <v>107</v>
      </c>
      <c r="X1" s="180"/>
      <c r="Y1" s="180"/>
      <c r="AA1" s="197" t="str">
        <f>'Base Costs'!Q1</f>
        <v>Existing Coag UF</v>
      </c>
      <c r="AB1" s="197"/>
      <c r="AC1" s="197"/>
    </row>
    <row r="2" spans="1:38" ht="17.25" customHeight="1">
      <c r="A2" s="47" t="s">
        <v>15</v>
      </c>
      <c r="B2" s="48"/>
      <c r="C2" s="190" t="s">
        <v>122</v>
      </c>
      <c r="D2" s="188"/>
      <c r="E2" s="188"/>
      <c r="F2" s="188"/>
      <c r="G2" s="188"/>
      <c r="H2" s="188"/>
      <c r="I2" s="188"/>
      <c r="J2" s="188"/>
      <c r="K2" s="189"/>
      <c r="M2" s="8" t="s">
        <v>10</v>
      </c>
      <c r="N2" s="8" t="s">
        <v>13</v>
      </c>
      <c r="O2" s="8" t="s">
        <v>11</v>
      </c>
      <c r="P2" s="8" t="s">
        <v>12</v>
      </c>
      <c r="Q2" s="8" t="s">
        <v>14</v>
      </c>
      <c r="S2" s="8" t="s">
        <v>11</v>
      </c>
      <c r="T2" s="8" t="s">
        <v>12</v>
      </c>
      <c r="U2" s="8" t="s">
        <v>74</v>
      </c>
      <c r="W2" s="8" t="s">
        <v>11</v>
      </c>
      <c r="X2" s="8" t="s">
        <v>12</v>
      </c>
      <c r="Y2" s="8" t="s">
        <v>74</v>
      </c>
      <c r="AA2" s="8" t="s">
        <v>11</v>
      </c>
      <c r="AB2" s="8" t="s">
        <v>12</v>
      </c>
      <c r="AC2" s="8" t="s">
        <v>74</v>
      </c>
    </row>
    <row r="3" spans="1:38" ht="13.15">
      <c r="A3" s="191" t="s">
        <v>17</v>
      </c>
      <c r="B3" s="193"/>
      <c r="C3" s="55">
        <f>'Summary New'!$F$3</f>
        <v>3.5400000000000001E-2</v>
      </c>
      <c r="D3" s="49" t="s">
        <v>18</v>
      </c>
      <c r="E3" s="25" t="s">
        <v>19</v>
      </c>
      <c r="F3" s="25" t="s">
        <v>20</v>
      </c>
      <c r="M3" s="8" t="s">
        <v>16</v>
      </c>
      <c r="N3" s="100">
        <v>60</v>
      </c>
      <c r="O3" s="112" t="s">
        <v>80</v>
      </c>
      <c r="P3" s="112" t="s">
        <v>80</v>
      </c>
      <c r="Q3" s="112" t="s">
        <v>80</v>
      </c>
      <c r="S3" s="105">
        <v>0.7</v>
      </c>
      <c r="T3" s="12">
        <f>S3*T9</f>
        <v>10146.254868293137</v>
      </c>
      <c r="U3" s="97">
        <v>0</v>
      </c>
      <c r="W3" s="105">
        <v>0.56000000000000005</v>
      </c>
      <c r="X3" s="97">
        <f t="shared" ref="X3:X8" si="0">W3*$X$9</f>
        <v>11051.6</v>
      </c>
      <c r="Y3" s="97">
        <v>0</v>
      </c>
      <c r="AA3" s="105">
        <f>'Base Costs'!Q3</f>
        <v>0.6</v>
      </c>
      <c r="AB3" s="97">
        <f>'Base Costs'!R3</f>
        <v>30000</v>
      </c>
      <c r="AC3" s="97">
        <f>(AB3/N3)*25%</f>
        <v>125</v>
      </c>
      <c r="AD3" s="110" t="s">
        <v>79</v>
      </c>
    </row>
    <row r="4" spans="1:38" ht="13.5" thickBot="1">
      <c r="A4" s="191" t="s">
        <v>22</v>
      </c>
      <c r="B4" s="192"/>
      <c r="C4" s="201"/>
      <c r="D4" s="56">
        <f>X74</f>
        <v>94940.187658639363</v>
      </c>
      <c r="E4" s="57">
        <f>Y74</f>
        <v>110361.59784509653</v>
      </c>
      <c r="F4" s="58">
        <f>Z74</f>
        <v>126200.99502366391</v>
      </c>
      <c r="M4" s="8" t="s">
        <v>21</v>
      </c>
      <c r="N4" s="100">
        <v>25</v>
      </c>
      <c r="O4" s="112" t="s">
        <v>80</v>
      </c>
      <c r="P4" s="112" t="s">
        <v>80</v>
      </c>
      <c r="Q4" s="112" t="s">
        <v>80</v>
      </c>
      <c r="S4" s="105">
        <v>0.14000000000000001</v>
      </c>
      <c r="T4" s="97">
        <f>S4*$T$9</f>
        <v>2029.2509736586276</v>
      </c>
      <c r="U4" s="97">
        <f>(T4/N4)</f>
        <v>81.170038946345102</v>
      </c>
      <c r="W4" s="105">
        <v>0.27</v>
      </c>
      <c r="X4" s="97">
        <f t="shared" si="0"/>
        <v>5328.4500000000007</v>
      </c>
      <c r="Y4" s="97">
        <f>(X4/N4)</f>
        <v>213.13800000000003</v>
      </c>
      <c r="AA4" s="105">
        <f>'Base Costs'!Q4</f>
        <v>0.15</v>
      </c>
      <c r="AB4" s="97">
        <f>'Base Costs'!R4</f>
        <v>7500</v>
      </c>
      <c r="AC4" s="97">
        <f>(AB4/N4)</f>
        <v>300</v>
      </c>
      <c r="AD4" s="110" t="s">
        <v>77</v>
      </c>
    </row>
    <row r="5" spans="1:38" ht="13.15">
      <c r="M5" s="8" t="s">
        <v>23</v>
      </c>
      <c r="N5" s="100">
        <v>25</v>
      </c>
      <c r="O5" s="112" t="s">
        <v>80</v>
      </c>
      <c r="P5" s="112" t="s">
        <v>80</v>
      </c>
      <c r="Q5" s="112" t="s">
        <v>80</v>
      </c>
      <c r="S5" s="105">
        <v>0.13</v>
      </c>
      <c r="T5" s="97">
        <f>S5*$T$9</f>
        <v>1884.304475540154</v>
      </c>
      <c r="U5" s="97">
        <f t="shared" ref="U5:U8" si="1">(T5/N5)</f>
        <v>75.372179021606158</v>
      </c>
      <c r="W5" s="105">
        <v>0.08</v>
      </c>
      <c r="X5" s="97">
        <f t="shared" si="0"/>
        <v>1578.8</v>
      </c>
      <c r="Y5" s="97">
        <f>(X5/N5)</f>
        <v>63.152000000000001</v>
      </c>
      <c r="AA5" s="105">
        <f>'Base Costs'!Q5</f>
        <v>0.15</v>
      </c>
      <c r="AB5" s="97">
        <f>'Base Costs'!R5</f>
        <v>7500</v>
      </c>
      <c r="AC5" s="97">
        <f t="shared" ref="AC5:AC8" si="2">(AB5/N5)</f>
        <v>300</v>
      </c>
    </row>
    <row r="6" spans="1:38" ht="12.75" customHeight="1">
      <c r="A6" s="181" t="s">
        <v>92</v>
      </c>
      <c r="B6" s="182"/>
      <c r="I6" s="30">
        <f>SUM(I13:I17)</f>
        <v>35594.684830662605</v>
      </c>
      <c r="J6" s="84">
        <f t="shared" ref="J6:K6" si="3">SUM(J13:J17)</f>
        <v>40214.649811847339</v>
      </c>
      <c r="K6" s="31">
        <f t="shared" si="3"/>
        <v>44834.614793032073</v>
      </c>
      <c r="M6" s="8" t="s">
        <v>24</v>
      </c>
      <c r="N6" s="100">
        <v>10</v>
      </c>
      <c r="O6" s="112" t="s">
        <v>80</v>
      </c>
      <c r="P6" s="112" t="s">
        <v>80</v>
      </c>
      <c r="Q6" s="112" t="s">
        <v>80</v>
      </c>
      <c r="S6" s="105">
        <v>0.03</v>
      </c>
      <c r="T6" s="97">
        <f>S6*$T$9</f>
        <v>434.83949435542019</v>
      </c>
      <c r="U6" s="97">
        <f t="shared" si="1"/>
        <v>43.483949435542016</v>
      </c>
      <c r="W6" s="105">
        <v>0.05</v>
      </c>
      <c r="X6" s="97">
        <f t="shared" si="0"/>
        <v>986.75</v>
      </c>
      <c r="Y6" s="97">
        <f>(X6/N6)</f>
        <v>98.674999999999997</v>
      </c>
      <c r="AA6" s="105">
        <f>'Base Costs'!Q6</f>
        <v>0.05</v>
      </c>
      <c r="AB6" s="97">
        <f>'Base Costs'!R6</f>
        <v>2500</v>
      </c>
      <c r="AC6" s="97">
        <f t="shared" si="2"/>
        <v>250</v>
      </c>
    </row>
    <row r="7" spans="1:38" ht="18.75" customHeight="1">
      <c r="A7" s="181" t="s">
        <v>93</v>
      </c>
      <c r="B7" s="182"/>
      <c r="C7" s="59">
        <f>SUM(C13:C73)</f>
        <v>73613.36966132521</v>
      </c>
      <c r="D7" s="60">
        <f t="shared" ref="D7:E7" si="4">SUM(D13:D73)</f>
        <v>83459.299623694678</v>
      </c>
      <c r="E7" s="61">
        <f t="shared" si="4"/>
        <v>95305.229586064146</v>
      </c>
      <c r="M7" s="8" t="s">
        <v>25</v>
      </c>
      <c r="N7" s="101">
        <v>10000</v>
      </c>
      <c r="O7" s="112" t="s">
        <v>80</v>
      </c>
      <c r="P7" s="112" t="s">
        <v>80</v>
      </c>
      <c r="Q7" s="112" t="s">
        <v>80</v>
      </c>
      <c r="S7" s="105">
        <v>0</v>
      </c>
      <c r="T7" s="97">
        <f>S7*$T$9</f>
        <v>0</v>
      </c>
      <c r="U7" s="97">
        <f t="shared" si="1"/>
        <v>0</v>
      </c>
      <c r="W7" s="105">
        <v>0.04</v>
      </c>
      <c r="X7" s="97">
        <f t="shared" si="0"/>
        <v>789.4</v>
      </c>
      <c r="Y7" s="97">
        <f>(X7/N7)</f>
        <v>7.8939999999999996E-2</v>
      </c>
      <c r="AA7" s="105">
        <f>'Base Costs'!Q7</f>
        <v>0</v>
      </c>
      <c r="AB7" s="97">
        <f>'Base Costs'!R7</f>
        <v>0</v>
      </c>
      <c r="AC7" s="97">
        <f t="shared" si="2"/>
        <v>0</v>
      </c>
    </row>
    <row r="8" spans="1:38" ht="26.25" customHeight="1">
      <c r="A8" s="181" t="s">
        <v>94</v>
      </c>
      <c r="B8" s="182"/>
      <c r="F8" s="59">
        <f>SUM(F13:F73)</f>
        <v>104798.83424646744</v>
      </c>
      <c r="G8" s="59">
        <f t="shared" ref="G8:H8" si="5">SUM(G13:G73)</f>
        <v>130998.5428080843</v>
      </c>
      <c r="H8" s="59">
        <f t="shared" si="5"/>
        <v>157198.25136970115</v>
      </c>
      <c r="M8" s="8" t="s">
        <v>26</v>
      </c>
      <c r="N8" s="101">
        <v>5</v>
      </c>
      <c r="O8" s="112" t="s">
        <v>80</v>
      </c>
      <c r="P8" s="112" t="s">
        <v>80</v>
      </c>
      <c r="Q8" s="112" t="s">
        <v>80</v>
      </c>
      <c r="S8" s="105">
        <v>0</v>
      </c>
      <c r="T8" s="97">
        <f>S8*$T$9</f>
        <v>0</v>
      </c>
      <c r="U8" s="97">
        <f t="shared" si="1"/>
        <v>0</v>
      </c>
      <c r="W8" s="105">
        <v>0</v>
      </c>
      <c r="X8" s="97">
        <f t="shared" si="0"/>
        <v>0</v>
      </c>
      <c r="Y8" s="97">
        <f>(X8/N8)</f>
        <v>0</v>
      </c>
      <c r="AA8" s="105">
        <f>'Base Costs'!Q8</f>
        <v>0.05</v>
      </c>
      <c r="AB8" s="97">
        <f>'Base Costs'!R8</f>
        <v>2500</v>
      </c>
      <c r="AC8" s="97">
        <f t="shared" si="2"/>
        <v>500</v>
      </c>
    </row>
    <row r="9" spans="1:38" ht="13.15">
      <c r="B9" s="1"/>
      <c r="I9" s="1"/>
      <c r="J9" s="1"/>
      <c r="K9" s="1"/>
      <c r="L9" s="1"/>
      <c r="M9" s="8" t="s">
        <v>27</v>
      </c>
      <c r="N9" s="102"/>
      <c r="O9" s="112" t="s">
        <v>80</v>
      </c>
      <c r="P9" s="112" t="s">
        <v>80</v>
      </c>
      <c r="Q9" s="112" t="s">
        <v>80</v>
      </c>
      <c r="R9" s="1"/>
      <c r="S9" s="114">
        <f>SUM(S3:S8)</f>
        <v>1</v>
      </c>
      <c r="T9" s="98">
        <f>'Option 2b'!T9-1000</f>
        <v>14494.649811847339</v>
      </c>
      <c r="U9" s="98">
        <f>SUM(U3:U8)</f>
        <v>200.02616740349328</v>
      </c>
      <c r="V9" s="1"/>
      <c r="W9" s="106">
        <f>SUM(W3:W8)</f>
        <v>1</v>
      </c>
      <c r="X9" s="98">
        <f>'Option 2b'!X9-3000</f>
        <v>19735</v>
      </c>
      <c r="Y9" s="98">
        <f>SUM(Y3:Y8)</f>
        <v>375.04394000000002</v>
      </c>
      <c r="Z9" s="1"/>
      <c r="AA9" s="105">
        <f>'Base Costs'!Q9</f>
        <v>1</v>
      </c>
      <c r="AB9" s="97">
        <f>'Base Costs'!R9</f>
        <v>50000</v>
      </c>
      <c r="AC9" s="98">
        <f>SUM(AC3:AC8)</f>
        <v>1475</v>
      </c>
    </row>
    <row r="10" spans="1:38">
      <c r="B10" s="1"/>
      <c r="C10" s="88" t="s">
        <v>28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C10" s="62"/>
    </row>
    <row r="11" spans="1:38" ht="13.15">
      <c r="A11" s="196" t="s">
        <v>29</v>
      </c>
      <c r="B11" s="196"/>
      <c r="C11" s="35">
        <v>-0.1</v>
      </c>
      <c r="D11" s="35">
        <v>0</v>
      </c>
      <c r="E11" s="35">
        <v>0.1</v>
      </c>
      <c r="F11" s="35">
        <v>-0.2</v>
      </c>
      <c r="G11" s="35">
        <v>0</v>
      </c>
      <c r="H11" s="35">
        <v>0.2</v>
      </c>
      <c r="I11" s="1"/>
      <c r="J11" s="1"/>
      <c r="K11" s="1"/>
      <c r="L11" s="1"/>
      <c r="M11" s="1"/>
      <c r="N11" s="1"/>
      <c r="O11" s="1"/>
      <c r="P11" s="1"/>
      <c r="Q11" s="35">
        <v>-0.05</v>
      </c>
      <c r="R11" s="35">
        <v>0</v>
      </c>
      <c r="S11" s="35">
        <v>0.05</v>
      </c>
      <c r="T11" s="42"/>
      <c r="U11" s="42"/>
      <c r="V11" s="1"/>
      <c r="W11" s="1"/>
      <c r="X11" s="1"/>
      <c r="Y11" s="1"/>
      <c r="Z11" s="1"/>
      <c r="AC11" t="s">
        <v>59</v>
      </c>
    </row>
    <row r="12" spans="1:38" ht="39.4">
      <c r="A12" s="183" t="s">
        <v>30</v>
      </c>
      <c r="B12" s="184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8" t="s">
        <v>41</v>
      </c>
      <c r="N12" s="8" t="s">
        <v>42</v>
      </c>
      <c r="O12" s="8" t="s">
        <v>43</v>
      </c>
      <c r="P12" s="8" t="s">
        <v>44</v>
      </c>
      <c r="Q12" s="8" t="s">
        <v>45</v>
      </c>
      <c r="R12" s="8" t="s">
        <v>46</v>
      </c>
      <c r="S12" s="8" t="s">
        <v>47</v>
      </c>
      <c r="T12" s="8" t="s">
        <v>48</v>
      </c>
      <c r="U12" s="8" t="s">
        <v>49</v>
      </c>
      <c r="V12" s="8" t="s">
        <v>50</v>
      </c>
      <c r="W12" s="8" t="s">
        <v>17</v>
      </c>
      <c r="X12" s="8" t="s">
        <v>51</v>
      </c>
      <c r="Y12" s="8" t="s">
        <v>52</v>
      </c>
      <c r="Z12" s="8" t="s">
        <v>53</v>
      </c>
      <c r="AA12" s="16" t="s">
        <v>54</v>
      </c>
      <c r="AC12" t="s">
        <v>60</v>
      </c>
    </row>
    <row r="13" spans="1:38" ht="13.15">
      <c r="A13" s="3">
        <v>2019</v>
      </c>
      <c r="B13" s="3">
        <v>0</v>
      </c>
      <c r="C13" s="63">
        <f>D13*(1+$C$11)</f>
        <v>15403.342415331303</v>
      </c>
      <c r="D13" s="27">
        <f>(T9+X9)/2</f>
        <v>17114.82490592367</v>
      </c>
      <c r="E13" s="65">
        <f>D13*(1+$E$11)</f>
        <v>18826.307396516037</v>
      </c>
      <c r="F13" s="63">
        <f>G13*(1+$F$11)</f>
        <v>624</v>
      </c>
      <c r="G13" s="64">
        <v>780</v>
      </c>
      <c r="H13" s="65">
        <f t="shared" ref="H13:H73" si="6">G13*(1+$H$11)</f>
        <v>936</v>
      </c>
      <c r="I13" s="66">
        <f>F13+C13</f>
        <v>16027.342415331303</v>
      </c>
      <c r="J13" s="89">
        <f>G13+D13</f>
        <v>17894.82490592367</v>
      </c>
      <c r="K13" s="67">
        <f>H13+E13</f>
        <v>19762.307396516037</v>
      </c>
      <c r="L13" s="68">
        <f>'Base Costs'!L13</f>
        <v>40</v>
      </c>
      <c r="M13" s="68">
        <f>'Base Costs'!M13</f>
        <v>40</v>
      </c>
      <c r="N13" s="68">
        <f>'Base Costs'!N13</f>
        <v>40</v>
      </c>
      <c r="O13" s="68">
        <f>'Base Costs'!O13</f>
        <v>25</v>
      </c>
      <c r="P13" s="68">
        <f>'Base Costs'!P13</f>
        <v>0</v>
      </c>
      <c r="Q13" s="66">
        <f>R13*(1+$Q$11)</f>
        <v>137.75</v>
      </c>
      <c r="R13" s="89">
        <f t="shared" ref="R13:R73" si="7">SUM(L13:P13)</f>
        <v>145</v>
      </c>
      <c r="S13" s="67">
        <f t="shared" ref="S13:S73" si="8">R13*(1+$S$11)</f>
        <v>152.25</v>
      </c>
      <c r="T13" s="66">
        <f>Q13+I13</f>
        <v>16165.092415331303</v>
      </c>
      <c r="U13" s="89">
        <f>R13+J13</f>
        <v>18039.82490592367</v>
      </c>
      <c r="V13" s="67">
        <f>S13+K13</f>
        <v>19914.557396516037</v>
      </c>
      <c r="W13" s="5">
        <v>1</v>
      </c>
      <c r="X13" s="69">
        <f>W13*T13</f>
        <v>16165.092415331303</v>
      </c>
      <c r="Y13" s="89">
        <f>W13*U13</f>
        <v>18039.82490592367</v>
      </c>
      <c r="Z13" s="67">
        <f>W13*V13</f>
        <v>19914.557396516037</v>
      </c>
      <c r="AA13" s="13" t="s">
        <v>55</v>
      </c>
      <c r="AC13" s="12"/>
      <c r="AG13" s="2" t="s">
        <v>87</v>
      </c>
      <c r="AK13" s="2" t="s">
        <v>88</v>
      </c>
    </row>
    <row r="14" spans="1:38" ht="13.15">
      <c r="A14" s="4">
        <f>A13+1</f>
        <v>2020</v>
      </c>
      <c r="B14" s="4">
        <f t="shared" ref="B14:B73" si="9">(B13+1)</f>
        <v>1</v>
      </c>
      <c r="C14" s="63">
        <f t="shared" ref="C14:C73" si="10">D14*(1+$C$11)</f>
        <v>15403.342415331303</v>
      </c>
      <c r="D14" s="27">
        <f>D13</f>
        <v>17114.82490592367</v>
      </c>
      <c r="E14" s="65">
        <f t="shared" ref="E14:E73" si="11">D14*(1+$E$11)</f>
        <v>18826.307396516037</v>
      </c>
      <c r="F14" s="63">
        <f t="shared" ref="F14:F73" si="12">G14*(1+$F$11)</f>
        <v>624</v>
      </c>
      <c r="G14" s="64">
        <v>780</v>
      </c>
      <c r="H14" s="65">
        <f t="shared" si="6"/>
        <v>936</v>
      </c>
      <c r="I14" s="66">
        <f t="shared" ref="I14:K73" si="13">F14+C14</f>
        <v>16027.342415331303</v>
      </c>
      <c r="J14" s="89">
        <f t="shared" si="13"/>
        <v>17894.82490592367</v>
      </c>
      <c r="K14" s="67">
        <f t="shared" si="13"/>
        <v>19762.307396516037</v>
      </c>
      <c r="L14" s="68">
        <f>'Base Costs'!L14</f>
        <v>40</v>
      </c>
      <c r="M14" s="68">
        <f>'Base Costs'!M14</f>
        <v>40</v>
      </c>
      <c r="N14" s="68">
        <f>'Base Costs'!N14</f>
        <v>40</v>
      </c>
      <c r="O14" s="68">
        <f>'Base Costs'!O14</f>
        <v>25</v>
      </c>
      <c r="P14" s="68">
        <f>'Base Costs'!P14</f>
        <v>0</v>
      </c>
      <c r="Q14" s="66">
        <f t="shared" ref="Q14:Q73" si="14">R14*(1+$Q$11)</f>
        <v>137.75</v>
      </c>
      <c r="R14" s="70">
        <f t="shared" si="7"/>
        <v>145</v>
      </c>
      <c r="S14" s="67">
        <f t="shared" si="8"/>
        <v>152.25</v>
      </c>
      <c r="T14" s="66">
        <f>Q14+I14</f>
        <v>16165.092415331303</v>
      </c>
      <c r="U14" s="89">
        <f t="shared" ref="U14:V73" si="15">R14+J14</f>
        <v>18039.82490592367</v>
      </c>
      <c r="V14" s="67">
        <f t="shared" si="15"/>
        <v>19914.557396516037</v>
      </c>
      <c r="W14" s="6">
        <f t="shared" ref="W14:W73" si="16">(1/(1+$C$3))^B14</f>
        <v>0.96581031485416258</v>
      </c>
      <c r="X14" s="66">
        <f t="shared" ref="X14:X73" si="17">W14*T14</f>
        <v>15612.41299529776</v>
      </c>
      <c r="Y14" s="89">
        <f t="shared" ref="Y14:Y73" si="18">W14*U14</f>
        <v>17423.048972304103</v>
      </c>
      <c r="Z14" s="67">
        <f t="shared" ref="Z14:Z73" si="19">W14*V14</f>
        <v>19233.684949310446</v>
      </c>
      <c r="AA14" s="13" t="s">
        <v>55</v>
      </c>
      <c r="AC14" s="179" t="s">
        <v>81</v>
      </c>
      <c r="AD14" s="180"/>
      <c r="AG14" s="179" t="s">
        <v>82</v>
      </c>
      <c r="AH14" s="180"/>
      <c r="AK14" s="179" t="s">
        <v>82</v>
      </c>
      <c r="AL14" s="180"/>
    </row>
    <row r="15" spans="1:38" ht="39.4">
      <c r="A15" s="4">
        <f t="shared" ref="A15:A73" si="20">A14+1</f>
        <v>2021</v>
      </c>
      <c r="B15" s="4">
        <f t="shared" si="9"/>
        <v>2</v>
      </c>
      <c r="C15" s="63">
        <f t="shared" si="10"/>
        <v>0</v>
      </c>
      <c r="D15" s="64"/>
      <c r="E15" s="65">
        <f t="shared" si="11"/>
        <v>0</v>
      </c>
      <c r="F15" s="63">
        <f t="shared" si="12"/>
        <v>1180</v>
      </c>
      <c r="G15" s="64">
        <f>$AC$9</f>
        <v>1475</v>
      </c>
      <c r="H15" s="65">
        <f t="shared" si="6"/>
        <v>1770</v>
      </c>
      <c r="I15" s="66">
        <f t="shared" si="13"/>
        <v>1180</v>
      </c>
      <c r="J15" s="89">
        <f t="shared" si="13"/>
        <v>1475</v>
      </c>
      <c r="K15" s="67">
        <f t="shared" si="13"/>
        <v>1770</v>
      </c>
      <c r="L15" s="68">
        <v>55</v>
      </c>
      <c r="M15" s="68">
        <f>$M$14+'[1]Summary 40MLD'!R5/1000</f>
        <v>275.43486597893968</v>
      </c>
      <c r="N15" s="68">
        <v>30</v>
      </c>
      <c r="O15" s="68">
        <f>O14*0.5</f>
        <v>12.5</v>
      </c>
      <c r="P15" s="68">
        <v>0</v>
      </c>
      <c r="Q15" s="66">
        <f t="shared" si="14"/>
        <v>354.28812267999268</v>
      </c>
      <c r="R15" s="70">
        <f t="shared" si="7"/>
        <v>372.93486597893968</v>
      </c>
      <c r="S15" s="67">
        <f t="shared" si="8"/>
        <v>391.58160927788668</v>
      </c>
      <c r="T15" s="66">
        <f t="shared" ref="T15:T73" si="21">Q15+I15</f>
        <v>1534.2881226799927</v>
      </c>
      <c r="U15" s="89">
        <f t="shared" si="15"/>
        <v>1847.9348659789398</v>
      </c>
      <c r="V15" s="67">
        <f t="shared" si="15"/>
        <v>2161.5816092778869</v>
      </c>
      <c r="W15" s="6">
        <f t="shared" si="16"/>
        <v>0.93278956427869664</v>
      </c>
      <c r="X15" s="66">
        <f t="shared" si="17"/>
        <v>1431.1679494326499</v>
      </c>
      <c r="Y15" s="89">
        <f t="shared" si="18"/>
        <v>1723.7343584519069</v>
      </c>
      <c r="Z15" s="67">
        <f t="shared" si="19"/>
        <v>2016.3007674711639</v>
      </c>
      <c r="AA15" s="14" t="s">
        <v>61</v>
      </c>
      <c r="AC15" s="8" t="s">
        <v>11</v>
      </c>
      <c r="AD15" s="8" t="s">
        <v>12</v>
      </c>
      <c r="AG15" s="8" t="s">
        <v>11</v>
      </c>
      <c r="AH15" s="8" t="s">
        <v>12</v>
      </c>
      <c r="AK15" s="8" t="s">
        <v>11</v>
      </c>
      <c r="AL15" s="8" t="s">
        <v>12</v>
      </c>
    </row>
    <row r="16" spans="1:38">
      <c r="A16" s="4">
        <f t="shared" si="20"/>
        <v>2022</v>
      </c>
      <c r="B16" s="4">
        <f t="shared" si="9"/>
        <v>3</v>
      </c>
      <c r="C16" s="63">
        <f t="shared" si="10"/>
        <v>0</v>
      </c>
      <c r="D16" s="64"/>
      <c r="E16" s="65">
        <f t="shared" si="11"/>
        <v>0</v>
      </c>
      <c r="F16" s="63">
        <f t="shared" si="12"/>
        <v>1180</v>
      </c>
      <c r="G16" s="64">
        <f t="shared" ref="G16:G73" si="22">$AC$9</f>
        <v>1475</v>
      </c>
      <c r="H16" s="65">
        <f t="shared" si="6"/>
        <v>1770</v>
      </c>
      <c r="I16" s="66">
        <f t="shared" si="13"/>
        <v>1180</v>
      </c>
      <c r="J16" s="89">
        <f t="shared" si="13"/>
        <v>1475</v>
      </c>
      <c r="K16" s="67">
        <f t="shared" si="13"/>
        <v>1770</v>
      </c>
      <c r="L16" s="68">
        <f t="shared" ref="L16:O31" si="23">L15</f>
        <v>55</v>
      </c>
      <c r="M16" s="68">
        <f>$M$14+'[1]Summary 40MLD'!R6/1000</f>
        <v>291.51556076584779</v>
      </c>
      <c r="N16" s="68">
        <f t="shared" si="23"/>
        <v>30</v>
      </c>
      <c r="O16" s="68">
        <f>O15</f>
        <v>12.5</v>
      </c>
      <c r="P16" s="68">
        <f t="shared" ref="P16:P73" si="24">P15</f>
        <v>0</v>
      </c>
      <c r="Q16" s="66">
        <f t="shared" si="14"/>
        <v>369.56478272755538</v>
      </c>
      <c r="R16" s="70">
        <f t="shared" si="7"/>
        <v>389.01556076584779</v>
      </c>
      <c r="S16" s="67">
        <f t="shared" si="8"/>
        <v>408.46633880414021</v>
      </c>
      <c r="T16" s="66">
        <f t="shared" si="21"/>
        <v>1549.5647827275554</v>
      </c>
      <c r="U16" s="89">
        <f t="shared" si="15"/>
        <v>1864.0155607658478</v>
      </c>
      <c r="V16" s="67">
        <f t="shared" si="15"/>
        <v>2178.4663388041404</v>
      </c>
      <c r="W16" s="6">
        <f t="shared" si="16"/>
        <v>0.90089778276868515</v>
      </c>
      <c r="X16" s="66">
        <f t="shared" si="17"/>
        <v>1395.9994770156941</v>
      </c>
      <c r="Y16" s="89">
        <f t="shared" si="18"/>
        <v>1679.2874857402796</v>
      </c>
      <c r="Z16" s="67">
        <f t="shared" si="19"/>
        <v>1962.5754944648654</v>
      </c>
      <c r="AA16" s="14"/>
      <c r="AC16" s="105">
        <v>0.41</v>
      </c>
      <c r="AD16" s="97">
        <v>5002</v>
      </c>
      <c r="AG16" s="105">
        <v>0.41</v>
      </c>
      <c r="AH16" s="97">
        <f t="shared" ref="AH16:AH21" si="25">AG16*$AH$22</f>
        <v>2693.3846153846148</v>
      </c>
      <c r="AK16" s="115">
        <f t="shared" ref="AK16:AK21" si="26">AL16/$AL$22</f>
        <v>0.55548301720335247</v>
      </c>
      <c r="AL16" s="97">
        <f>AH16+AG28</f>
        <v>4843.3846153846152</v>
      </c>
    </row>
    <row r="17" spans="1:38">
      <c r="A17" s="4">
        <f t="shared" si="20"/>
        <v>2023</v>
      </c>
      <c r="B17" s="4">
        <f t="shared" si="9"/>
        <v>4</v>
      </c>
      <c r="C17" s="63">
        <f t="shared" si="10"/>
        <v>0</v>
      </c>
      <c r="D17" s="64"/>
      <c r="E17" s="65">
        <f t="shared" si="11"/>
        <v>0</v>
      </c>
      <c r="F17" s="63">
        <f t="shared" si="12"/>
        <v>1180</v>
      </c>
      <c r="G17" s="64">
        <f t="shared" si="22"/>
        <v>1475</v>
      </c>
      <c r="H17" s="65">
        <f t="shared" si="6"/>
        <v>1770</v>
      </c>
      <c r="I17" s="66">
        <f t="shared" si="13"/>
        <v>1180</v>
      </c>
      <c r="J17" s="89">
        <f t="shared" si="13"/>
        <v>1475</v>
      </c>
      <c r="K17" s="67">
        <f t="shared" si="13"/>
        <v>1770</v>
      </c>
      <c r="L17" s="68">
        <f t="shared" si="23"/>
        <v>55</v>
      </c>
      <c r="M17" s="68">
        <f>$M$14+'[1]Summary 40MLD'!R7/1000</f>
        <v>302.30825444493053</v>
      </c>
      <c r="N17" s="68">
        <f t="shared" si="23"/>
        <v>30</v>
      </c>
      <c r="O17" s="68">
        <f t="shared" si="23"/>
        <v>12.5</v>
      </c>
      <c r="P17" s="68">
        <f t="shared" si="24"/>
        <v>0</v>
      </c>
      <c r="Q17" s="66">
        <f t="shared" si="14"/>
        <v>379.81784172268397</v>
      </c>
      <c r="R17" s="70">
        <f t="shared" si="7"/>
        <v>399.80825444493053</v>
      </c>
      <c r="S17" s="67">
        <f t="shared" si="8"/>
        <v>419.79866716717709</v>
      </c>
      <c r="T17" s="66">
        <f t="shared" si="21"/>
        <v>1559.8178417226841</v>
      </c>
      <c r="U17" s="89">
        <f t="shared" si="15"/>
        <v>1874.8082544449305</v>
      </c>
      <c r="V17" s="67">
        <f t="shared" si="15"/>
        <v>2189.798667167177</v>
      </c>
      <c r="W17" s="6">
        <f t="shared" si="16"/>
        <v>0.87009637122724071</v>
      </c>
      <c r="X17" s="66">
        <f t="shared" si="17"/>
        <v>1357.1918438584139</v>
      </c>
      <c r="Y17" s="89">
        <f t="shared" si="18"/>
        <v>1631.2638589394114</v>
      </c>
      <c r="Z17" s="67">
        <f t="shared" si="19"/>
        <v>1905.3358740204089</v>
      </c>
      <c r="AA17" s="14"/>
      <c r="AC17" s="105">
        <v>0.36</v>
      </c>
      <c r="AD17" s="97">
        <v>4392</v>
      </c>
      <c r="AG17" s="105">
        <v>0.36</v>
      </c>
      <c r="AH17" s="97">
        <f t="shared" si="25"/>
        <v>2364.9230769230767</v>
      </c>
      <c r="AK17" s="115">
        <f t="shared" si="26"/>
        <v>0.27123070136744593</v>
      </c>
      <c r="AL17" s="97">
        <f>AH17</f>
        <v>2364.9230769230767</v>
      </c>
    </row>
    <row r="18" spans="1:38">
      <c r="A18" s="4">
        <f t="shared" si="20"/>
        <v>2024</v>
      </c>
      <c r="B18" s="4">
        <f t="shared" si="9"/>
        <v>5</v>
      </c>
      <c r="C18" s="63">
        <f t="shared" si="10"/>
        <v>0</v>
      </c>
      <c r="D18" s="64"/>
      <c r="E18" s="65">
        <f t="shared" si="11"/>
        <v>0</v>
      </c>
      <c r="F18" s="63">
        <f t="shared" si="12"/>
        <v>1180</v>
      </c>
      <c r="G18" s="64">
        <f>$AC$9+X8</f>
        <v>1475</v>
      </c>
      <c r="H18" s="65">
        <f t="shared" si="6"/>
        <v>1770</v>
      </c>
      <c r="I18" s="66">
        <f t="shared" si="13"/>
        <v>1180</v>
      </c>
      <c r="J18" s="89">
        <f t="shared" si="13"/>
        <v>1475</v>
      </c>
      <c r="K18" s="67">
        <f t="shared" si="13"/>
        <v>1770</v>
      </c>
      <c r="L18" s="68">
        <f t="shared" si="23"/>
        <v>55</v>
      </c>
      <c r="M18" s="68">
        <f>$M$14+'[1]Summary 40MLD'!R8/1000</f>
        <v>316.0747916778588</v>
      </c>
      <c r="N18" s="68">
        <f t="shared" si="23"/>
        <v>30</v>
      </c>
      <c r="O18" s="68">
        <f t="shared" si="23"/>
        <v>12.5</v>
      </c>
      <c r="P18" s="68">
        <f t="shared" si="24"/>
        <v>0</v>
      </c>
      <c r="Q18" s="66">
        <f t="shared" si="14"/>
        <v>392.89605209396586</v>
      </c>
      <c r="R18" s="70">
        <f t="shared" si="7"/>
        <v>413.5747916778588</v>
      </c>
      <c r="S18" s="67">
        <f t="shared" si="8"/>
        <v>434.25353126175173</v>
      </c>
      <c r="T18" s="66">
        <f t="shared" si="21"/>
        <v>1572.8960520939659</v>
      </c>
      <c r="U18" s="89">
        <f t="shared" si="15"/>
        <v>1888.5747916778587</v>
      </c>
      <c r="V18" s="67">
        <f t="shared" si="15"/>
        <v>2204.253531261752</v>
      </c>
      <c r="W18" s="6">
        <f t="shared" si="16"/>
        <v>0.84034805024844572</v>
      </c>
      <c r="X18" s="66">
        <f t="shared" si="17"/>
        <v>1321.780130620642</v>
      </c>
      <c r="Y18" s="89">
        <f t="shared" si="18"/>
        <v>1587.0601439348532</v>
      </c>
      <c r="Z18" s="67">
        <f t="shared" si="19"/>
        <v>1852.3401572490648</v>
      </c>
      <c r="AA18" s="14"/>
      <c r="AC18" s="105">
        <v>0.1</v>
      </c>
      <c r="AD18" s="97">
        <v>1220</v>
      </c>
      <c r="AG18" s="105">
        <v>0.1</v>
      </c>
      <c r="AH18" s="97">
        <f t="shared" si="25"/>
        <v>656.92307692307691</v>
      </c>
      <c r="AK18" s="115">
        <f t="shared" si="26"/>
        <v>7.5341861490957202E-2</v>
      </c>
      <c r="AL18" s="97">
        <f>AH18</f>
        <v>656.92307692307691</v>
      </c>
    </row>
    <row r="19" spans="1:38">
      <c r="A19" s="4">
        <f t="shared" si="20"/>
        <v>2025</v>
      </c>
      <c r="B19" s="4">
        <f t="shared" si="9"/>
        <v>6</v>
      </c>
      <c r="C19" s="63">
        <f t="shared" si="10"/>
        <v>0</v>
      </c>
      <c r="D19" s="64"/>
      <c r="E19" s="65">
        <f t="shared" si="11"/>
        <v>0</v>
      </c>
      <c r="F19" s="63">
        <f t="shared" si="12"/>
        <v>1180</v>
      </c>
      <c r="G19" s="64">
        <f t="shared" si="22"/>
        <v>1475</v>
      </c>
      <c r="H19" s="65">
        <f t="shared" si="6"/>
        <v>1770</v>
      </c>
      <c r="I19" s="66">
        <f t="shared" si="13"/>
        <v>1180</v>
      </c>
      <c r="J19" s="89">
        <f t="shared" si="13"/>
        <v>1475</v>
      </c>
      <c r="K19" s="67">
        <f t="shared" si="13"/>
        <v>1770</v>
      </c>
      <c r="L19" s="68">
        <f t="shared" si="23"/>
        <v>55</v>
      </c>
      <c r="M19" s="68">
        <f>$M$14+'[1]Summary 40MLD'!R9/1000</f>
        <v>326.23258389956914</v>
      </c>
      <c r="N19" s="68">
        <f t="shared" si="23"/>
        <v>30</v>
      </c>
      <c r="O19" s="68">
        <f t="shared" si="23"/>
        <v>12.5</v>
      </c>
      <c r="P19" s="68">
        <f t="shared" si="24"/>
        <v>0</v>
      </c>
      <c r="Q19" s="66">
        <f t="shared" si="14"/>
        <v>402.54595470459066</v>
      </c>
      <c r="R19" s="70">
        <f t="shared" si="7"/>
        <v>423.73258389956914</v>
      </c>
      <c r="S19" s="67">
        <f t="shared" si="8"/>
        <v>444.91921309454762</v>
      </c>
      <c r="T19" s="66">
        <f t="shared" si="21"/>
        <v>1582.5459547045907</v>
      </c>
      <c r="U19" s="89">
        <f t="shared" si="15"/>
        <v>1898.7325838995691</v>
      </c>
      <c r="V19" s="67">
        <f t="shared" si="15"/>
        <v>2214.9192130945476</v>
      </c>
      <c r="W19" s="6">
        <f t="shared" si="16"/>
        <v>0.81161681499753291</v>
      </c>
      <c r="X19" s="66">
        <f t="shared" si="17"/>
        <v>1284.42090734457</v>
      </c>
      <c r="Y19" s="89">
        <f t="shared" si="18"/>
        <v>1541.0432922766042</v>
      </c>
      <c r="Z19" s="67">
        <f t="shared" si="19"/>
        <v>1797.6656772086385</v>
      </c>
      <c r="AA19" s="14"/>
      <c r="AC19" s="105">
        <v>7.0000000000000007E-2</v>
      </c>
      <c r="AD19" s="97">
        <v>854.00000000000011</v>
      </c>
      <c r="AG19" s="105">
        <v>7.0000000000000007E-2</v>
      </c>
      <c r="AH19" s="97">
        <f t="shared" si="25"/>
        <v>459.84615384615387</v>
      </c>
      <c r="AK19" s="115">
        <f t="shared" si="26"/>
        <v>5.2739303043670048E-2</v>
      </c>
      <c r="AL19" s="97">
        <f>AH19</f>
        <v>459.84615384615387</v>
      </c>
    </row>
    <row r="20" spans="1:38">
      <c r="A20" s="4">
        <f t="shared" si="20"/>
        <v>2026</v>
      </c>
      <c r="B20" s="4">
        <f t="shared" si="9"/>
        <v>7</v>
      </c>
      <c r="C20" s="63">
        <f t="shared" si="10"/>
        <v>0</v>
      </c>
      <c r="D20" s="64"/>
      <c r="E20" s="65">
        <f t="shared" si="11"/>
        <v>0</v>
      </c>
      <c r="F20" s="63">
        <f t="shared" si="12"/>
        <v>1180</v>
      </c>
      <c r="G20" s="64">
        <f t="shared" si="22"/>
        <v>1475</v>
      </c>
      <c r="H20" s="65">
        <f t="shared" si="6"/>
        <v>1770</v>
      </c>
      <c r="I20" s="66">
        <f t="shared" si="13"/>
        <v>1180</v>
      </c>
      <c r="J20" s="89">
        <f t="shared" si="13"/>
        <v>1475</v>
      </c>
      <c r="K20" s="67">
        <f t="shared" si="13"/>
        <v>1770</v>
      </c>
      <c r="L20" s="68">
        <f t="shared" si="23"/>
        <v>55</v>
      </c>
      <c r="M20" s="68">
        <f>$M$14+'[1]Summary 40MLD'!R10/1000</f>
        <v>330.97372987921659</v>
      </c>
      <c r="N20" s="68">
        <f t="shared" si="23"/>
        <v>30</v>
      </c>
      <c r="O20" s="68">
        <f t="shared" si="23"/>
        <v>12.5</v>
      </c>
      <c r="P20" s="68">
        <f t="shared" si="24"/>
        <v>0</v>
      </c>
      <c r="Q20" s="66">
        <f t="shared" si="14"/>
        <v>407.05004338525572</v>
      </c>
      <c r="R20" s="70">
        <f t="shared" si="7"/>
        <v>428.47372987921659</v>
      </c>
      <c r="S20" s="67">
        <f t="shared" si="8"/>
        <v>449.89741637317746</v>
      </c>
      <c r="T20" s="66">
        <f t="shared" si="21"/>
        <v>1587.0500433852558</v>
      </c>
      <c r="U20" s="89">
        <f t="shared" si="15"/>
        <v>1903.4737298792165</v>
      </c>
      <c r="V20" s="67">
        <f t="shared" si="15"/>
        <v>2219.8974163731773</v>
      </c>
      <c r="W20" s="6">
        <f t="shared" si="16"/>
        <v>0.78386789163369996</v>
      </c>
      <c r="X20" s="66">
        <f t="shared" si="17"/>
        <v>1244.0375714255724</v>
      </c>
      <c r="Y20" s="89">
        <f t="shared" si="18"/>
        <v>1492.0719394205564</v>
      </c>
      <c r="Z20" s="67">
        <f t="shared" si="19"/>
        <v>1740.1063074155402</v>
      </c>
      <c r="AA20" s="14"/>
      <c r="AC20" s="105">
        <v>0</v>
      </c>
      <c r="AD20" s="97">
        <v>0</v>
      </c>
      <c r="AG20" s="105">
        <v>0</v>
      </c>
      <c r="AH20" s="97">
        <f t="shared" si="25"/>
        <v>0</v>
      </c>
      <c r="AK20" s="115">
        <f t="shared" si="26"/>
        <v>0</v>
      </c>
      <c r="AL20" s="97">
        <f>AH20</f>
        <v>0</v>
      </c>
    </row>
    <row r="21" spans="1:38">
      <c r="A21" s="4">
        <f t="shared" si="20"/>
        <v>2027</v>
      </c>
      <c r="B21" s="4">
        <f t="shared" si="9"/>
        <v>8</v>
      </c>
      <c r="C21" s="63">
        <f t="shared" si="10"/>
        <v>0</v>
      </c>
      <c r="D21" s="64"/>
      <c r="E21" s="65">
        <f t="shared" si="11"/>
        <v>0</v>
      </c>
      <c r="F21" s="63">
        <f t="shared" si="12"/>
        <v>1180</v>
      </c>
      <c r="G21" s="64">
        <f t="shared" si="22"/>
        <v>1475</v>
      </c>
      <c r="H21" s="65">
        <f t="shared" si="6"/>
        <v>1770</v>
      </c>
      <c r="I21" s="66">
        <f t="shared" si="13"/>
        <v>1180</v>
      </c>
      <c r="J21" s="89">
        <f t="shared" si="13"/>
        <v>1475</v>
      </c>
      <c r="K21" s="67">
        <f t="shared" si="13"/>
        <v>1770</v>
      </c>
      <c r="L21" s="68">
        <f t="shared" si="23"/>
        <v>55</v>
      </c>
      <c r="M21" s="68">
        <f>$M$14+'[1]Summary 40MLD'!R11/1000</f>
        <v>336.42671869662865</v>
      </c>
      <c r="N21" s="68">
        <f t="shared" si="23"/>
        <v>30</v>
      </c>
      <c r="O21" s="68">
        <f t="shared" si="23"/>
        <v>12.5</v>
      </c>
      <c r="P21" s="68">
        <f t="shared" si="24"/>
        <v>0</v>
      </c>
      <c r="Q21" s="66">
        <f t="shared" si="14"/>
        <v>412.23038276179722</v>
      </c>
      <c r="R21" s="70">
        <f t="shared" si="7"/>
        <v>433.92671869662865</v>
      </c>
      <c r="S21" s="67">
        <f t="shared" si="8"/>
        <v>455.62305463146009</v>
      </c>
      <c r="T21" s="66">
        <f t="shared" si="21"/>
        <v>1592.2303827617973</v>
      </c>
      <c r="U21" s="89">
        <f t="shared" si="15"/>
        <v>1908.9267186966285</v>
      </c>
      <c r="V21" s="67">
        <f t="shared" si="15"/>
        <v>2225.62305463146</v>
      </c>
      <c r="W21" s="6">
        <f t="shared" si="16"/>
        <v>0.75706769522281225</v>
      </c>
      <c r="X21" s="66">
        <f t="shared" si="17"/>
        <v>1205.4261861412101</v>
      </c>
      <c r="Y21" s="89">
        <f t="shared" si="18"/>
        <v>1445.1867512729023</v>
      </c>
      <c r="Z21" s="67">
        <f t="shared" si="19"/>
        <v>1684.9473164045946</v>
      </c>
      <c r="AA21" s="14"/>
      <c r="AC21" s="105">
        <v>0.05</v>
      </c>
      <c r="AD21" s="97">
        <v>610</v>
      </c>
      <c r="AG21" s="105">
        <v>0.05</v>
      </c>
      <c r="AH21" s="97">
        <f t="shared" si="25"/>
        <v>328.46153846153845</v>
      </c>
      <c r="AK21" s="115">
        <f t="shared" si="26"/>
        <v>3.7670930745478601E-2</v>
      </c>
      <c r="AL21" s="97">
        <f>AH21</f>
        <v>328.46153846153845</v>
      </c>
    </row>
    <row r="22" spans="1:38" ht="13.15">
      <c r="A22" s="4">
        <f t="shared" si="20"/>
        <v>2028</v>
      </c>
      <c r="B22" s="4">
        <f t="shared" si="9"/>
        <v>9</v>
      </c>
      <c r="C22" s="63">
        <f t="shared" si="10"/>
        <v>0</v>
      </c>
      <c r="D22" s="64"/>
      <c r="E22" s="65">
        <f t="shared" si="11"/>
        <v>0</v>
      </c>
      <c r="F22" s="63">
        <f t="shared" si="12"/>
        <v>1180</v>
      </c>
      <c r="G22" s="64">
        <f>$AC$9+X8</f>
        <v>1475</v>
      </c>
      <c r="H22" s="65">
        <f t="shared" si="6"/>
        <v>1770</v>
      </c>
      <c r="I22" s="66">
        <f t="shared" si="13"/>
        <v>1180</v>
      </c>
      <c r="J22" s="89">
        <f t="shared" si="13"/>
        <v>1475</v>
      </c>
      <c r="K22" s="67">
        <f t="shared" si="13"/>
        <v>1770</v>
      </c>
      <c r="L22" s="68">
        <f t="shared" si="23"/>
        <v>55</v>
      </c>
      <c r="M22" s="68">
        <f>$M$14+'[1]Summary 40MLD'!R12/1000</f>
        <v>344.07809776603415</v>
      </c>
      <c r="N22" s="68">
        <f t="shared" si="23"/>
        <v>30</v>
      </c>
      <c r="O22" s="68">
        <f t="shared" si="23"/>
        <v>12.5</v>
      </c>
      <c r="P22" s="68">
        <f t="shared" si="24"/>
        <v>0</v>
      </c>
      <c r="Q22" s="66">
        <f t="shared" si="14"/>
        <v>419.49919287773241</v>
      </c>
      <c r="R22" s="70">
        <f t="shared" si="7"/>
        <v>441.57809776603415</v>
      </c>
      <c r="S22" s="67">
        <f t="shared" si="8"/>
        <v>463.65700265433588</v>
      </c>
      <c r="T22" s="66">
        <f t="shared" si="21"/>
        <v>1599.4991928777324</v>
      </c>
      <c r="U22" s="89">
        <f t="shared" si="15"/>
        <v>1916.5780977660343</v>
      </c>
      <c r="V22" s="67">
        <f t="shared" si="15"/>
        <v>2233.6570026543359</v>
      </c>
      <c r="W22" s="6">
        <f t="shared" si="16"/>
        <v>0.73118378908905945</v>
      </c>
      <c r="X22" s="66">
        <f t="shared" si="17"/>
        <v>1169.5278804932327</v>
      </c>
      <c r="Y22" s="89">
        <f t="shared" si="18"/>
        <v>1401.3708356096708</v>
      </c>
      <c r="Z22" s="67">
        <f t="shared" si="19"/>
        <v>1633.2137907261088</v>
      </c>
      <c r="AA22" s="14"/>
      <c r="AC22" s="106">
        <v>0.99</v>
      </c>
      <c r="AD22" s="98">
        <v>12200</v>
      </c>
      <c r="AG22" s="106">
        <f>SUM(AG16:AG21)</f>
        <v>0.99</v>
      </c>
      <c r="AH22" s="98">
        <f>(12200/1.3)*0.7</f>
        <v>6569.2307692307686</v>
      </c>
      <c r="AK22" s="106">
        <f>SUM(AK16:AK21)</f>
        <v>0.99246581385090427</v>
      </c>
      <c r="AL22" s="98">
        <f>AH22+AG28</f>
        <v>8719.2307692307695</v>
      </c>
    </row>
    <row r="23" spans="1:38">
      <c r="A23" s="4">
        <f t="shared" si="20"/>
        <v>2029</v>
      </c>
      <c r="B23" s="4">
        <f t="shared" si="9"/>
        <v>10</v>
      </c>
      <c r="C23" s="63">
        <f t="shared" si="10"/>
        <v>0</v>
      </c>
      <c r="D23" s="64"/>
      <c r="E23" s="65">
        <f t="shared" si="11"/>
        <v>0</v>
      </c>
      <c r="F23" s="63">
        <f t="shared" si="12"/>
        <v>1180</v>
      </c>
      <c r="G23" s="64">
        <f t="shared" si="22"/>
        <v>1475</v>
      </c>
      <c r="H23" s="65">
        <f t="shared" si="6"/>
        <v>1770</v>
      </c>
      <c r="I23" s="66">
        <f t="shared" si="13"/>
        <v>1180</v>
      </c>
      <c r="J23" s="89">
        <f t="shared" si="13"/>
        <v>1475</v>
      </c>
      <c r="K23" s="67">
        <f t="shared" si="13"/>
        <v>1770</v>
      </c>
      <c r="L23" s="68">
        <f t="shared" si="23"/>
        <v>55</v>
      </c>
      <c r="M23" s="68">
        <f>$M$14+'[1]Summary 40MLD'!R13/1000</f>
        <v>358.31074175170977</v>
      </c>
      <c r="N23" s="68">
        <f t="shared" si="23"/>
        <v>30</v>
      </c>
      <c r="O23" s="68">
        <f t="shared" si="23"/>
        <v>12.5</v>
      </c>
      <c r="P23" s="68">
        <f t="shared" si="24"/>
        <v>0</v>
      </c>
      <c r="Q23" s="66">
        <f t="shared" si="14"/>
        <v>433.02020466412426</v>
      </c>
      <c r="R23" s="70">
        <f t="shared" si="7"/>
        <v>455.81074175170977</v>
      </c>
      <c r="S23" s="67">
        <f t="shared" si="8"/>
        <v>478.60127883929528</v>
      </c>
      <c r="T23" s="66">
        <f t="shared" si="21"/>
        <v>1613.0202046641243</v>
      </c>
      <c r="U23" s="89">
        <f t="shared" si="15"/>
        <v>1930.8107417517099</v>
      </c>
      <c r="V23" s="67">
        <f t="shared" si="15"/>
        <v>2248.6012788392954</v>
      </c>
      <c r="W23" s="6">
        <f t="shared" si="16"/>
        <v>0.70618484555636418</v>
      </c>
      <c r="X23" s="66">
        <f t="shared" si="17"/>
        <v>1139.0904241100295</v>
      </c>
      <c r="Y23" s="89">
        <f t="shared" si="18"/>
        <v>1363.5092854625002</v>
      </c>
      <c r="Z23" s="67">
        <f t="shared" si="19"/>
        <v>1587.9281468149709</v>
      </c>
      <c r="AA23" s="14"/>
    </row>
    <row r="24" spans="1:38">
      <c r="A24" s="4">
        <f t="shared" si="20"/>
        <v>2030</v>
      </c>
      <c r="B24" s="4">
        <f t="shared" si="9"/>
        <v>11</v>
      </c>
      <c r="C24" s="63">
        <f t="shared" si="10"/>
        <v>0</v>
      </c>
      <c r="D24" s="64"/>
      <c r="E24" s="65">
        <f t="shared" si="11"/>
        <v>0</v>
      </c>
      <c r="F24" s="63">
        <f t="shared" si="12"/>
        <v>2317.2715954843366</v>
      </c>
      <c r="G24" s="64">
        <f>$AC$9+T6+X6</f>
        <v>2896.5894943554204</v>
      </c>
      <c r="H24" s="65">
        <f t="shared" si="6"/>
        <v>3475.9073932265042</v>
      </c>
      <c r="I24" s="66">
        <f t="shared" si="13"/>
        <v>2317.2715954843366</v>
      </c>
      <c r="J24" s="89">
        <f t="shared" si="13"/>
        <v>2896.5894943554204</v>
      </c>
      <c r="K24" s="67">
        <f t="shared" si="13"/>
        <v>3475.9073932265042</v>
      </c>
      <c r="L24" s="68">
        <f t="shared" si="23"/>
        <v>55</v>
      </c>
      <c r="M24" s="68">
        <f>$M$14+'[1]Summary 40MLD'!R14/1000</f>
        <v>368.40388078689898</v>
      </c>
      <c r="N24" s="68">
        <f t="shared" si="23"/>
        <v>30</v>
      </c>
      <c r="O24" s="68">
        <f t="shared" si="23"/>
        <v>12.5</v>
      </c>
      <c r="P24" s="68">
        <f t="shared" si="24"/>
        <v>0</v>
      </c>
      <c r="Q24" s="66">
        <f t="shared" si="14"/>
        <v>442.60868674755403</v>
      </c>
      <c r="R24" s="70">
        <f t="shared" si="7"/>
        <v>465.90388078689898</v>
      </c>
      <c r="S24" s="67">
        <f t="shared" si="8"/>
        <v>489.19907482624393</v>
      </c>
      <c r="T24" s="66">
        <f t="shared" si="21"/>
        <v>2759.8802822318908</v>
      </c>
      <c r="U24" s="89">
        <f t="shared" si="15"/>
        <v>3362.4933751423196</v>
      </c>
      <c r="V24" s="67">
        <f t="shared" si="15"/>
        <v>3965.1064680527479</v>
      </c>
      <c r="W24" s="6">
        <f t="shared" si="16"/>
        <v>0.68204060803203026</v>
      </c>
      <c r="X24" s="66">
        <f t="shared" si="17"/>
        <v>1882.35042578905</v>
      </c>
      <c r="Y24" s="89">
        <f t="shared" si="18"/>
        <v>2293.3570260857414</v>
      </c>
      <c r="Z24" s="67">
        <f t="shared" si="19"/>
        <v>2704.3636263824324</v>
      </c>
      <c r="AA24" s="14"/>
      <c r="AC24" t="s">
        <v>86</v>
      </c>
    </row>
    <row r="25" spans="1:38">
      <c r="A25" s="4">
        <f t="shared" si="20"/>
        <v>2031</v>
      </c>
      <c r="B25" s="4">
        <f t="shared" si="9"/>
        <v>12</v>
      </c>
      <c r="C25" s="63">
        <f t="shared" si="10"/>
        <v>0</v>
      </c>
      <c r="D25" s="64"/>
      <c r="E25" s="65">
        <f t="shared" si="11"/>
        <v>0</v>
      </c>
      <c r="F25" s="63">
        <f>G25*(1+$F$11)</f>
        <v>1180</v>
      </c>
      <c r="G25" s="64">
        <f t="shared" si="22"/>
        <v>1475</v>
      </c>
      <c r="H25" s="65">
        <f t="shared" si="6"/>
        <v>1770</v>
      </c>
      <c r="I25" s="66">
        <f t="shared" si="13"/>
        <v>1180</v>
      </c>
      <c r="J25" s="89">
        <f t="shared" si="13"/>
        <v>1475</v>
      </c>
      <c r="K25" s="67">
        <f t="shared" si="13"/>
        <v>1770</v>
      </c>
      <c r="L25" s="68">
        <f t="shared" si="23"/>
        <v>55</v>
      </c>
      <c r="M25" s="68">
        <f>$M$14+'[1]Summary 40MLD'!R15/1000</f>
        <v>378.92006329236165</v>
      </c>
      <c r="N25" s="68">
        <f t="shared" si="23"/>
        <v>30</v>
      </c>
      <c r="O25" s="68">
        <f t="shared" si="23"/>
        <v>12.5</v>
      </c>
      <c r="P25" s="68">
        <f t="shared" si="24"/>
        <v>0</v>
      </c>
      <c r="Q25" s="66">
        <f t="shared" si="14"/>
        <v>452.59906012774354</v>
      </c>
      <c r="R25" s="70">
        <f t="shared" si="7"/>
        <v>476.42006329236165</v>
      </c>
      <c r="S25" s="67">
        <f t="shared" si="8"/>
        <v>500.24106645697975</v>
      </c>
      <c r="T25" s="66">
        <f t="shared" si="21"/>
        <v>1632.5990601277435</v>
      </c>
      <c r="U25" s="89">
        <f t="shared" si="15"/>
        <v>1951.4200632923616</v>
      </c>
      <c r="V25" s="67">
        <f t="shared" si="15"/>
        <v>2270.2410664569798</v>
      </c>
      <c r="W25" s="6">
        <f t="shared" si="16"/>
        <v>0.65872185438673958</v>
      </c>
      <c r="X25" s="66">
        <f t="shared" si="17"/>
        <v>1075.4286803573955</v>
      </c>
      <c r="Y25" s="89">
        <f t="shared" si="18"/>
        <v>1285.4430427794332</v>
      </c>
      <c r="Z25" s="67">
        <f t="shared" si="19"/>
        <v>1495.4574052014709</v>
      </c>
      <c r="AA25" s="14"/>
      <c r="AC25" t="s">
        <v>83</v>
      </c>
      <c r="AG25">
        <v>700</v>
      </c>
    </row>
    <row r="26" spans="1:38">
      <c r="A26" s="4">
        <f t="shared" si="20"/>
        <v>2032</v>
      </c>
      <c r="B26" s="4">
        <f t="shared" si="9"/>
        <v>13</v>
      </c>
      <c r="C26" s="63">
        <f t="shared" si="10"/>
        <v>0</v>
      </c>
      <c r="D26" s="64"/>
      <c r="E26" s="65">
        <f t="shared" si="11"/>
        <v>0</v>
      </c>
      <c r="F26" s="63">
        <f t="shared" si="12"/>
        <v>1180</v>
      </c>
      <c r="G26" s="64">
        <f>$AC$9+X8</f>
        <v>1475</v>
      </c>
      <c r="H26" s="65">
        <f t="shared" si="6"/>
        <v>1770</v>
      </c>
      <c r="I26" s="66">
        <f t="shared" si="13"/>
        <v>1180</v>
      </c>
      <c r="J26" s="89">
        <f t="shared" si="13"/>
        <v>1475</v>
      </c>
      <c r="K26" s="67">
        <f t="shared" si="13"/>
        <v>1770</v>
      </c>
      <c r="L26" s="68">
        <f t="shared" si="23"/>
        <v>55</v>
      </c>
      <c r="M26" s="68">
        <f>$M$14+'[1]Summary 40MLD'!R16/1000</f>
        <v>386.06526709799408</v>
      </c>
      <c r="N26" s="68">
        <f t="shared" si="23"/>
        <v>30</v>
      </c>
      <c r="O26" s="68">
        <f t="shared" si="23"/>
        <v>12.5</v>
      </c>
      <c r="P26" s="68">
        <f t="shared" si="24"/>
        <v>0</v>
      </c>
      <c r="Q26" s="66">
        <f t="shared" si="14"/>
        <v>459.38700374309434</v>
      </c>
      <c r="R26" s="70">
        <f t="shared" si="7"/>
        <v>483.56526709799408</v>
      </c>
      <c r="S26" s="67">
        <f t="shared" si="8"/>
        <v>507.74353045289382</v>
      </c>
      <c r="T26" s="66">
        <f t="shared" si="21"/>
        <v>1639.3870037430943</v>
      </c>
      <c r="U26" s="89">
        <f t="shared" si="15"/>
        <v>1958.5652670979941</v>
      </c>
      <c r="V26" s="67">
        <f t="shared" si="15"/>
        <v>2277.743530452894</v>
      </c>
      <c r="W26" s="6">
        <f t="shared" si="16"/>
        <v>0.63620036158657478</v>
      </c>
      <c r="X26" s="66">
        <f t="shared" si="17"/>
        <v>1042.9786045616879</v>
      </c>
      <c r="Y26" s="89">
        <f t="shared" si="18"/>
        <v>1246.0399311186502</v>
      </c>
      <c r="Z26" s="67">
        <f t="shared" si="19"/>
        <v>1449.1012576756125</v>
      </c>
      <c r="AA26" s="14"/>
      <c r="AC26" t="s">
        <v>84</v>
      </c>
      <c r="AG26">
        <f>2*200</f>
        <v>400</v>
      </c>
    </row>
    <row r="27" spans="1:38">
      <c r="A27" s="4">
        <f t="shared" si="20"/>
        <v>2033</v>
      </c>
      <c r="B27" s="4">
        <f t="shared" si="9"/>
        <v>14</v>
      </c>
      <c r="C27" s="63">
        <f t="shared" si="10"/>
        <v>0</v>
      </c>
      <c r="D27" s="64"/>
      <c r="E27" s="65">
        <f t="shared" si="11"/>
        <v>0</v>
      </c>
      <c r="F27" s="63">
        <f t="shared" si="12"/>
        <v>1180</v>
      </c>
      <c r="G27" s="64">
        <f t="shared" si="22"/>
        <v>1475</v>
      </c>
      <c r="H27" s="65">
        <f t="shared" si="6"/>
        <v>1770</v>
      </c>
      <c r="I27" s="66">
        <f t="shared" si="13"/>
        <v>1180</v>
      </c>
      <c r="J27" s="89">
        <f t="shared" si="13"/>
        <v>1475</v>
      </c>
      <c r="K27" s="67">
        <f t="shared" si="13"/>
        <v>1770</v>
      </c>
      <c r="L27" s="68">
        <f t="shared" si="23"/>
        <v>55</v>
      </c>
      <c r="M27" s="68">
        <f>$M$14+'[1]Summary 40MLD'!R17/1000</f>
        <v>395.18188690263975</v>
      </c>
      <c r="N27" s="68">
        <f t="shared" si="23"/>
        <v>30</v>
      </c>
      <c r="O27" s="68">
        <f t="shared" si="23"/>
        <v>12.5</v>
      </c>
      <c r="P27" s="68">
        <f t="shared" si="24"/>
        <v>0</v>
      </c>
      <c r="Q27" s="66">
        <f t="shared" si="14"/>
        <v>468.04779255750776</v>
      </c>
      <c r="R27" s="70">
        <f t="shared" si="7"/>
        <v>492.68188690263975</v>
      </c>
      <c r="S27" s="67">
        <f t="shared" si="8"/>
        <v>517.31598124777179</v>
      </c>
      <c r="T27" s="66">
        <f t="shared" si="21"/>
        <v>1648.0477925575078</v>
      </c>
      <c r="U27" s="89">
        <f t="shared" si="15"/>
        <v>1967.6818869026397</v>
      </c>
      <c r="V27" s="67">
        <f t="shared" si="15"/>
        <v>2287.3159812477716</v>
      </c>
      <c r="W27" s="6">
        <f t="shared" si="16"/>
        <v>0.61444887153426186</v>
      </c>
      <c r="X27" s="66">
        <f t="shared" si="17"/>
        <v>1012.641106371492</v>
      </c>
      <c r="Y27" s="89">
        <f t="shared" si="18"/>
        <v>1209.0399149457339</v>
      </c>
      <c r="Z27" s="67">
        <f t="shared" si="19"/>
        <v>1405.4387235199761</v>
      </c>
      <c r="AA27" s="14"/>
      <c r="AC27" t="s">
        <v>85</v>
      </c>
      <c r="AG27">
        <f>3*350</f>
        <v>1050</v>
      </c>
    </row>
    <row r="28" spans="1:38">
      <c r="A28" s="4">
        <f t="shared" si="20"/>
        <v>2034</v>
      </c>
      <c r="B28" s="4">
        <f t="shared" si="9"/>
        <v>15</v>
      </c>
      <c r="C28" s="63">
        <f t="shared" si="10"/>
        <v>0</v>
      </c>
      <c r="D28" s="64"/>
      <c r="E28" s="65">
        <f t="shared" si="11"/>
        <v>0</v>
      </c>
      <c r="F28" s="63">
        <f t="shared" si="12"/>
        <v>1180</v>
      </c>
      <c r="G28" s="64">
        <f t="shared" si="22"/>
        <v>1475</v>
      </c>
      <c r="H28" s="65">
        <f t="shared" si="6"/>
        <v>1770</v>
      </c>
      <c r="I28" s="66">
        <f t="shared" si="13"/>
        <v>1180</v>
      </c>
      <c r="J28" s="89">
        <f t="shared" si="13"/>
        <v>1475</v>
      </c>
      <c r="K28" s="67">
        <f t="shared" si="13"/>
        <v>1770</v>
      </c>
      <c r="L28" s="68">
        <f t="shared" si="23"/>
        <v>55</v>
      </c>
      <c r="M28" s="68">
        <f>$M$14+'[1]Summary 40MLD'!R18/1000</f>
        <v>403.01537403156146</v>
      </c>
      <c r="N28" s="68">
        <f t="shared" si="23"/>
        <v>30</v>
      </c>
      <c r="O28" s="68">
        <f t="shared" si="23"/>
        <v>12.5</v>
      </c>
      <c r="P28" s="68">
        <f t="shared" si="24"/>
        <v>0</v>
      </c>
      <c r="Q28" s="66">
        <f t="shared" si="14"/>
        <v>475.48960532998336</v>
      </c>
      <c r="R28" s="70">
        <f t="shared" si="7"/>
        <v>500.51537403156146</v>
      </c>
      <c r="S28" s="67">
        <f t="shared" si="8"/>
        <v>525.54114273313951</v>
      </c>
      <c r="T28" s="66">
        <f t="shared" si="21"/>
        <v>1655.4896053299833</v>
      </c>
      <c r="U28" s="89">
        <f t="shared" si="15"/>
        <v>1975.5153740315614</v>
      </c>
      <c r="V28" s="67">
        <f t="shared" si="15"/>
        <v>2295.5411427331396</v>
      </c>
      <c r="W28" s="6">
        <f t="shared" si="16"/>
        <v>0.5934410580782904</v>
      </c>
      <c r="X28" s="66">
        <f t="shared" si="17"/>
        <v>982.43550302463666</v>
      </c>
      <c r="Y28" s="89">
        <f t="shared" si="18"/>
        <v>1172.3519338152194</v>
      </c>
      <c r="Z28" s="67">
        <f t="shared" si="19"/>
        <v>1362.2683646058022</v>
      </c>
      <c r="AA28" s="14"/>
      <c r="AG28">
        <f>SUM(AG25:AG27)</f>
        <v>2150</v>
      </c>
    </row>
    <row r="29" spans="1:38">
      <c r="A29" s="4">
        <f t="shared" si="20"/>
        <v>2035</v>
      </c>
      <c r="B29" s="4">
        <f t="shared" si="9"/>
        <v>16</v>
      </c>
      <c r="C29" s="63">
        <f t="shared" si="10"/>
        <v>0</v>
      </c>
      <c r="D29" s="64"/>
      <c r="E29" s="65">
        <f t="shared" si="11"/>
        <v>0</v>
      </c>
      <c r="F29" s="63">
        <f t="shared" si="12"/>
        <v>1180</v>
      </c>
      <c r="G29" s="64">
        <f t="shared" si="22"/>
        <v>1475</v>
      </c>
      <c r="H29" s="65">
        <f t="shared" si="6"/>
        <v>1770</v>
      </c>
      <c r="I29" s="66">
        <f t="shared" si="13"/>
        <v>1180</v>
      </c>
      <c r="J29" s="89">
        <f t="shared" si="13"/>
        <v>1475</v>
      </c>
      <c r="K29" s="67">
        <f t="shared" si="13"/>
        <v>1770</v>
      </c>
      <c r="L29" s="68">
        <f t="shared" si="23"/>
        <v>55</v>
      </c>
      <c r="M29" s="68">
        <f>$M$14+'[1]Summary 40MLD'!R19/1000</f>
        <v>410.78669209169692</v>
      </c>
      <c r="N29" s="68">
        <f t="shared" si="23"/>
        <v>30</v>
      </c>
      <c r="O29" s="68">
        <f t="shared" si="23"/>
        <v>12.5</v>
      </c>
      <c r="P29" s="68">
        <f t="shared" si="24"/>
        <v>0</v>
      </c>
      <c r="Q29" s="66">
        <f t="shared" si="14"/>
        <v>482.87235748711203</v>
      </c>
      <c r="R29" s="70">
        <f t="shared" si="7"/>
        <v>508.28669209169692</v>
      </c>
      <c r="S29" s="67">
        <f t="shared" si="8"/>
        <v>533.70102669628182</v>
      </c>
      <c r="T29" s="66">
        <f t="shared" si="21"/>
        <v>1662.8723574871119</v>
      </c>
      <c r="U29" s="89">
        <f t="shared" si="15"/>
        <v>1983.286692091697</v>
      </c>
      <c r="V29" s="67">
        <f t="shared" si="15"/>
        <v>2303.7010266962816</v>
      </c>
      <c r="W29" s="6">
        <f t="shared" si="16"/>
        <v>0.57315149514998098</v>
      </c>
      <c r="X29" s="66">
        <f t="shared" si="17"/>
        <v>953.07777793731191</v>
      </c>
      <c r="Y29" s="89">
        <f t="shared" si="18"/>
        <v>1136.723732883416</v>
      </c>
      <c r="Z29" s="67">
        <f t="shared" si="19"/>
        <v>1320.36968782952</v>
      </c>
      <c r="AA29" s="14"/>
    </row>
    <row r="30" spans="1:38">
      <c r="A30" s="4">
        <f t="shared" si="20"/>
        <v>2036</v>
      </c>
      <c r="B30" s="4">
        <f t="shared" si="9"/>
        <v>17</v>
      </c>
      <c r="C30" s="63">
        <f t="shared" si="10"/>
        <v>0</v>
      </c>
      <c r="D30" s="64"/>
      <c r="E30" s="65">
        <f t="shared" si="11"/>
        <v>0</v>
      </c>
      <c r="F30" s="63">
        <f t="shared" si="12"/>
        <v>1180</v>
      </c>
      <c r="G30" s="64">
        <f>$AC$9+X8</f>
        <v>1475</v>
      </c>
      <c r="H30" s="65">
        <f t="shared" si="6"/>
        <v>1770</v>
      </c>
      <c r="I30" s="66">
        <f t="shared" si="13"/>
        <v>1180</v>
      </c>
      <c r="J30" s="89">
        <f t="shared" si="13"/>
        <v>1475</v>
      </c>
      <c r="K30" s="67">
        <f t="shared" si="13"/>
        <v>1770</v>
      </c>
      <c r="L30" s="68">
        <f t="shared" si="23"/>
        <v>55</v>
      </c>
      <c r="M30" s="68">
        <f>$M$14+'[1]Summary 40MLD'!R20/1000</f>
        <v>426.79445308876024</v>
      </c>
      <c r="N30" s="68">
        <f t="shared" si="23"/>
        <v>30</v>
      </c>
      <c r="O30" s="68">
        <f t="shared" si="23"/>
        <v>12.5</v>
      </c>
      <c r="P30" s="68">
        <f t="shared" si="24"/>
        <v>0</v>
      </c>
      <c r="Q30" s="66">
        <f t="shared" si="14"/>
        <v>498.07973043432224</v>
      </c>
      <c r="R30" s="70">
        <f t="shared" si="7"/>
        <v>524.29445308876029</v>
      </c>
      <c r="S30" s="67">
        <f t="shared" si="8"/>
        <v>550.50917574319828</v>
      </c>
      <c r="T30" s="66">
        <f t="shared" si="21"/>
        <v>1678.0797304343223</v>
      </c>
      <c r="U30" s="89">
        <f t="shared" si="15"/>
        <v>1999.2944530887603</v>
      </c>
      <c r="V30" s="67">
        <f t="shared" si="15"/>
        <v>2320.5091757431983</v>
      </c>
      <c r="W30" s="6">
        <f t="shared" si="16"/>
        <v>0.55355562598993713</v>
      </c>
      <c r="X30" s="66">
        <f t="shared" si="17"/>
        <v>928.91047564159624</v>
      </c>
      <c r="Y30" s="89">
        <f t="shared" si="18"/>
        <v>1106.7206925177577</v>
      </c>
      <c r="Z30" s="67">
        <f t="shared" si="19"/>
        <v>1284.530909393919</v>
      </c>
      <c r="AA30" s="14"/>
    </row>
    <row r="31" spans="1:38">
      <c r="A31" s="4">
        <f t="shared" si="20"/>
        <v>2037</v>
      </c>
      <c r="B31" s="4">
        <f t="shared" si="9"/>
        <v>18</v>
      </c>
      <c r="C31" s="63">
        <f t="shared" si="10"/>
        <v>0</v>
      </c>
      <c r="D31" s="27"/>
      <c r="E31" s="65">
        <f t="shared" si="11"/>
        <v>0</v>
      </c>
      <c r="F31" s="63">
        <f t="shared" si="12"/>
        <v>1180</v>
      </c>
      <c r="G31" s="64">
        <f t="shared" si="22"/>
        <v>1475</v>
      </c>
      <c r="H31" s="65">
        <f t="shared" si="6"/>
        <v>1770</v>
      </c>
      <c r="I31" s="66">
        <f t="shared" si="13"/>
        <v>1180</v>
      </c>
      <c r="J31" s="89">
        <f t="shared" si="13"/>
        <v>1475</v>
      </c>
      <c r="K31" s="67">
        <f t="shared" si="13"/>
        <v>1770</v>
      </c>
      <c r="L31" s="68">
        <f t="shared" si="23"/>
        <v>55</v>
      </c>
      <c r="M31" s="68">
        <f>$M$14+'[1]Summary 40MLD'!R21/1000</f>
        <v>442.28456849312823</v>
      </c>
      <c r="N31" s="68">
        <f t="shared" si="23"/>
        <v>30</v>
      </c>
      <c r="O31" s="68">
        <f t="shared" si="23"/>
        <v>12.5</v>
      </c>
      <c r="P31" s="68">
        <f t="shared" si="24"/>
        <v>0</v>
      </c>
      <c r="Q31" s="66">
        <f t="shared" si="14"/>
        <v>512.79534006847189</v>
      </c>
      <c r="R31" s="70">
        <f t="shared" si="7"/>
        <v>539.78456849312829</v>
      </c>
      <c r="S31" s="67">
        <f t="shared" si="8"/>
        <v>566.77379691778469</v>
      </c>
      <c r="T31" s="66">
        <f t="shared" si="21"/>
        <v>1692.7953400684719</v>
      </c>
      <c r="U31" s="89">
        <f t="shared" si="15"/>
        <v>2014.7845684931283</v>
      </c>
      <c r="V31" s="67">
        <f t="shared" si="15"/>
        <v>2336.7737969177847</v>
      </c>
      <c r="W31" s="6">
        <f t="shared" si="16"/>
        <v>0.53462973342663422</v>
      </c>
      <c r="X31" s="66">
        <f t="shared" si="17"/>
        <v>905.0187214066558</v>
      </c>
      <c r="Y31" s="89">
        <f t="shared" si="18"/>
        <v>1077.1637367655774</v>
      </c>
      <c r="Z31" s="67">
        <f t="shared" si="19"/>
        <v>1249.3087521244991</v>
      </c>
      <c r="AA31" s="14"/>
    </row>
    <row r="32" spans="1:38">
      <c r="A32" s="4">
        <f t="shared" si="20"/>
        <v>2038</v>
      </c>
      <c r="B32" s="4">
        <f t="shared" si="9"/>
        <v>19</v>
      </c>
      <c r="C32" s="63">
        <f t="shared" si="10"/>
        <v>0</v>
      </c>
      <c r="D32" s="27"/>
      <c r="E32" s="65">
        <f t="shared" si="11"/>
        <v>0</v>
      </c>
      <c r="F32" s="63">
        <f t="shared" si="12"/>
        <v>1180</v>
      </c>
      <c r="G32" s="64">
        <f t="shared" si="22"/>
        <v>1475</v>
      </c>
      <c r="H32" s="65">
        <f t="shared" si="6"/>
        <v>1770</v>
      </c>
      <c r="I32" s="66">
        <f t="shared" si="13"/>
        <v>1180</v>
      </c>
      <c r="J32" s="89">
        <f t="shared" si="13"/>
        <v>1475</v>
      </c>
      <c r="K32" s="67">
        <f t="shared" si="13"/>
        <v>1770</v>
      </c>
      <c r="L32" s="68">
        <f t="shared" ref="L32:O47" si="27">L31</f>
        <v>55</v>
      </c>
      <c r="M32" s="68">
        <f>$M$14+'[1]Summary 40MLD'!R22/1000</f>
        <v>454.49530981036185</v>
      </c>
      <c r="N32" s="68">
        <f t="shared" si="27"/>
        <v>30</v>
      </c>
      <c r="O32" s="68">
        <f t="shared" si="27"/>
        <v>12.5</v>
      </c>
      <c r="P32" s="68">
        <f t="shared" si="24"/>
        <v>0</v>
      </c>
      <c r="Q32" s="66">
        <f t="shared" si="14"/>
        <v>524.39554431984368</v>
      </c>
      <c r="R32" s="70">
        <f t="shared" si="7"/>
        <v>551.99530981036185</v>
      </c>
      <c r="S32" s="67">
        <f t="shared" si="8"/>
        <v>579.59507530088001</v>
      </c>
      <c r="T32" s="66">
        <f t="shared" si="21"/>
        <v>1704.3955443198438</v>
      </c>
      <c r="U32" s="89">
        <f t="shared" si="15"/>
        <v>2026.995309810362</v>
      </c>
      <c r="V32" s="67">
        <f t="shared" si="15"/>
        <v>2349.5950753008801</v>
      </c>
      <c r="W32" s="6">
        <f t="shared" si="16"/>
        <v>0.51635091117117471</v>
      </c>
      <c r="X32" s="66">
        <f t="shared" si="17"/>
        <v>880.06619230564161</v>
      </c>
      <c r="Y32" s="89">
        <f t="shared" si="18"/>
        <v>1046.640875160278</v>
      </c>
      <c r="Z32" s="67">
        <f t="shared" si="19"/>
        <v>1213.2155580149142</v>
      </c>
      <c r="AA32" s="14"/>
    </row>
    <row r="33" spans="1:27">
      <c r="A33" s="4">
        <f t="shared" si="20"/>
        <v>2039</v>
      </c>
      <c r="B33" s="4">
        <f t="shared" si="9"/>
        <v>20</v>
      </c>
      <c r="C33" s="63">
        <f t="shared" si="10"/>
        <v>0</v>
      </c>
      <c r="D33" s="64"/>
      <c r="E33" s="65">
        <f t="shared" si="11"/>
        <v>0</v>
      </c>
      <c r="F33" s="63">
        <f t="shared" si="12"/>
        <v>1180</v>
      </c>
      <c r="G33" s="64">
        <f t="shared" si="22"/>
        <v>1475</v>
      </c>
      <c r="H33" s="65">
        <f t="shared" si="6"/>
        <v>1770</v>
      </c>
      <c r="I33" s="66">
        <f t="shared" si="13"/>
        <v>1180</v>
      </c>
      <c r="J33" s="89">
        <f t="shared" si="13"/>
        <v>1475</v>
      </c>
      <c r="K33" s="67">
        <f t="shared" si="13"/>
        <v>1770</v>
      </c>
      <c r="L33" s="68">
        <f t="shared" si="27"/>
        <v>55</v>
      </c>
      <c r="M33" s="68">
        <f>$M$14+'[1]Summary 40MLD'!R23/1000</f>
        <v>468.91011753151565</v>
      </c>
      <c r="N33" s="68">
        <f t="shared" si="27"/>
        <v>30</v>
      </c>
      <c r="O33" s="68">
        <f t="shared" si="27"/>
        <v>12.5</v>
      </c>
      <c r="P33" s="68">
        <f t="shared" si="24"/>
        <v>0</v>
      </c>
      <c r="Q33" s="66">
        <f t="shared" si="14"/>
        <v>538.08961165493986</v>
      </c>
      <c r="R33" s="70">
        <f t="shared" si="7"/>
        <v>566.41011753151565</v>
      </c>
      <c r="S33" s="67">
        <f t="shared" si="8"/>
        <v>594.73062340809145</v>
      </c>
      <c r="T33" s="66">
        <f t="shared" si="21"/>
        <v>1718.0896116549397</v>
      </c>
      <c r="U33" s="89">
        <f t="shared" si="15"/>
        <v>2041.4101175315157</v>
      </c>
      <c r="V33" s="67">
        <f t="shared" si="15"/>
        <v>2364.7306234080916</v>
      </c>
      <c r="W33" s="6">
        <f t="shared" si="16"/>
        <v>0.49869703609346588</v>
      </c>
      <c r="X33" s="66">
        <f t="shared" si="17"/>
        <v>856.80619707529229</v>
      </c>
      <c r="Y33" s="89">
        <f t="shared" si="18"/>
        <v>1018.0451750641807</v>
      </c>
      <c r="Z33" s="67">
        <f t="shared" si="19"/>
        <v>1179.2841530530691</v>
      </c>
      <c r="AA33" s="14"/>
    </row>
    <row r="34" spans="1:27">
      <c r="A34" s="4">
        <f t="shared" si="20"/>
        <v>2040</v>
      </c>
      <c r="B34" s="4">
        <f t="shared" si="9"/>
        <v>21</v>
      </c>
      <c r="C34" s="63">
        <f t="shared" si="10"/>
        <v>0</v>
      </c>
      <c r="D34" s="64"/>
      <c r="E34" s="65">
        <f t="shared" si="11"/>
        <v>0</v>
      </c>
      <c r="F34" s="63">
        <f t="shared" si="12"/>
        <v>2317.2715954843366</v>
      </c>
      <c r="G34" s="64">
        <f>$AC$9+T6+X6+X8</f>
        <v>2896.5894943554204</v>
      </c>
      <c r="H34" s="65">
        <f t="shared" si="6"/>
        <v>3475.9073932265042</v>
      </c>
      <c r="I34" s="66">
        <f t="shared" si="13"/>
        <v>2317.2715954843366</v>
      </c>
      <c r="J34" s="89">
        <f t="shared" si="13"/>
        <v>2896.5894943554204</v>
      </c>
      <c r="K34" s="67">
        <f t="shared" si="13"/>
        <v>3475.9073932265042</v>
      </c>
      <c r="L34" s="68">
        <f t="shared" si="27"/>
        <v>55</v>
      </c>
      <c r="M34" s="68">
        <f>$M$14+'[1]Summary 40MLD'!R24/1000</f>
        <v>483.56425355965922</v>
      </c>
      <c r="N34" s="68">
        <f t="shared" si="27"/>
        <v>30</v>
      </c>
      <c r="O34" s="68">
        <f t="shared" si="27"/>
        <v>12.5</v>
      </c>
      <c r="P34" s="68">
        <f t="shared" si="24"/>
        <v>0</v>
      </c>
      <c r="Q34" s="66">
        <f t="shared" si="14"/>
        <v>552.01104088167619</v>
      </c>
      <c r="R34" s="70">
        <f t="shared" si="7"/>
        <v>581.06425355965916</v>
      </c>
      <c r="S34" s="67">
        <f t="shared" si="8"/>
        <v>610.11746623764213</v>
      </c>
      <c r="T34" s="66">
        <f t="shared" si="21"/>
        <v>2869.2826363660129</v>
      </c>
      <c r="U34" s="89">
        <f t="shared" si="15"/>
        <v>3477.6537479150793</v>
      </c>
      <c r="V34" s="67">
        <f t="shared" si="15"/>
        <v>4086.0248594641462</v>
      </c>
      <c r="W34" s="6">
        <f t="shared" si="16"/>
        <v>0.48164674144626801</v>
      </c>
      <c r="X34" s="66">
        <f t="shared" si="17"/>
        <v>1381.9806320940472</v>
      </c>
      <c r="Y34" s="89">
        <f t="shared" si="18"/>
        <v>1675.0005955616991</v>
      </c>
      <c r="Z34" s="67">
        <f t="shared" si="19"/>
        <v>1968.0205590293513</v>
      </c>
      <c r="AA34" s="14"/>
    </row>
    <row r="35" spans="1:27">
      <c r="A35" s="4">
        <f t="shared" si="20"/>
        <v>2041</v>
      </c>
      <c r="B35" s="4">
        <f t="shared" si="9"/>
        <v>22</v>
      </c>
      <c r="C35" s="63">
        <f t="shared" si="10"/>
        <v>0</v>
      </c>
      <c r="D35" s="64"/>
      <c r="E35" s="65">
        <f t="shared" si="11"/>
        <v>0</v>
      </c>
      <c r="F35" s="63">
        <f t="shared" si="12"/>
        <v>1180</v>
      </c>
      <c r="G35" s="64">
        <f t="shared" si="22"/>
        <v>1475</v>
      </c>
      <c r="H35" s="65">
        <f t="shared" si="6"/>
        <v>1770</v>
      </c>
      <c r="I35" s="66">
        <f t="shared" si="13"/>
        <v>1180</v>
      </c>
      <c r="J35" s="89">
        <f t="shared" si="13"/>
        <v>1475</v>
      </c>
      <c r="K35" s="67">
        <f t="shared" si="13"/>
        <v>1770</v>
      </c>
      <c r="L35" s="68">
        <f t="shared" si="27"/>
        <v>55</v>
      </c>
      <c r="M35" s="68">
        <f>$M$14+'[1]Summary 40MLD'!R25/1000</f>
        <v>498.41448773437878</v>
      </c>
      <c r="N35" s="68">
        <f t="shared" si="27"/>
        <v>30</v>
      </c>
      <c r="O35" s="68">
        <f t="shared" si="27"/>
        <v>12.5</v>
      </c>
      <c r="P35" s="68">
        <f t="shared" si="24"/>
        <v>0</v>
      </c>
      <c r="Q35" s="66">
        <f t="shared" si="14"/>
        <v>566.11876334765986</v>
      </c>
      <c r="R35" s="70">
        <f t="shared" si="7"/>
        <v>595.91448773437878</v>
      </c>
      <c r="S35" s="67">
        <f t="shared" si="8"/>
        <v>625.7102121210977</v>
      </c>
      <c r="T35" s="66">
        <f t="shared" si="21"/>
        <v>1746.1187633476598</v>
      </c>
      <c r="U35" s="89">
        <f t="shared" si="15"/>
        <v>2070.9144877343788</v>
      </c>
      <c r="V35" s="67">
        <f t="shared" si="15"/>
        <v>2395.7102121210978</v>
      </c>
      <c r="W35" s="6">
        <f t="shared" si="16"/>
        <v>0.46517939100470151</v>
      </c>
      <c r="X35" s="66">
        <f t="shared" si="17"/>
        <v>812.25846295594692</v>
      </c>
      <c r="Y35" s="89">
        <f t="shared" si="18"/>
        <v>963.34674022709169</v>
      </c>
      <c r="Z35" s="67">
        <f t="shared" si="19"/>
        <v>1114.4350174982367</v>
      </c>
      <c r="AA35" s="14"/>
    </row>
    <row r="36" spans="1:27">
      <c r="A36" s="4">
        <f t="shared" si="20"/>
        <v>2042</v>
      </c>
      <c r="B36" s="4">
        <f t="shared" si="9"/>
        <v>23</v>
      </c>
      <c r="C36" s="63">
        <f t="shared" si="10"/>
        <v>0</v>
      </c>
      <c r="D36" s="64"/>
      <c r="E36" s="65">
        <f t="shared" si="11"/>
        <v>0</v>
      </c>
      <c r="F36" s="63">
        <f t="shared" si="12"/>
        <v>1180</v>
      </c>
      <c r="G36" s="64">
        <f t="shared" si="22"/>
        <v>1475</v>
      </c>
      <c r="H36" s="65">
        <f t="shared" si="6"/>
        <v>1770</v>
      </c>
      <c r="I36" s="66">
        <f t="shared" si="13"/>
        <v>1180</v>
      </c>
      <c r="J36" s="89">
        <f t="shared" si="13"/>
        <v>1475</v>
      </c>
      <c r="K36" s="67">
        <f t="shared" si="13"/>
        <v>1770</v>
      </c>
      <c r="L36" s="68">
        <f t="shared" si="27"/>
        <v>55</v>
      </c>
      <c r="M36" s="68">
        <f>$M$14+'[1]Summary 40MLD'!R26/1000</f>
        <v>507.11810941023009</v>
      </c>
      <c r="N36" s="68">
        <f t="shared" si="27"/>
        <v>30</v>
      </c>
      <c r="O36" s="68">
        <f t="shared" si="27"/>
        <v>12.5</v>
      </c>
      <c r="P36" s="68">
        <f t="shared" si="24"/>
        <v>0</v>
      </c>
      <c r="Q36" s="66">
        <f t="shared" si="14"/>
        <v>574.38720393971857</v>
      </c>
      <c r="R36" s="70">
        <f t="shared" si="7"/>
        <v>604.61810941023009</v>
      </c>
      <c r="S36" s="67">
        <f t="shared" si="8"/>
        <v>634.84901488074161</v>
      </c>
      <c r="T36" s="66">
        <f t="shared" si="21"/>
        <v>1754.3872039397186</v>
      </c>
      <c r="U36" s="89">
        <f t="shared" si="15"/>
        <v>2079.6181094102303</v>
      </c>
      <c r="V36" s="67">
        <f t="shared" si="15"/>
        <v>2404.8490148807414</v>
      </c>
      <c r="W36" s="6">
        <f t="shared" si="16"/>
        <v>0.44927505408991841</v>
      </c>
      <c r="X36" s="66">
        <f t="shared" si="17"/>
        <v>788.20240594467782</v>
      </c>
      <c r="Y36" s="89">
        <f t="shared" si="18"/>
        <v>934.32053859165512</v>
      </c>
      <c r="Z36" s="67">
        <f t="shared" si="19"/>
        <v>1080.4386712386322</v>
      </c>
      <c r="AA36" s="14"/>
    </row>
    <row r="37" spans="1:27">
      <c r="A37" s="4">
        <f t="shared" si="20"/>
        <v>2043</v>
      </c>
      <c r="B37" s="4">
        <f t="shared" si="9"/>
        <v>24</v>
      </c>
      <c r="C37" s="63">
        <f t="shared" si="10"/>
        <v>0</v>
      </c>
      <c r="D37" s="64"/>
      <c r="E37" s="65">
        <f t="shared" si="11"/>
        <v>0</v>
      </c>
      <c r="F37" s="63">
        <f t="shared" si="12"/>
        <v>1180</v>
      </c>
      <c r="G37" s="64">
        <f t="shared" si="22"/>
        <v>1475</v>
      </c>
      <c r="H37" s="65">
        <f t="shared" si="6"/>
        <v>1770</v>
      </c>
      <c r="I37" s="66">
        <f t="shared" si="13"/>
        <v>1180</v>
      </c>
      <c r="J37" s="89">
        <f t="shared" si="13"/>
        <v>1475</v>
      </c>
      <c r="K37" s="67">
        <f t="shared" si="13"/>
        <v>1770</v>
      </c>
      <c r="L37" s="68">
        <f t="shared" si="27"/>
        <v>55</v>
      </c>
      <c r="M37" s="68">
        <f>$M$14+'[1]Summary 40MLD'!R27/1000</f>
        <v>515.8217310860814</v>
      </c>
      <c r="N37" s="68">
        <f t="shared" si="27"/>
        <v>30</v>
      </c>
      <c r="O37" s="68">
        <f t="shared" si="27"/>
        <v>12.5</v>
      </c>
      <c r="P37" s="68">
        <f t="shared" si="24"/>
        <v>0</v>
      </c>
      <c r="Q37" s="66">
        <f t="shared" si="14"/>
        <v>582.65564453177728</v>
      </c>
      <c r="R37" s="70">
        <f t="shared" si="7"/>
        <v>613.3217310860814</v>
      </c>
      <c r="S37" s="67">
        <f t="shared" si="8"/>
        <v>643.98781764038552</v>
      </c>
      <c r="T37" s="66">
        <f t="shared" si="21"/>
        <v>1762.6556445317774</v>
      </c>
      <c r="U37" s="89">
        <f t="shared" si="15"/>
        <v>2088.3217310860814</v>
      </c>
      <c r="V37" s="67">
        <f t="shared" si="15"/>
        <v>2413.9878176403854</v>
      </c>
      <c r="W37" s="6">
        <f t="shared" si="16"/>
        <v>0.43391448144670497</v>
      </c>
      <c r="X37" s="66">
        <f t="shared" si="17"/>
        <v>764.84180996611371</v>
      </c>
      <c r="Y37" s="89">
        <f t="shared" si="18"/>
        <v>906.15304103810229</v>
      </c>
      <c r="Z37" s="67">
        <f t="shared" si="19"/>
        <v>1047.4642721100909</v>
      </c>
      <c r="AA37" s="14"/>
    </row>
    <row r="38" spans="1:27">
      <c r="A38" s="4">
        <f t="shared" si="20"/>
        <v>2044</v>
      </c>
      <c r="B38" s="4">
        <f t="shared" si="9"/>
        <v>25</v>
      </c>
      <c r="C38" s="63">
        <f t="shared" si="10"/>
        <v>0</v>
      </c>
      <c r="D38" s="64"/>
      <c r="E38" s="65">
        <f t="shared" si="11"/>
        <v>0</v>
      </c>
      <c r="F38" s="63">
        <f t="shared" si="12"/>
        <v>1180</v>
      </c>
      <c r="G38" s="64">
        <f>$AC$9+X8</f>
        <v>1475</v>
      </c>
      <c r="H38" s="65">
        <f t="shared" si="6"/>
        <v>1770</v>
      </c>
      <c r="I38" s="66">
        <f t="shared" si="13"/>
        <v>1180</v>
      </c>
      <c r="J38" s="89">
        <f t="shared" si="13"/>
        <v>1475</v>
      </c>
      <c r="K38" s="67">
        <f t="shared" si="13"/>
        <v>1770</v>
      </c>
      <c r="L38" s="68">
        <f t="shared" si="27"/>
        <v>55</v>
      </c>
      <c r="M38" s="68">
        <f>$M$14+'[1]Summary 40MLD'!R28/1000</f>
        <v>524.52535276193271</v>
      </c>
      <c r="N38" s="68">
        <f t="shared" si="27"/>
        <v>30</v>
      </c>
      <c r="O38" s="68">
        <f t="shared" si="27"/>
        <v>12.5</v>
      </c>
      <c r="P38" s="68">
        <f t="shared" si="24"/>
        <v>0</v>
      </c>
      <c r="Q38" s="66">
        <f t="shared" si="14"/>
        <v>590.92408512383599</v>
      </c>
      <c r="R38" s="70">
        <f t="shared" si="7"/>
        <v>622.02535276193271</v>
      </c>
      <c r="S38" s="67">
        <f t="shared" si="8"/>
        <v>653.12662040002942</v>
      </c>
      <c r="T38" s="66">
        <f t="shared" si="21"/>
        <v>1770.924085123836</v>
      </c>
      <c r="U38" s="89">
        <f t="shared" si="15"/>
        <v>2097.0253527619325</v>
      </c>
      <c r="V38" s="67">
        <f t="shared" si="15"/>
        <v>2423.1266204000294</v>
      </c>
      <c r="W38" s="7">
        <f t="shared" si="16"/>
        <v>0.41907908194582277</v>
      </c>
      <c r="X38" s="66">
        <f t="shared" si="17"/>
        <v>742.15723978944334</v>
      </c>
      <c r="Y38" s="89">
        <f t="shared" si="18"/>
        <v>878.81945965258581</v>
      </c>
      <c r="Z38" s="67">
        <f t="shared" si="19"/>
        <v>1015.4816795157285</v>
      </c>
      <c r="AA38" s="14"/>
    </row>
    <row r="39" spans="1:27">
      <c r="A39" s="4">
        <f t="shared" si="20"/>
        <v>2045</v>
      </c>
      <c r="B39" s="4">
        <f t="shared" si="9"/>
        <v>26</v>
      </c>
      <c r="C39" s="63">
        <f t="shared" si="10"/>
        <v>0</v>
      </c>
      <c r="D39" s="64"/>
      <c r="E39" s="65">
        <f t="shared" si="11"/>
        <v>0</v>
      </c>
      <c r="F39" s="63">
        <f t="shared" si="12"/>
        <v>9836.6443593590266</v>
      </c>
      <c r="G39" s="64">
        <f>$AC$9+T5+T4+X4+X5</f>
        <v>12295.805449198782</v>
      </c>
      <c r="H39" s="65">
        <f t="shared" si="6"/>
        <v>14754.966539038538</v>
      </c>
      <c r="I39" s="66">
        <f t="shared" si="13"/>
        <v>9836.6443593590266</v>
      </c>
      <c r="J39" s="89">
        <f t="shared" si="13"/>
        <v>12295.805449198782</v>
      </c>
      <c r="K39" s="67">
        <f t="shared" si="13"/>
        <v>14754.966539038538</v>
      </c>
      <c r="L39" s="68">
        <f t="shared" si="27"/>
        <v>55</v>
      </c>
      <c r="M39" s="68">
        <f>$M$14+'[1]Summary 40MLD'!R29/1000</f>
        <v>533.22897443778402</v>
      </c>
      <c r="N39" s="68">
        <f t="shared" si="27"/>
        <v>30</v>
      </c>
      <c r="O39" s="68">
        <f t="shared" si="27"/>
        <v>12.5</v>
      </c>
      <c r="P39" s="68">
        <f t="shared" si="24"/>
        <v>0</v>
      </c>
      <c r="Q39" s="66">
        <f t="shared" si="14"/>
        <v>599.19252571589482</v>
      </c>
      <c r="R39" s="70">
        <f t="shared" si="7"/>
        <v>630.72897443778402</v>
      </c>
      <c r="S39" s="67">
        <f t="shared" si="8"/>
        <v>662.26542315967322</v>
      </c>
      <c r="T39" s="66">
        <f t="shared" si="21"/>
        <v>10435.836885074921</v>
      </c>
      <c r="U39" s="89">
        <f t="shared" si="15"/>
        <v>12926.534423636567</v>
      </c>
      <c r="V39" s="67">
        <f t="shared" si="15"/>
        <v>15417.231962198211</v>
      </c>
      <c r="W39" s="7">
        <f t="shared" si="16"/>
        <v>0.40475090008288855</v>
      </c>
      <c r="X39" s="66">
        <f t="shared" si="17"/>
        <v>4223.914372352282</v>
      </c>
      <c r="Y39" s="89">
        <f t="shared" si="18"/>
        <v>5232.0264429193439</v>
      </c>
      <c r="Z39" s="67">
        <f t="shared" si="19"/>
        <v>6240.138513486404</v>
      </c>
      <c r="AA39" s="14"/>
    </row>
    <row r="40" spans="1:27">
      <c r="A40" s="4">
        <f t="shared" si="20"/>
        <v>2046</v>
      </c>
      <c r="B40" s="4">
        <f t="shared" si="9"/>
        <v>27</v>
      </c>
      <c r="C40" s="63">
        <f t="shared" si="10"/>
        <v>0</v>
      </c>
      <c r="D40" s="64"/>
      <c r="E40" s="65">
        <f t="shared" si="11"/>
        <v>0</v>
      </c>
      <c r="F40" s="63">
        <f>G40*(1+$F$11)</f>
        <v>1180</v>
      </c>
      <c r="G40" s="64">
        <f t="shared" si="22"/>
        <v>1475</v>
      </c>
      <c r="H40" s="65">
        <f t="shared" si="6"/>
        <v>1770</v>
      </c>
      <c r="I40" s="66">
        <f t="shared" si="13"/>
        <v>1180</v>
      </c>
      <c r="J40" s="89">
        <f t="shared" si="13"/>
        <v>1475</v>
      </c>
      <c r="K40" s="67">
        <f t="shared" si="13"/>
        <v>1770</v>
      </c>
      <c r="L40" s="68">
        <f t="shared" si="27"/>
        <v>55</v>
      </c>
      <c r="M40" s="68">
        <f>$M$14+'[1]Summary 40MLD'!R30/1000</f>
        <v>541.93259611363521</v>
      </c>
      <c r="N40" s="68">
        <f t="shared" si="27"/>
        <v>30</v>
      </c>
      <c r="O40" s="68">
        <f t="shared" si="27"/>
        <v>12.5</v>
      </c>
      <c r="P40" s="68">
        <f t="shared" si="24"/>
        <v>0</v>
      </c>
      <c r="Q40" s="66">
        <f t="shared" si="14"/>
        <v>607.46096630795341</v>
      </c>
      <c r="R40" s="70">
        <f t="shared" si="7"/>
        <v>639.43259611363521</v>
      </c>
      <c r="S40" s="67">
        <f t="shared" si="8"/>
        <v>671.40422591931701</v>
      </c>
      <c r="T40" s="66">
        <f t="shared" si="21"/>
        <v>1787.4609663079534</v>
      </c>
      <c r="U40" s="89">
        <f t="shared" si="15"/>
        <v>2114.4325961136351</v>
      </c>
      <c r="V40" s="67">
        <f t="shared" si="15"/>
        <v>2441.404225919317</v>
      </c>
      <c r="W40" s="7">
        <f t="shared" si="16"/>
        <v>0.39091259424656027</v>
      </c>
      <c r="X40" s="66">
        <f t="shared" si="17"/>
        <v>698.74100345390559</v>
      </c>
      <c r="Y40" s="89">
        <f t="shared" si="18"/>
        <v>826.55833150627052</v>
      </c>
      <c r="Z40" s="67">
        <f t="shared" si="19"/>
        <v>954.37565955863556</v>
      </c>
      <c r="AA40" s="90" t="s">
        <v>62</v>
      </c>
    </row>
    <row r="41" spans="1:27">
      <c r="A41" s="4">
        <f t="shared" si="20"/>
        <v>2047</v>
      </c>
      <c r="B41" s="4">
        <f t="shared" si="9"/>
        <v>28</v>
      </c>
      <c r="C41" s="63">
        <f t="shared" si="10"/>
        <v>0</v>
      </c>
      <c r="D41" s="64"/>
      <c r="E41" s="65">
        <f t="shared" si="11"/>
        <v>0</v>
      </c>
      <c r="F41" s="63">
        <f t="shared" si="12"/>
        <v>1180</v>
      </c>
      <c r="G41" s="64">
        <f t="shared" si="22"/>
        <v>1475</v>
      </c>
      <c r="H41" s="65">
        <f t="shared" si="6"/>
        <v>1770</v>
      </c>
      <c r="I41" s="66">
        <f t="shared" si="13"/>
        <v>1180</v>
      </c>
      <c r="J41" s="89">
        <f t="shared" si="13"/>
        <v>1475</v>
      </c>
      <c r="K41" s="67">
        <f t="shared" si="13"/>
        <v>1770</v>
      </c>
      <c r="L41" s="68">
        <f t="shared" si="27"/>
        <v>55</v>
      </c>
      <c r="M41" s="68">
        <f>$M$14+'[1]Summary 40MLD'!R31/1000</f>
        <v>550.63621778948652</v>
      </c>
      <c r="N41" s="68">
        <f t="shared" si="27"/>
        <v>30</v>
      </c>
      <c r="O41" s="68">
        <f t="shared" si="27"/>
        <v>12.5</v>
      </c>
      <c r="P41" s="68">
        <f t="shared" si="24"/>
        <v>0</v>
      </c>
      <c r="Q41" s="66">
        <f t="shared" si="14"/>
        <v>615.72940690001212</v>
      </c>
      <c r="R41" s="70">
        <f t="shared" si="7"/>
        <v>648.13621778948652</v>
      </c>
      <c r="S41" s="67">
        <f t="shared" si="8"/>
        <v>680.54302867896092</v>
      </c>
      <c r="T41" s="66">
        <f t="shared" si="21"/>
        <v>1795.7294069000122</v>
      </c>
      <c r="U41" s="89">
        <f t="shared" si="15"/>
        <v>2123.1362177894866</v>
      </c>
      <c r="V41" s="67">
        <f t="shared" si="15"/>
        <v>2450.543028678961</v>
      </c>
      <c r="W41" s="7">
        <f t="shared" si="16"/>
        <v>0.37754741572972783</v>
      </c>
      <c r="X41" s="66">
        <f t="shared" si="17"/>
        <v>677.97299692497654</v>
      </c>
      <c r="Y41" s="89">
        <f t="shared" si="18"/>
        <v>801.5845922686093</v>
      </c>
      <c r="Z41" s="67">
        <f t="shared" si="19"/>
        <v>925.19618761224206</v>
      </c>
      <c r="AA41" s="14"/>
    </row>
    <row r="42" spans="1:27">
      <c r="A42" s="4">
        <f t="shared" si="20"/>
        <v>2048</v>
      </c>
      <c r="B42" s="4">
        <f t="shared" si="9"/>
        <v>29</v>
      </c>
      <c r="C42" s="63">
        <f t="shared" si="10"/>
        <v>0</v>
      </c>
      <c r="D42" s="64"/>
      <c r="E42" s="65">
        <f t="shared" si="11"/>
        <v>0</v>
      </c>
      <c r="F42" s="63">
        <f t="shared" si="12"/>
        <v>1180</v>
      </c>
      <c r="G42" s="64">
        <f>$AC$9+X8</f>
        <v>1475</v>
      </c>
      <c r="H42" s="65">
        <f t="shared" si="6"/>
        <v>1770</v>
      </c>
      <c r="I42" s="66">
        <f t="shared" si="13"/>
        <v>1180</v>
      </c>
      <c r="J42" s="89">
        <f t="shared" si="13"/>
        <v>1475</v>
      </c>
      <c r="K42" s="67">
        <f t="shared" si="13"/>
        <v>1770</v>
      </c>
      <c r="L42" s="68">
        <f t="shared" si="27"/>
        <v>55</v>
      </c>
      <c r="M42" s="68">
        <f>$M$14+'[1]Summary 40MLD'!R32/1000</f>
        <v>559.33983946533783</v>
      </c>
      <c r="N42" s="68">
        <f t="shared" si="27"/>
        <v>30</v>
      </c>
      <c r="O42" s="68">
        <f t="shared" si="27"/>
        <v>12.5</v>
      </c>
      <c r="P42" s="68">
        <f t="shared" si="24"/>
        <v>0</v>
      </c>
      <c r="Q42" s="66">
        <f t="shared" si="14"/>
        <v>623.99784749207095</v>
      </c>
      <c r="R42" s="70">
        <f t="shared" si="7"/>
        <v>656.83983946533783</v>
      </c>
      <c r="S42" s="67">
        <f t="shared" si="8"/>
        <v>689.68183143860472</v>
      </c>
      <c r="T42" s="66">
        <f t="shared" si="21"/>
        <v>1803.9978474920708</v>
      </c>
      <c r="U42" s="89">
        <f t="shared" si="15"/>
        <v>2131.8398394653377</v>
      </c>
      <c r="V42" s="67">
        <f t="shared" si="15"/>
        <v>2459.6818314386046</v>
      </c>
      <c r="W42" s="7">
        <f t="shared" si="16"/>
        <v>0.36463918845830384</v>
      </c>
      <c r="X42" s="66">
        <f t="shared" si="17"/>
        <v>657.80831109003566</v>
      </c>
      <c r="Y42" s="89">
        <f t="shared" si="18"/>
        <v>777.35234898572151</v>
      </c>
      <c r="Z42" s="67">
        <f t="shared" si="19"/>
        <v>896.89638688140724</v>
      </c>
      <c r="AA42" s="14"/>
    </row>
    <row r="43" spans="1:27">
      <c r="A43" s="4">
        <f t="shared" si="20"/>
        <v>2049</v>
      </c>
      <c r="B43" s="4">
        <f t="shared" si="9"/>
        <v>30</v>
      </c>
      <c r="C43" s="63">
        <f t="shared" si="10"/>
        <v>15403.342415331303</v>
      </c>
      <c r="D43" s="64">
        <f>D13</f>
        <v>17114.82490592367</v>
      </c>
      <c r="E43" s="65">
        <f t="shared" si="11"/>
        <v>18826.307396516037</v>
      </c>
      <c r="F43" s="63">
        <f t="shared" si="12"/>
        <v>1180</v>
      </c>
      <c r="G43" s="64">
        <f t="shared" si="22"/>
        <v>1475</v>
      </c>
      <c r="H43" s="65">
        <f t="shared" si="6"/>
        <v>1770</v>
      </c>
      <c r="I43" s="66">
        <f t="shared" si="13"/>
        <v>16583.342415331303</v>
      </c>
      <c r="J43" s="89">
        <f t="shared" si="13"/>
        <v>18589.82490592367</v>
      </c>
      <c r="K43" s="67">
        <f t="shared" si="13"/>
        <v>20596.307396516037</v>
      </c>
      <c r="L43" s="68">
        <f t="shared" si="27"/>
        <v>55</v>
      </c>
      <c r="M43" s="68">
        <f>$M$14+'[1]Summary 40MLD'!R33/1000</f>
        <v>568.04346114118914</v>
      </c>
      <c r="N43" s="68">
        <f t="shared" si="27"/>
        <v>30</v>
      </c>
      <c r="O43" s="68">
        <f t="shared" si="27"/>
        <v>12.5</v>
      </c>
      <c r="P43" s="68">
        <f t="shared" si="24"/>
        <v>0</v>
      </c>
      <c r="Q43" s="66">
        <f t="shared" si="14"/>
        <v>632.26628808412966</v>
      </c>
      <c r="R43" s="70">
        <f t="shared" si="7"/>
        <v>665.54346114118914</v>
      </c>
      <c r="S43" s="67">
        <f t="shared" si="8"/>
        <v>698.82063419824863</v>
      </c>
      <c r="T43" s="66">
        <f t="shared" si="21"/>
        <v>17215.608703415433</v>
      </c>
      <c r="U43" s="89">
        <f t="shared" si="15"/>
        <v>19255.368367064857</v>
      </c>
      <c r="V43" s="67">
        <f t="shared" si="15"/>
        <v>21295.128030714284</v>
      </c>
      <c r="W43" s="7">
        <f t="shared" si="16"/>
        <v>0.35217228941308076</v>
      </c>
      <c r="X43" s="66">
        <f t="shared" si="17"/>
        <v>6062.8603307215717</v>
      </c>
      <c r="Y43" s="89">
        <f t="shared" si="18"/>
        <v>6781.2071613214448</v>
      </c>
      <c r="Z43" s="67">
        <f t="shared" si="19"/>
        <v>7499.5539919213197</v>
      </c>
      <c r="AA43" s="157" t="s">
        <v>196</v>
      </c>
    </row>
    <row r="44" spans="1:27">
      <c r="A44" s="4">
        <f t="shared" si="20"/>
        <v>2050</v>
      </c>
      <c r="B44" s="4">
        <f t="shared" si="9"/>
        <v>31</v>
      </c>
      <c r="C44" s="63">
        <f t="shared" si="10"/>
        <v>15403.342415331303</v>
      </c>
      <c r="D44" s="64">
        <f>D14</f>
        <v>17114.82490592367</v>
      </c>
      <c r="E44" s="65">
        <f t="shared" si="11"/>
        <v>18826.307396516037</v>
      </c>
      <c r="F44" s="63">
        <f t="shared" si="12"/>
        <v>2317.2715954843366</v>
      </c>
      <c r="G44" s="64">
        <f>$AC$9+T6+X6</f>
        <v>2896.5894943554204</v>
      </c>
      <c r="H44" s="65">
        <f t="shared" si="6"/>
        <v>3475.9073932265042</v>
      </c>
      <c r="I44" s="66">
        <f t="shared" si="13"/>
        <v>17720.61401081564</v>
      </c>
      <c r="J44" s="89">
        <f t="shared" si="13"/>
        <v>20011.414400279089</v>
      </c>
      <c r="K44" s="67">
        <f t="shared" si="13"/>
        <v>22302.214789742542</v>
      </c>
      <c r="L44" s="68">
        <f t="shared" si="27"/>
        <v>55</v>
      </c>
      <c r="M44" s="68">
        <f>$M$14+'[1]Summary 40MLD'!R34/1000</f>
        <v>576.74708281704034</v>
      </c>
      <c r="N44" s="68">
        <f t="shared" si="27"/>
        <v>30</v>
      </c>
      <c r="O44" s="68">
        <f t="shared" si="27"/>
        <v>12.5</v>
      </c>
      <c r="P44" s="68">
        <f t="shared" si="24"/>
        <v>0</v>
      </c>
      <c r="Q44" s="66">
        <f t="shared" si="14"/>
        <v>640.53472867618825</v>
      </c>
      <c r="R44" s="70">
        <f t="shared" si="7"/>
        <v>674.24708281704034</v>
      </c>
      <c r="S44" s="67">
        <f t="shared" si="8"/>
        <v>707.95943695789242</v>
      </c>
      <c r="T44" s="66">
        <f t="shared" si="21"/>
        <v>18361.148739491829</v>
      </c>
      <c r="U44" s="89">
        <f t="shared" si="15"/>
        <v>20685.66148309613</v>
      </c>
      <c r="V44" s="67">
        <f t="shared" si="15"/>
        <v>23010.174226700434</v>
      </c>
      <c r="W44" s="7">
        <f t="shared" si="16"/>
        <v>0.34013162972095884</v>
      </c>
      <c r="X44" s="66">
        <f t="shared" si="17"/>
        <v>6245.2074443122847</v>
      </c>
      <c r="Y44" s="89">
        <f t="shared" si="18"/>
        <v>7035.8477521015529</v>
      </c>
      <c r="Z44" s="67">
        <f t="shared" si="19"/>
        <v>7826.4880598908221</v>
      </c>
      <c r="AA44" s="90" t="s">
        <v>63</v>
      </c>
    </row>
    <row r="45" spans="1:27">
      <c r="A45" s="4">
        <f t="shared" si="20"/>
        <v>2051</v>
      </c>
      <c r="B45" s="4">
        <f t="shared" si="9"/>
        <v>32</v>
      </c>
      <c r="C45" s="63">
        <f t="shared" si="10"/>
        <v>0</v>
      </c>
      <c r="D45" s="64"/>
      <c r="E45" s="65">
        <f t="shared" si="11"/>
        <v>0</v>
      </c>
      <c r="F45" s="63">
        <f t="shared" si="12"/>
        <v>1180</v>
      </c>
      <c r="G45" s="64">
        <f t="shared" si="22"/>
        <v>1475</v>
      </c>
      <c r="H45" s="65">
        <f t="shared" si="6"/>
        <v>1770</v>
      </c>
      <c r="I45" s="66">
        <f t="shared" si="13"/>
        <v>1180</v>
      </c>
      <c r="J45" s="89">
        <f t="shared" si="13"/>
        <v>1475</v>
      </c>
      <c r="K45" s="67">
        <f t="shared" si="13"/>
        <v>1770</v>
      </c>
      <c r="L45" s="68">
        <f t="shared" si="27"/>
        <v>55</v>
      </c>
      <c r="M45" s="68">
        <f>$M$14+'[1]Summary 40MLD'!R35/1000</f>
        <v>585.45070449289165</v>
      </c>
      <c r="N45" s="68">
        <f t="shared" si="27"/>
        <v>30</v>
      </c>
      <c r="O45" s="68">
        <f t="shared" si="27"/>
        <v>12.5</v>
      </c>
      <c r="P45" s="68">
        <f t="shared" si="24"/>
        <v>0</v>
      </c>
      <c r="Q45" s="66">
        <f t="shared" si="14"/>
        <v>648.80316926824707</v>
      </c>
      <c r="R45" s="70">
        <f t="shared" si="7"/>
        <v>682.95070449289165</v>
      </c>
      <c r="S45" s="67">
        <f t="shared" si="8"/>
        <v>717.09823971753622</v>
      </c>
      <c r="T45" s="66">
        <f t="shared" si="21"/>
        <v>1828.8031692682471</v>
      </c>
      <c r="U45" s="89">
        <f t="shared" si="15"/>
        <v>2157.9507044928914</v>
      </c>
      <c r="V45" s="67">
        <f t="shared" si="15"/>
        <v>2487.0982397175362</v>
      </c>
      <c r="W45" s="7">
        <f t="shared" si="16"/>
        <v>0.3285026363926587</v>
      </c>
      <c r="X45" s="66">
        <f t="shared" si="17"/>
        <v>600.7666625478688</v>
      </c>
      <c r="Y45" s="89">
        <f t="shared" si="18"/>
        <v>708.89249563131</v>
      </c>
      <c r="Z45" s="67">
        <f t="shared" si="19"/>
        <v>817.01832871475131</v>
      </c>
      <c r="AA45" s="14"/>
    </row>
    <row r="46" spans="1:27">
      <c r="A46" s="4">
        <f t="shared" si="20"/>
        <v>2052</v>
      </c>
      <c r="B46" s="4">
        <f t="shared" si="9"/>
        <v>33</v>
      </c>
      <c r="C46" s="63">
        <f t="shared" si="10"/>
        <v>0</v>
      </c>
      <c r="D46" s="64"/>
      <c r="E46" s="65">
        <f t="shared" si="11"/>
        <v>0</v>
      </c>
      <c r="F46" s="63">
        <f t="shared" si="12"/>
        <v>1180</v>
      </c>
      <c r="G46" s="64">
        <f>$AC$9+X8</f>
        <v>1475</v>
      </c>
      <c r="H46" s="65">
        <f t="shared" si="6"/>
        <v>1770</v>
      </c>
      <c r="I46" s="66">
        <f t="shared" si="13"/>
        <v>1180</v>
      </c>
      <c r="J46" s="89">
        <f t="shared" si="13"/>
        <v>1475</v>
      </c>
      <c r="K46" s="67">
        <f t="shared" si="13"/>
        <v>1770</v>
      </c>
      <c r="L46" s="68">
        <f t="shared" si="27"/>
        <v>55</v>
      </c>
      <c r="M46" s="68">
        <f>$M$14+'[1]Summary 40MLD'!R36/1000</f>
        <v>594.15432616874295</v>
      </c>
      <c r="N46" s="68">
        <f t="shared" si="27"/>
        <v>30</v>
      </c>
      <c r="O46" s="68">
        <f t="shared" si="27"/>
        <v>12.5</v>
      </c>
      <c r="P46" s="68">
        <f t="shared" si="24"/>
        <v>0</v>
      </c>
      <c r="Q46" s="66">
        <f t="shared" si="14"/>
        <v>657.07160986030578</v>
      </c>
      <c r="R46" s="70">
        <f t="shared" si="7"/>
        <v>691.65432616874295</v>
      </c>
      <c r="S46" s="67">
        <f t="shared" si="8"/>
        <v>726.23704247718013</v>
      </c>
      <c r="T46" s="66">
        <f t="shared" si="21"/>
        <v>1837.0716098603057</v>
      </c>
      <c r="U46" s="89">
        <f t="shared" si="15"/>
        <v>2166.654326168743</v>
      </c>
      <c r="V46" s="67">
        <f t="shared" si="15"/>
        <v>2496.2370424771802</v>
      </c>
      <c r="W46" s="7">
        <f t="shared" si="16"/>
        <v>0.31727123468481616</v>
      </c>
      <c r="X46" s="66">
        <f t="shared" si="17"/>
        <v>582.8499778648021</v>
      </c>
      <c r="Y46" s="89">
        <f t="shared" si="18"/>
        <v>687.41709319875542</v>
      </c>
      <c r="Z46" s="67">
        <f t="shared" si="19"/>
        <v>791.98420853270886</v>
      </c>
      <c r="AA46" s="14"/>
    </row>
    <row r="47" spans="1:27">
      <c r="A47" s="4">
        <f t="shared" si="20"/>
        <v>2053</v>
      </c>
      <c r="B47" s="4">
        <f t="shared" si="9"/>
        <v>34</v>
      </c>
      <c r="C47" s="63">
        <f t="shared" si="10"/>
        <v>0</v>
      </c>
      <c r="D47" s="64"/>
      <c r="E47" s="65">
        <f t="shared" si="11"/>
        <v>0</v>
      </c>
      <c r="F47" s="63">
        <f t="shared" si="12"/>
        <v>1180</v>
      </c>
      <c r="G47" s="64">
        <f t="shared" si="22"/>
        <v>1475</v>
      </c>
      <c r="H47" s="65">
        <f t="shared" si="6"/>
        <v>1770</v>
      </c>
      <c r="I47" s="66">
        <f t="shared" si="13"/>
        <v>1180</v>
      </c>
      <c r="J47" s="89">
        <f t="shared" si="13"/>
        <v>1475</v>
      </c>
      <c r="K47" s="67">
        <f t="shared" si="13"/>
        <v>1770</v>
      </c>
      <c r="L47" s="68">
        <f t="shared" si="27"/>
        <v>55</v>
      </c>
      <c r="M47" s="68">
        <f>$M$14+'[1]Summary 40MLD'!R37/1000</f>
        <v>602.85794784459426</v>
      </c>
      <c r="N47" s="68">
        <f t="shared" si="27"/>
        <v>30</v>
      </c>
      <c r="O47" s="68">
        <f t="shared" si="27"/>
        <v>12.5</v>
      </c>
      <c r="P47" s="68">
        <f t="shared" si="24"/>
        <v>0</v>
      </c>
      <c r="Q47" s="66">
        <f t="shared" si="14"/>
        <v>665.34005045236449</v>
      </c>
      <c r="R47" s="70">
        <f t="shared" si="7"/>
        <v>700.35794784459426</v>
      </c>
      <c r="S47" s="67">
        <f t="shared" si="8"/>
        <v>735.37584523682403</v>
      </c>
      <c r="T47" s="66">
        <f t="shared" si="21"/>
        <v>1845.3400504523645</v>
      </c>
      <c r="U47" s="89">
        <f t="shared" si="15"/>
        <v>2175.3579478445945</v>
      </c>
      <c r="V47" s="67">
        <f t="shared" si="15"/>
        <v>2505.3758452368238</v>
      </c>
      <c r="W47" s="7">
        <f t="shared" si="16"/>
        <v>0.30642383106511123</v>
      </c>
      <c r="X47" s="66">
        <f t="shared" si="17"/>
        <v>565.45616787749918</v>
      </c>
      <c r="Y47" s="89">
        <f t="shared" si="18"/>
        <v>666.58151631647911</v>
      </c>
      <c r="Z47" s="67">
        <f t="shared" si="19"/>
        <v>767.70686475545881</v>
      </c>
      <c r="AA47" s="14"/>
    </row>
    <row r="48" spans="1:27">
      <c r="A48" s="4">
        <f t="shared" si="20"/>
        <v>2054</v>
      </c>
      <c r="B48" s="4">
        <f t="shared" si="9"/>
        <v>35</v>
      </c>
      <c r="C48" s="63">
        <f t="shared" si="10"/>
        <v>0</v>
      </c>
      <c r="D48" s="64"/>
      <c r="E48" s="65">
        <f t="shared" si="11"/>
        <v>0</v>
      </c>
      <c r="F48" s="63">
        <f t="shared" si="12"/>
        <v>1180</v>
      </c>
      <c r="G48" s="64">
        <f t="shared" si="22"/>
        <v>1475</v>
      </c>
      <c r="H48" s="65">
        <f t="shared" si="6"/>
        <v>1770</v>
      </c>
      <c r="I48" s="66">
        <f t="shared" si="13"/>
        <v>1180</v>
      </c>
      <c r="J48" s="89">
        <f t="shared" si="13"/>
        <v>1475</v>
      </c>
      <c r="K48" s="67">
        <f t="shared" si="13"/>
        <v>1770</v>
      </c>
      <c r="L48" s="68">
        <f t="shared" ref="L48:O63" si="28">L47</f>
        <v>55</v>
      </c>
      <c r="M48" s="68">
        <f>$M$14+'[1]Summary 40MLD'!R38/1000</f>
        <v>611.56156952044557</v>
      </c>
      <c r="N48" s="68">
        <f t="shared" si="28"/>
        <v>30</v>
      </c>
      <c r="O48" s="68">
        <f t="shared" si="28"/>
        <v>12.5</v>
      </c>
      <c r="P48" s="68">
        <f t="shared" si="24"/>
        <v>0</v>
      </c>
      <c r="Q48" s="66">
        <f t="shared" si="14"/>
        <v>673.60849104442332</v>
      </c>
      <c r="R48" s="70">
        <f t="shared" si="7"/>
        <v>709.06156952044557</v>
      </c>
      <c r="S48" s="67">
        <f t="shared" si="8"/>
        <v>744.51464799646783</v>
      </c>
      <c r="T48" s="66">
        <f t="shared" si="21"/>
        <v>1853.6084910444233</v>
      </c>
      <c r="U48" s="89">
        <f t="shared" si="15"/>
        <v>2184.0615695204456</v>
      </c>
      <c r="V48" s="67">
        <f t="shared" si="15"/>
        <v>2514.5146479964678</v>
      </c>
      <c r="W48" s="7">
        <f t="shared" si="16"/>
        <v>0.29594729675981379</v>
      </c>
      <c r="X48" s="66">
        <f t="shared" si="17"/>
        <v>548.57042217563458</v>
      </c>
      <c r="Y48" s="89">
        <f t="shared" si="18"/>
        <v>646.36711745657203</v>
      </c>
      <c r="Z48" s="67">
        <f t="shared" si="19"/>
        <v>744.16381273750937</v>
      </c>
      <c r="AA48" s="14"/>
    </row>
    <row r="49" spans="1:27">
      <c r="A49" s="4">
        <f t="shared" si="20"/>
        <v>2055</v>
      </c>
      <c r="B49" s="4">
        <f t="shared" si="9"/>
        <v>36</v>
      </c>
      <c r="C49" s="63">
        <f t="shared" si="10"/>
        <v>0</v>
      </c>
      <c r="D49" s="64"/>
      <c r="E49" s="65">
        <f t="shared" si="11"/>
        <v>0</v>
      </c>
      <c r="F49" s="63">
        <f t="shared" si="12"/>
        <v>1180</v>
      </c>
      <c r="G49" s="64">
        <f t="shared" si="22"/>
        <v>1475</v>
      </c>
      <c r="H49" s="65">
        <f t="shared" si="6"/>
        <v>1770</v>
      </c>
      <c r="I49" s="66">
        <f t="shared" si="13"/>
        <v>1180</v>
      </c>
      <c r="J49" s="89">
        <f t="shared" si="13"/>
        <v>1475</v>
      </c>
      <c r="K49" s="67">
        <f t="shared" si="13"/>
        <v>1770</v>
      </c>
      <c r="L49" s="68">
        <f t="shared" si="28"/>
        <v>55</v>
      </c>
      <c r="M49" s="68">
        <f>$M$14+'[1]Summary 40MLD'!R39/1000</f>
        <v>620.26519119629688</v>
      </c>
      <c r="N49" s="68">
        <f t="shared" si="28"/>
        <v>30</v>
      </c>
      <c r="O49" s="68">
        <f t="shared" si="28"/>
        <v>12.5</v>
      </c>
      <c r="P49" s="68">
        <f t="shared" si="24"/>
        <v>0</v>
      </c>
      <c r="Q49" s="66">
        <f t="shared" si="14"/>
        <v>681.87693163648203</v>
      </c>
      <c r="R49" s="70">
        <f t="shared" si="7"/>
        <v>717.76519119629688</v>
      </c>
      <c r="S49" s="67">
        <f t="shared" si="8"/>
        <v>753.65345075611174</v>
      </c>
      <c r="T49" s="66">
        <f t="shared" si="21"/>
        <v>1861.8769316364819</v>
      </c>
      <c r="U49" s="89">
        <f t="shared" si="15"/>
        <v>2192.7651911962967</v>
      </c>
      <c r="V49" s="67">
        <f t="shared" si="15"/>
        <v>2523.6534507561119</v>
      </c>
      <c r="W49" s="7">
        <f t="shared" si="16"/>
        <v>0.28582895186383406</v>
      </c>
      <c r="X49" s="66">
        <f t="shared" si="17"/>
        <v>532.17833186910707</v>
      </c>
      <c r="Y49" s="89">
        <f t="shared" si="18"/>
        <v>626.75577628313715</v>
      </c>
      <c r="Z49" s="67">
        <f t="shared" si="19"/>
        <v>721.33322069716746</v>
      </c>
      <c r="AA49" s="14"/>
    </row>
    <row r="50" spans="1:27">
      <c r="A50" s="4">
        <f t="shared" si="20"/>
        <v>2056</v>
      </c>
      <c r="B50" s="4">
        <f t="shared" si="9"/>
        <v>37</v>
      </c>
      <c r="C50" s="63">
        <f t="shared" si="10"/>
        <v>0</v>
      </c>
      <c r="D50" s="64"/>
      <c r="E50" s="65">
        <f t="shared" si="11"/>
        <v>0</v>
      </c>
      <c r="F50" s="63">
        <f t="shared" si="12"/>
        <v>1180</v>
      </c>
      <c r="G50" s="64">
        <f>$AC$9+X8</f>
        <v>1475</v>
      </c>
      <c r="H50" s="65">
        <f t="shared" si="6"/>
        <v>1770</v>
      </c>
      <c r="I50" s="66">
        <f t="shared" si="13"/>
        <v>1180</v>
      </c>
      <c r="J50" s="89">
        <f t="shared" si="13"/>
        <v>1475</v>
      </c>
      <c r="K50" s="67">
        <f t="shared" si="13"/>
        <v>1770</v>
      </c>
      <c r="L50" s="68">
        <f t="shared" si="28"/>
        <v>55</v>
      </c>
      <c r="M50" s="68">
        <f>$M$14+'[1]Summary 40MLD'!R40/1000</f>
        <v>628.96881287214808</v>
      </c>
      <c r="N50" s="68">
        <f t="shared" si="28"/>
        <v>30</v>
      </c>
      <c r="O50" s="68">
        <f t="shared" si="28"/>
        <v>12.5</v>
      </c>
      <c r="P50" s="68">
        <f t="shared" si="24"/>
        <v>0</v>
      </c>
      <c r="Q50" s="66">
        <f t="shared" si="14"/>
        <v>690.14537222854062</v>
      </c>
      <c r="R50" s="70">
        <f t="shared" si="7"/>
        <v>726.46881287214808</v>
      </c>
      <c r="S50" s="67">
        <f t="shared" si="8"/>
        <v>762.79225351575553</v>
      </c>
      <c r="T50" s="66">
        <f t="shared" si="21"/>
        <v>1870.1453722285405</v>
      </c>
      <c r="U50" s="89">
        <f t="shared" si="15"/>
        <v>2201.4688128721482</v>
      </c>
      <c r="V50" s="67">
        <f t="shared" si="15"/>
        <v>2532.7922535157554</v>
      </c>
      <c r="W50" s="7">
        <f t="shared" si="16"/>
        <v>0.27605654999404483</v>
      </c>
      <c r="X50" s="66">
        <f t="shared" si="17"/>
        <v>516.26587944473965</v>
      </c>
      <c r="Y50" s="89">
        <f t="shared" si="18"/>
        <v>607.72988540097072</v>
      </c>
      <c r="Z50" s="67">
        <f t="shared" si="19"/>
        <v>699.19389135720155</v>
      </c>
      <c r="AA50" s="14"/>
    </row>
    <row r="51" spans="1:27">
      <c r="A51" s="4">
        <f t="shared" si="20"/>
        <v>2057</v>
      </c>
      <c r="B51" s="4">
        <f t="shared" si="9"/>
        <v>38</v>
      </c>
      <c r="C51" s="63">
        <f t="shared" si="10"/>
        <v>0</v>
      </c>
      <c r="D51" s="64"/>
      <c r="E51" s="65">
        <f t="shared" si="11"/>
        <v>0</v>
      </c>
      <c r="F51" s="63">
        <f t="shared" si="12"/>
        <v>1180</v>
      </c>
      <c r="G51" s="64">
        <f t="shared" si="22"/>
        <v>1475</v>
      </c>
      <c r="H51" s="65">
        <f t="shared" si="6"/>
        <v>1770</v>
      </c>
      <c r="I51" s="66">
        <f t="shared" si="13"/>
        <v>1180</v>
      </c>
      <c r="J51" s="89">
        <f t="shared" si="13"/>
        <v>1475</v>
      </c>
      <c r="K51" s="67">
        <f t="shared" si="13"/>
        <v>1770</v>
      </c>
      <c r="L51" s="68">
        <f t="shared" si="28"/>
        <v>55</v>
      </c>
      <c r="M51" s="68">
        <f>$M$14+'[1]Summary 40MLD'!R41/1000</f>
        <v>637.67243454799939</v>
      </c>
      <c r="N51" s="68">
        <f t="shared" si="28"/>
        <v>30</v>
      </c>
      <c r="O51" s="68">
        <f t="shared" si="28"/>
        <v>12.5</v>
      </c>
      <c r="P51" s="68">
        <f t="shared" si="24"/>
        <v>0</v>
      </c>
      <c r="Q51" s="66">
        <f t="shared" si="14"/>
        <v>698.41381282059933</v>
      </c>
      <c r="R51" s="70">
        <f t="shared" si="7"/>
        <v>735.17243454799939</v>
      </c>
      <c r="S51" s="67">
        <f t="shared" si="8"/>
        <v>771.93105627539944</v>
      </c>
      <c r="T51" s="66">
        <f t="shared" si="21"/>
        <v>1878.4138128205993</v>
      </c>
      <c r="U51" s="89">
        <f t="shared" si="15"/>
        <v>2210.1724345479993</v>
      </c>
      <c r="V51" s="67">
        <f t="shared" si="15"/>
        <v>2541.9310562753994</v>
      </c>
      <c r="W51" s="7">
        <f t="shared" si="16"/>
        <v>0.26661826346730227</v>
      </c>
      <c r="X51" s="66">
        <f t="shared" si="17"/>
        <v>500.81942884722235</v>
      </c>
      <c r="Y51" s="89">
        <f t="shared" si="18"/>
        <v>589.27233646248737</v>
      </c>
      <c r="Z51" s="67">
        <f t="shared" si="19"/>
        <v>677.72524407775245</v>
      </c>
      <c r="AA51" s="14"/>
    </row>
    <row r="52" spans="1:27">
      <c r="A52" s="4">
        <f t="shared" si="20"/>
        <v>2058</v>
      </c>
      <c r="B52" s="4">
        <f t="shared" si="9"/>
        <v>39</v>
      </c>
      <c r="C52" s="63">
        <f t="shared" si="10"/>
        <v>0</v>
      </c>
      <c r="D52" s="64"/>
      <c r="E52" s="65">
        <f t="shared" si="11"/>
        <v>0</v>
      </c>
      <c r="F52" s="63">
        <f t="shared" si="12"/>
        <v>1180</v>
      </c>
      <c r="G52" s="64">
        <f t="shared" si="22"/>
        <v>1475</v>
      </c>
      <c r="H52" s="65">
        <f t="shared" si="6"/>
        <v>1770</v>
      </c>
      <c r="I52" s="66">
        <f t="shared" si="13"/>
        <v>1180</v>
      </c>
      <c r="J52" s="89">
        <f t="shared" si="13"/>
        <v>1475</v>
      </c>
      <c r="K52" s="67">
        <f t="shared" si="13"/>
        <v>1770</v>
      </c>
      <c r="L52" s="68">
        <f t="shared" si="28"/>
        <v>55</v>
      </c>
      <c r="M52" s="68">
        <f>$M$14+'[1]Summary 40MLD'!R42/1000</f>
        <v>646.3760562238507</v>
      </c>
      <c r="N52" s="68">
        <f t="shared" si="28"/>
        <v>30</v>
      </c>
      <c r="O52" s="68">
        <f t="shared" si="28"/>
        <v>12.5</v>
      </c>
      <c r="P52" s="68">
        <f t="shared" si="24"/>
        <v>0</v>
      </c>
      <c r="Q52" s="66">
        <f t="shared" si="14"/>
        <v>706.68225341265816</v>
      </c>
      <c r="R52" s="70">
        <f t="shared" si="7"/>
        <v>743.8760562238507</v>
      </c>
      <c r="S52" s="67">
        <f t="shared" si="8"/>
        <v>781.06985903504324</v>
      </c>
      <c r="T52" s="66">
        <f t="shared" si="21"/>
        <v>1886.6822534126582</v>
      </c>
      <c r="U52" s="89">
        <f t="shared" si="15"/>
        <v>2218.8760562238508</v>
      </c>
      <c r="V52" s="67">
        <f t="shared" si="15"/>
        <v>2551.069859035043</v>
      </c>
      <c r="W52" s="7">
        <f t="shared" si="16"/>
        <v>0.25750266898522534</v>
      </c>
      <c r="X52" s="66">
        <f t="shared" si="17"/>
        <v>485.82571578081871</v>
      </c>
      <c r="Y52" s="89">
        <f t="shared" si="18"/>
        <v>571.36650662505247</v>
      </c>
      <c r="Z52" s="67">
        <f t="shared" si="19"/>
        <v>656.90729746928616</v>
      </c>
      <c r="AA52" s="14"/>
    </row>
    <row r="53" spans="1:27">
      <c r="A53" s="4">
        <f t="shared" si="20"/>
        <v>2059</v>
      </c>
      <c r="B53" s="4">
        <f t="shared" si="9"/>
        <v>40</v>
      </c>
      <c r="C53" s="63">
        <f t="shared" si="10"/>
        <v>0</v>
      </c>
      <c r="D53" s="64"/>
      <c r="E53" s="65">
        <f t="shared" si="11"/>
        <v>0</v>
      </c>
      <c r="F53" s="63">
        <f t="shared" si="12"/>
        <v>1180</v>
      </c>
      <c r="G53" s="64">
        <f t="shared" si="22"/>
        <v>1475</v>
      </c>
      <c r="H53" s="65">
        <f t="shared" si="6"/>
        <v>1770</v>
      </c>
      <c r="I53" s="66">
        <f t="shared" si="13"/>
        <v>1180</v>
      </c>
      <c r="J53" s="89">
        <f t="shared" si="13"/>
        <v>1475</v>
      </c>
      <c r="K53" s="67">
        <f t="shared" si="13"/>
        <v>1770</v>
      </c>
      <c r="L53" s="68">
        <f t="shared" si="28"/>
        <v>55</v>
      </c>
      <c r="M53" s="68">
        <f>$M$14+'[1]Summary 40MLD'!R43/1000</f>
        <v>655.07967789970201</v>
      </c>
      <c r="N53" s="68">
        <f t="shared" si="28"/>
        <v>30</v>
      </c>
      <c r="O53" s="68">
        <f t="shared" si="28"/>
        <v>12.5</v>
      </c>
      <c r="P53" s="68">
        <f t="shared" si="24"/>
        <v>0</v>
      </c>
      <c r="Q53" s="66">
        <f t="shared" si="14"/>
        <v>714.95069400471687</v>
      </c>
      <c r="R53" s="70">
        <f t="shared" si="7"/>
        <v>752.57967789970201</v>
      </c>
      <c r="S53" s="67">
        <f t="shared" si="8"/>
        <v>790.20866179468715</v>
      </c>
      <c r="T53" s="66">
        <f t="shared" si="21"/>
        <v>1894.9506940047168</v>
      </c>
      <c r="U53" s="89">
        <f t="shared" si="15"/>
        <v>2227.5796778997019</v>
      </c>
      <c r="V53" s="67">
        <f t="shared" si="15"/>
        <v>2560.208661794687</v>
      </c>
      <c r="W53" s="7">
        <f t="shared" si="16"/>
        <v>0.24869873380840765</v>
      </c>
      <c r="X53" s="66">
        <f t="shared" si="17"/>
        <v>471.27183822833638</v>
      </c>
      <c r="Y53" s="89">
        <f t="shared" si="18"/>
        <v>553.99624535099645</v>
      </c>
      <c r="Z53" s="67">
        <f t="shared" si="19"/>
        <v>636.7206524736564</v>
      </c>
      <c r="AA53" s="14"/>
    </row>
    <row r="54" spans="1:27">
      <c r="A54" s="4">
        <f t="shared" si="20"/>
        <v>2060</v>
      </c>
      <c r="B54" s="4">
        <f t="shared" si="9"/>
        <v>41</v>
      </c>
      <c r="C54" s="63">
        <f t="shared" si="10"/>
        <v>0</v>
      </c>
      <c r="D54" s="64"/>
      <c r="E54" s="65">
        <f t="shared" si="11"/>
        <v>0</v>
      </c>
      <c r="F54" s="63">
        <f t="shared" si="12"/>
        <v>3454.5431909686727</v>
      </c>
      <c r="G54" s="64">
        <f>$AC$9+T6+X6+X8+T6+X6</f>
        <v>4318.1789887108407</v>
      </c>
      <c r="H54" s="65">
        <f t="shared" si="6"/>
        <v>5181.8147864530083</v>
      </c>
      <c r="I54" s="66">
        <f t="shared" si="13"/>
        <v>3454.5431909686727</v>
      </c>
      <c r="J54" s="89">
        <f t="shared" si="13"/>
        <v>4318.1789887108407</v>
      </c>
      <c r="K54" s="67">
        <f t="shared" si="13"/>
        <v>5181.8147864530083</v>
      </c>
      <c r="L54" s="68">
        <f t="shared" si="28"/>
        <v>55</v>
      </c>
      <c r="M54" s="68">
        <f>$M$14+'[1]Summary 40MLD'!R44/1000</f>
        <v>663.78329957555331</v>
      </c>
      <c r="N54" s="68">
        <f t="shared" si="28"/>
        <v>30</v>
      </c>
      <c r="O54" s="68">
        <f t="shared" si="28"/>
        <v>12.5</v>
      </c>
      <c r="P54" s="68">
        <f t="shared" si="24"/>
        <v>0</v>
      </c>
      <c r="Q54" s="66">
        <f t="shared" si="14"/>
        <v>723.21913459677558</v>
      </c>
      <c r="R54" s="70">
        <f t="shared" si="7"/>
        <v>761.28329957555331</v>
      </c>
      <c r="S54" s="67">
        <f t="shared" si="8"/>
        <v>799.34746455433105</v>
      </c>
      <c r="T54" s="66">
        <f t="shared" si="21"/>
        <v>4177.762325565448</v>
      </c>
      <c r="U54" s="89">
        <f t="shared" si="15"/>
        <v>5079.4622882863941</v>
      </c>
      <c r="V54" s="67">
        <f t="shared" si="15"/>
        <v>5981.1622510073394</v>
      </c>
      <c r="W54" s="7">
        <f t="shared" si="16"/>
        <v>0.24019580240332974</v>
      </c>
      <c r="X54" s="66">
        <f t="shared" si="17"/>
        <v>1003.4809740395937</v>
      </c>
      <c r="Y54" s="89">
        <f t="shared" si="18"/>
        <v>1220.0655201124039</v>
      </c>
      <c r="Z54" s="67">
        <f t="shared" si="19"/>
        <v>1436.6500661852137</v>
      </c>
      <c r="AA54" s="14"/>
    </row>
    <row r="55" spans="1:27">
      <c r="A55" s="4">
        <f t="shared" si="20"/>
        <v>2061</v>
      </c>
      <c r="B55" s="4">
        <f t="shared" si="9"/>
        <v>42</v>
      </c>
      <c r="C55" s="63">
        <f t="shared" si="10"/>
        <v>0</v>
      </c>
      <c r="D55" s="64"/>
      <c r="E55" s="65">
        <f t="shared" si="11"/>
        <v>0</v>
      </c>
      <c r="F55" s="63">
        <f t="shared" si="12"/>
        <v>1180</v>
      </c>
      <c r="G55" s="64">
        <f t="shared" si="22"/>
        <v>1475</v>
      </c>
      <c r="H55" s="65">
        <f t="shared" si="6"/>
        <v>1770</v>
      </c>
      <c r="I55" s="66">
        <f t="shared" si="13"/>
        <v>1180</v>
      </c>
      <c r="J55" s="89">
        <f t="shared" si="13"/>
        <v>1475</v>
      </c>
      <c r="K55" s="67">
        <f t="shared" si="13"/>
        <v>1770</v>
      </c>
      <c r="L55" s="68">
        <f t="shared" si="28"/>
        <v>55</v>
      </c>
      <c r="M55" s="68">
        <f>$M$14+'[1]Summary 40MLD'!R45/1000</f>
        <v>672.48692125140451</v>
      </c>
      <c r="N55" s="68">
        <f t="shared" si="28"/>
        <v>30</v>
      </c>
      <c r="O55" s="68">
        <f t="shared" si="28"/>
        <v>12.5</v>
      </c>
      <c r="P55" s="68">
        <f t="shared" si="24"/>
        <v>0</v>
      </c>
      <c r="Q55" s="66">
        <f t="shared" si="14"/>
        <v>731.48757518883428</v>
      </c>
      <c r="R55" s="70">
        <f t="shared" si="7"/>
        <v>769.98692125140451</v>
      </c>
      <c r="S55" s="67">
        <f t="shared" si="8"/>
        <v>808.48626731397474</v>
      </c>
      <c r="T55" s="66">
        <f t="shared" si="21"/>
        <v>1911.4875751888344</v>
      </c>
      <c r="U55" s="89">
        <f t="shared" si="15"/>
        <v>2244.9869212514045</v>
      </c>
      <c r="V55" s="67">
        <f t="shared" si="15"/>
        <v>2578.4862673139746</v>
      </c>
      <c r="W55" s="7">
        <f t="shared" si="16"/>
        <v>0.23198358354580814</v>
      </c>
      <c r="X55" s="66">
        <f t="shared" si="17"/>
        <v>443.43373759559319</v>
      </c>
      <c r="Y55" s="89">
        <f t="shared" si="18"/>
        <v>520.80011100537183</v>
      </c>
      <c r="Z55" s="67">
        <f t="shared" si="19"/>
        <v>598.16648441515042</v>
      </c>
      <c r="AA55" s="14"/>
    </row>
    <row r="56" spans="1:27">
      <c r="A56" s="4">
        <f t="shared" si="20"/>
        <v>2062</v>
      </c>
      <c r="B56" s="4">
        <f t="shared" si="9"/>
        <v>43</v>
      </c>
      <c r="C56" s="63">
        <f t="shared" si="10"/>
        <v>0</v>
      </c>
      <c r="D56" s="64"/>
      <c r="E56" s="65">
        <f t="shared" si="11"/>
        <v>0</v>
      </c>
      <c r="F56" s="63">
        <f t="shared" si="12"/>
        <v>1180</v>
      </c>
      <c r="G56" s="64">
        <f t="shared" si="22"/>
        <v>1475</v>
      </c>
      <c r="H56" s="65">
        <f t="shared" si="6"/>
        <v>1770</v>
      </c>
      <c r="I56" s="66">
        <f t="shared" si="13"/>
        <v>1180</v>
      </c>
      <c r="J56" s="89">
        <f t="shared" si="13"/>
        <v>1475</v>
      </c>
      <c r="K56" s="67">
        <f t="shared" si="13"/>
        <v>1770</v>
      </c>
      <c r="L56" s="68">
        <f t="shared" si="28"/>
        <v>55</v>
      </c>
      <c r="M56" s="68">
        <f>$M$14+'[1]Summary 40MLD'!R46/1000</f>
        <v>681.19054292725582</v>
      </c>
      <c r="N56" s="68">
        <f t="shared" si="28"/>
        <v>30</v>
      </c>
      <c r="O56" s="68">
        <f t="shared" si="28"/>
        <v>12.5</v>
      </c>
      <c r="P56" s="68">
        <f t="shared" si="24"/>
        <v>0</v>
      </c>
      <c r="Q56" s="66">
        <f t="shared" si="14"/>
        <v>739.75601578089299</v>
      </c>
      <c r="R56" s="70">
        <f t="shared" si="7"/>
        <v>778.69054292725582</v>
      </c>
      <c r="S56" s="67">
        <f t="shared" si="8"/>
        <v>817.62507007361864</v>
      </c>
      <c r="T56" s="66">
        <f t="shared" si="21"/>
        <v>1919.756015780893</v>
      </c>
      <c r="U56" s="89">
        <f t="shared" si="15"/>
        <v>2253.6905429272556</v>
      </c>
      <c r="V56" s="67">
        <f t="shared" si="15"/>
        <v>2587.6250700736186</v>
      </c>
      <c r="W56" s="7">
        <f t="shared" si="16"/>
        <v>0.2240521378653739</v>
      </c>
      <c r="X56" s="66">
        <f t="shared" si="17"/>
        <v>430.12543951562157</v>
      </c>
      <c r="Y56" s="89">
        <f t="shared" si="18"/>
        <v>504.94418422982682</v>
      </c>
      <c r="Z56" s="67">
        <f t="shared" si="19"/>
        <v>579.76292894403218</v>
      </c>
      <c r="AA56" s="14"/>
    </row>
    <row r="57" spans="1:27">
      <c r="A57" s="4">
        <f t="shared" si="20"/>
        <v>2063</v>
      </c>
      <c r="B57" s="4">
        <f t="shared" si="9"/>
        <v>44</v>
      </c>
      <c r="C57" s="63">
        <f t="shared" si="10"/>
        <v>0</v>
      </c>
      <c r="D57" s="64"/>
      <c r="E57" s="65">
        <f t="shared" si="11"/>
        <v>0</v>
      </c>
      <c r="F57" s="63">
        <f t="shared" si="12"/>
        <v>1180</v>
      </c>
      <c r="G57" s="64">
        <f t="shared" si="22"/>
        <v>1475</v>
      </c>
      <c r="H57" s="65">
        <f t="shared" si="6"/>
        <v>1770</v>
      </c>
      <c r="I57" s="66">
        <f t="shared" si="13"/>
        <v>1180</v>
      </c>
      <c r="J57" s="89">
        <f t="shared" si="13"/>
        <v>1475</v>
      </c>
      <c r="K57" s="67">
        <f t="shared" si="13"/>
        <v>1770</v>
      </c>
      <c r="L57" s="68">
        <f t="shared" si="28"/>
        <v>55</v>
      </c>
      <c r="M57" s="68">
        <f>$M$14+'[1]Summary 40MLD'!R47/1000</f>
        <v>689.89416460310713</v>
      </c>
      <c r="N57" s="68">
        <f t="shared" si="28"/>
        <v>30</v>
      </c>
      <c r="O57" s="68">
        <f t="shared" si="28"/>
        <v>12.5</v>
      </c>
      <c r="P57" s="68">
        <f t="shared" si="24"/>
        <v>0</v>
      </c>
      <c r="Q57" s="66">
        <f t="shared" si="14"/>
        <v>748.0244563729517</v>
      </c>
      <c r="R57" s="70">
        <f t="shared" si="7"/>
        <v>787.39416460310713</v>
      </c>
      <c r="S57" s="67">
        <f t="shared" si="8"/>
        <v>826.76387283326255</v>
      </c>
      <c r="T57" s="66">
        <f t="shared" si="21"/>
        <v>1928.0244563729516</v>
      </c>
      <c r="U57" s="89">
        <f t="shared" si="15"/>
        <v>2262.3941646031071</v>
      </c>
      <c r="V57" s="67">
        <f t="shared" si="15"/>
        <v>2596.7638728332627</v>
      </c>
      <c r="W57" s="7">
        <f t="shared" si="16"/>
        <v>0.21639186581550499</v>
      </c>
      <c r="X57" s="66">
        <f t="shared" si="17"/>
        <v>417.20880945246768</v>
      </c>
      <c r="Y57" s="89">
        <f t="shared" si="18"/>
        <v>489.56369448857708</v>
      </c>
      <c r="Z57" s="67">
        <f t="shared" si="19"/>
        <v>561.91857952468638</v>
      </c>
      <c r="AA57" s="14"/>
    </row>
    <row r="58" spans="1:27">
      <c r="A58" s="4">
        <f t="shared" si="20"/>
        <v>2064</v>
      </c>
      <c r="B58" s="4">
        <f t="shared" si="9"/>
        <v>45</v>
      </c>
      <c r="C58" s="63">
        <v>12000</v>
      </c>
      <c r="D58" s="64">
        <v>15000</v>
      </c>
      <c r="E58" s="65">
        <v>20000</v>
      </c>
      <c r="F58" s="63">
        <f t="shared" si="12"/>
        <v>1180</v>
      </c>
      <c r="G58" s="64">
        <f>$AC$9+X8</f>
        <v>1475</v>
      </c>
      <c r="H58" s="65">
        <f t="shared" si="6"/>
        <v>1770</v>
      </c>
      <c r="I58" s="66">
        <f t="shared" si="13"/>
        <v>13180</v>
      </c>
      <c r="J58" s="89">
        <f t="shared" si="13"/>
        <v>16475</v>
      </c>
      <c r="K58" s="67">
        <f t="shared" si="13"/>
        <v>21770</v>
      </c>
      <c r="L58" s="68">
        <f t="shared" si="28"/>
        <v>55</v>
      </c>
      <c r="M58" s="68">
        <f>$M$14*1.5+'[1]Summary 40MLD'!R48/1000</f>
        <v>718.59778627895844</v>
      </c>
      <c r="N58" s="68">
        <f>N57*1.5</f>
        <v>45</v>
      </c>
      <c r="O58" s="68">
        <f>O57*1.5</f>
        <v>18.75</v>
      </c>
      <c r="P58" s="68">
        <f t="shared" si="24"/>
        <v>0</v>
      </c>
      <c r="Q58" s="66">
        <f t="shared" si="14"/>
        <v>795.48039696501053</v>
      </c>
      <c r="R58" s="70">
        <f t="shared" si="7"/>
        <v>837.34778627895844</v>
      </c>
      <c r="S58" s="67">
        <f t="shared" si="8"/>
        <v>879.21517559290635</v>
      </c>
      <c r="T58" s="66">
        <f t="shared" si="21"/>
        <v>13975.480396965011</v>
      </c>
      <c r="U58" s="89">
        <f t="shared" si="15"/>
        <v>17312.347786278959</v>
      </c>
      <c r="V58" s="67">
        <f t="shared" si="15"/>
        <v>22649.215175592908</v>
      </c>
      <c r="W58" s="7">
        <f t="shared" si="16"/>
        <v>0.20899349605515255</v>
      </c>
      <c r="X58" s="66">
        <f t="shared" si="17"/>
        <v>2920.784507211969</v>
      </c>
      <c r="Y58" s="89">
        <f t="shared" si="18"/>
        <v>3618.1680887771204</v>
      </c>
      <c r="Z58" s="67">
        <f t="shared" si="19"/>
        <v>4733.5386624525781</v>
      </c>
      <c r="AA58" s="14"/>
    </row>
    <row r="59" spans="1:27">
      <c r="A59" s="4">
        <f t="shared" si="20"/>
        <v>2065</v>
      </c>
      <c r="B59" s="4">
        <f t="shared" si="9"/>
        <v>46</v>
      </c>
      <c r="C59" s="63">
        <f t="shared" si="10"/>
        <v>0</v>
      </c>
      <c r="D59" s="64"/>
      <c r="E59" s="65">
        <f t="shared" si="11"/>
        <v>0</v>
      </c>
      <c r="F59" s="63">
        <f t="shared" si="12"/>
        <v>1180</v>
      </c>
      <c r="G59" s="64">
        <f t="shared" si="22"/>
        <v>1475</v>
      </c>
      <c r="H59" s="65">
        <f t="shared" si="6"/>
        <v>1770</v>
      </c>
      <c r="I59" s="66">
        <f t="shared" si="13"/>
        <v>1180</v>
      </c>
      <c r="J59" s="89">
        <f t="shared" si="13"/>
        <v>1475</v>
      </c>
      <c r="K59" s="67">
        <f t="shared" si="13"/>
        <v>1770</v>
      </c>
      <c r="L59" s="68">
        <f t="shared" si="28"/>
        <v>55</v>
      </c>
      <c r="M59" s="68">
        <f>$M$14*1.5+'[1]Summary 40MLD'!R49/1000</f>
        <v>727.30140795480975</v>
      </c>
      <c r="N59" s="68">
        <f t="shared" si="28"/>
        <v>45</v>
      </c>
      <c r="O59" s="68">
        <f t="shared" si="28"/>
        <v>18.75</v>
      </c>
      <c r="P59" s="68">
        <f t="shared" si="24"/>
        <v>0</v>
      </c>
      <c r="Q59" s="66">
        <f t="shared" si="14"/>
        <v>803.74883755706924</v>
      </c>
      <c r="R59" s="70">
        <f t="shared" si="7"/>
        <v>846.05140795480975</v>
      </c>
      <c r="S59" s="67">
        <f t="shared" si="8"/>
        <v>888.35397835255026</v>
      </c>
      <c r="T59" s="66">
        <f t="shared" si="21"/>
        <v>1983.7488375570692</v>
      </c>
      <c r="U59" s="89">
        <f t="shared" si="15"/>
        <v>2321.0514079548097</v>
      </c>
      <c r="V59" s="67">
        <f t="shared" si="15"/>
        <v>2658.3539783525503</v>
      </c>
      <c r="W59" s="7">
        <f t="shared" si="16"/>
        <v>0.20184807422749909</v>
      </c>
      <c r="X59" s="66">
        <f t="shared" si="17"/>
        <v>400.41588261193436</v>
      </c>
      <c r="Y59" s="89">
        <f t="shared" si="18"/>
        <v>468.49975687870369</v>
      </c>
      <c r="Z59" s="67">
        <f t="shared" si="19"/>
        <v>536.58363114547308</v>
      </c>
      <c r="AA59" s="14"/>
    </row>
    <row r="60" spans="1:27">
      <c r="A60" s="4">
        <f t="shared" si="20"/>
        <v>2066</v>
      </c>
      <c r="B60" s="4">
        <f t="shared" si="9"/>
        <v>47</v>
      </c>
      <c r="C60" s="63">
        <f t="shared" si="10"/>
        <v>0</v>
      </c>
      <c r="D60" s="64"/>
      <c r="E60" s="65">
        <f t="shared" si="11"/>
        <v>0</v>
      </c>
      <c r="F60" s="63">
        <f t="shared" si="12"/>
        <v>1180</v>
      </c>
      <c r="G60" s="64">
        <f t="shared" si="22"/>
        <v>1475</v>
      </c>
      <c r="H60" s="65">
        <f t="shared" si="6"/>
        <v>1770</v>
      </c>
      <c r="I60" s="66">
        <f t="shared" si="13"/>
        <v>1180</v>
      </c>
      <c r="J60" s="89">
        <f t="shared" si="13"/>
        <v>1475</v>
      </c>
      <c r="K60" s="67">
        <f t="shared" si="13"/>
        <v>1770</v>
      </c>
      <c r="L60" s="68">
        <f t="shared" si="28"/>
        <v>55</v>
      </c>
      <c r="M60" s="68">
        <f>$M$14*1.5+'[1]Summary 40MLD'!R50/1000</f>
        <v>736.00502963066106</v>
      </c>
      <c r="N60" s="68">
        <f t="shared" si="28"/>
        <v>45</v>
      </c>
      <c r="O60" s="68">
        <f t="shared" si="28"/>
        <v>18.75</v>
      </c>
      <c r="P60" s="68">
        <f t="shared" si="24"/>
        <v>0</v>
      </c>
      <c r="Q60" s="66">
        <f t="shared" si="14"/>
        <v>812.01727814912795</v>
      </c>
      <c r="R60" s="70">
        <f t="shared" si="7"/>
        <v>854.75502963066106</v>
      </c>
      <c r="S60" s="67">
        <f t="shared" si="8"/>
        <v>897.49278111219417</v>
      </c>
      <c r="T60" s="66">
        <f t="shared" si="21"/>
        <v>1992.0172781491278</v>
      </c>
      <c r="U60" s="89">
        <f t="shared" si="15"/>
        <v>2329.7550296306608</v>
      </c>
      <c r="V60" s="67">
        <f t="shared" si="15"/>
        <v>2667.4927811121943</v>
      </c>
      <c r="W60" s="7">
        <f t="shared" si="16"/>
        <v>0.19494695212236729</v>
      </c>
      <c r="X60" s="66">
        <f t="shared" si="17"/>
        <v>388.33769695026643</v>
      </c>
      <c r="Y60" s="89">
        <f t="shared" si="18"/>
        <v>454.17864221825283</v>
      </c>
      <c r="Z60" s="67">
        <f t="shared" si="19"/>
        <v>520.01958748623929</v>
      </c>
      <c r="AA60" s="14"/>
    </row>
    <row r="61" spans="1:27">
      <c r="A61" s="4">
        <f t="shared" si="20"/>
        <v>2067</v>
      </c>
      <c r="B61" s="4">
        <f t="shared" si="9"/>
        <v>48</v>
      </c>
      <c r="C61" s="63">
        <f t="shared" si="10"/>
        <v>0</v>
      </c>
      <c r="D61" s="64"/>
      <c r="E61" s="65">
        <f t="shared" si="11"/>
        <v>0</v>
      </c>
      <c r="F61" s="63">
        <f t="shared" si="12"/>
        <v>1180</v>
      </c>
      <c r="G61" s="64">
        <f t="shared" si="22"/>
        <v>1475</v>
      </c>
      <c r="H61" s="65">
        <f t="shared" si="6"/>
        <v>1770</v>
      </c>
      <c r="I61" s="66">
        <f t="shared" si="13"/>
        <v>1180</v>
      </c>
      <c r="J61" s="89">
        <f t="shared" si="13"/>
        <v>1475</v>
      </c>
      <c r="K61" s="67">
        <f t="shared" si="13"/>
        <v>1770</v>
      </c>
      <c r="L61" s="68">
        <f t="shared" si="28"/>
        <v>55</v>
      </c>
      <c r="M61" s="68">
        <f>$M$14*1.5+'[1]Summary 40MLD'!R51/1000</f>
        <v>744.70865130651225</v>
      </c>
      <c r="N61" s="68">
        <f t="shared" si="28"/>
        <v>45</v>
      </c>
      <c r="O61" s="68">
        <f t="shared" si="28"/>
        <v>18.75</v>
      </c>
      <c r="P61" s="68">
        <f t="shared" si="24"/>
        <v>0</v>
      </c>
      <c r="Q61" s="66">
        <f t="shared" si="14"/>
        <v>820.28571874118666</v>
      </c>
      <c r="R61" s="70">
        <f t="shared" si="7"/>
        <v>863.45865130651225</v>
      </c>
      <c r="S61" s="67">
        <f t="shared" si="8"/>
        <v>906.63158387183785</v>
      </c>
      <c r="T61" s="66">
        <f t="shared" si="21"/>
        <v>2000.2857187411867</v>
      </c>
      <c r="U61" s="89">
        <f t="shared" si="15"/>
        <v>2338.4586513065124</v>
      </c>
      <c r="V61" s="67">
        <f t="shared" si="15"/>
        <v>2676.6315838718378</v>
      </c>
      <c r="W61" s="7">
        <f t="shared" si="16"/>
        <v>0.18828177720916289</v>
      </c>
      <c r="X61" s="66">
        <f t="shared" si="17"/>
        <v>376.61735005069835</v>
      </c>
      <c r="Y61" s="89">
        <f t="shared" si="18"/>
        <v>440.28915079813231</v>
      </c>
      <c r="Z61" s="67">
        <f t="shared" si="19"/>
        <v>503.96095154556616</v>
      </c>
      <c r="AA61" s="14"/>
    </row>
    <row r="62" spans="1:27">
      <c r="A62" s="4">
        <f t="shared" si="20"/>
        <v>2068</v>
      </c>
      <c r="B62" s="4">
        <f t="shared" si="9"/>
        <v>49</v>
      </c>
      <c r="C62" s="63">
        <f t="shared" si="10"/>
        <v>0</v>
      </c>
      <c r="D62" s="64"/>
      <c r="E62" s="65">
        <f t="shared" si="11"/>
        <v>0</v>
      </c>
      <c r="F62" s="63">
        <f t="shared" si="12"/>
        <v>1180</v>
      </c>
      <c r="G62" s="64">
        <f>$AC$9+X8</f>
        <v>1475</v>
      </c>
      <c r="H62" s="65">
        <f t="shared" si="6"/>
        <v>1770</v>
      </c>
      <c r="I62" s="66">
        <f t="shared" si="13"/>
        <v>1180</v>
      </c>
      <c r="J62" s="89">
        <f t="shared" si="13"/>
        <v>1475</v>
      </c>
      <c r="K62" s="67">
        <f t="shared" si="13"/>
        <v>1770</v>
      </c>
      <c r="L62" s="68">
        <f t="shared" si="28"/>
        <v>55</v>
      </c>
      <c r="M62" s="68">
        <f>$M$14*1.5+'[1]Summary 40MLD'!R52/1000</f>
        <v>753.41227298236356</v>
      </c>
      <c r="N62" s="68">
        <f t="shared" si="28"/>
        <v>45</v>
      </c>
      <c r="O62" s="68">
        <f t="shared" si="28"/>
        <v>18.75</v>
      </c>
      <c r="P62" s="68">
        <f t="shared" si="24"/>
        <v>0</v>
      </c>
      <c r="Q62" s="66">
        <f t="shared" si="14"/>
        <v>828.55415933324537</v>
      </c>
      <c r="R62" s="70">
        <f t="shared" si="7"/>
        <v>872.16227298236356</v>
      </c>
      <c r="S62" s="67">
        <f t="shared" si="8"/>
        <v>915.77038663148176</v>
      </c>
      <c r="T62" s="66">
        <f t="shared" si="21"/>
        <v>2008.5541593332455</v>
      </c>
      <c r="U62" s="89">
        <f t="shared" si="15"/>
        <v>2347.1622729823634</v>
      </c>
      <c r="V62" s="67">
        <f t="shared" si="15"/>
        <v>2685.7703866314819</v>
      </c>
      <c r="W62" s="7">
        <f t="shared" si="16"/>
        <v>0.1818444825276829</v>
      </c>
      <c r="X62" s="66">
        <f t="shared" si="17"/>
        <v>365.24449173277918</v>
      </c>
      <c r="Y62" s="89">
        <f t="shared" si="18"/>
        <v>426.81850893897786</v>
      </c>
      <c r="Z62" s="67">
        <f t="shared" si="19"/>
        <v>488.39252614517665</v>
      </c>
      <c r="AA62" s="14"/>
    </row>
    <row r="63" spans="1:27">
      <c r="A63" s="4">
        <f t="shared" si="20"/>
        <v>2069</v>
      </c>
      <c r="B63" s="4">
        <f t="shared" si="9"/>
        <v>50</v>
      </c>
      <c r="C63" s="63">
        <f t="shared" si="10"/>
        <v>0</v>
      </c>
      <c r="D63" s="64"/>
      <c r="E63" s="65">
        <f t="shared" si="11"/>
        <v>0</v>
      </c>
      <c r="F63" s="63">
        <f t="shared" si="12"/>
        <v>1180</v>
      </c>
      <c r="G63" s="64">
        <f t="shared" si="22"/>
        <v>1475</v>
      </c>
      <c r="H63" s="65">
        <f t="shared" si="6"/>
        <v>1770</v>
      </c>
      <c r="I63" s="66">
        <f t="shared" si="13"/>
        <v>1180</v>
      </c>
      <c r="J63" s="89">
        <f t="shared" si="13"/>
        <v>1475</v>
      </c>
      <c r="K63" s="67">
        <f t="shared" si="13"/>
        <v>1770</v>
      </c>
      <c r="L63" s="68">
        <f t="shared" si="28"/>
        <v>55</v>
      </c>
      <c r="M63" s="68">
        <f>$M$14*1.5+'[1]Summary 40MLD'!R53/1000</f>
        <v>762.11589465821487</v>
      </c>
      <c r="N63" s="68">
        <f t="shared" si="28"/>
        <v>45</v>
      </c>
      <c r="O63" s="68">
        <f t="shared" si="28"/>
        <v>18.75</v>
      </c>
      <c r="P63" s="68">
        <f t="shared" si="24"/>
        <v>0</v>
      </c>
      <c r="Q63" s="66">
        <f t="shared" si="14"/>
        <v>836.82259992530408</v>
      </c>
      <c r="R63" s="70">
        <f t="shared" si="7"/>
        <v>880.86589465821487</v>
      </c>
      <c r="S63" s="67">
        <f t="shared" si="8"/>
        <v>924.90918939112566</v>
      </c>
      <c r="T63" s="66">
        <f t="shared" si="21"/>
        <v>2016.8225999253041</v>
      </c>
      <c r="U63" s="89">
        <f t="shared" si="15"/>
        <v>2355.865894658215</v>
      </c>
      <c r="V63" s="67">
        <f t="shared" si="15"/>
        <v>2694.9091893911254</v>
      </c>
      <c r="W63" s="7">
        <f t="shared" si="16"/>
        <v>0.17562727692455368</v>
      </c>
      <c r="X63" s="66">
        <f t="shared" si="17"/>
        <v>354.20906126477973</v>
      </c>
      <c r="Y63" s="89">
        <f t="shared" si="18"/>
        <v>413.75431187824972</v>
      </c>
      <c r="Z63" s="67">
        <f t="shared" si="19"/>
        <v>473.29956249171966</v>
      </c>
      <c r="AA63" s="14" t="s">
        <v>64</v>
      </c>
    </row>
    <row r="64" spans="1:27">
      <c r="A64" s="4">
        <f t="shared" si="20"/>
        <v>2070</v>
      </c>
      <c r="B64" s="4">
        <f t="shared" si="9"/>
        <v>51</v>
      </c>
      <c r="C64" s="63">
        <f t="shared" si="10"/>
        <v>0</v>
      </c>
      <c r="D64" s="64"/>
      <c r="E64" s="65">
        <f t="shared" si="11"/>
        <v>0</v>
      </c>
      <c r="F64" s="63">
        <f t="shared" si="12"/>
        <v>12111.187550327697</v>
      </c>
      <c r="G64" s="64">
        <f>$AC$9+T6+T5+T4+X4+X5+X6+T6+X6</f>
        <v>15138.984437909621</v>
      </c>
      <c r="H64" s="65">
        <f t="shared" si="6"/>
        <v>18166.781325491545</v>
      </c>
      <c r="I64" s="66">
        <f t="shared" si="13"/>
        <v>12111.187550327697</v>
      </c>
      <c r="J64" s="89">
        <f t="shared" si="13"/>
        <v>15138.984437909621</v>
      </c>
      <c r="K64" s="67">
        <f t="shared" si="13"/>
        <v>18166.781325491545</v>
      </c>
      <c r="L64" s="68">
        <f t="shared" ref="L64:O73" si="29">L63</f>
        <v>55</v>
      </c>
      <c r="M64" s="68">
        <f>$M$14*1.5+'[1]Summary 40MLD'!R54/1000</f>
        <v>770.81951633406618</v>
      </c>
      <c r="N64" s="68">
        <f t="shared" si="29"/>
        <v>45</v>
      </c>
      <c r="O64" s="68">
        <f t="shared" si="29"/>
        <v>18.75</v>
      </c>
      <c r="P64" s="68">
        <f t="shared" si="24"/>
        <v>0</v>
      </c>
      <c r="Q64" s="66">
        <f t="shared" si="14"/>
        <v>845.09104051736279</v>
      </c>
      <c r="R64" s="70">
        <f t="shared" si="7"/>
        <v>889.56951633406618</v>
      </c>
      <c r="S64" s="67">
        <f t="shared" si="8"/>
        <v>934.04799215076957</v>
      </c>
      <c r="T64" s="66">
        <f t="shared" si="21"/>
        <v>12956.278590845061</v>
      </c>
      <c r="U64" s="89">
        <f t="shared" si="15"/>
        <v>16028.553954243687</v>
      </c>
      <c r="V64" s="67">
        <f t="shared" si="15"/>
        <v>19100.829317642314</v>
      </c>
      <c r="W64" s="7">
        <f t="shared" si="16"/>
        <v>0.16962263562348243</v>
      </c>
      <c r="X64" s="66">
        <f t="shared" si="17"/>
        <v>2197.6781224512379</v>
      </c>
      <c r="Y64" s="89">
        <f t="shared" si="18"/>
        <v>2718.8055669520054</v>
      </c>
      <c r="Z64" s="67">
        <f t="shared" si="19"/>
        <v>3239.9330114527729</v>
      </c>
      <c r="AA64" s="14"/>
    </row>
    <row r="65" spans="1:27">
      <c r="A65" s="4">
        <f t="shared" si="20"/>
        <v>2071</v>
      </c>
      <c r="B65" s="4">
        <f t="shared" si="9"/>
        <v>52</v>
      </c>
      <c r="C65" s="63">
        <f t="shared" si="10"/>
        <v>0</v>
      </c>
      <c r="D65" s="64"/>
      <c r="E65" s="65">
        <f t="shared" si="11"/>
        <v>0</v>
      </c>
      <c r="F65" s="63">
        <f t="shared" si="12"/>
        <v>1180</v>
      </c>
      <c r="G65" s="64">
        <f t="shared" si="22"/>
        <v>1475</v>
      </c>
      <c r="H65" s="65">
        <f t="shared" si="6"/>
        <v>1770</v>
      </c>
      <c r="I65" s="66">
        <f t="shared" si="13"/>
        <v>1180</v>
      </c>
      <c r="J65" s="89">
        <f t="shared" si="13"/>
        <v>1475</v>
      </c>
      <c r="K65" s="67">
        <f t="shared" si="13"/>
        <v>1770</v>
      </c>
      <c r="L65" s="68">
        <f t="shared" si="29"/>
        <v>55</v>
      </c>
      <c r="M65" s="68">
        <f>$M$14*1.5+'[1]Summary 40MLD'!R55/1000</f>
        <v>779.52313800991749</v>
      </c>
      <c r="N65" s="68">
        <f t="shared" si="29"/>
        <v>45</v>
      </c>
      <c r="O65" s="68">
        <f t="shared" si="29"/>
        <v>18.75</v>
      </c>
      <c r="P65" s="68">
        <f t="shared" si="24"/>
        <v>0</v>
      </c>
      <c r="Q65" s="66">
        <f t="shared" si="14"/>
        <v>853.35948110942161</v>
      </c>
      <c r="R65" s="70">
        <f t="shared" si="7"/>
        <v>898.27313800991749</v>
      </c>
      <c r="S65" s="67">
        <f t="shared" si="8"/>
        <v>943.18679491041337</v>
      </c>
      <c r="T65" s="66">
        <f t="shared" si="21"/>
        <v>2033.3594811094217</v>
      </c>
      <c r="U65" s="89">
        <f t="shared" si="15"/>
        <v>2373.2731380099176</v>
      </c>
      <c r="V65" s="67">
        <f t="shared" si="15"/>
        <v>2713.1867949104135</v>
      </c>
      <c r="W65" s="7">
        <f t="shared" si="16"/>
        <v>0.16382329111790842</v>
      </c>
      <c r="X65" s="66">
        <f t="shared" si="17"/>
        <v>333.11164222114797</v>
      </c>
      <c r="Y65" s="89">
        <f t="shared" si="18"/>
        <v>388.79741619051077</v>
      </c>
      <c r="Z65" s="67">
        <f t="shared" si="19"/>
        <v>444.48319015987352</v>
      </c>
      <c r="AA65" s="14"/>
    </row>
    <row r="66" spans="1:27">
      <c r="A66" s="4">
        <f t="shared" si="20"/>
        <v>2072</v>
      </c>
      <c r="B66" s="4">
        <f t="shared" si="9"/>
        <v>53</v>
      </c>
      <c r="C66" s="63">
        <f t="shared" si="10"/>
        <v>0</v>
      </c>
      <c r="D66" s="64"/>
      <c r="E66" s="65">
        <f t="shared" si="11"/>
        <v>0</v>
      </c>
      <c r="F66" s="63">
        <f t="shared" si="12"/>
        <v>1180</v>
      </c>
      <c r="G66" s="64">
        <f>$AC$9+X8</f>
        <v>1475</v>
      </c>
      <c r="H66" s="65">
        <f t="shared" si="6"/>
        <v>1770</v>
      </c>
      <c r="I66" s="66">
        <f t="shared" si="13"/>
        <v>1180</v>
      </c>
      <c r="J66" s="89">
        <f t="shared" si="13"/>
        <v>1475</v>
      </c>
      <c r="K66" s="67">
        <f t="shared" si="13"/>
        <v>1770</v>
      </c>
      <c r="L66" s="68">
        <f t="shared" si="29"/>
        <v>55</v>
      </c>
      <c r="M66" s="68">
        <f>$M$14*1.5+'[1]Summary 40MLD'!R56/1000</f>
        <v>788.2267596857688</v>
      </c>
      <c r="N66" s="68">
        <f t="shared" si="29"/>
        <v>45</v>
      </c>
      <c r="O66" s="68">
        <f t="shared" si="29"/>
        <v>18.75</v>
      </c>
      <c r="P66" s="68">
        <f t="shared" si="24"/>
        <v>0</v>
      </c>
      <c r="Q66" s="66">
        <f t="shared" si="14"/>
        <v>861.62792170148032</v>
      </c>
      <c r="R66" s="70">
        <f t="shared" si="7"/>
        <v>906.9767596857688</v>
      </c>
      <c r="S66" s="67">
        <f t="shared" si="8"/>
        <v>952.32559767005728</v>
      </c>
      <c r="T66" s="66">
        <f t="shared" si="21"/>
        <v>2041.6279217014803</v>
      </c>
      <c r="U66" s="89">
        <f t="shared" si="15"/>
        <v>2381.9767596857687</v>
      </c>
      <c r="V66" s="67">
        <f t="shared" si="15"/>
        <v>2722.3255976700575</v>
      </c>
      <c r="W66" s="7">
        <f t="shared" si="16"/>
        <v>0.15822222437503228</v>
      </c>
      <c r="X66" s="66">
        <f t="shared" si="17"/>
        <v>323.03091111778247</v>
      </c>
      <c r="Y66" s="89">
        <f t="shared" si="18"/>
        <v>376.88166132711405</v>
      </c>
      <c r="Z66" s="67">
        <f t="shared" si="19"/>
        <v>430.73241153644568</v>
      </c>
      <c r="AA66" s="14"/>
    </row>
    <row r="67" spans="1:27">
      <c r="A67" s="4">
        <f t="shared" si="20"/>
        <v>2073</v>
      </c>
      <c r="B67" s="4">
        <f t="shared" si="9"/>
        <v>54</v>
      </c>
      <c r="C67" s="63">
        <f t="shared" si="10"/>
        <v>0</v>
      </c>
      <c r="D67" s="64"/>
      <c r="E67" s="65">
        <f t="shared" si="11"/>
        <v>0</v>
      </c>
      <c r="F67" s="63">
        <f t="shared" si="12"/>
        <v>1180</v>
      </c>
      <c r="G67" s="64">
        <f t="shared" si="22"/>
        <v>1475</v>
      </c>
      <c r="H67" s="65">
        <f t="shared" si="6"/>
        <v>1770</v>
      </c>
      <c r="I67" s="66">
        <f t="shared" si="13"/>
        <v>1180</v>
      </c>
      <c r="J67" s="89">
        <f t="shared" si="13"/>
        <v>1475</v>
      </c>
      <c r="K67" s="67">
        <f t="shared" si="13"/>
        <v>1770</v>
      </c>
      <c r="L67" s="68">
        <f t="shared" si="29"/>
        <v>55</v>
      </c>
      <c r="M67" s="68">
        <f>$M$14*1.5+'[1]Summary 40MLD'!R57/1000</f>
        <v>796.93038136161999</v>
      </c>
      <c r="N67" s="68">
        <f t="shared" si="29"/>
        <v>45</v>
      </c>
      <c r="O67" s="68">
        <f t="shared" si="29"/>
        <v>18.75</v>
      </c>
      <c r="P67" s="68">
        <f t="shared" si="24"/>
        <v>0</v>
      </c>
      <c r="Q67" s="66">
        <f t="shared" si="14"/>
        <v>869.89636229353891</v>
      </c>
      <c r="R67" s="70">
        <f t="shared" si="7"/>
        <v>915.68038136161999</v>
      </c>
      <c r="S67" s="67">
        <f t="shared" si="8"/>
        <v>961.46440042970107</v>
      </c>
      <c r="T67" s="66">
        <f t="shared" si="21"/>
        <v>2049.8963622935389</v>
      </c>
      <c r="U67" s="89">
        <f t="shared" si="15"/>
        <v>2390.6803813616198</v>
      </c>
      <c r="V67" s="67">
        <f t="shared" si="15"/>
        <v>2731.4644004297011</v>
      </c>
      <c r="W67" s="7">
        <f t="shared" si="16"/>
        <v>0.15281265634057586</v>
      </c>
      <c r="X67" s="66">
        <f t="shared" si="17"/>
        <v>313.25010834495913</v>
      </c>
      <c r="Y67" s="89">
        <f t="shared" si="18"/>
        <v>365.32621953717006</v>
      </c>
      <c r="Z67" s="67">
        <f t="shared" si="19"/>
        <v>417.40233072938099</v>
      </c>
      <c r="AA67" s="14"/>
    </row>
    <row r="68" spans="1:27">
      <c r="A68" s="4">
        <f t="shared" si="20"/>
        <v>2074</v>
      </c>
      <c r="B68" s="4">
        <f t="shared" si="9"/>
        <v>55</v>
      </c>
      <c r="C68" s="63">
        <f t="shared" si="10"/>
        <v>0</v>
      </c>
      <c r="D68" s="64"/>
      <c r="E68" s="65">
        <f t="shared" si="11"/>
        <v>0</v>
      </c>
      <c r="F68" s="63">
        <f t="shared" si="12"/>
        <v>9836.6443593590247</v>
      </c>
      <c r="G68" s="64">
        <f>$AC$9+X4+X5+T4+T5</f>
        <v>12295.80544919878</v>
      </c>
      <c r="H68" s="65">
        <f t="shared" si="6"/>
        <v>14754.966539038536</v>
      </c>
      <c r="I68" s="66">
        <f t="shared" si="13"/>
        <v>9836.6443593590247</v>
      </c>
      <c r="J68" s="89">
        <f t="shared" si="13"/>
        <v>12295.80544919878</v>
      </c>
      <c r="K68" s="67">
        <f t="shared" si="13"/>
        <v>14754.966539038536</v>
      </c>
      <c r="L68" s="68">
        <f t="shared" si="29"/>
        <v>55</v>
      </c>
      <c r="M68" s="68">
        <f>$M$14*1.5+'[1]Summary 40MLD'!R58/1000</f>
        <v>805.6340030374713</v>
      </c>
      <c r="N68" s="68">
        <f t="shared" si="29"/>
        <v>45</v>
      </c>
      <c r="O68" s="68">
        <f t="shared" si="29"/>
        <v>18.75</v>
      </c>
      <c r="P68" s="68">
        <f t="shared" si="24"/>
        <v>0</v>
      </c>
      <c r="Q68" s="66">
        <f t="shared" si="14"/>
        <v>878.16480288559774</v>
      </c>
      <c r="R68" s="70">
        <f t="shared" si="7"/>
        <v>924.3840030374713</v>
      </c>
      <c r="S68" s="67">
        <f t="shared" si="8"/>
        <v>970.60320318934487</v>
      </c>
      <c r="T68" s="66">
        <f t="shared" si="21"/>
        <v>10714.809162244623</v>
      </c>
      <c r="U68" s="89">
        <f t="shared" si="15"/>
        <v>13220.189452236253</v>
      </c>
      <c r="V68" s="67">
        <f t="shared" si="15"/>
        <v>15725.569742227881</v>
      </c>
      <c r="W68" s="7">
        <f t="shared" si="16"/>
        <v>0.14758803973399254</v>
      </c>
      <c r="X68" s="66">
        <f t="shared" si="17"/>
        <v>1581.3776803795067</v>
      </c>
      <c r="Y68" s="89">
        <f t="shared" si="18"/>
        <v>1951.141846167553</v>
      </c>
      <c r="Z68" s="67">
        <f t="shared" si="19"/>
        <v>2320.9060119555993</v>
      </c>
      <c r="AA68" s="14"/>
    </row>
    <row r="69" spans="1:27">
      <c r="A69" s="4">
        <f t="shared" si="20"/>
        <v>2075</v>
      </c>
      <c r="B69" s="4">
        <f t="shared" si="9"/>
        <v>56</v>
      </c>
      <c r="C69" s="63">
        <f t="shared" si="10"/>
        <v>0</v>
      </c>
      <c r="D69" s="64"/>
      <c r="E69" s="65">
        <f t="shared" si="11"/>
        <v>0</v>
      </c>
      <c r="F69" s="63">
        <f t="shared" si="12"/>
        <v>1180</v>
      </c>
      <c r="G69" s="64">
        <f t="shared" si="22"/>
        <v>1475</v>
      </c>
      <c r="H69" s="65">
        <f t="shared" si="6"/>
        <v>1770</v>
      </c>
      <c r="I69" s="66">
        <f t="shared" si="13"/>
        <v>1180</v>
      </c>
      <c r="J69" s="89">
        <f t="shared" si="13"/>
        <v>1475</v>
      </c>
      <c r="K69" s="67">
        <f t="shared" si="13"/>
        <v>1770</v>
      </c>
      <c r="L69" s="68">
        <f t="shared" si="29"/>
        <v>55</v>
      </c>
      <c r="M69" s="68">
        <f>$M$14*1.5+'[1]Summary 40MLD'!R59/1000</f>
        <v>814.33762471332261</v>
      </c>
      <c r="N69" s="68">
        <f t="shared" si="29"/>
        <v>45</v>
      </c>
      <c r="O69" s="68">
        <f t="shared" si="29"/>
        <v>18.75</v>
      </c>
      <c r="P69" s="68">
        <f t="shared" si="24"/>
        <v>0</v>
      </c>
      <c r="Q69" s="66">
        <f t="shared" si="14"/>
        <v>886.43324347765645</v>
      </c>
      <c r="R69" s="70">
        <f t="shared" si="7"/>
        <v>933.08762471332261</v>
      </c>
      <c r="S69" s="67">
        <f t="shared" si="8"/>
        <v>979.74200594898878</v>
      </c>
      <c r="T69" s="66">
        <f t="shared" si="21"/>
        <v>2066.4332434776566</v>
      </c>
      <c r="U69" s="89">
        <f t="shared" si="15"/>
        <v>2408.0876247133228</v>
      </c>
      <c r="V69" s="67">
        <f t="shared" si="15"/>
        <v>2749.7420059489887</v>
      </c>
      <c r="W69" s="7">
        <f t="shared" si="16"/>
        <v>0.14254205112419596</v>
      </c>
      <c r="X69" s="66">
        <f t="shared" si="17"/>
        <v>294.55363303653019</v>
      </c>
      <c r="Y69" s="89">
        <f t="shared" si="18"/>
        <v>343.25374931343009</v>
      </c>
      <c r="Z69" s="67">
        <f t="shared" si="19"/>
        <v>391.95386559032988</v>
      </c>
      <c r="AA69" s="14"/>
    </row>
    <row r="70" spans="1:27">
      <c r="A70" s="4">
        <f t="shared" si="20"/>
        <v>2076</v>
      </c>
      <c r="B70" s="4">
        <f t="shared" si="9"/>
        <v>57</v>
      </c>
      <c r="C70" s="63">
        <f t="shared" si="10"/>
        <v>0</v>
      </c>
      <c r="D70" s="64"/>
      <c r="E70" s="65">
        <f t="shared" si="11"/>
        <v>0</v>
      </c>
      <c r="F70" s="63">
        <f t="shared" si="12"/>
        <v>1180</v>
      </c>
      <c r="G70" s="64">
        <f>$AC$9+X8</f>
        <v>1475</v>
      </c>
      <c r="H70" s="65">
        <f t="shared" si="6"/>
        <v>1770</v>
      </c>
      <c r="I70" s="66">
        <f t="shared" si="13"/>
        <v>1180</v>
      </c>
      <c r="J70" s="89">
        <f t="shared" si="13"/>
        <v>1475</v>
      </c>
      <c r="K70" s="67">
        <f t="shared" si="13"/>
        <v>1770</v>
      </c>
      <c r="L70" s="68">
        <f t="shared" si="29"/>
        <v>55</v>
      </c>
      <c r="M70" s="68">
        <f>$M$14*1.5+'[1]Summary 40MLD'!R60/1000</f>
        <v>823.04124638917392</v>
      </c>
      <c r="N70" s="68">
        <f t="shared" si="29"/>
        <v>45</v>
      </c>
      <c r="O70" s="68">
        <f t="shared" si="29"/>
        <v>18.75</v>
      </c>
      <c r="P70" s="68">
        <f t="shared" si="24"/>
        <v>0</v>
      </c>
      <c r="Q70" s="66">
        <f t="shared" si="14"/>
        <v>894.70168406971516</v>
      </c>
      <c r="R70" s="70">
        <f t="shared" si="7"/>
        <v>941.79124638917392</v>
      </c>
      <c r="S70" s="67">
        <f t="shared" si="8"/>
        <v>988.88080870863269</v>
      </c>
      <c r="T70" s="66">
        <f t="shared" si="21"/>
        <v>2074.7016840697152</v>
      </c>
      <c r="U70" s="89">
        <f t="shared" si="15"/>
        <v>2416.7912463891739</v>
      </c>
      <c r="V70" s="67">
        <f t="shared" si="15"/>
        <v>2758.8808087086327</v>
      </c>
      <c r="W70" s="7">
        <f t="shared" si="16"/>
        <v>0.13766858327621784</v>
      </c>
      <c r="X70" s="66">
        <f t="shared" si="17"/>
        <v>285.62124156666096</v>
      </c>
      <c r="Y70" s="89">
        <f t="shared" si="18"/>
        <v>332.71622696476231</v>
      </c>
      <c r="Z70" s="67">
        <f t="shared" si="19"/>
        <v>379.81121236286361</v>
      </c>
      <c r="AA70" s="14"/>
    </row>
    <row r="71" spans="1:27">
      <c r="A71" s="4">
        <f t="shared" si="20"/>
        <v>2077</v>
      </c>
      <c r="B71" s="4">
        <f t="shared" si="9"/>
        <v>58</v>
      </c>
      <c r="C71" s="63">
        <f t="shared" si="10"/>
        <v>0</v>
      </c>
      <c r="D71" s="64"/>
      <c r="E71" s="65">
        <f t="shared" si="11"/>
        <v>0</v>
      </c>
      <c r="F71" s="63">
        <f t="shared" si="12"/>
        <v>1180</v>
      </c>
      <c r="G71" s="64">
        <f t="shared" si="22"/>
        <v>1475</v>
      </c>
      <c r="H71" s="65">
        <f t="shared" si="6"/>
        <v>1770</v>
      </c>
      <c r="I71" s="66">
        <f t="shared" si="13"/>
        <v>1180</v>
      </c>
      <c r="J71" s="89">
        <f t="shared" si="13"/>
        <v>1475</v>
      </c>
      <c r="K71" s="67">
        <f t="shared" si="13"/>
        <v>1770</v>
      </c>
      <c r="L71" s="68">
        <f t="shared" si="29"/>
        <v>55</v>
      </c>
      <c r="M71" s="68">
        <f>$M$14*1.5+'[1]Summary 40MLD'!R61/1000</f>
        <v>831.74486806502523</v>
      </c>
      <c r="N71" s="68">
        <f t="shared" si="29"/>
        <v>45</v>
      </c>
      <c r="O71" s="68">
        <f t="shared" si="29"/>
        <v>18.75</v>
      </c>
      <c r="P71" s="68">
        <f t="shared" si="24"/>
        <v>0</v>
      </c>
      <c r="Q71" s="66">
        <f t="shared" si="14"/>
        <v>902.97012466177398</v>
      </c>
      <c r="R71" s="70">
        <f t="shared" si="7"/>
        <v>950.49486806502523</v>
      </c>
      <c r="S71" s="67">
        <f t="shared" si="8"/>
        <v>998.01961146827648</v>
      </c>
      <c r="T71" s="66">
        <f t="shared" si="21"/>
        <v>2082.9701246617742</v>
      </c>
      <c r="U71" s="89">
        <f t="shared" si="15"/>
        <v>2425.494868065025</v>
      </c>
      <c r="V71" s="67">
        <f t="shared" si="15"/>
        <v>2768.0196114682767</v>
      </c>
      <c r="W71" s="7">
        <f t="shared" si="16"/>
        <v>0.13296173775953046</v>
      </c>
      <c r="X71" s="66">
        <f t="shared" si="17"/>
        <v>276.9553274762153</v>
      </c>
      <c r="Y71" s="89">
        <f t="shared" si="18"/>
        <v>322.49801258474878</v>
      </c>
      <c r="Z71" s="67">
        <f t="shared" si="19"/>
        <v>368.04069769328243</v>
      </c>
      <c r="AA71" s="14"/>
    </row>
    <row r="72" spans="1:27">
      <c r="A72" s="4">
        <f t="shared" si="20"/>
        <v>2078</v>
      </c>
      <c r="B72" s="4">
        <f t="shared" si="9"/>
        <v>59</v>
      </c>
      <c r="C72" s="63">
        <f t="shared" si="10"/>
        <v>0</v>
      </c>
      <c r="D72" s="64"/>
      <c r="E72" s="65">
        <f t="shared" si="11"/>
        <v>0</v>
      </c>
      <c r="F72" s="63">
        <f t="shared" si="12"/>
        <v>1180</v>
      </c>
      <c r="G72" s="64">
        <f t="shared" si="22"/>
        <v>1475</v>
      </c>
      <c r="H72" s="65">
        <f t="shared" si="6"/>
        <v>1770</v>
      </c>
      <c r="I72" s="66">
        <f t="shared" si="13"/>
        <v>1180</v>
      </c>
      <c r="J72" s="89">
        <f t="shared" si="13"/>
        <v>1475</v>
      </c>
      <c r="K72" s="67">
        <f t="shared" si="13"/>
        <v>1770</v>
      </c>
      <c r="L72" s="68">
        <f t="shared" si="29"/>
        <v>55</v>
      </c>
      <c r="M72" s="68">
        <f>$M$14*1.5+'[1]Summary 40MLD'!R62/1000</f>
        <v>840.44848974087643</v>
      </c>
      <c r="N72" s="68">
        <f t="shared" si="29"/>
        <v>45</v>
      </c>
      <c r="O72" s="68">
        <f t="shared" si="29"/>
        <v>18.75</v>
      </c>
      <c r="P72" s="68">
        <f t="shared" si="24"/>
        <v>0</v>
      </c>
      <c r="Q72" s="66">
        <f t="shared" si="14"/>
        <v>911.23856525383258</v>
      </c>
      <c r="R72" s="70">
        <f t="shared" si="7"/>
        <v>959.19848974087643</v>
      </c>
      <c r="S72" s="67">
        <f t="shared" si="8"/>
        <v>1007.1584142279203</v>
      </c>
      <c r="T72" s="66">
        <f t="shared" si="21"/>
        <v>2091.2385652538323</v>
      </c>
      <c r="U72" s="89">
        <f t="shared" si="15"/>
        <v>2434.1984897408765</v>
      </c>
      <c r="V72" s="67">
        <f t="shared" si="15"/>
        <v>2777.1584142279203</v>
      </c>
      <c r="W72" s="7">
        <f t="shared" si="16"/>
        <v>0.12841581780908873</v>
      </c>
      <c r="X72" s="66">
        <f t="shared" si="17"/>
        <v>268.54811059097625</v>
      </c>
      <c r="Y72" s="89">
        <f t="shared" si="18"/>
        <v>312.58958976972332</v>
      </c>
      <c r="Z72" s="67">
        <f t="shared" si="19"/>
        <v>356.63106894847039</v>
      </c>
      <c r="AA72" s="90" t="s">
        <v>65</v>
      </c>
    </row>
    <row r="73" spans="1:27">
      <c r="A73" s="26">
        <f t="shared" si="20"/>
        <v>2079</v>
      </c>
      <c r="B73" s="26">
        <f t="shared" si="9"/>
        <v>60</v>
      </c>
      <c r="C73" s="63">
        <f t="shared" si="10"/>
        <v>0</v>
      </c>
      <c r="D73" s="72"/>
      <c r="E73" s="65">
        <f t="shared" si="11"/>
        <v>0</v>
      </c>
      <c r="F73" s="63">
        <f t="shared" si="12"/>
        <v>1180</v>
      </c>
      <c r="G73" s="64">
        <f t="shared" si="22"/>
        <v>1475</v>
      </c>
      <c r="H73" s="65">
        <f t="shared" si="6"/>
        <v>1770</v>
      </c>
      <c r="I73" s="73">
        <f t="shared" si="13"/>
        <v>1180</v>
      </c>
      <c r="J73" s="91">
        <f t="shared" si="13"/>
        <v>1475</v>
      </c>
      <c r="K73" s="74">
        <f t="shared" si="13"/>
        <v>1770</v>
      </c>
      <c r="L73" s="68">
        <f t="shared" si="29"/>
        <v>55</v>
      </c>
      <c r="M73" s="68">
        <f>$M$14*1.5+'[1]Summary 40MLD'!R63/1000</f>
        <v>849.15211141672773</v>
      </c>
      <c r="N73" s="68">
        <f t="shared" si="29"/>
        <v>45</v>
      </c>
      <c r="O73" s="68">
        <f t="shared" si="29"/>
        <v>18.75</v>
      </c>
      <c r="P73" s="68">
        <f t="shared" si="24"/>
        <v>0</v>
      </c>
      <c r="Q73" s="66">
        <f t="shared" si="14"/>
        <v>919.50700584589129</v>
      </c>
      <c r="R73" s="70">
        <f t="shared" si="7"/>
        <v>967.90211141672773</v>
      </c>
      <c r="S73" s="67">
        <f t="shared" si="8"/>
        <v>1016.2972169875642</v>
      </c>
      <c r="T73" s="66">
        <f t="shared" si="21"/>
        <v>2099.5070058458914</v>
      </c>
      <c r="U73" s="89">
        <f t="shared" si="15"/>
        <v>2442.9021114167276</v>
      </c>
      <c r="V73" s="67">
        <f t="shared" si="15"/>
        <v>2786.2972169875643</v>
      </c>
      <c r="W73" s="7">
        <f t="shared" si="16"/>
        <v>0.12402532143045074</v>
      </c>
      <c r="X73" s="73">
        <f t="shared" si="17"/>
        <v>260.39203124551989</v>
      </c>
      <c r="Y73" s="91">
        <f t="shared" si="18"/>
        <v>302.9817195915864</v>
      </c>
      <c r="Z73" s="74">
        <f t="shared" si="19"/>
        <v>345.57140793765302</v>
      </c>
      <c r="AA73" s="15"/>
    </row>
    <row r="74" spans="1:27" ht="13.5" thickBot="1">
      <c r="A74" s="185" t="s">
        <v>58</v>
      </c>
      <c r="B74" s="186"/>
      <c r="C74" s="92">
        <f t="shared" ref="C74:S74" si="30">SUM(C13:C73)</f>
        <v>73613.36966132521</v>
      </c>
      <c r="D74" s="75">
        <f t="shared" si="30"/>
        <v>83459.299623694678</v>
      </c>
      <c r="E74" s="93">
        <f t="shared" si="30"/>
        <v>95305.229586064146</v>
      </c>
      <c r="F74" s="92">
        <f t="shared" si="30"/>
        <v>104798.83424646744</v>
      </c>
      <c r="G74" s="75">
        <f t="shared" si="30"/>
        <v>130998.5428080843</v>
      </c>
      <c r="H74" s="76">
        <f t="shared" si="30"/>
        <v>157198.25136970115</v>
      </c>
      <c r="I74" s="77">
        <f t="shared" si="30"/>
        <v>178412.20390779266</v>
      </c>
      <c r="J74" s="78">
        <f t="shared" si="30"/>
        <v>214457.84243177896</v>
      </c>
      <c r="K74" s="79">
        <f t="shared" si="30"/>
        <v>252503.48095576529</v>
      </c>
      <c r="L74" s="80">
        <f t="shared" si="30"/>
        <v>3325</v>
      </c>
      <c r="M74" s="80">
        <f t="shared" si="30"/>
        <v>33787.32589499389</v>
      </c>
      <c r="N74" s="80">
        <f t="shared" si="30"/>
        <v>2090</v>
      </c>
      <c r="O74" s="80">
        <f t="shared" si="30"/>
        <v>887.5</v>
      </c>
      <c r="P74" s="80">
        <f t="shared" si="30"/>
        <v>0</v>
      </c>
      <c r="Q74" s="77">
        <f t="shared" si="30"/>
        <v>38085.334600244205</v>
      </c>
      <c r="R74" s="78">
        <f t="shared" si="30"/>
        <v>40089.825894993897</v>
      </c>
      <c r="S74" s="79">
        <f t="shared" si="30"/>
        <v>42094.31718974359</v>
      </c>
      <c r="T74" s="77">
        <f>SUM(T13:T73)</f>
        <v>216497.53850803687</v>
      </c>
      <c r="U74" s="78">
        <f>SUM(U13:U73)</f>
        <v>254547.66832677284</v>
      </c>
      <c r="V74" s="79">
        <f>SUM(V13:V73)</f>
        <v>294597.79814550892</v>
      </c>
      <c r="W74" s="81"/>
      <c r="X74" s="77">
        <f>SUM(X13:X73)</f>
        <v>94940.187658639363</v>
      </c>
      <c r="Y74" s="78">
        <f t="shared" ref="Y74:Z74" si="31">SUM(Y13:Y73)</f>
        <v>110361.59784509653</v>
      </c>
      <c r="Z74" s="79">
        <f t="shared" si="31"/>
        <v>126200.99502366391</v>
      </c>
    </row>
    <row r="75" spans="1:27" ht="13.15" thickTop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7" ht="13.1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 ht="13.15">
      <c r="B78" s="2"/>
      <c r="C78" s="2"/>
    </row>
    <row r="80" spans="1:27" ht="13.15">
      <c r="B80" s="2"/>
      <c r="C80" s="2"/>
    </row>
    <row r="82" spans="2:3" ht="13.15">
      <c r="B82" s="2"/>
      <c r="C82" s="2"/>
    </row>
  </sheetData>
  <mergeCells count="18">
    <mergeCell ref="AC14:AD14"/>
    <mergeCell ref="AG14:AH14"/>
    <mergeCell ref="AK14:AL14"/>
    <mergeCell ref="A74:B74"/>
    <mergeCell ref="C2:K2"/>
    <mergeCell ref="A3:B3"/>
    <mergeCell ref="A4:C4"/>
    <mergeCell ref="A6:B6"/>
    <mergeCell ref="A7:B7"/>
    <mergeCell ref="A8:B8"/>
    <mergeCell ref="A11:B11"/>
    <mergeCell ref="A12:B12"/>
    <mergeCell ref="AA1:AC1"/>
    <mergeCell ref="A1:B1"/>
    <mergeCell ref="C1:K1"/>
    <mergeCell ref="O1:Q1"/>
    <mergeCell ref="S1:U1"/>
    <mergeCell ref="W1:Y1"/>
  </mergeCells>
  <pageMargins left="0.75" right="0.75" top="1" bottom="1" header="0.5" footer="0.5"/>
  <pageSetup paperSize="9" scale="18" orientation="portrait" r:id="rId1"/>
  <headerFooter alignWithMargins="0">
    <oddFooter>&amp;L&amp;1#&amp;"Arial"&amp;11&amp;K000000SW Internal Personal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7D5C637202E43A9E55D7F6CCE75F7" ma:contentTypeVersion="7" ma:contentTypeDescription="Create a new document." ma:contentTypeScope="" ma:versionID="9246c75a36e2415df11cb805b695d268">
  <xsd:schema xmlns:xsd="http://www.w3.org/2001/XMLSchema" xmlns:xs="http://www.w3.org/2001/XMLSchema" xmlns:p="http://schemas.microsoft.com/office/2006/metadata/properties" xmlns:ns2="http://schemas.microsoft.com/sharepoint/v3/fields" xmlns:ns3="a5538d9b-2d07-4f4f-9cea-2a3d6d0d061f" xmlns:ns4="b4a15941-8a25-4f51-8186-6613c38c112c" targetNamespace="http://schemas.microsoft.com/office/2006/metadata/properties" ma:root="true" ma:fieldsID="9a4f0d5089c89a62c9d57b2163d07ba8" ns2:_="" ns3:_="" ns4:_="">
    <xsd:import namespace="http://schemas.microsoft.com/sharepoint/v3/fields"/>
    <xsd:import namespace="a5538d9b-2d07-4f4f-9cea-2a3d6d0d061f"/>
    <xsd:import namespace="b4a15941-8a25-4f51-8186-6613c38c112c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Draft" ma:internalName="_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38d9b-2d07-4f4f-9cea-2a3d6d0d061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15941-8a25-4f51-8186-6613c38c1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Draft</_Status>
  </documentManagement>
</p:properties>
</file>

<file path=customXml/itemProps1.xml><?xml version="1.0" encoding="utf-8"?>
<ds:datastoreItem xmlns:ds="http://schemas.openxmlformats.org/officeDocument/2006/customXml" ds:itemID="{B11F0234-2E03-4C67-ACD4-1F2938A010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a5538d9b-2d07-4f4f-9cea-2a3d6d0d061f"/>
    <ds:schemaRef ds:uri="b4a15941-8a25-4f51-8186-6613c38c1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597BD6-7BCF-423B-B1FF-576DA1200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CE6379-37D1-488D-A54F-9842408916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5538d9b-2d07-4f4f-9cea-2a3d6d0d061f"/>
    <ds:schemaRef ds:uri="b4a15941-8a25-4f51-8186-6613c38c112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New</vt:lpstr>
      <vt:lpstr>Base Costs</vt:lpstr>
      <vt:lpstr>Option 1a</vt:lpstr>
      <vt:lpstr>Option 1b</vt:lpstr>
      <vt:lpstr>Option 1c</vt:lpstr>
      <vt:lpstr>Option 1d</vt:lpstr>
      <vt:lpstr>Option 2a</vt:lpstr>
      <vt:lpstr>Option 2b</vt:lpstr>
      <vt:lpstr>Option 2c</vt:lpstr>
      <vt:lpstr>Option 2d</vt:lpstr>
      <vt:lpstr>Option 2e</vt:lpstr>
      <vt:lpstr>Option 2e (defer 10 years)</vt:lpstr>
      <vt:lpstr>Option 2e (defer 15 years)</vt:lpstr>
      <vt:lpstr>Option 2b defer wtw</vt:lpstr>
      <vt:lpstr>Option 2b leak defer</vt:lpstr>
      <vt:lpstr>Option 2e extra memebrane</vt:lpstr>
      <vt:lpstr>Option 3</vt:lpstr>
      <vt:lpstr>20 v 40 cost analysis</vt:lpstr>
    </vt:vector>
  </TitlesOfParts>
  <Company>East of Scotland 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watti</dc:creator>
  <cp:lastModifiedBy>Alan Scott</cp:lastModifiedBy>
  <cp:revision/>
  <dcterms:created xsi:type="dcterms:W3CDTF">2000-10-09T16:05:16Z</dcterms:created>
  <dcterms:modified xsi:type="dcterms:W3CDTF">2020-08-25T13:04:13Z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0x01010050B7D5C637202E43A9E55D7F6CCE75F7</vt:lpwstr>
  </property>
  <property fmtid="{D5CDD505-2E9C-101B-9397-08002B2CF9AE}" pid="3" name="TaxKeyword">
    <vt:lpwstr/>
  </property>
  <property fmtid="{D5CDD505-2E9C-101B-9397-08002B2CF9AE}" pid="4" name="tst_Security">
    <vt:lpwstr/>
  </property>
  <property fmtid="{D5CDD505-2E9C-101B-9397-08002B2CF9AE}" pid="5" name="MSIP_Label_583b7377-dfe3-4dce-aeaf-331368411afa_Enabled">
    <vt:lpwstr>true</vt:lpwstr>
  </property>
  <property fmtid="{D5CDD505-2E9C-101B-9397-08002B2CF9AE}" pid="6" name="MSIP_Label_583b7377-dfe3-4dce-aeaf-331368411afa_SetDate">
    <vt:lpwstr>2020-03-13T13:05:46Z</vt:lpwstr>
  </property>
  <property fmtid="{D5CDD505-2E9C-101B-9397-08002B2CF9AE}" pid="7" name="MSIP_Label_583b7377-dfe3-4dce-aeaf-331368411afa_Method">
    <vt:lpwstr>Privileged</vt:lpwstr>
  </property>
  <property fmtid="{D5CDD505-2E9C-101B-9397-08002B2CF9AE}" pid="8" name="MSIP_Label_583b7377-dfe3-4dce-aeaf-331368411afa_Name">
    <vt:lpwstr>583b7377-dfe3-4dce-aeaf-331368411afa</vt:lpwstr>
  </property>
  <property fmtid="{D5CDD505-2E9C-101B-9397-08002B2CF9AE}" pid="9" name="MSIP_Label_583b7377-dfe3-4dce-aeaf-331368411afa_SiteId">
    <vt:lpwstr>f90bd2e7-b5c0-4b25-9e27-226ff8b6c17b</vt:lpwstr>
  </property>
  <property fmtid="{D5CDD505-2E9C-101B-9397-08002B2CF9AE}" pid="10" name="MSIP_Label_583b7377-dfe3-4dce-aeaf-331368411afa_ActionId">
    <vt:lpwstr>e418980a-66f5-4f32-816a-0000797573bf</vt:lpwstr>
  </property>
  <property fmtid="{D5CDD505-2E9C-101B-9397-08002B2CF9AE}" pid="11" name="MSIP_Label_583b7377-dfe3-4dce-aeaf-331368411afa_ContentBits">
    <vt:lpwstr>0</vt:lpwstr>
  </property>
</Properties>
</file>