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RateHelpers!$J$2:$J$162</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RateHelpers!$E$2:$E$162</definedName>
    <definedName name="RateHelpersIncluded">RateHelpers!$H$2:$H$162</definedName>
    <definedName name="RateHelpersPriority">RateHelpers!$I$2:$I$162</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M5" i="6" l="1"/>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L7" i="15"/>
  <c r="M4" i="15"/>
  <c r="L6" i="15"/>
  <c r="E126" i="5" l="1"/>
  <c r="E127" i="5"/>
  <c r="H8" i="15"/>
  <c r="J8" i="15"/>
  <c r="D9" i="15"/>
  <c r="F8" i="15"/>
  <c r="K8" i="15"/>
  <c r="M7" i="15"/>
  <c r="M6" i="15"/>
  <c r="L8" i="15"/>
  <c r="E128" i="5" l="1"/>
  <c r="F9" i="15"/>
  <c r="H9" i="15"/>
  <c r="K9" i="15"/>
  <c r="D10" i="15"/>
  <c r="J9" i="15"/>
  <c r="L9" i="15"/>
  <c r="M8" i="15"/>
  <c r="E129" i="5" l="1"/>
  <c r="D11" i="15"/>
  <c r="F10" i="15"/>
  <c r="K10" i="15"/>
  <c r="H10" i="15"/>
  <c r="J10" i="15"/>
  <c r="L10" i="15"/>
  <c r="M9" i="15"/>
  <c r="E130" i="5" l="1"/>
  <c r="D12" i="15"/>
  <c r="J11" i="15"/>
  <c r="K11" i="15"/>
  <c r="F11" i="15"/>
  <c r="H11" i="15"/>
  <c r="M10" i="15"/>
  <c r="L11" i="15"/>
  <c r="E131" i="5" l="1"/>
  <c r="H12" i="15"/>
  <c r="J12" i="15"/>
  <c r="K12" i="15"/>
  <c r="D13" i="15"/>
  <c r="F12" i="15"/>
  <c r="M11" i="15"/>
  <c r="L12" i="15"/>
  <c r="E132" i="5" l="1"/>
  <c r="F13" i="15"/>
  <c r="H13" i="15"/>
  <c r="J13" i="15"/>
  <c r="K13" i="15"/>
  <c r="D14" i="15"/>
  <c r="L13" i="15"/>
  <c r="M12" i="15"/>
  <c r="E133" i="5" l="1"/>
  <c r="K14" i="15"/>
  <c r="D15" i="15"/>
  <c r="F14" i="15"/>
  <c r="H14" i="15"/>
  <c r="J14" i="15"/>
  <c r="M13" i="15"/>
  <c r="L14" i="15"/>
  <c r="E134" i="5" l="1"/>
  <c r="J15" i="15"/>
  <c r="K15" i="15"/>
  <c r="D16" i="15"/>
  <c r="F15" i="15"/>
  <c r="H15" i="15"/>
  <c r="M14" i="15"/>
  <c r="L15" i="15"/>
  <c r="E135" i="5" l="1"/>
  <c r="H16" i="15"/>
  <c r="D17" i="15"/>
  <c r="F16" i="15"/>
  <c r="J16" i="15"/>
  <c r="K16" i="15"/>
  <c r="L16" i="15"/>
  <c r="M15" i="15"/>
  <c r="E136" i="5" l="1"/>
  <c r="F17" i="15"/>
  <c r="H17" i="15"/>
  <c r="D18" i="15"/>
  <c r="J17" i="15"/>
  <c r="K17" i="15"/>
  <c r="L17" i="15"/>
  <c r="M16" i="15"/>
  <c r="E137" i="5" l="1"/>
  <c r="D19" i="15"/>
  <c r="K18" i="15"/>
  <c r="F18" i="15"/>
  <c r="H18" i="15"/>
  <c r="J18" i="15"/>
  <c r="L18" i="15"/>
  <c r="M17" i="15"/>
  <c r="E138" i="5" l="1"/>
  <c r="J19" i="15"/>
  <c r="K19" i="15"/>
  <c r="D20" i="15"/>
  <c r="F19" i="15"/>
  <c r="H19" i="15"/>
  <c r="L19" i="15"/>
  <c r="M18" i="15"/>
  <c r="E139" i="5" l="1"/>
  <c r="H20" i="15"/>
  <c r="J20" i="15"/>
  <c r="D21" i="15"/>
  <c r="F20" i="15"/>
  <c r="K20" i="15"/>
  <c r="M19" i="15"/>
  <c r="L20" i="15"/>
  <c r="E140" i="5" l="1"/>
  <c r="F21" i="15"/>
  <c r="H21" i="15"/>
  <c r="J21" i="15"/>
  <c r="K21" i="15"/>
  <c r="D22" i="15"/>
  <c r="L21" i="15"/>
  <c r="M20" i="15"/>
  <c r="E141" i="5" l="1"/>
  <c r="K22" i="15"/>
  <c r="D23" i="15"/>
  <c r="F22" i="15"/>
  <c r="J22" i="15"/>
  <c r="H22" i="15"/>
  <c r="M21" i="15"/>
  <c r="L22" i="15"/>
  <c r="E142" i="5" l="1"/>
  <c r="J23" i="15"/>
  <c r="D24" i="15"/>
  <c r="K23" i="15"/>
  <c r="F23" i="15"/>
  <c r="H23" i="15"/>
  <c r="M22" i="15"/>
  <c r="L23" i="15"/>
  <c r="E143" i="5" l="1"/>
  <c r="H24" i="15"/>
  <c r="F24" i="15"/>
  <c r="J24" i="15"/>
  <c r="K24" i="15"/>
  <c r="D25" i="15"/>
  <c r="M23" i="15"/>
  <c r="L24" i="15"/>
  <c r="E144" i="5" l="1"/>
  <c r="F25" i="15"/>
  <c r="H25" i="15"/>
  <c r="J25" i="15"/>
  <c r="K25" i="15"/>
  <c r="D26" i="15"/>
  <c r="L25" i="15"/>
  <c r="M24" i="15"/>
  <c r="E145" i="5" l="1"/>
  <c r="D27" i="15"/>
  <c r="K26" i="15"/>
  <c r="H26" i="15"/>
  <c r="J26" i="15"/>
  <c r="F26" i="15"/>
  <c r="L26" i="15"/>
  <c r="M25" i="15"/>
  <c r="E146" i="5" l="1"/>
  <c r="J27" i="15"/>
  <c r="K27" i="15"/>
  <c r="F27" i="15"/>
  <c r="H27" i="15"/>
  <c r="D28" i="15"/>
  <c r="M26" i="15"/>
  <c r="L27" i="15"/>
  <c r="E147" i="5" l="1"/>
  <c r="H28" i="15"/>
  <c r="J28" i="15"/>
  <c r="F28" i="15"/>
  <c r="K28" i="15"/>
  <c r="D29" i="15"/>
  <c r="L28" i="15"/>
  <c r="M27" i="15"/>
  <c r="E148" i="5" l="1"/>
  <c r="F29" i="15"/>
  <c r="H29" i="15"/>
  <c r="K29" i="15"/>
  <c r="D30" i="15"/>
  <c r="J29" i="15"/>
  <c r="L29" i="15"/>
  <c r="M28" i="15"/>
  <c r="E149" i="5" l="1"/>
  <c r="D31" i="15"/>
  <c r="F30" i="15"/>
  <c r="H30" i="15"/>
  <c r="J30" i="15"/>
  <c r="K30" i="15"/>
  <c r="L30" i="15"/>
  <c r="M29" i="15"/>
  <c r="E150" i="5" l="1"/>
  <c r="D32" i="15"/>
  <c r="F31" i="15"/>
  <c r="H31" i="15"/>
  <c r="J31" i="15"/>
  <c r="K31" i="15"/>
  <c r="L31" i="15"/>
  <c r="M30" i="15"/>
  <c r="E151" i="5" l="1"/>
  <c r="F32" i="15"/>
  <c r="H32" i="15"/>
  <c r="J32" i="15"/>
  <c r="K32" i="15"/>
  <c r="D33" i="15"/>
  <c r="M31" i="15"/>
  <c r="L32" i="15"/>
  <c r="E152" i="5" l="1"/>
  <c r="F33" i="15"/>
  <c r="H33" i="15"/>
  <c r="J33" i="15"/>
  <c r="K33" i="15"/>
  <c r="D34" i="15"/>
  <c r="M32" i="15"/>
  <c r="L33" i="15"/>
  <c r="E153" i="5" l="1"/>
  <c r="K34" i="15"/>
  <c r="H34" i="15"/>
  <c r="J34" i="15"/>
  <c r="F34" i="15"/>
  <c r="D35" i="15"/>
  <c r="M33" i="15"/>
  <c r="L34" i="15"/>
  <c r="E154" i="5" l="1"/>
  <c r="J35" i="15"/>
  <c r="K35" i="15"/>
  <c r="F35" i="15"/>
  <c r="H35" i="15"/>
  <c r="D36" i="15"/>
  <c r="L35" i="15"/>
  <c r="M34" i="15"/>
  <c r="E155" i="5" l="1"/>
  <c r="H36" i="15"/>
  <c r="J36" i="15"/>
  <c r="D37" i="15"/>
  <c r="F36" i="15"/>
  <c r="K36" i="15"/>
  <c r="L36" i="15"/>
  <c r="M35" i="15"/>
  <c r="E156" i="5" l="1"/>
  <c r="F37" i="15"/>
  <c r="H37" i="15"/>
  <c r="D38" i="15"/>
  <c r="J37" i="15"/>
  <c r="K37" i="15"/>
  <c r="L37" i="15"/>
  <c r="M36" i="15"/>
  <c r="E157" i="5" l="1"/>
  <c r="D39" i="15"/>
  <c r="F38" i="15"/>
  <c r="H38" i="15"/>
  <c r="J38" i="15"/>
  <c r="K38" i="15"/>
  <c r="M37" i="15"/>
  <c r="L38" i="15"/>
  <c r="E158" i="5" l="1"/>
  <c r="D40" i="15"/>
  <c r="F39" i="15"/>
  <c r="H39" i="15"/>
  <c r="J39" i="15"/>
  <c r="K39" i="15"/>
  <c r="M38" i="15"/>
  <c r="L39" i="15"/>
  <c r="E159" i="5" l="1"/>
  <c r="H40" i="15"/>
  <c r="J40" i="15"/>
  <c r="K40" i="15"/>
  <c r="F40" i="15"/>
  <c r="D41" i="15"/>
  <c r="L40" i="15"/>
  <c r="M39" i="15"/>
  <c r="E160" i="5" l="1"/>
  <c r="J41" i="15"/>
  <c r="K41" i="15"/>
  <c r="F41" i="15"/>
  <c r="H41" i="15"/>
  <c r="D42" i="15"/>
  <c r="L41" i="15"/>
  <c r="M40" i="15"/>
  <c r="E161" i="5" l="1"/>
  <c r="K42" i="15"/>
  <c r="F42" i="15"/>
  <c r="H42" i="15"/>
  <c r="J42" i="15"/>
  <c r="L42" i="15"/>
  <c r="M41" i="15"/>
  <c r="L3" i="15"/>
  <c r="E162"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12" i="13"/>
  <c r="L8" i="13"/>
  <c r="L23" i="13"/>
  <c r="L14" i="13"/>
  <c r="L9" i="13"/>
  <c r="L46" i="13"/>
  <c r="L17" i="13"/>
  <c r="L36" i="13"/>
  <c r="L29" i="13"/>
  <c r="L45" i="13"/>
  <c r="L47" i="13"/>
  <c r="L34" i="13"/>
  <c r="L42" i="13"/>
  <c r="L38" i="13"/>
  <c r="L50" i="13"/>
  <c r="L24" i="13"/>
  <c r="L20" i="13"/>
  <c r="L37" i="13"/>
  <c r="L48" i="13"/>
  <c r="L15" i="13"/>
  <c r="L28" i="13"/>
  <c r="L30" i="13"/>
  <c r="L22" i="13"/>
  <c r="L40" i="13"/>
  <c r="L10" i="13"/>
  <c r="L41" i="13"/>
  <c r="M4" i="13"/>
  <c r="L16" i="13"/>
  <c r="L35" i="13"/>
  <c r="L7" i="13"/>
  <c r="L25" i="13"/>
  <c r="L26" i="13"/>
  <c r="L32" i="13"/>
  <c r="L11" i="13"/>
  <c r="L19" i="13"/>
  <c r="L31" i="13"/>
  <c r="L44" i="13"/>
  <c r="L33" i="13"/>
  <c r="L13" i="13"/>
  <c r="L6" i="13"/>
  <c r="L49" i="13"/>
  <c r="L27" i="13"/>
  <c r="L39" i="13"/>
  <c r="L18" i="13"/>
  <c r="L21" i="13"/>
  <c r="L3" i="13" s="1"/>
  <c r="E108" i="5" l="1"/>
  <c r="E122" i="5"/>
  <c r="E121" i="5"/>
  <c r="E102" i="5"/>
  <c r="E100" i="5"/>
  <c r="E112" i="5"/>
  <c r="E109" i="5"/>
  <c r="E90" i="5"/>
  <c r="E105" i="5"/>
  <c r="E92" i="5"/>
  <c r="E93" i="5"/>
  <c r="E115" i="5"/>
  <c r="E89" i="5"/>
  <c r="E94" i="5"/>
  <c r="E119" i="5"/>
  <c r="E103" i="5"/>
  <c r="E110" i="5"/>
  <c r="E125" i="5"/>
  <c r="E118" i="5"/>
  <c r="E97" i="5"/>
  <c r="E106" i="5"/>
  <c r="E96" i="5"/>
  <c r="E95" i="5"/>
  <c r="E107" i="5"/>
  <c r="E104" i="5"/>
  <c r="E123" i="5"/>
  <c r="E124" i="5"/>
  <c r="E98" i="5"/>
  <c r="E101" i="5"/>
  <c r="E111" i="5"/>
  <c r="E99" i="5"/>
  <c r="E116" i="5"/>
  <c r="E113" i="5"/>
  <c r="E117" i="5"/>
  <c r="E120" i="5"/>
  <c r="E91" i="5"/>
  <c r="E114"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7" i="13"/>
  <c r="M15" i="13"/>
  <c r="M8" i="13"/>
  <c r="M45" i="13"/>
  <c r="M27" i="13"/>
  <c r="M50" i="13"/>
  <c r="M32" i="13"/>
  <c r="M22" i="13"/>
  <c r="M20" i="13"/>
  <c r="M48" i="13"/>
  <c r="M37" i="13"/>
  <c r="M25" i="13"/>
  <c r="M28" i="13"/>
  <c r="M21" i="13"/>
  <c r="M14" i="13"/>
  <c r="M49" i="13"/>
  <c r="M26" i="13"/>
  <c r="M35" i="13"/>
  <c r="M34" i="13"/>
  <c r="M33" i="13"/>
  <c r="M42" i="13"/>
  <c r="M10" i="13"/>
  <c r="M7" i="13"/>
  <c r="M38" i="13"/>
  <c r="M24" i="13"/>
  <c r="M39" i="13"/>
  <c r="M11" i="13"/>
  <c r="M29" i="13"/>
  <c r="M6" i="13"/>
  <c r="M16" i="13"/>
  <c r="M36" i="13"/>
  <c r="M44" i="13"/>
  <c r="M13" i="13"/>
  <c r="M31" i="13"/>
  <c r="M46" i="13"/>
  <c r="M12" i="13"/>
  <c r="M19" i="13"/>
  <c r="M40" i="13"/>
  <c r="M41" i="13"/>
  <c r="M23" i="13"/>
  <c r="M9" i="13"/>
  <c r="M18" i="13"/>
  <c r="M17" i="13"/>
  <c r="M30"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18" i="11"/>
  <c r="I43" i="11"/>
  <c r="I24" i="11"/>
  <c r="I27" i="11"/>
  <c r="I22" i="11"/>
  <c r="I28" i="11"/>
  <c r="I29" i="11"/>
  <c r="I39" i="11"/>
  <c r="I21" i="11"/>
  <c r="I38" i="11"/>
  <c r="I6" i="11"/>
  <c r="I33" i="11"/>
  <c r="I41" i="11"/>
  <c r="I34" i="11"/>
  <c r="I16" i="11"/>
  <c r="I40" i="11"/>
  <c r="I4" i="11"/>
  <c r="I17" i="11"/>
  <c r="I23" i="11"/>
  <c r="I25" i="11"/>
  <c r="I30" i="11"/>
  <c r="I3" i="11"/>
  <c r="I8" i="11"/>
  <c r="I5" i="11"/>
  <c r="I11" i="11"/>
  <c r="I35" i="11"/>
  <c r="I19" i="11"/>
  <c r="I12" i="11"/>
  <c r="I20" i="11"/>
  <c r="I14" i="11"/>
  <c r="M3" i="11"/>
  <c r="I31" i="11"/>
  <c r="I36" i="11"/>
  <c r="I7" i="11"/>
  <c r="I9" i="11"/>
  <c r="I44" i="11"/>
  <c r="I37" i="11"/>
  <c r="I15" i="11"/>
  <c r="I26" i="11"/>
  <c r="I10" i="11"/>
  <c r="I32" i="11"/>
  <c r="I13" i="11"/>
  <c r="I42" i="11"/>
  <c r="E61" i="5" l="1"/>
  <c r="E69" i="5"/>
  <c r="E39" i="5"/>
  <c r="E59" i="5"/>
  <c r="E50" i="5"/>
  <c r="E31" i="5"/>
  <c r="E62" i="5"/>
  <c r="E51" i="5"/>
  <c r="E66" i="5"/>
  <c r="E43" i="5"/>
  <c r="E67" i="5"/>
  <c r="E44" i="5"/>
  <c r="E30" i="5"/>
  <c r="E68" i="5"/>
  <c r="E33" i="5"/>
  <c r="E34" i="5"/>
  <c r="E48" i="5"/>
  <c r="E54" i="5"/>
  <c r="E37" i="5"/>
  <c r="E56" i="5"/>
  <c r="E46" i="5"/>
  <c r="E65" i="5"/>
  <c r="E29" i="5"/>
  <c r="E40" i="5"/>
  <c r="E55" i="5"/>
  <c r="E32" i="5"/>
  <c r="E64" i="5"/>
  <c r="E70" i="5"/>
  <c r="E49" i="5"/>
  <c r="E47" i="5"/>
  <c r="E63" i="5"/>
  <c r="E42" i="5"/>
  <c r="E35" i="5"/>
  <c r="E58" i="5"/>
  <c r="E52" i="5"/>
  <c r="E36" i="5"/>
  <c r="E60" i="5"/>
  <c r="E57" i="5"/>
  <c r="E38" i="5"/>
  <c r="E45" i="5"/>
  <c r="E41" i="5"/>
  <c r="E53" i="5"/>
  <c r="C3" i="9"/>
  <c r="F3" i="9" s="1"/>
  <c r="C4" i="9"/>
  <c r="F4" i="9" s="1"/>
  <c r="B5" i="9"/>
  <c r="D5" i="9"/>
  <c r="F5" i="9" s="1"/>
  <c r="B6" i="9"/>
  <c r="D6" i="9"/>
  <c r="F6" i="9" s="1"/>
  <c r="B7" i="9"/>
  <c r="D7" i="9"/>
  <c r="F7" i="9" s="1"/>
  <c r="B8" i="9"/>
  <c r="D8" i="9"/>
  <c r="F8" i="9" s="1"/>
  <c r="B9" i="9"/>
  <c r="D9" i="9"/>
  <c r="F9" i="9" s="1"/>
  <c r="B10" i="9"/>
  <c r="D10" i="9"/>
  <c r="F10" i="9" s="1"/>
  <c r="E1" i="9"/>
  <c r="L4" i="9"/>
  <c r="J36" i="11"/>
  <c r="J3" i="11"/>
  <c r="J6" i="11"/>
  <c r="J42" i="11"/>
  <c r="J34" i="11"/>
  <c r="J15" i="11"/>
  <c r="J4" i="11"/>
  <c r="J10" i="11"/>
  <c r="J31" i="11"/>
  <c r="J32" i="11"/>
  <c r="J12" i="11"/>
  <c r="J18" i="11"/>
  <c r="J14" i="11"/>
  <c r="J16" i="11"/>
  <c r="J23" i="11"/>
  <c r="J41" i="11"/>
  <c r="J43" i="11"/>
  <c r="J40" i="11"/>
  <c r="J5" i="11"/>
  <c r="J21" i="11"/>
  <c r="J35" i="11"/>
  <c r="J30" i="11"/>
  <c r="J9" i="11"/>
  <c r="J11" i="11"/>
  <c r="J24" i="11"/>
  <c r="J13" i="11"/>
  <c r="J28" i="11"/>
  <c r="J20" i="11"/>
  <c r="J17" i="11"/>
  <c r="J29" i="11"/>
  <c r="J25" i="11"/>
  <c r="J39" i="11"/>
  <c r="J7" i="11"/>
  <c r="J38" i="11"/>
  <c r="J44" i="11"/>
  <c r="J33" i="11"/>
  <c r="J19" i="11"/>
  <c r="J37" i="11"/>
  <c r="J8" i="11"/>
  <c r="J27" i="11"/>
  <c r="J22" i="11"/>
  <c r="J26" i="11"/>
  <c r="E5" i="9" l="1"/>
  <c r="G1" i="9"/>
  <c r="G2" i="9" s="1"/>
  <c r="E10" i="9"/>
  <c r="E3" i="9"/>
  <c r="E6" i="9"/>
  <c r="E8" i="9"/>
  <c r="E4" i="9"/>
  <c r="E7" i="9"/>
  <c r="E9" i="9"/>
  <c r="G7" i="9" l="1"/>
  <c r="G10" i="9"/>
  <c r="G6" i="9"/>
  <c r="G9" i="9"/>
  <c r="G8" i="9"/>
  <c r="G3" i="9"/>
  <c r="G5" i="9"/>
  <c r="G4" i="9"/>
  <c r="J1" i="7"/>
  <c r="J2" i="7" s="1"/>
  <c r="I3" i="7"/>
  <c r="I4" i="7"/>
  <c r="I5" i="7"/>
  <c r="I6" i="7"/>
  <c r="I7" i="7"/>
  <c r="I8" i="7"/>
  <c r="F1" i="7"/>
  <c r="I9" i="7"/>
  <c r="O5" i="7"/>
  <c r="D6" i="7"/>
  <c r="H4" i="7"/>
  <c r="D7" i="7"/>
  <c r="H9" i="9"/>
  <c r="H5" i="7"/>
  <c r="H5" i="9"/>
  <c r="H8" i="7"/>
  <c r="H6" i="9"/>
  <c r="G8" i="7"/>
  <c r="D8" i="7"/>
  <c r="H3" i="9"/>
  <c r="H9" i="7"/>
  <c r="D5" i="7"/>
  <c r="E8" i="7"/>
  <c r="E6" i="7"/>
  <c r="H8" i="9"/>
  <c r="E4" i="7"/>
  <c r="D3" i="7"/>
  <c r="D4" i="7"/>
  <c r="F9" i="7"/>
  <c r="E5" i="7"/>
  <c r="H7" i="7"/>
  <c r="G7" i="7"/>
  <c r="E3" i="7"/>
  <c r="H7" i="9"/>
  <c r="D9" i="7"/>
  <c r="H10" i="9"/>
  <c r="F8" i="7"/>
  <c r="F7" i="7"/>
  <c r="G9" i="7"/>
  <c r="H6" i="7"/>
  <c r="E7" i="7"/>
  <c r="H4" i="9"/>
  <c r="H3" i="7"/>
  <c r="E9" i="7"/>
  <c r="H2" i="9"/>
  <c r="E9" i="5" l="1"/>
  <c r="E10" i="5"/>
  <c r="J8" i="7"/>
  <c r="J5" i="7"/>
  <c r="J7" i="7"/>
  <c r="J4" i="7"/>
  <c r="J9" i="7"/>
  <c r="J6" i="7"/>
  <c r="J3" i="7"/>
  <c r="K8" i="7"/>
  <c r="K9" i="7"/>
  <c r="K6" i="7"/>
  <c r="K4" i="7"/>
  <c r="K5" i="7"/>
  <c r="K7" i="7"/>
  <c r="I4" i="9"/>
  <c r="I7" i="9"/>
  <c r="I9" i="9"/>
  <c r="I10" i="9"/>
  <c r="I8" i="9"/>
  <c r="I6" i="9"/>
  <c r="I3" i="9"/>
  <c r="I5" i="9"/>
  <c r="K3" i="7"/>
  <c r="I2" i="9"/>
  <c r="K2" i="7"/>
  <c r="E3" i="5" l="1"/>
  <c r="E6" i="5"/>
  <c r="E4" i="5"/>
  <c r="E7" i="5"/>
  <c r="E2" i="5"/>
  <c r="E8" i="5"/>
  <c r="E5" i="5"/>
  <c r="D7" i="6"/>
  <c r="D8" i="6"/>
  <c r="D23" i="6"/>
  <c r="C9" i="5"/>
  <c r="C10" i="5"/>
  <c r="D11" i="5"/>
  <c r="D12" i="5"/>
  <c r="D13" i="5"/>
  <c r="D14" i="5"/>
  <c r="D15" i="5"/>
  <c r="D16" i="5"/>
  <c r="D17" i="5"/>
  <c r="D18" i="5"/>
  <c r="D19" i="5"/>
  <c r="D20" i="5"/>
  <c r="D21" i="5"/>
  <c r="D22" i="5"/>
  <c r="D23" i="5"/>
  <c r="D24" i="5"/>
  <c r="D25" i="5"/>
  <c r="D26" i="5"/>
  <c r="D27" i="5"/>
  <c r="D28" i="5"/>
  <c r="D6" i="6"/>
  <c r="L6" i="7"/>
  <c r="L3" i="7"/>
  <c r="B1" i="6"/>
  <c r="D21" i="6"/>
  <c r="D29" i="5" a="1"/>
  <c r="L4" i="7"/>
  <c r="L5" i="7"/>
  <c r="L9" i="7"/>
  <c r="L8" i="7"/>
  <c r="L7" i="7"/>
  <c r="L2" i="7"/>
  <c r="D9" i="6" l="1"/>
  <c r="D16" i="6"/>
  <c r="D20" i="6"/>
  <c r="C30" i="5"/>
  <c r="E20" i="6"/>
  <c r="C29" i="5"/>
  <c r="D30" i="5"/>
  <c r="D29" i="5"/>
  <c r="E21" i="6"/>
  <c r="C31" i="5"/>
  <c r="D31" i="5"/>
  <c r="E22" i="6"/>
  <c r="D22" i="6"/>
  <c r="E14" i="5" l="1"/>
  <c r="E11" i="5"/>
  <c r="E16" i="5"/>
  <c r="E15" i="5"/>
  <c r="E21" i="5"/>
  <c r="E19" i="5"/>
  <c r="E23" i="5"/>
  <c r="E22" i="5"/>
  <c r="E27" i="5"/>
  <c r="E18" i="5"/>
  <c r="E24" i="5"/>
  <c r="E25" i="5"/>
  <c r="E13" i="5"/>
  <c r="E17" i="5"/>
  <c r="E28" i="5"/>
  <c r="E26" i="5"/>
  <c r="E12" i="5"/>
  <c r="E20" i="5"/>
  <c r="C32" i="5"/>
  <c r="D32" i="5"/>
  <c r="K27" i="5"/>
  <c r="K15" i="5"/>
  <c r="K25" i="5"/>
  <c r="L24" i="5"/>
  <c r="F4" i="5"/>
  <c r="K8" i="5"/>
  <c r="L20" i="5"/>
  <c r="F25" i="5"/>
  <c r="K13" i="5"/>
  <c r="K16" i="5"/>
  <c r="K6" i="5"/>
  <c r="F24" i="5"/>
  <c r="L29" i="5"/>
  <c r="L23" i="5"/>
  <c r="F9" i="5"/>
  <c r="F5" i="5"/>
  <c r="F12" i="5"/>
  <c r="F29" i="5"/>
  <c r="F27" i="5"/>
  <c r="F10" i="5"/>
  <c r="F6" i="5"/>
  <c r="K20" i="5"/>
  <c r="L13" i="5"/>
  <c r="L14" i="5"/>
  <c r="F23" i="5"/>
  <c r="F21" i="5"/>
  <c r="K4" i="5"/>
  <c r="K22" i="5"/>
  <c r="L10" i="5"/>
  <c r="F26" i="5"/>
  <c r="L5" i="5"/>
  <c r="F30" i="5"/>
  <c r="K21" i="5"/>
  <c r="F31" i="5"/>
  <c r="F17" i="5"/>
  <c r="L6" i="5"/>
  <c r="K28" i="5"/>
  <c r="G31" i="5"/>
  <c r="L19" i="5"/>
  <c r="F7" i="5"/>
  <c r="K14" i="5"/>
  <c r="K12" i="5"/>
  <c r="F22" i="5"/>
  <c r="L16" i="5"/>
  <c r="L18" i="5"/>
  <c r="F13" i="5"/>
  <c r="K26" i="5"/>
  <c r="L28" i="5"/>
  <c r="L15" i="5"/>
  <c r="F19" i="5"/>
  <c r="L26" i="5"/>
  <c r="K11" i="5"/>
  <c r="L17" i="5"/>
  <c r="F15" i="5"/>
  <c r="F8" i="5"/>
  <c r="L27" i="5"/>
  <c r="L9" i="5"/>
  <c r="L21" i="5"/>
  <c r="K3" i="5"/>
  <c r="L31" i="5"/>
  <c r="K19" i="5"/>
  <c r="F14" i="5"/>
  <c r="L3" i="5"/>
  <c r="L11" i="5"/>
  <c r="K9" i="5"/>
  <c r="F28" i="5"/>
  <c r="K18" i="5"/>
  <c r="K31" i="5"/>
  <c r="F16" i="5"/>
  <c r="K17" i="5"/>
  <c r="K2" i="5"/>
  <c r="L2" i="5"/>
  <c r="K30" i="5"/>
  <c r="G29" i="5"/>
  <c r="F18" i="5"/>
  <c r="K29" i="5"/>
  <c r="F2" i="5"/>
  <c r="L8" i="5"/>
  <c r="L12" i="5"/>
  <c r="K24" i="5"/>
  <c r="L30" i="5"/>
  <c r="F20" i="5"/>
  <c r="L7" i="5"/>
  <c r="L4" i="5"/>
  <c r="K23" i="5"/>
  <c r="G30" i="5"/>
  <c r="L22" i="5"/>
  <c r="F11" i="5"/>
  <c r="K7" i="5"/>
  <c r="F3" i="5"/>
  <c r="L25" i="5"/>
  <c r="K5" i="5"/>
  <c r="K10" i="5"/>
  <c r="C33" i="5" l="1"/>
  <c r="D33" i="5"/>
  <c r="F32" i="5"/>
  <c r="L32" i="5"/>
  <c r="K32" i="5"/>
  <c r="G32" i="5"/>
  <c r="C34" i="5" l="1"/>
  <c r="D34" i="5"/>
  <c r="F33" i="5"/>
  <c r="G33" i="5"/>
  <c r="L33" i="5"/>
  <c r="K33" i="5"/>
  <c r="C35" i="5" l="1"/>
  <c r="D35" i="5"/>
  <c r="G34" i="5"/>
  <c r="K34" i="5"/>
  <c r="L34" i="5"/>
  <c r="F34" i="5"/>
  <c r="C36" i="5" l="1"/>
  <c r="D36" i="5"/>
  <c r="K35" i="5"/>
  <c r="L35" i="5"/>
  <c r="F35" i="5"/>
  <c r="G35" i="5"/>
  <c r="C37" i="5" l="1"/>
  <c r="D37" i="5"/>
  <c r="F36" i="5"/>
  <c r="L36" i="5"/>
  <c r="K36" i="5"/>
  <c r="G36" i="5"/>
  <c r="C38" i="5" l="1"/>
  <c r="D38" i="5"/>
  <c r="L37" i="5"/>
  <c r="F37" i="5"/>
  <c r="K37" i="5"/>
  <c r="G37" i="5"/>
  <c r="C39" i="5" l="1"/>
  <c r="D39" i="5"/>
  <c r="L38" i="5"/>
  <c r="K38" i="5"/>
  <c r="F38" i="5"/>
  <c r="G38" i="5"/>
  <c r="C40" i="5" l="1"/>
  <c r="D40" i="5"/>
  <c r="G39" i="5"/>
  <c r="K39" i="5"/>
  <c r="L39" i="5"/>
  <c r="F39" i="5"/>
  <c r="C41" i="5" l="1"/>
  <c r="D41" i="5"/>
  <c r="C42" i="5"/>
  <c r="D42" i="5"/>
  <c r="F40" i="5"/>
  <c r="K40" i="5"/>
  <c r="G40" i="5"/>
  <c r="L40" i="5"/>
  <c r="C43" i="5" l="1"/>
  <c r="D43" i="5"/>
  <c r="K42" i="5"/>
  <c r="F42" i="5"/>
  <c r="F41" i="5"/>
  <c r="L41" i="5"/>
  <c r="G42" i="5"/>
  <c r="L42" i="5"/>
  <c r="G41" i="5"/>
  <c r="K41" i="5"/>
  <c r="C44" i="5" l="1"/>
  <c r="D44" i="5"/>
  <c r="L43" i="5"/>
  <c r="G43" i="5"/>
  <c r="F43" i="5"/>
  <c r="K43" i="5"/>
  <c r="C45" i="5" l="1"/>
  <c r="D45" i="5"/>
  <c r="K44" i="5"/>
  <c r="G44" i="5"/>
  <c r="F44" i="5"/>
  <c r="L44" i="5"/>
  <c r="C46" i="5" l="1"/>
  <c r="D46" i="5"/>
  <c r="K45" i="5"/>
  <c r="F45" i="5"/>
  <c r="L45" i="5"/>
  <c r="G45" i="5"/>
  <c r="C47" i="5" l="1"/>
  <c r="D47" i="5"/>
  <c r="F46" i="5"/>
  <c r="G46" i="5"/>
  <c r="L46" i="5"/>
  <c r="K46" i="5"/>
  <c r="C48" i="5" l="1"/>
  <c r="D48" i="5"/>
  <c r="F47" i="5"/>
  <c r="K47" i="5"/>
  <c r="L47" i="5"/>
  <c r="G47" i="5"/>
  <c r="C49" i="5" l="1"/>
  <c r="D49" i="5"/>
  <c r="K48" i="5"/>
  <c r="F48" i="5"/>
  <c r="G48" i="5"/>
  <c r="L48" i="5"/>
  <c r="C50" i="5" l="1"/>
  <c r="D50" i="5"/>
  <c r="G49" i="5"/>
  <c r="L49" i="5"/>
  <c r="F49" i="5"/>
  <c r="K49" i="5"/>
  <c r="C51" i="5" l="1"/>
  <c r="D51" i="5"/>
  <c r="G50" i="5"/>
  <c r="L50" i="5"/>
  <c r="F50" i="5"/>
  <c r="K50" i="5"/>
  <c r="C52" i="5" l="1"/>
  <c r="D52" i="5"/>
  <c r="G51" i="5"/>
  <c r="L51" i="5"/>
  <c r="F51" i="5"/>
  <c r="K51" i="5"/>
  <c r="C53" i="5" l="1"/>
  <c r="D53" i="5"/>
  <c r="F52" i="5"/>
  <c r="L52" i="5"/>
  <c r="K52" i="5"/>
  <c r="G52" i="5"/>
  <c r="C54" i="5" l="1"/>
  <c r="D54" i="5"/>
  <c r="G53" i="5"/>
  <c r="K53" i="5"/>
  <c r="L53" i="5"/>
  <c r="F53" i="5"/>
  <c r="C55" i="5" l="1"/>
  <c r="D55" i="5"/>
  <c r="K54" i="5"/>
  <c r="G54" i="5"/>
  <c r="L54" i="5"/>
  <c r="F54" i="5"/>
  <c r="C56" i="5" l="1"/>
  <c r="D56" i="5"/>
  <c r="L55" i="5"/>
  <c r="G55" i="5"/>
  <c r="F55" i="5"/>
  <c r="K55" i="5"/>
  <c r="C57" i="5" l="1"/>
  <c r="D57" i="5"/>
  <c r="G56" i="5"/>
  <c r="F56" i="5"/>
  <c r="K56" i="5"/>
  <c r="L56" i="5"/>
  <c r="C58" i="5" l="1"/>
  <c r="D58" i="5"/>
  <c r="G57" i="5"/>
  <c r="F57" i="5"/>
  <c r="K57" i="5"/>
  <c r="L57" i="5"/>
  <c r="C59" i="5" l="1"/>
  <c r="D59" i="5"/>
  <c r="L58" i="5"/>
  <c r="K58" i="5"/>
  <c r="F58" i="5"/>
  <c r="G58" i="5"/>
  <c r="C60" i="5" l="1"/>
  <c r="D60" i="5"/>
  <c r="K59" i="5"/>
  <c r="F59" i="5"/>
  <c r="G59" i="5"/>
  <c r="L59" i="5"/>
  <c r="C61" i="5" l="1"/>
  <c r="D61" i="5"/>
  <c r="F60" i="5"/>
  <c r="G60" i="5"/>
  <c r="K60" i="5"/>
  <c r="L60" i="5"/>
  <c r="C62" i="5" l="1"/>
  <c r="D62" i="5"/>
  <c r="C63" i="5"/>
  <c r="D63" i="5"/>
  <c r="K61" i="5"/>
  <c r="F61" i="5"/>
  <c r="G61" i="5"/>
  <c r="L61" i="5"/>
  <c r="C64" i="5" l="1"/>
  <c r="D64" i="5"/>
  <c r="K62" i="5"/>
  <c r="L63" i="5"/>
  <c r="F62" i="5"/>
  <c r="G62" i="5"/>
  <c r="K63" i="5"/>
  <c r="G63" i="5"/>
  <c r="L62" i="5"/>
  <c r="F63" i="5"/>
  <c r="C65" i="5" l="1"/>
  <c r="D65" i="5"/>
  <c r="F64" i="5"/>
  <c r="L64" i="5"/>
  <c r="G64" i="5"/>
  <c r="K64" i="5"/>
  <c r="C66" i="5" l="1"/>
  <c r="D66" i="5"/>
  <c r="C67" i="5"/>
  <c r="D67" i="5"/>
  <c r="C68" i="5"/>
  <c r="D68" i="5"/>
  <c r="L65" i="5"/>
  <c r="G65" i="5"/>
  <c r="F65" i="5"/>
  <c r="K65" i="5"/>
  <c r="C69" i="5" l="1"/>
  <c r="D69" i="5"/>
  <c r="C70" i="5"/>
  <c r="D70" i="5"/>
  <c r="L66" i="5"/>
  <c r="F67" i="5"/>
  <c r="G66" i="5"/>
  <c r="K66" i="5"/>
  <c r="F68" i="5"/>
  <c r="K68" i="5"/>
  <c r="G67" i="5"/>
  <c r="L68" i="5"/>
  <c r="L67" i="5"/>
  <c r="K67" i="5"/>
  <c r="G68" i="5"/>
  <c r="F66" i="5"/>
  <c r="E71" i="5" l="1"/>
  <c r="E72" i="5"/>
  <c r="E73" i="5"/>
  <c r="E74" i="5"/>
  <c r="E75" i="5"/>
  <c r="E76" i="5"/>
  <c r="E77" i="5"/>
  <c r="E78" i="5"/>
  <c r="E79" i="5"/>
  <c r="E80" i="5"/>
  <c r="E81" i="5"/>
  <c r="E82" i="5"/>
  <c r="E83" i="5"/>
  <c r="E84" i="5"/>
  <c r="E85" i="5"/>
  <c r="E86" i="5"/>
  <c r="E87" i="5"/>
  <c r="E88" i="5"/>
  <c r="B89" i="5"/>
  <c r="C89" i="5"/>
  <c r="B90" i="5"/>
  <c r="C90" i="5"/>
  <c r="G80" i="5"/>
  <c r="G85" i="5"/>
  <c r="F79" i="5"/>
  <c r="G77" i="5"/>
  <c r="K72" i="5"/>
  <c r="G83" i="5"/>
  <c r="L78" i="5"/>
  <c r="G79" i="5"/>
  <c r="K86" i="5"/>
  <c r="F86" i="5"/>
  <c r="L88" i="5"/>
  <c r="F74" i="5"/>
  <c r="L71" i="5"/>
  <c r="L79" i="5"/>
  <c r="K69" i="5"/>
  <c r="L73" i="5"/>
  <c r="K75" i="5"/>
  <c r="F81" i="5"/>
  <c r="K85" i="5"/>
  <c r="L70" i="5"/>
  <c r="F75" i="5"/>
  <c r="K76" i="5"/>
  <c r="G86" i="5"/>
  <c r="L81" i="5"/>
  <c r="F70" i="5"/>
  <c r="K81" i="5"/>
  <c r="K79" i="5"/>
  <c r="K73" i="5"/>
  <c r="K87" i="5"/>
  <c r="L77" i="5"/>
  <c r="K83" i="5"/>
  <c r="G82" i="5"/>
  <c r="F85" i="5"/>
  <c r="F72" i="5"/>
  <c r="L80" i="5"/>
  <c r="F80" i="5"/>
  <c r="G75" i="5"/>
  <c r="F83" i="5"/>
  <c r="L85" i="5"/>
  <c r="L69" i="5"/>
  <c r="K88" i="5"/>
  <c r="F77" i="5"/>
  <c r="L72" i="5"/>
  <c r="F84" i="5"/>
  <c r="L83" i="5"/>
  <c r="L76" i="5"/>
  <c r="F73" i="5"/>
  <c r="K84" i="5"/>
  <c r="F88" i="5"/>
  <c r="G84" i="5"/>
  <c r="L86" i="5"/>
  <c r="F82" i="5"/>
  <c r="K70" i="5"/>
  <c r="G87" i="5"/>
  <c r="G78" i="5"/>
  <c r="F78" i="5"/>
  <c r="G76" i="5"/>
  <c r="F69" i="5"/>
  <c r="G72" i="5"/>
  <c r="G69" i="5"/>
  <c r="G73" i="5"/>
  <c r="K71" i="5"/>
  <c r="G70" i="5"/>
  <c r="K78" i="5"/>
  <c r="L87" i="5"/>
  <c r="L74" i="5"/>
  <c r="G71" i="5"/>
  <c r="K80" i="5"/>
  <c r="L84" i="5"/>
  <c r="G81" i="5"/>
  <c r="F87" i="5"/>
  <c r="G88" i="5"/>
  <c r="L82" i="5"/>
  <c r="K82" i="5"/>
  <c r="F76" i="5"/>
  <c r="K77" i="5"/>
  <c r="G74" i="5"/>
  <c r="F71" i="5"/>
  <c r="K74" i="5"/>
  <c r="L75" i="5"/>
  <c r="B91" i="5" l="1"/>
  <c r="C91" i="5"/>
  <c r="K90" i="5"/>
  <c r="L89" i="5"/>
  <c r="K89" i="5"/>
  <c r="L90" i="5"/>
  <c r="G90" i="5"/>
  <c r="F90" i="5"/>
  <c r="G89" i="5"/>
  <c r="F89" i="5"/>
  <c r="B92" i="5" l="1"/>
  <c r="C92" i="5"/>
  <c r="B93" i="5"/>
  <c r="C93" i="5"/>
  <c r="K91" i="5"/>
  <c r="G91" i="5"/>
  <c r="F91" i="5"/>
  <c r="L91" i="5"/>
  <c r="B94" i="5" l="1"/>
  <c r="C94" i="5"/>
  <c r="L93" i="5"/>
  <c r="K93" i="5"/>
  <c r="G92" i="5"/>
  <c r="L92" i="5"/>
  <c r="G93" i="5"/>
  <c r="F93" i="5"/>
  <c r="K92" i="5"/>
  <c r="F92" i="5"/>
  <c r="B95" i="5" l="1"/>
  <c r="C95" i="5"/>
  <c r="B96" i="5"/>
  <c r="C96" i="5"/>
  <c r="G94" i="5"/>
  <c r="L94" i="5"/>
  <c r="K94" i="5"/>
  <c r="F94" i="5"/>
  <c r="B97" i="5" l="1"/>
  <c r="C97" i="5"/>
  <c r="F96" i="5"/>
  <c r="L95" i="5"/>
  <c r="K96" i="5"/>
  <c r="K95" i="5"/>
  <c r="G96" i="5"/>
  <c r="F95" i="5"/>
  <c r="G95" i="5"/>
  <c r="L96" i="5"/>
  <c r="B98" i="5" l="1"/>
  <c r="C98" i="5"/>
  <c r="B99" i="5"/>
  <c r="C99" i="5"/>
  <c r="B100" i="5"/>
  <c r="C100" i="5"/>
  <c r="K97" i="5"/>
  <c r="F97" i="5"/>
  <c r="G97" i="5"/>
  <c r="L97" i="5"/>
  <c r="B101" i="5" l="1"/>
  <c r="C101" i="5"/>
  <c r="F100" i="5"/>
  <c r="G99" i="5"/>
  <c r="L100" i="5"/>
  <c r="K98" i="5"/>
  <c r="K100" i="5"/>
  <c r="L99" i="5"/>
  <c r="F98" i="5"/>
  <c r="K99" i="5"/>
  <c r="G98" i="5"/>
  <c r="G100" i="5"/>
  <c r="L98" i="5"/>
  <c r="F99" i="5"/>
  <c r="B102" i="5" l="1"/>
  <c r="C102" i="5"/>
  <c r="G101" i="5"/>
  <c r="F101" i="5"/>
  <c r="K101" i="5"/>
  <c r="L101" i="5"/>
  <c r="B103" i="5" l="1"/>
  <c r="C103" i="5"/>
  <c r="B104" i="5"/>
  <c r="C104" i="5"/>
  <c r="B105" i="5"/>
  <c r="C105" i="5"/>
  <c r="G102" i="5"/>
  <c r="K102" i="5"/>
  <c r="F102" i="5"/>
  <c r="L102" i="5"/>
  <c r="B106" i="5" l="1"/>
  <c r="C106" i="5"/>
  <c r="L105" i="5"/>
  <c r="F105" i="5"/>
  <c r="K103" i="5"/>
  <c r="L104" i="5"/>
  <c r="K105" i="5"/>
  <c r="L103" i="5"/>
  <c r="G103" i="5"/>
  <c r="F103" i="5"/>
  <c r="G105" i="5"/>
  <c r="K104" i="5"/>
  <c r="F104" i="5"/>
  <c r="G104" i="5"/>
  <c r="B107" i="5" l="1"/>
  <c r="C107" i="5"/>
  <c r="B108" i="5"/>
  <c r="C108" i="5"/>
  <c r="L106" i="5"/>
  <c r="G106" i="5"/>
  <c r="F106" i="5"/>
  <c r="K106" i="5"/>
  <c r="B109" i="5" l="1"/>
  <c r="C109" i="5"/>
  <c r="K108" i="5"/>
  <c r="L107" i="5"/>
  <c r="F107" i="5"/>
  <c r="G107" i="5"/>
  <c r="K107" i="5"/>
  <c r="G108" i="5"/>
  <c r="F108" i="5"/>
  <c r="L108" i="5"/>
  <c r="B110" i="5" l="1"/>
  <c r="C110" i="5"/>
  <c r="F109" i="5"/>
  <c r="L109" i="5"/>
  <c r="K109" i="5"/>
  <c r="G109" i="5"/>
  <c r="B111" i="5" l="1"/>
  <c r="C111" i="5"/>
  <c r="L110" i="5"/>
  <c r="G110" i="5"/>
  <c r="K110" i="5"/>
  <c r="F110" i="5"/>
  <c r="B112" i="5" l="1"/>
  <c r="C112" i="5"/>
  <c r="B113" i="5"/>
  <c r="C113" i="5"/>
  <c r="L111" i="5"/>
  <c r="K111" i="5"/>
  <c r="F111" i="5"/>
  <c r="G111" i="5"/>
  <c r="B114" i="5" l="1"/>
  <c r="C114" i="5"/>
  <c r="G113" i="5"/>
  <c r="F113" i="5"/>
  <c r="L113" i="5"/>
  <c r="K113" i="5"/>
  <c r="K112" i="5"/>
  <c r="G112" i="5"/>
  <c r="F112" i="5"/>
  <c r="L112" i="5"/>
  <c r="B115" i="5" l="1"/>
  <c r="C115" i="5"/>
  <c r="F114" i="5"/>
  <c r="G114" i="5"/>
  <c r="L114" i="5"/>
  <c r="K114" i="5"/>
  <c r="B116" i="5" l="1"/>
  <c r="C116" i="5"/>
  <c r="B117" i="5"/>
  <c r="C117" i="5"/>
  <c r="B118" i="5"/>
  <c r="C118" i="5"/>
  <c r="K115" i="5"/>
  <c r="G115" i="5"/>
  <c r="L115" i="5"/>
  <c r="F115" i="5"/>
  <c r="B119" i="5" l="1"/>
  <c r="C119" i="5"/>
  <c r="G116" i="5"/>
  <c r="G117" i="5"/>
  <c r="K117" i="5"/>
  <c r="F117" i="5"/>
  <c r="L116" i="5"/>
  <c r="K118" i="5"/>
  <c r="F118" i="5"/>
  <c r="G118" i="5"/>
  <c r="L117" i="5"/>
  <c r="K116" i="5"/>
  <c r="F116" i="5"/>
  <c r="L118" i="5"/>
  <c r="B120" i="5" l="1"/>
  <c r="C120" i="5"/>
  <c r="K119" i="5"/>
  <c r="G119" i="5"/>
  <c r="L119" i="5"/>
  <c r="F119" i="5"/>
  <c r="B121" i="5" l="1"/>
  <c r="C121" i="5"/>
  <c r="B122" i="5"/>
  <c r="C122" i="5"/>
  <c r="B123" i="5"/>
  <c r="C123" i="5"/>
  <c r="B124" i="5"/>
  <c r="C124" i="5"/>
  <c r="F120" i="5"/>
  <c r="K120" i="5"/>
  <c r="L120" i="5"/>
  <c r="G120" i="5"/>
  <c r="B125" i="5" l="1"/>
  <c r="C125" i="5"/>
  <c r="B126" i="5"/>
  <c r="C126" i="5"/>
  <c r="L121" i="5"/>
  <c r="K123" i="5"/>
  <c r="F123" i="5"/>
  <c r="G123" i="5"/>
  <c r="L124" i="5"/>
  <c r="F121" i="5"/>
  <c r="K121" i="5"/>
  <c r="K122" i="5"/>
  <c r="G124" i="5"/>
  <c r="L122" i="5"/>
  <c r="L123" i="5"/>
  <c r="G121" i="5"/>
  <c r="F124" i="5"/>
  <c r="G122" i="5"/>
  <c r="K124" i="5"/>
  <c r="F122" i="5"/>
  <c r="B127" i="5" l="1"/>
  <c r="C127" i="5"/>
  <c r="G125" i="5"/>
  <c r="L126" i="5"/>
  <c r="F125" i="5"/>
  <c r="F126" i="5"/>
  <c r="K125" i="5"/>
  <c r="G126" i="5"/>
  <c r="L125" i="5"/>
  <c r="K126" i="5"/>
  <c r="N89" i="5" l="1"/>
  <c r="B128" i="5"/>
  <c r="C128" i="5"/>
  <c r="G127" i="5"/>
  <c r="K127" i="5"/>
  <c r="L127" i="5"/>
  <c r="F127" i="5"/>
  <c r="N90" i="5" l="1"/>
  <c r="B129" i="5"/>
  <c r="C129" i="5"/>
  <c r="F128" i="5"/>
  <c r="G128" i="5"/>
  <c r="L128" i="5"/>
  <c r="K128" i="5"/>
  <c r="N91" i="5" l="1"/>
  <c r="B130" i="5"/>
  <c r="C130" i="5"/>
  <c r="L129" i="5"/>
  <c r="G129" i="5"/>
  <c r="F129" i="5"/>
  <c r="K129" i="5"/>
  <c r="N92" i="5" l="1"/>
  <c r="B131" i="5"/>
  <c r="C131" i="5"/>
  <c r="G130" i="5"/>
  <c r="L130" i="5"/>
  <c r="F130" i="5"/>
  <c r="K130" i="5"/>
  <c r="N93" i="5" l="1"/>
  <c r="B132" i="5"/>
  <c r="C132" i="5"/>
  <c r="F131" i="5"/>
  <c r="K131" i="5"/>
  <c r="G131" i="5"/>
  <c r="L131" i="5"/>
  <c r="N94" i="5" l="1"/>
  <c r="B133" i="5"/>
  <c r="C133" i="5"/>
  <c r="F132" i="5"/>
  <c r="K132" i="5"/>
  <c r="L132" i="5"/>
  <c r="G132" i="5"/>
  <c r="N95" i="5" l="1"/>
  <c r="B134" i="5"/>
  <c r="C134" i="5"/>
  <c r="L133" i="5"/>
  <c r="G133" i="5"/>
  <c r="K133" i="5"/>
  <c r="F133" i="5"/>
  <c r="N96" i="5" l="1"/>
  <c r="B135" i="5"/>
  <c r="C135" i="5"/>
  <c r="G134" i="5"/>
  <c r="L134" i="5"/>
  <c r="F134" i="5"/>
  <c r="K134" i="5"/>
  <c r="N97" i="5" l="1"/>
  <c r="B136" i="5"/>
  <c r="C136" i="5"/>
  <c r="G135" i="5"/>
  <c r="L135" i="5"/>
  <c r="F135" i="5"/>
  <c r="K135" i="5"/>
  <c r="N98" i="5" l="1"/>
  <c r="B137" i="5"/>
  <c r="C137" i="5"/>
  <c r="K136" i="5"/>
  <c r="G136" i="5"/>
  <c r="F136" i="5"/>
  <c r="L136" i="5"/>
  <c r="N99" i="5" l="1"/>
  <c r="B138" i="5"/>
  <c r="C138" i="5"/>
  <c r="K137" i="5"/>
  <c r="G137" i="5"/>
  <c r="L137" i="5"/>
  <c r="F137" i="5"/>
  <c r="N100" i="5" l="1"/>
  <c r="B139" i="5"/>
  <c r="C139" i="5"/>
  <c r="F138" i="5"/>
  <c r="G138" i="5"/>
  <c r="L138" i="5"/>
  <c r="K138" i="5"/>
  <c r="N101" i="5" l="1"/>
  <c r="B140" i="5"/>
  <c r="C140" i="5"/>
  <c r="L139" i="5"/>
  <c r="K139" i="5"/>
  <c r="F139" i="5"/>
  <c r="G139" i="5"/>
  <c r="N102" i="5" l="1"/>
  <c r="B141" i="5"/>
  <c r="C141" i="5"/>
  <c r="K140" i="5"/>
  <c r="G140" i="5"/>
  <c r="L140" i="5"/>
  <c r="F140" i="5"/>
  <c r="N103" i="5" l="1"/>
  <c r="B142" i="5"/>
  <c r="C142" i="5"/>
  <c r="K141" i="5"/>
  <c r="G141" i="5"/>
  <c r="L141" i="5"/>
  <c r="F141" i="5"/>
  <c r="N104" i="5" l="1"/>
  <c r="B143" i="5"/>
  <c r="C143" i="5"/>
  <c r="L142" i="5"/>
  <c r="F142" i="5"/>
  <c r="K142" i="5"/>
  <c r="G142" i="5"/>
  <c r="N105" i="5" l="1"/>
  <c r="B144" i="5"/>
  <c r="C144" i="5"/>
  <c r="L143" i="5"/>
  <c r="F143" i="5"/>
  <c r="G143" i="5"/>
  <c r="K143" i="5"/>
  <c r="N106" i="5" l="1"/>
  <c r="B145" i="5"/>
  <c r="C145" i="5"/>
  <c r="K144" i="5"/>
  <c r="L144" i="5"/>
  <c r="G144" i="5"/>
  <c r="F144" i="5"/>
  <c r="N107" i="5" l="1"/>
  <c r="B146" i="5"/>
  <c r="C146" i="5"/>
  <c r="G145" i="5"/>
  <c r="F145" i="5"/>
  <c r="L145" i="5"/>
  <c r="K145" i="5"/>
  <c r="N108" i="5" l="1"/>
  <c r="B147" i="5"/>
  <c r="C147" i="5"/>
  <c r="K146" i="5"/>
  <c r="L146" i="5"/>
  <c r="F146" i="5"/>
  <c r="G146" i="5"/>
  <c r="N109" i="5" l="1"/>
  <c r="B148" i="5"/>
  <c r="C148" i="5"/>
  <c r="F147" i="5"/>
  <c r="G147" i="5"/>
  <c r="L147" i="5"/>
  <c r="K147" i="5"/>
  <c r="N110" i="5" l="1"/>
  <c r="B149" i="5"/>
  <c r="C149" i="5"/>
  <c r="K148" i="5"/>
  <c r="G148" i="5"/>
  <c r="F148" i="5"/>
  <c r="L148" i="5"/>
  <c r="N111" i="5" l="1"/>
  <c r="B150" i="5"/>
  <c r="C150" i="5"/>
  <c r="L149" i="5"/>
  <c r="G149" i="5"/>
  <c r="F149" i="5"/>
  <c r="K149" i="5"/>
  <c r="N112" i="5" l="1"/>
  <c r="B151" i="5"/>
  <c r="C151" i="5"/>
  <c r="K150" i="5"/>
  <c r="G150" i="5"/>
  <c r="F150" i="5"/>
  <c r="L150" i="5"/>
  <c r="N113" i="5" l="1"/>
  <c r="B152" i="5"/>
  <c r="C152" i="5"/>
  <c r="F151" i="5"/>
  <c r="K151" i="5"/>
  <c r="G151" i="5"/>
  <c r="L151" i="5"/>
  <c r="N114" i="5" l="1"/>
  <c r="B153" i="5"/>
  <c r="C153" i="5"/>
  <c r="G152" i="5"/>
  <c r="F152" i="5"/>
  <c r="L152" i="5"/>
  <c r="K152" i="5"/>
  <c r="N115" i="5" l="1"/>
  <c r="B154" i="5"/>
  <c r="C154" i="5"/>
  <c r="F153" i="5"/>
  <c r="K153" i="5"/>
  <c r="L153" i="5"/>
  <c r="G153" i="5"/>
  <c r="N116" i="5" l="1"/>
  <c r="B155" i="5"/>
  <c r="C155" i="5"/>
  <c r="F154" i="5"/>
  <c r="K154" i="5"/>
  <c r="L154" i="5"/>
  <c r="G154" i="5"/>
  <c r="N117" i="5" l="1"/>
  <c r="B156" i="5"/>
  <c r="C156" i="5"/>
  <c r="G155" i="5"/>
  <c r="K155" i="5"/>
  <c r="F155" i="5"/>
  <c r="L155" i="5"/>
  <c r="N118" i="5" l="1"/>
  <c r="B157" i="5"/>
  <c r="C157" i="5"/>
  <c r="F156" i="5"/>
  <c r="G156" i="5"/>
  <c r="L156" i="5"/>
  <c r="K156" i="5"/>
  <c r="N119" i="5" l="1"/>
  <c r="B158" i="5"/>
  <c r="C158" i="5"/>
  <c r="K157" i="5"/>
  <c r="F157" i="5"/>
  <c r="G157" i="5"/>
  <c r="L157" i="5"/>
  <c r="N120" i="5" l="1"/>
  <c r="B159" i="5"/>
  <c r="C159" i="5"/>
  <c r="L158" i="5"/>
  <c r="G158" i="5"/>
  <c r="K158" i="5"/>
  <c r="F158" i="5"/>
  <c r="N121" i="5" l="1"/>
  <c r="B160" i="5"/>
  <c r="C160" i="5"/>
  <c r="G159" i="5"/>
  <c r="F159" i="5"/>
  <c r="L159" i="5"/>
  <c r="K159" i="5"/>
  <c r="N122" i="5" l="1"/>
  <c r="B161" i="5"/>
  <c r="C161" i="5"/>
  <c r="F160" i="5"/>
  <c r="K160" i="5"/>
  <c r="G160" i="5"/>
  <c r="L160" i="5"/>
  <c r="N123" i="5" l="1"/>
  <c r="B162" i="5"/>
  <c r="C162" i="5"/>
  <c r="G161" i="5"/>
  <c r="K161" i="5"/>
  <c r="F161" i="5"/>
  <c r="L161" i="5"/>
  <c r="N124" i="5" l="1"/>
  <c r="F162" i="5"/>
  <c r="L162" i="5"/>
  <c r="K162" i="5"/>
  <c r="D2" i="4" a="1"/>
  <c r="G162" i="5"/>
  <c r="N125"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77" i="4"/>
  <c r="G94" i="4"/>
  <c r="H83" i="4"/>
  <c r="H16" i="4"/>
  <c r="F106" i="4"/>
  <c r="F112" i="4"/>
  <c r="G103" i="4"/>
  <c r="G67" i="4"/>
  <c r="F27" i="4"/>
  <c r="H90" i="4"/>
  <c r="H100" i="4"/>
  <c r="E64" i="4"/>
  <c r="E29" i="4"/>
  <c r="G37" i="4"/>
  <c r="H89" i="4"/>
  <c r="E102" i="4"/>
  <c r="F46" i="4"/>
  <c r="H10" i="4"/>
  <c r="G79" i="4"/>
  <c r="H18" i="4"/>
  <c r="H72" i="4"/>
  <c r="F63" i="4"/>
  <c r="E27" i="4"/>
  <c r="F36" i="4"/>
  <c r="H69" i="4"/>
  <c r="F40" i="4"/>
  <c r="H93" i="4"/>
  <c r="E2" i="4"/>
  <c r="H98" i="4"/>
  <c r="G91" i="4"/>
  <c r="H51" i="4"/>
  <c r="E126" i="4"/>
  <c r="F35" i="4"/>
  <c r="F37" i="4"/>
  <c r="G3" i="4"/>
  <c r="F104" i="4"/>
  <c r="H54" i="4"/>
  <c r="E87" i="4"/>
  <c r="F89" i="4"/>
  <c r="E108" i="4"/>
  <c r="H35" i="4"/>
  <c r="E11" i="4"/>
  <c r="G33" i="4"/>
  <c r="H17" i="4"/>
  <c r="G85" i="4"/>
  <c r="G32" i="4"/>
  <c r="G54" i="4"/>
  <c r="G114" i="4"/>
  <c r="F99" i="4"/>
  <c r="E57" i="4"/>
  <c r="E60" i="4"/>
  <c r="E76" i="4"/>
  <c r="G73" i="4"/>
  <c r="G61" i="4"/>
  <c r="G43" i="4"/>
  <c r="E84" i="4"/>
  <c r="F81" i="4"/>
  <c r="H20" i="4"/>
  <c r="F68" i="4"/>
  <c r="F93" i="4"/>
  <c r="F51" i="4"/>
  <c r="E36" i="4"/>
  <c r="G64" i="4"/>
  <c r="E120" i="4"/>
  <c r="H86" i="4"/>
  <c r="H97" i="4"/>
  <c r="F52" i="4"/>
  <c r="H71" i="4"/>
  <c r="G121" i="4"/>
  <c r="H59" i="4"/>
  <c r="E17" i="4"/>
  <c r="F53" i="4"/>
  <c r="F25" i="4"/>
  <c r="G107" i="4"/>
  <c r="F83" i="4"/>
  <c r="E4" i="4"/>
  <c r="E63" i="4"/>
  <c r="F114" i="4"/>
  <c r="G27" i="4"/>
  <c r="H24" i="4"/>
  <c r="F101" i="4"/>
  <c r="G68" i="4"/>
  <c r="G10" i="4"/>
  <c r="G95" i="4"/>
  <c r="F39" i="4"/>
  <c r="E58" i="4"/>
  <c r="H70" i="4"/>
  <c r="E83" i="4"/>
  <c r="H109" i="4"/>
  <c r="F34" i="4"/>
  <c r="G30" i="4"/>
  <c r="G116" i="4"/>
  <c r="E95" i="4"/>
  <c r="E111" i="4"/>
  <c r="G28" i="4"/>
  <c r="G26" i="4"/>
  <c r="F47" i="4"/>
  <c r="H103" i="4"/>
  <c r="F110" i="4"/>
  <c r="F26" i="4"/>
  <c r="E15" i="4"/>
  <c r="F44" i="4"/>
  <c r="G41" i="4"/>
  <c r="H105" i="4"/>
  <c r="G45" i="4"/>
  <c r="G34" i="4"/>
  <c r="E45" i="4"/>
  <c r="G81" i="4"/>
  <c r="G122" i="4"/>
  <c r="H101" i="4"/>
  <c r="E118" i="4"/>
  <c r="H22" i="4"/>
  <c r="H49" i="4"/>
  <c r="F65" i="4"/>
  <c r="E31" i="4"/>
  <c r="G90" i="4"/>
  <c r="E40" i="4"/>
  <c r="F77" i="4"/>
  <c r="H42" i="4"/>
  <c r="H33" i="4"/>
  <c r="H48" i="4"/>
  <c r="H30" i="4"/>
  <c r="G52" i="4"/>
  <c r="G75" i="4"/>
  <c r="E13" i="4"/>
  <c r="F92" i="4"/>
  <c r="E3" i="4"/>
  <c r="E34" i="4"/>
  <c r="F76" i="4"/>
  <c r="G86" i="4"/>
  <c r="E123" i="4"/>
  <c r="E99" i="4"/>
  <c r="G112" i="4"/>
  <c r="G66" i="4"/>
  <c r="H38" i="4"/>
  <c r="G62" i="4"/>
  <c r="H6" i="4"/>
  <c r="F102" i="4"/>
  <c r="G72" i="4"/>
  <c r="H76" i="4"/>
  <c r="H96" i="4"/>
  <c r="G9" i="4"/>
  <c r="E61" i="4"/>
  <c r="H37" i="4"/>
  <c r="H85" i="4"/>
  <c r="F70" i="4"/>
  <c r="G17" i="4"/>
  <c r="E101" i="4"/>
  <c r="G25" i="4"/>
  <c r="H47" i="4"/>
  <c r="H8" i="4"/>
  <c r="E91" i="4"/>
  <c r="F6" i="4"/>
  <c r="H41" i="4"/>
  <c r="H63" i="4"/>
  <c r="H23" i="4"/>
  <c r="G22" i="4"/>
  <c r="E8" i="4"/>
  <c r="F14" i="4"/>
  <c r="F71" i="4"/>
  <c r="H2" i="4"/>
  <c r="H77" i="4"/>
  <c r="E7" i="4"/>
  <c r="E46" i="4"/>
  <c r="F75" i="4"/>
  <c r="G5" i="4"/>
  <c r="H73" i="4"/>
  <c r="F87" i="4"/>
  <c r="G77" i="4"/>
  <c r="E78" i="4"/>
  <c r="E43" i="4"/>
  <c r="H36" i="4"/>
  <c r="H57" i="4"/>
  <c r="H79" i="4"/>
  <c r="G126" i="4"/>
  <c r="H124" i="4"/>
  <c r="F61" i="4"/>
  <c r="F15" i="4"/>
  <c r="E47" i="4"/>
  <c r="H50" i="4"/>
  <c r="G18" i="4"/>
  <c r="F7" i="4"/>
  <c r="G51" i="4"/>
  <c r="G4" i="4"/>
  <c r="H121" i="4"/>
  <c r="H21" i="4"/>
  <c r="H56" i="4"/>
  <c r="E90" i="4"/>
  <c r="H125" i="4"/>
  <c r="F67" i="4"/>
  <c r="E73" i="4"/>
  <c r="G109" i="4"/>
  <c r="H126" i="4"/>
  <c r="F121" i="4"/>
  <c r="G14" i="4"/>
  <c r="H111" i="4"/>
  <c r="E38" i="4"/>
  <c r="G125" i="4"/>
  <c r="E114" i="4"/>
  <c r="G24" i="4"/>
  <c r="G115" i="4"/>
  <c r="E82" i="4"/>
  <c r="H58" i="4"/>
  <c r="G57" i="4"/>
  <c r="F54" i="4"/>
  <c r="F79" i="4"/>
  <c r="G105" i="4"/>
  <c r="G110" i="4"/>
  <c r="F69" i="4"/>
  <c r="G119" i="4"/>
  <c r="H87" i="4"/>
  <c r="F19" i="4"/>
  <c r="F24" i="4"/>
  <c r="G47" i="4"/>
  <c r="F62" i="4"/>
  <c r="H118" i="4"/>
  <c r="G2" i="4"/>
  <c r="H52" i="4"/>
  <c r="F94" i="4"/>
  <c r="E30" i="4"/>
  <c r="E122" i="4"/>
  <c r="G35" i="4"/>
  <c r="H45" i="4"/>
  <c r="H40" i="4"/>
  <c r="G123" i="4"/>
  <c r="F48" i="4"/>
  <c r="H60" i="4"/>
  <c r="E14" i="4"/>
  <c r="E49" i="4"/>
  <c r="E69" i="4"/>
  <c r="E110" i="4"/>
  <c r="G92" i="4"/>
  <c r="G53" i="4"/>
  <c r="H68" i="4"/>
  <c r="G120" i="4"/>
  <c r="E16" i="4"/>
  <c r="E93" i="4"/>
  <c r="E19" i="4"/>
  <c r="G118" i="4"/>
  <c r="H74" i="4"/>
  <c r="E21" i="4"/>
  <c r="H102" i="4"/>
  <c r="G83" i="4"/>
  <c r="G100" i="4"/>
  <c r="E67" i="4"/>
  <c r="H15" i="4"/>
  <c r="G108" i="4"/>
  <c r="E51" i="4"/>
  <c r="E103" i="4"/>
  <c r="F29" i="4"/>
  <c r="F72" i="4"/>
  <c r="H26" i="4"/>
  <c r="G42" i="4"/>
  <c r="F45" i="4"/>
  <c r="E10" i="4"/>
  <c r="G104" i="4"/>
  <c r="F33" i="4"/>
  <c r="F28" i="4"/>
  <c r="F32" i="4"/>
  <c r="F120" i="4"/>
  <c r="G111" i="4"/>
  <c r="E66" i="4"/>
  <c r="E74" i="4"/>
  <c r="H81" i="4"/>
  <c r="H113" i="4"/>
  <c r="G60" i="4"/>
  <c r="E79" i="4"/>
  <c r="G88" i="4"/>
  <c r="E98" i="4"/>
  <c r="F73" i="4"/>
  <c r="F8" i="4"/>
  <c r="E37" i="4"/>
  <c r="E20" i="4"/>
  <c r="H66" i="4"/>
  <c r="E39" i="4"/>
  <c r="F91" i="4"/>
  <c r="H3" i="4"/>
  <c r="F21" i="4"/>
  <c r="G50" i="4"/>
  <c r="H28" i="4"/>
  <c r="E96" i="4"/>
  <c r="E53" i="4"/>
  <c r="F11" i="4"/>
  <c r="E65" i="4"/>
  <c r="H64" i="4"/>
  <c r="G55" i="4"/>
  <c r="E9" i="4"/>
  <c r="F84" i="4"/>
  <c r="F9" i="4"/>
  <c r="G31" i="4"/>
  <c r="H91" i="4"/>
  <c r="E85" i="4"/>
  <c r="E112" i="4"/>
  <c r="F119" i="4"/>
  <c r="H19" i="4"/>
  <c r="B6" i="4"/>
  <c r="H14" i="4"/>
  <c r="G48" i="4"/>
  <c r="H62" i="4"/>
  <c r="G71" i="4"/>
  <c r="H43" i="4"/>
  <c r="G13" i="4"/>
  <c r="F98" i="4"/>
  <c r="G44" i="4"/>
  <c r="E35" i="4"/>
  <c r="F96" i="4"/>
  <c r="H53" i="4"/>
  <c r="F124" i="4"/>
  <c r="H84" i="4"/>
  <c r="H7" i="4"/>
  <c r="F3" i="4"/>
  <c r="G38" i="4"/>
  <c r="G21" i="4"/>
  <c r="E42" i="4"/>
  <c r="H116" i="4"/>
  <c r="F78" i="4"/>
  <c r="F85" i="4"/>
  <c r="G8" i="4"/>
  <c r="H75" i="4"/>
  <c r="F103" i="4"/>
  <c r="H11" i="4"/>
  <c r="E24" i="4"/>
  <c r="H82" i="4"/>
  <c r="F88" i="4"/>
  <c r="F105" i="4"/>
  <c r="F17" i="4"/>
  <c r="E92" i="4"/>
  <c r="E6" i="4"/>
  <c r="E121" i="4"/>
  <c r="H12" i="4"/>
  <c r="G63" i="4"/>
  <c r="H55" i="4"/>
  <c r="E41" i="4"/>
  <c r="G76" i="4"/>
  <c r="E125" i="4"/>
  <c r="G36" i="4"/>
  <c r="E71" i="4"/>
  <c r="G49" i="4"/>
  <c r="E116" i="4"/>
  <c r="H110" i="4"/>
  <c r="F41" i="4"/>
  <c r="G87" i="4"/>
  <c r="F42" i="4"/>
  <c r="E28" i="4"/>
  <c r="E25" i="4"/>
  <c r="F117" i="4"/>
  <c r="E80" i="4"/>
  <c r="H95" i="4"/>
  <c r="E12" i="4"/>
  <c r="G106" i="4"/>
  <c r="E100" i="4"/>
  <c r="H115" i="4"/>
  <c r="H5" i="4"/>
  <c r="G56" i="4"/>
  <c r="E124" i="4"/>
  <c r="H88" i="4"/>
  <c r="E56" i="4"/>
  <c r="H122" i="4"/>
  <c r="F59" i="4"/>
  <c r="G12" i="4"/>
  <c r="F108" i="4"/>
  <c r="G58" i="4"/>
  <c r="G89" i="4"/>
  <c r="G69" i="4"/>
  <c r="H94" i="4"/>
  <c r="G70" i="4"/>
  <c r="H119" i="4"/>
  <c r="E75" i="4"/>
  <c r="F22" i="4"/>
  <c r="H25" i="4"/>
  <c r="F116" i="4"/>
  <c r="E113" i="4"/>
  <c r="E50" i="4"/>
  <c r="G80" i="4"/>
  <c r="H61" i="4"/>
  <c r="H99" i="4"/>
  <c r="G40" i="4"/>
  <c r="G113" i="4"/>
  <c r="G39" i="4"/>
  <c r="E105" i="4"/>
  <c r="G65" i="4"/>
  <c r="F113" i="4"/>
  <c r="E94" i="4"/>
  <c r="G20" i="4"/>
  <c r="H107" i="4"/>
  <c r="E54" i="4"/>
  <c r="F95" i="4"/>
  <c r="H78" i="4"/>
  <c r="F100" i="4"/>
  <c r="G15" i="4"/>
  <c r="H117" i="4"/>
  <c r="G96" i="4"/>
  <c r="G78" i="4"/>
  <c r="F86" i="4"/>
  <c r="F13" i="4"/>
  <c r="F111" i="4"/>
  <c r="E5" i="4"/>
  <c r="G98" i="4"/>
  <c r="E44" i="4"/>
  <c r="F82" i="4"/>
  <c r="H106" i="4"/>
  <c r="H123" i="4"/>
  <c r="F49" i="4"/>
  <c r="F12" i="4"/>
  <c r="G101" i="4"/>
  <c r="F118" i="4"/>
  <c r="H4" i="4"/>
  <c r="F23" i="4"/>
  <c r="F58" i="4"/>
  <c r="F55" i="4"/>
  <c r="H92" i="4"/>
  <c r="G82" i="4"/>
  <c r="F123" i="4"/>
  <c r="E62" i="4"/>
  <c r="E32" i="4"/>
  <c r="E117" i="4"/>
  <c r="F60" i="4"/>
  <c r="H27" i="4"/>
  <c r="A7" i="4"/>
  <c r="H80" i="4"/>
  <c r="G93" i="4"/>
  <c r="H32" i="4"/>
  <c r="F64" i="4"/>
  <c r="F10" i="4"/>
  <c r="H44" i="4"/>
  <c r="F90" i="4"/>
  <c r="F56" i="4"/>
  <c r="G84" i="4"/>
  <c r="F125" i="4"/>
  <c r="E68" i="4"/>
  <c r="H108" i="4"/>
  <c r="F43" i="4"/>
  <c r="G99" i="4"/>
  <c r="H104" i="4"/>
  <c r="F38" i="4"/>
  <c r="F97" i="4"/>
  <c r="G6" i="4"/>
  <c r="F80" i="4"/>
  <c r="F122" i="4"/>
  <c r="H39" i="4"/>
  <c r="E86" i="4"/>
  <c r="E55" i="4"/>
  <c r="G19" i="4"/>
  <c r="H29" i="4"/>
  <c r="G46" i="4"/>
  <c r="F18" i="4"/>
  <c r="F30" i="4"/>
  <c r="F5" i="4"/>
  <c r="G102" i="4"/>
  <c r="E109" i="4"/>
  <c r="G29" i="4"/>
  <c r="H112" i="4"/>
  <c r="F109" i="4"/>
  <c r="E88" i="4"/>
  <c r="F57" i="4"/>
  <c r="E72" i="4"/>
  <c r="H67" i="4"/>
  <c r="E115" i="4"/>
  <c r="G11" i="4"/>
  <c r="G59" i="4"/>
  <c r="E104" i="4"/>
  <c r="E106" i="4"/>
  <c r="G97" i="4"/>
  <c r="E23" i="4"/>
  <c r="F4" i="4"/>
  <c r="F115" i="4"/>
  <c r="F74" i="4"/>
  <c r="H34" i="4"/>
  <c r="H114" i="4"/>
  <c r="H31" i="4"/>
  <c r="G117" i="4"/>
  <c r="F20" i="4"/>
  <c r="H13" i="4"/>
  <c r="E26" i="4"/>
  <c r="E119" i="4"/>
  <c r="E89" i="4"/>
  <c r="E22" i="4"/>
  <c r="E107" i="4"/>
  <c r="E52" i="4"/>
  <c r="F66" i="4"/>
  <c r="H46" i="4"/>
  <c r="G7" i="4"/>
  <c r="E81" i="4"/>
  <c r="F16" i="4"/>
  <c r="G124" i="4"/>
  <c r="F2" i="4"/>
  <c r="G16" i="4"/>
  <c r="H65" i="4"/>
  <c r="E18" i="4"/>
  <c r="E97" i="4"/>
  <c r="F126" i="4"/>
  <c r="E70" i="4"/>
  <c r="F107" i="4"/>
  <c r="F50" i="4"/>
  <c r="E33" i="4"/>
  <c r="H9" i="4"/>
  <c r="F31" i="4"/>
  <c r="H120" i="4"/>
  <c r="E48" i="4"/>
  <c r="G74" i="4"/>
  <c r="G23" i="4"/>
  <c r="E59" i="4"/>
  <c r="I2" i="11"/>
  <c r="C28" i="6"/>
  <c r="B7" i="4"/>
  <c r="D14" i="6"/>
  <c r="J2" i="11"/>
  <c r="D30" i="6"/>
  <c r="D15" i="6"/>
  <c r="I1" i="4" a="1"/>
  <c r="I77" i="4" l="1"/>
  <c r="I35" i="4"/>
  <c r="I8" i="4"/>
  <c r="I22" i="4"/>
  <c r="I108" i="4"/>
  <c r="I105" i="4"/>
  <c r="I106" i="4"/>
  <c r="I46" i="4"/>
  <c r="I98" i="4"/>
  <c r="I38" i="4"/>
  <c r="I18" i="4"/>
  <c r="I47" i="4"/>
  <c r="I45" i="4"/>
  <c r="I26" i="4"/>
  <c r="I114" i="4"/>
  <c r="I52" i="4"/>
  <c r="I64" i="4"/>
  <c r="I3" i="4"/>
  <c r="I117" i="4"/>
  <c r="I66" i="4"/>
  <c r="I69" i="4"/>
  <c r="I30" i="4"/>
  <c r="I119" i="4"/>
  <c r="I2" i="4"/>
  <c r="I80" i="4"/>
  <c r="I81" i="4"/>
  <c r="I67" i="4"/>
  <c r="I115" i="4"/>
  <c r="I118" i="4"/>
  <c r="I125" i="4"/>
  <c r="I51" i="4"/>
  <c r="I116" i="4"/>
  <c r="I70" i="4"/>
  <c r="I60" i="4"/>
  <c r="I54" i="4"/>
  <c r="I88" i="4"/>
  <c r="I93" i="4"/>
  <c r="I73" i="4"/>
  <c r="I62" i="4"/>
  <c r="I55" i="4"/>
  <c r="I99" i="4"/>
  <c r="I87" i="4"/>
  <c r="I1" i="4"/>
  <c r="I100" i="4"/>
  <c r="I49" i="4"/>
  <c r="I32" i="4"/>
  <c r="I40" i="4"/>
  <c r="I104" i="4"/>
  <c r="I4" i="4"/>
  <c r="I59" i="4"/>
  <c r="I41" i="4"/>
  <c r="I57" i="4"/>
  <c r="I72" i="4"/>
  <c r="I113" i="4"/>
  <c r="I44" i="4"/>
  <c r="I109" i="4"/>
  <c r="I42" i="4"/>
  <c r="I43" i="4"/>
  <c r="I112" i="4"/>
  <c r="I78" i="4"/>
  <c r="I103" i="4"/>
  <c r="I124" i="4"/>
  <c r="I123" i="4"/>
  <c r="I61" i="4"/>
  <c r="I65" i="4"/>
  <c r="I68" i="4"/>
  <c r="I126" i="4"/>
  <c r="I120" i="4"/>
  <c r="I31" i="4"/>
  <c r="I95" i="4"/>
  <c r="I63" i="4"/>
  <c r="I9" i="4"/>
  <c r="I17" i="4"/>
  <c r="I58" i="4"/>
  <c r="I10" i="4"/>
  <c r="I53" i="4"/>
  <c r="I56" i="4"/>
  <c r="I107" i="4"/>
  <c r="I7" i="4"/>
  <c r="I20" i="4"/>
  <c r="I25" i="4"/>
  <c r="I71" i="4"/>
  <c r="I16" i="4"/>
  <c r="I12" i="4"/>
  <c r="I14" i="4"/>
  <c r="I82" i="4"/>
  <c r="I19" i="4"/>
  <c r="I36" i="4"/>
  <c r="I37" i="4"/>
  <c r="I83" i="4"/>
  <c r="I24" i="4"/>
  <c r="I21" i="4"/>
  <c r="I6" i="4"/>
  <c r="I86" i="4"/>
  <c r="I15" i="4"/>
  <c r="I111" i="4"/>
  <c r="I122" i="4"/>
  <c r="I79" i="4"/>
  <c r="I28" i="4"/>
  <c r="I29" i="4"/>
  <c r="I90" i="4"/>
  <c r="I27" i="4"/>
  <c r="I23" i="4"/>
  <c r="I91" i="4"/>
  <c r="I110" i="4"/>
  <c r="I48" i="4"/>
  <c r="I94" i="4"/>
  <c r="I34" i="4"/>
  <c r="I121" i="4"/>
  <c r="I5" i="4"/>
  <c r="I102" i="4"/>
  <c r="I75" i="4"/>
  <c r="I33" i="4"/>
  <c r="I92" i="4"/>
  <c r="I39" i="4"/>
  <c r="I101" i="4"/>
  <c r="I76" i="4"/>
  <c r="I97" i="4"/>
  <c r="I11" i="4"/>
  <c r="I84" i="4"/>
  <c r="I13" i="4"/>
  <c r="I85" i="4"/>
  <c r="I50" i="4"/>
  <c r="I74" i="4"/>
  <c r="I96" i="4"/>
  <c r="I89" i="4"/>
  <c r="C27" i="6"/>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earliest date</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<sst xmlns="http://schemas.openxmlformats.org/spreadsheetml/2006/main" count="533" uniqueCount="188">
  <si>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</si>
  <si>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</si>
  <si>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</si>
  <si>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</si>
  <si>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</si>
  <si>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</si>
  <si>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</si>
  <si>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</si>
  <si>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</si>
  <si>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</si>
  <si>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</si>
  <si>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</si>
  <si>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</si>
  <si>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</si>
  <si>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</si>
  <si>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</si>
  <si>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</si>
  <si>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</si>
  <si>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</si>
  <si>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</si>
  <si>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</si>
  <si>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</si>
  <si>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</si>
  <si>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</si>
  <si>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</si>
  <si>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</si>
  <si>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</si>
  <si>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</si>
  <si>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</si>
  <si>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</si>
  <si>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</si>
  <si>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</si>
  <si>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</si>
  <si>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</si>
  <si>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</si>
  <si>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</si>
  <si>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</si>
  <si>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</si>
  <si>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</si>
  <si>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</si>
  <si>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</si>
  <si>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</si>
  <si>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</si>
  <si>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</si>
  <si>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</si>
  <si>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</si>
  <si>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</si>
  <si>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</si>
  <si>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</si>
  <si>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</si>
  <si>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</si>
  <si>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</si>
  <si>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</si>
  <si>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</si>
  <si>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</si>
  <si>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</si>
  <si>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</si>
  <si>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</si>
  <si>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</si>
  <si>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</si>
  <si>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</si>
  <si>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</si>
  <si>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</si>
  <si>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</si>
  <si>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</si>
  <si>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</si>
  <si>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</si>
  <si>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</si>
  <si>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SND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</si>
  <si>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</si>
  <si>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</si>
  <si>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</si>
  <si>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</si>
  <si>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</si>
  <si>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</si>
  <si>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</si>
  <si>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</si>
  <si>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</si>
  <si>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</si>
  <si>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</si>
  <si>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</si>
  <si>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</si>
  <si>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</si>
  <si>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</si>
  <si>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</si>
  <si>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</si>
  <si>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</si>
  <si>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</si>
  <si>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</si>
  <si>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</si>
  <si>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</si>
  <si>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</si>
  <si>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</si>
  <si>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</si>
  <si>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</si>
  <si>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</si>
  <si>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</si>
  <si>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</si>
  <si>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</si>
  <si>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</si>
  <si>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</si>
  <si>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</si>
  <si>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</si>
  <si>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</si>
  <si>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</si>
  <si>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</si>
  <si>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</si>
  <si>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</si>
  <si>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</si>
  <si>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</si>
  <si>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EUR_YC3MRH_FUT3MH4</t>
  </si>
  <si>
    <t>EUR_YC3MRH_FUT3MM4</t>
  </si>
  <si>
    <t>EUR_YC3MRH_FUT3MU4</t>
  </si>
  <si>
    <t>EUR_YC3MRH_FUT3MZ4</t>
  </si>
  <si>
    <t>EUR_YC3MRH_FUT3MH5</t>
  </si>
  <si>
    <t>EUR_YC3MRH_FUT3MM5</t>
  </si>
  <si>
    <t>EUR_YC3MRH_FUT3MU5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</si>
  <si>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</si>
  <si>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</si>
  <si>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</si>
  <si>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</si>
  <si>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</si>
  <si>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</si>
  <si>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</si>
  <si>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</si>
  <si>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</si>
  <si>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</si>
  <si>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</si>
  <si>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</si>
  <si>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</si>
  <si>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</si>
  <si>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</si>
  <si>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</si>
  <si>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</si>
  <si>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</si>
  <si>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</si>
  <si>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</si>
  <si>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</si>
  <si>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</si>
  <si>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</si>
  <si>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</si>
  <si>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</si>
  <si>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</si>
  <si>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</si>
  <si>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</si>
  <si>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</si>
  <si>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</si>
  <si>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</si>
  <si>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</si>
  <si>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</si>
  <si>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</si>
  <si>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</si>
  <si>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</si>
  <si>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</si>
  <si>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</si>
  <si>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</si>
  <si>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</si>
  <si>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</si>
  <si>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</si>
  <si>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</si>
  <si>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</si>
  <si>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</si>
  <si>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</si>
  <si>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</si>
  <si>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</si>
  <si>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</si>
  <si>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</si>
  <si>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</si>
  <si>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</si>
  <si>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</si>
  <si>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</si>
  <si>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</si>
  <si>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t>
  </si>
  <si>
    <t>MoneyMarketDayCounter</t>
  </si>
  <si>
    <t>30/360 (Bond Basis)</t>
  </si>
  <si>
    <t>BondBasisDayCounter</t>
  </si>
  <si>
    <t>EUR_YCRH_Swaps</t>
  </si>
  <si>
    <t>EUR_YCRH_SwapsFromBasis</t>
  </si>
  <si>
    <t>EUR_YC3MRH_FUT3MZ5</t>
  </si>
  <si>
    <t>EUR3M</t>
  </si>
  <si>
    <t>tenor</t>
  </si>
  <si>
    <t>fixing days</t>
  </si>
  <si>
    <t>calendar</t>
  </si>
  <si>
    <t>conv</t>
  </si>
  <si>
    <t>eom</t>
  </si>
  <si>
    <t>daycounter</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</si>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</sst>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amily val="2"/>
    </font>
    <font>
      <sz val="8"/>
      <name val="Courier New"/>
      <family val="3"/>
    </font>
    <font>
      <sz val="8"/>
      <color indexed="10"/>
      <name val="Courier New"/>
      <family val="3"/>
    </font>
    <font>
      <b/>
      <sz val="8"/>
      <name val="Courier New"/>
      <family val="3"/>
    </font>
    <font>
      <sz val="8"/>
      <color indexed="81"/>
      <name val="Tahoma"/>
      <family val="2"/>
    </font>
    <font>
      <sz val="8"/>
      <name val="Arial"/>
      <family val="2"/>
    </font>
    <font>
      <b/>
      <sz val="8"/>
      <color indexed="81"/>
      <name val="Tahoma"/>
      <family val="2"/>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sz val="12"/>
      <name val="MS Sans Serif"/>
      <family val="2"/>
    </font>
    <font>
      <sz val="8"/>
      <color indexed="9"/>
      <name val="Arial"/>
      <family val="2"/>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26">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left"/>
    </xf>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4"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0" borderId="0" xfId="1" applyFont="1" applyFill="1"/>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8" fillId="2" borderId="29" xfId="1" applyNumberFormat="1" applyFont="1" applyFill="1" applyBorder="1" applyAlignment="1"/>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18" fillId="7" borderId="15" xfId="2"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election activeCell="D11" sqref="D11"/>
    </sheetView>
  </sheetViews>
  <sheetFormatPr defaultColWidth="8" defaultRowHeight="11.25" x14ac:dyDescent="0.2"/>
  <cols>
    <col min="1" max="2" width="2.7109375" style="208" customWidth="1"/>
    <col min="3" max="3" width="20.28515625" style="208" bestFit="1" customWidth="1"/>
    <col min="4" max="4" width="31.7109375" style="208" bestFit="1" customWidth="1"/>
    <col min="5" max="5" width="22.42578125" style="208" bestFit="1" customWidth="1"/>
    <col min="6" max="7" width="2.7109375" style="208" customWidth="1"/>
    <col min="8" max="8" width="4" style="208" bestFit="1" customWidth="1"/>
    <col min="9" max="9" width="3" style="208" bestFit="1" customWidth="1"/>
    <col min="10" max="11" width="2.7109375" style="208" customWidth="1"/>
    <col min="12" max="12" width="18.5703125" style="208" bestFit="1" customWidth="1"/>
    <col min="13" max="13" width="53.7109375" style="208" bestFit="1" customWidth="1"/>
    <col min="14" max="14" width="2.7109375" style="208" customWidth="1"/>
    <col min="15" max="16384" width="8" style="208"/>
  </cols>
  <sheetData>
    <row r="1" spans="2:14" ht="12" thickBot="1" x14ac:dyDescent="0.25">
      <c r="B1" s="208" t="str">
        <f>_xll.qlxlVersion(TRUE,Trigger)</f>
        <v>QuantLibXL 1.4.0 - MS VC++ 9.0 - Multithreaded Dynamic Runtime library - Release Configuration - Mar  3 2014 10:58:57</v>
      </c>
    </row>
    <row r="2" spans="2:14" ht="16.5" thickBot="1" x14ac:dyDescent="0.3">
      <c r="B2" s="217" t="s">
        <v>151</v>
      </c>
      <c r="C2" s="218"/>
      <c r="D2" s="218"/>
      <c r="E2" s="218"/>
      <c r="F2" s="219"/>
      <c r="K2" s="217" t="s">
        <v>151</v>
      </c>
      <c r="L2" s="218"/>
      <c r="M2" s="218"/>
      <c r="N2" s="220"/>
    </row>
    <row r="3" spans="2:14" ht="12" thickBot="1" x14ac:dyDescent="0.25">
      <c r="B3" s="58"/>
      <c r="C3" s="87"/>
      <c r="D3" s="55"/>
      <c r="E3" s="55"/>
      <c r="F3" s="54"/>
      <c r="K3" s="124"/>
      <c r="L3" s="127"/>
      <c r="M3" s="127"/>
      <c r="N3" s="126"/>
    </row>
    <row r="4" spans="2:14" x14ac:dyDescent="0.2">
      <c r="B4" s="58"/>
      <c r="C4" s="86" t="s">
        <v>105</v>
      </c>
      <c r="D4" s="73" t="s">
        <v>102</v>
      </c>
      <c r="E4" s="55"/>
      <c r="F4" s="54"/>
      <c r="H4" s="210" t="s">
        <v>104</v>
      </c>
      <c r="I4" s="211"/>
      <c r="K4" s="124"/>
      <c r="L4" s="123" t="s">
        <v>150</v>
      </c>
      <c r="M4" s="117" t="b">
        <v>1</v>
      </c>
      <c r="N4" s="122"/>
    </row>
    <row r="5" spans="2:14" x14ac:dyDescent="0.2">
      <c r="B5" s="58"/>
      <c r="C5" s="85" t="s">
        <v>103</v>
      </c>
      <c r="D5" s="59">
        <v>3</v>
      </c>
      <c r="E5" s="55"/>
      <c r="F5" s="54"/>
      <c r="H5" s="212" t="s">
        <v>102</v>
      </c>
      <c r="I5" s="213" t="s">
        <v>101</v>
      </c>
      <c r="K5" s="124"/>
      <c r="L5" s="123" t="s">
        <v>149</v>
      </c>
      <c r="M5" s="125" t="str">
        <f ca="1">SUBSTITUTE(LEFT(CELL("filename",A1),FIND("[",CELL("filename",A1),1)-1),"\XLS\","\XML\")</f>
        <v>C:\Projects\quantlib\QuantLibXL\Data2\XML\</v>
      </c>
      <c r="N5" s="122"/>
    </row>
    <row r="6" spans="2:14" x14ac:dyDescent="0.2">
      <c r="B6" s="58"/>
      <c r="C6" s="85" t="s">
        <v>100</v>
      </c>
      <c r="D6" s="59" t="str">
        <f>_xll.qlPeriodEquivalent(D5&amp;"M")</f>
        <v>3M</v>
      </c>
      <c r="E6" s="55"/>
      <c r="F6" s="54"/>
      <c r="H6" s="212" t="s">
        <v>99</v>
      </c>
      <c r="I6" s="213"/>
      <c r="K6" s="124"/>
      <c r="L6" s="123" t="s">
        <v>148</v>
      </c>
      <c r="M6" s="114" t="b">
        <v>1</v>
      </c>
      <c r="N6" s="122"/>
    </row>
    <row r="7" spans="2:14" ht="12" thickBot="1" x14ac:dyDescent="0.25">
      <c r="B7" s="58"/>
      <c r="C7" s="85" t="s">
        <v>98</v>
      </c>
      <c r="D7" s="59" t="str">
        <f>Months&amp;IF(UPPER(Currency)="EUR","E","L")</f>
        <v>3E</v>
      </c>
      <c r="E7" s="55"/>
      <c r="F7" s="54"/>
      <c r="H7" s="212" t="s">
        <v>97</v>
      </c>
      <c r="I7" s="213"/>
      <c r="K7" s="121"/>
      <c r="L7" s="120"/>
      <c r="M7" s="120"/>
      <c r="N7" s="119"/>
    </row>
    <row r="8" spans="2:14" ht="12" thickBot="1" x14ac:dyDescent="0.25">
      <c r="B8" s="58"/>
      <c r="C8" s="85" t="s">
        <v>96</v>
      </c>
      <c r="D8" s="59" t="str">
        <f>VLOOKUP(Currency,H4:I8,2)</f>
        <v>AB</v>
      </c>
      <c r="E8" s="55"/>
      <c r="F8" s="54"/>
      <c r="H8" s="214" t="s">
        <v>95</v>
      </c>
      <c r="I8" s="215" t="s">
        <v>94</v>
      </c>
      <c r="K8" s="209"/>
      <c r="L8" s="209"/>
      <c r="M8" s="209"/>
      <c r="N8" s="209"/>
    </row>
    <row r="9" spans="2:14" ht="16.5" thickBot="1" x14ac:dyDescent="0.3">
      <c r="B9" s="58"/>
      <c r="C9" s="85" t="s">
        <v>93</v>
      </c>
      <c r="D9" s="59" t="str">
        <f>Currency&amp;"_YC"&amp;IndexTenor&amp;"RH"</f>
        <v>EUR_YC3MRH</v>
      </c>
      <c r="E9" s="55"/>
      <c r="F9" s="54"/>
      <c r="K9" s="217" t="s">
        <v>147</v>
      </c>
      <c r="L9" s="218"/>
      <c r="M9" s="218"/>
      <c r="N9" s="220"/>
    </row>
    <row r="10" spans="2:14" ht="12.75" x14ac:dyDescent="0.2">
      <c r="B10" s="58"/>
      <c r="C10" s="84" t="s">
        <v>92</v>
      </c>
      <c r="D10" s="59" t="b">
        <v>1</v>
      </c>
      <c r="E10" s="55"/>
      <c r="F10" s="54"/>
      <c r="K10" s="116"/>
      <c r="L10" s="118"/>
      <c r="M10" s="118"/>
      <c r="N10" s="113"/>
    </row>
    <row r="11" spans="2:14" ht="12.75" x14ac:dyDescent="0.2">
      <c r="B11" s="58"/>
      <c r="C11" s="84" t="s">
        <v>91</v>
      </c>
      <c r="D11" s="83"/>
      <c r="E11" s="55"/>
      <c r="F11" s="54"/>
      <c r="K11" s="116"/>
      <c r="L11" s="115" t="s">
        <v>146</v>
      </c>
      <c r="M11" s="117" t="s">
        <v>145</v>
      </c>
      <c r="N11" s="113"/>
    </row>
    <row r="12" spans="2:14" ht="12.75" x14ac:dyDescent="0.2">
      <c r="B12" s="58"/>
      <c r="C12" s="82" t="s">
        <v>90</v>
      </c>
      <c r="D12" s="81" t="b">
        <v>0</v>
      </c>
      <c r="E12" s="55"/>
      <c r="F12" s="54"/>
      <c r="K12" s="116"/>
      <c r="L12" s="115" t="s">
        <v>144</v>
      </c>
      <c r="M12" s="114" t="s">
        <v>143</v>
      </c>
      <c r="N12" s="113"/>
    </row>
    <row r="13" spans="2:14" ht="12.75" x14ac:dyDescent="0.2">
      <c r="B13" s="58"/>
      <c r="C13" s="63"/>
      <c r="D13" s="63"/>
      <c r="E13" s="55"/>
      <c r="F13" s="54"/>
      <c r="K13" s="116"/>
      <c r="L13" s="115" t="s">
        <v>175</v>
      </c>
      <c r="M13" s="117" t="s">
        <v>174</v>
      </c>
      <c r="N13" s="113"/>
    </row>
    <row r="14" spans="2:14" ht="12.75" x14ac:dyDescent="0.2">
      <c r="B14" s="58"/>
      <c r="C14" s="78" t="s">
        <v>89</v>
      </c>
      <c r="D14" s="80" t="str">
        <f>_xll.qlPiecewiseYieldCurve(D16,NDays,Calendar,RateHelpersSelected,DayCounter,IF(ISERROR(D22),NA(),D20:E20),IF(ISERROR(D22),NA(),D21:E21),Accuracy,TraitsID,InterpolatorID,Permanent,,ObjectOverwrite)</f>
        <v>_EURYC3M#0007</v>
      </c>
      <c r="E14" s="55"/>
      <c r="F14" s="54"/>
      <c r="K14" s="116"/>
      <c r="L14" s="115" t="s">
        <v>173</v>
      </c>
      <c r="M14" s="117" t="s">
        <v>161</v>
      </c>
      <c r="N14" s="113"/>
    </row>
    <row r="15" spans="2:14" ht="12.75" x14ac:dyDescent="0.2">
      <c r="B15" s="58"/>
      <c r="C15" s="65" t="s">
        <v>0</v>
      </c>
      <c r="D15" s="79" t="str">
        <f>_xll.ohRangeRetrieveError(YieldCurve)</f>
        <v/>
      </c>
      <c r="E15" s="55"/>
      <c r="F15" s="54"/>
      <c r="K15" s="116"/>
      <c r="L15" s="115" t="s">
        <v>172</v>
      </c>
      <c r="M15" s="117" t="str">
        <f>PROPER(Currency)&amp;"ON"</f>
        <v>EurON</v>
      </c>
      <c r="N15" s="113"/>
    </row>
    <row r="16" spans="2:14" ht="13.5" thickBot="1" x14ac:dyDescent="0.25">
      <c r="B16" s="58"/>
      <c r="C16" s="78" t="s">
        <v>88</v>
      </c>
      <c r="D16" s="77" t="str">
        <f>"_"&amp;Currency&amp;"YC"&amp;IndexTenor</f>
        <v>_EURYC3M</v>
      </c>
      <c r="E16" s="55"/>
      <c r="F16" s="54"/>
      <c r="K16" s="112"/>
      <c r="L16" s="111"/>
      <c r="M16" s="111"/>
      <c r="N16" s="110"/>
    </row>
    <row r="17" spans="2:6" x14ac:dyDescent="0.2">
      <c r="B17" s="58"/>
      <c r="C17" s="67" t="s">
        <v>87</v>
      </c>
      <c r="D17" s="76">
        <v>2</v>
      </c>
      <c r="E17" s="55"/>
      <c r="F17" s="54"/>
    </row>
    <row r="18" spans="2:6" x14ac:dyDescent="0.2">
      <c r="B18" s="58"/>
      <c r="C18" s="67" t="s">
        <v>86</v>
      </c>
      <c r="D18" s="75" t="s">
        <v>85</v>
      </c>
      <c r="E18" s="55"/>
      <c r="F18" s="54"/>
    </row>
    <row r="19" spans="2:6" x14ac:dyDescent="0.2">
      <c r="B19" s="58"/>
      <c r="C19" s="67" t="s">
        <v>84</v>
      </c>
      <c r="D19" s="75"/>
      <c r="E19" s="55"/>
      <c r="F19" s="54"/>
    </row>
    <row r="20" spans="2:6" x14ac:dyDescent="0.2">
      <c r="B20" s="58"/>
      <c r="C20" s="67" t="s">
        <v>83</v>
      </c>
      <c r="D20" s="74" t="str">
        <f>Currency&amp;"TOY_SYNTH"&amp;IndexTenor&amp;"_Quote"</f>
        <v>EURTOY_SYNTH3M_Quote</v>
      </c>
      <c r="E20" s="73" t="str">
        <f>Currency&amp;"TOY2_SYNTH"&amp;IndexTenor&amp;"_Quote"</f>
        <v>EURTOY2_SYNTH3M_Quote</v>
      </c>
      <c r="F20" s="54"/>
    </row>
    <row r="21" spans="2:6" x14ac:dyDescent="0.2">
      <c r="B21" s="58"/>
      <c r="C21" s="67" t="s">
        <v>82</v>
      </c>
      <c r="D21" s="72">
        <f>DATE(YEAR(_xll.qlCalendarAdvance(Calendar,_xll.qlSettingsEvaluationDate(Trigger),NDays&amp;"D")),12,31)</f>
        <v>42004</v>
      </c>
      <c r="E21" s="71">
        <f>DATE(YEAR(D21+1),12,31)</f>
        <v>42369</v>
      </c>
      <c r="F21" s="54"/>
    </row>
    <row r="22" spans="2:6" x14ac:dyDescent="0.2">
      <c r="B22" s="58"/>
      <c r="C22" s="67" t="s">
        <v>81</v>
      </c>
      <c r="D22" s="70">
        <f>_xll.qlQuoteValue(D20,Trigger)</f>
        <v>1</v>
      </c>
      <c r="E22" s="69">
        <f>_xll.qlQuoteValue(E20,Trigger)</f>
        <v>1</v>
      </c>
      <c r="F22" s="54"/>
    </row>
    <row r="23" spans="2:6" x14ac:dyDescent="0.2">
      <c r="B23" s="58"/>
      <c r="C23" s="67" t="s">
        <v>80</v>
      </c>
      <c r="D23" s="68" t="e">
        <f>NA()</f>
        <v>#N/A</v>
      </c>
      <c r="E23" s="55"/>
      <c r="F23" s="54"/>
    </row>
    <row r="24" spans="2:6" x14ac:dyDescent="0.2">
      <c r="B24" s="58"/>
      <c r="C24" s="67" t="s">
        <v>79</v>
      </c>
      <c r="D24" s="66" t="s">
        <v>78</v>
      </c>
      <c r="E24" s="55"/>
      <c r="F24" s="54"/>
    </row>
    <row r="25" spans="2:6" x14ac:dyDescent="0.2">
      <c r="B25" s="58"/>
      <c r="C25" s="65" t="s">
        <v>77</v>
      </c>
      <c r="D25" s="64" t="s">
        <v>76</v>
      </c>
      <c r="E25" s="55"/>
      <c r="F25" s="54"/>
    </row>
    <row r="26" spans="2:6" x14ac:dyDescent="0.2">
      <c r="B26" s="58"/>
      <c r="C26" s="63"/>
      <c r="D26" s="63"/>
      <c r="E26" s="55"/>
      <c r="F26" s="54"/>
    </row>
    <row r="27" spans="2:6" x14ac:dyDescent="0.2">
      <c r="B27" s="58"/>
      <c r="C27" s="62">
        <f>_xll.qlTermStructureReferenceDate(YieldCurve)</f>
        <v>41704</v>
      </c>
      <c r="D27" s="61">
        <f>MAX(_xll.ohPack(Selected!I1:I126))</f>
        <v>1</v>
      </c>
      <c r="E27" s="55"/>
      <c r="F27" s="54"/>
    </row>
    <row r="28" spans="2:6" x14ac:dyDescent="0.2">
      <c r="B28" s="58"/>
      <c r="C28" s="60">
        <f>MAX(_xll.ohPack(Selected!H2:H126))</f>
        <v>63619</v>
      </c>
      <c r="D28" s="59">
        <f>MIN(_xll.ohPack(Selected!I1:I126))</f>
        <v>0.21735147414618813</v>
      </c>
      <c r="E28" s="55"/>
      <c r="F28" s="54"/>
    </row>
    <row r="29" spans="2:6" x14ac:dyDescent="0.2">
      <c r="B29" s="58"/>
      <c r="C29" s="57" t="s">
        <v>0</v>
      </c>
      <c r="D29" s="56" t="str">
        <f>_xll.ohRangeRetrieveError(Selected!I1)</f>
        <v/>
      </c>
      <c r="E29" s="55"/>
      <c r="F29" s="54"/>
    </row>
    <row r="30" spans="2:6" ht="14.25" customHeight="1" thickBot="1" x14ac:dyDescent="0.25">
      <c r="B30" s="53"/>
      <c r="C30" s="52" t="s">
        <v>179</v>
      </c>
      <c r="D30" s="52" t="b">
        <f>_xll.qlRelinkableHandleLinkTo(C30,YieldCurve)</f>
        <v>1</v>
      </c>
      <c r="E30" s="52"/>
      <c r="F30" s="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2"/>
  <sheetViews>
    <sheetView topLeftCell="E1" workbookViewId="0">
      <selection activeCell="E21" sqref="E2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1" t="s">
        <v>75</v>
      </c>
      <c r="C1" s="222"/>
      <c r="D1" s="223"/>
      <c r="E1" s="50" t="s">
        <v>74</v>
      </c>
      <c r="F1" s="50" t="s">
        <v>73</v>
      </c>
      <c r="G1" s="50" t="s">
        <v>72</v>
      </c>
      <c r="H1" s="50" t="s">
        <v>71</v>
      </c>
      <c r="I1" s="50" t="s">
        <v>70</v>
      </c>
      <c r="J1" s="50" t="s">
        <v>69</v>
      </c>
      <c r="K1" s="50" t="s">
        <v>7</v>
      </c>
      <c r="L1" s="50" t="s">
        <v>6</v>
      </c>
    </row>
    <row r="2" spans="2:14" x14ac:dyDescent="0.2">
      <c r="B2" s="49"/>
      <c r="C2" s="35"/>
      <c r="D2" s="34" t="s">
        <v>68</v>
      </c>
      <c r="E2" s="34" t="str">
        <f>Deposits_3M!K3</f>
        <v>EUR_YC3MRH_SND#0016</v>
      </c>
      <c r="F2" s="33">
        <f>_xll.qlRateHelperQuoteValue($E2,Trigger)</f>
        <v>3.3240000000000001E-3</v>
      </c>
      <c r="G2" s="33"/>
      <c r="H2" s="32" t="b">
        <v>0</v>
      </c>
      <c r="I2" s="32">
        <v>10</v>
      </c>
      <c r="J2" s="32">
        <v>1</v>
      </c>
      <c r="K2" s="31">
        <f>_xll.qlRateHelperEarliestDate($E2,Trigger)</f>
        <v>41704</v>
      </c>
      <c r="L2" s="30">
        <f>_xll.qlRateHelperLatestDate($E2,Trigger)</f>
        <v>41705</v>
      </c>
      <c r="M2" s="1">
        <v>30</v>
      </c>
      <c r="N2" s="1" t="s">
        <v>67</v>
      </c>
    </row>
    <row r="3" spans="2:14" x14ac:dyDescent="0.2">
      <c r="B3" s="49"/>
      <c r="C3" s="35"/>
      <c r="D3" s="34" t="s">
        <v>66</v>
      </c>
      <c r="E3" s="34" t="str">
        <f>Deposits_3M!K4</f>
        <v>EUR_YC3MRH_SWD#0010</v>
      </c>
      <c r="F3" s="33">
        <f>_xll.qlRateHelperQuoteValue($E3,Trigger)</f>
        <v>3.3240000000000001E-3</v>
      </c>
      <c r="G3" s="33"/>
      <c r="H3" s="32" t="b">
        <v>0</v>
      </c>
      <c r="I3" s="32">
        <v>10</v>
      </c>
      <c r="J3" s="32">
        <v>1</v>
      </c>
      <c r="K3" s="31">
        <f>_xll.qlRateHelperEarliestDate($E3,Trigger)</f>
        <v>41704</v>
      </c>
      <c r="L3" s="30">
        <f>_xll.qlRateHelperLatestDate($E3,Trigger)</f>
        <v>41711</v>
      </c>
      <c r="M3" s="1">
        <v>40</v>
      </c>
      <c r="N3" s="1" t="s">
        <v>65</v>
      </c>
    </row>
    <row r="4" spans="2:14" x14ac:dyDescent="0.2">
      <c r="B4" s="49"/>
      <c r="C4" s="35"/>
      <c r="D4" s="34" t="s">
        <v>64</v>
      </c>
      <c r="E4" s="34" t="str">
        <f>Deposits_3M!K5</f>
        <v>EUR_YC3MRH_2WD#0010</v>
      </c>
      <c r="F4" s="33">
        <f>_xll.qlRateHelperQuoteValue($E4,Trigger)</f>
        <v>3.3240000000000001E-3</v>
      </c>
      <c r="G4" s="33"/>
      <c r="H4" s="32" t="b">
        <v>1</v>
      </c>
      <c r="I4" s="32">
        <v>10</v>
      </c>
      <c r="J4" s="32">
        <v>1</v>
      </c>
      <c r="K4" s="31">
        <f>_xll.qlRateHelperEarliestDate($E4,Trigger)</f>
        <v>41704</v>
      </c>
      <c r="L4" s="30">
        <f>_xll.qlRateHelperLatestDate($E4,Trigger)</f>
        <v>41718</v>
      </c>
      <c r="M4" s="1">
        <v>50</v>
      </c>
      <c r="N4" s="1" t="s">
        <v>63</v>
      </c>
    </row>
    <row r="5" spans="2:14" x14ac:dyDescent="0.2">
      <c r="B5" s="49"/>
      <c r="C5" s="35"/>
      <c r="D5" s="34" t="s">
        <v>62</v>
      </c>
      <c r="E5" s="34" t="str">
        <f>Deposits_3M!K6</f>
        <v>EUR_YC3MRH_3WD#0004</v>
      </c>
      <c r="F5" s="33">
        <f>_xll.qlRateHelperQuoteValue($E5,Trigger)</f>
        <v>3.3240000000000001E-3</v>
      </c>
      <c r="G5" s="33"/>
      <c r="H5" s="32" t="b">
        <v>1</v>
      </c>
      <c r="I5" s="32">
        <v>10</v>
      </c>
      <c r="J5" s="32">
        <v>1</v>
      </c>
      <c r="K5" s="31">
        <f>_xll.qlRateHelperEarliestDate($E5,Trigger)</f>
        <v>41704</v>
      </c>
      <c r="L5" s="30">
        <f>_xll.qlRateHelperLatestDate($E5,Trigger)</f>
        <v>41725</v>
      </c>
      <c r="M5" s="1">
        <v>60</v>
      </c>
      <c r="N5" s="1" t="s">
        <v>61</v>
      </c>
    </row>
    <row r="6" spans="2:14" x14ac:dyDescent="0.2">
      <c r="B6" s="49"/>
      <c r="C6" s="35"/>
      <c r="D6" s="34" t="s">
        <v>60</v>
      </c>
      <c r="E6" s="34" t="str">
        <f>Deposits_3M!K7</f>
        <v>EUR_YC3MRH_1MD#0011</v>
      </c>
      <c r="F6" s="33">
        <f>_xll.qlRateHelperQuoteValue($E6,Trigger)</f>
        <v>3.3240000000000001E-3</v>
      </c>
      <c r="G6" s="33"/>
      <c r="H6" s="32" t="b">
        <v>1</v>
      </c>
      <c r="I6" s="32">
        <v>10</v>
      </c>
      <c r="J6" s="32">
        <v>1</v>
      </c>
      <c r="K6" s="31">
        <f>_xll.qlRateHelperEarliestDate($E6,Trigger)</f>
        <v>41704</v>
      </c>
      <c r="L6" s="30">
        <f>_xll.qlRateHelperLatestDate($E6,Trigger)</f>
        <v>41736</v>
      </c>
      <c r="M6" s="1">
        <v>70</v>
      </c>
      <c r="N6" s="1" t="s">
        <v>59</v>
      </c>
    </row>
    <row r="7" spans="2:14" x14ac:dyDescent="0.2">
      <c r="B7" s="49"/>
      <c r="C7" s="35"/>
      <c r="D7" s="34" t="s">
        <v>58</v>
      </c>
      <c r="E7" s="34" t="str">
        <f>Deposits_3M!K8</f>
        <v>EUR_YC3MRH_2MD#0010</v>
      </c>
      <c r="F7" s="33">
        <f>_xll.qlRateHelperQuoteValue($E7,Trigger)</f>
        <v>3.3240000000000001E-3</v>
      </c>
      <c r="G7" s="33"/>
      <c r="H7" s="32" t="b">
        <v>1</v>
      </c>
      <c r="I7" s="32">
        <v>10</v>
      </c>
      <c r="J7" s="32">
        <v>1</v>
      </c>
      <c r="K7" s="31">
        <f>_xll.qlRateHelperEarliestDate($E7,Trigger)</f>
        <v>41704</v>
      </c>
      <c r="L7" s="30">
        <f>_xll.qlRateHelperLatestDate($E7,Trigger)</f>
        <v>41765</v>
      </c>
    </row>
    <row r="8" spans="2:14" x14ac:dyDescent="0.2">
      <c r="B8" s="49"/>
      <c r="C8" s="35"/>
      <c r="D8" s="34" t="s">
        <v>57</v>
      </c>
      <c r="E8" s="34" t="str">
        <f>Deposits_3M!K9</f>
        <v>EUR_YC3MRH_3MD#0011</v>
      </c>
      <c r="F8" s="33">
        <f>_xll.qlRateHelperQuoteValue($E8,Trigger)</f>
        <v>3.3240000000000001E-3</v>
      </c>
      <c r="G8" s="33"/>
      <c r="H8" s="32" t="b">
        <v>0</v>
      </c>
      <c r="I8" s="32">
        <v>10</v>
      </c>
      <c r="J8" s="32">
        <v>1</v>
      </c>
      <c r="K8" s="31">
        <f>_xll.qlRateHelperEarliestDate($E8,Trigger)</f>
        <v>41704</v>
      </c>
      <c r="L8" s="30">
        <f>_xll.qlRateHelperLatestDate($E8,Trigger)</f>
        <v>41796</v>
      </c>
    </row>
    <row r="9" spans="2:14" x14ac:dyDescent="0.2">
      <c r="B9" s="44" t="s">
        <v>56</v>
      </c>
      <c r="C9" s="43">
        <f>Months</f>
        <v>3</v>
      </c>
      <c r="D9" s="42" t="s">
        <v>54</v>
      </c>
      <c r="E9" s="42" t="str">
        <f>FRAs_3M!H3</f>
        <v>EUR_YC3MRH_T3F1#0002</v>
      </c>
      <c r="F9" s="41" t="e">
        <f>_xll.qlRateHelperQuoteValue($E9,Trigger)</f>
        <v>#NUM!</v>
      </c>
      <c r="G9" s="41"/>
      <c r="H9" s="40" t="b">
        <v>0</v>
      </c>
      <c r="I9" s="40">
        <v>20</v>
      </c>
      <c r="J9" s="40">
        <v>1</v>
      </c>
      <c r="K9" s="39">
        <f>_xll.qlRateHelperEarliestDate($E9,Trigger)</f>
        <v>41704</v>
      </c>
      <c r="L9" s="38">
        <f>_xll.qlRateHelperLatestDate($E9,Trigger)</f>
        <v>41796</v>
      </c>
    </row>
    <row r="10" spans="2:14" x14ac:dyDescent="0.2">
      <c r="B10" s="29" t="s">
        <v>55</v>
      </c>
      <c r="C10" s="28">
        <f>Months</f>
        <v>3</v>
      </c>
      <c r="D10" s="27" t="s">
        <v>54</v>
      </c>
      <c r="E10" s="27" t="str">
        <f>FRAs_3M!H4</f>
        <v>EUR_YC3MRH_TOM3F1#0002</v>
      </c>
      <c r="F10" s="26" t="e">
        <f>_xll.qlRateHelperQuoteValue($E10,Trigger)</f>
        <v>#NUM!</v>
      </c>
      <c r="G10" s="26"/>
      <c r="H10" s="25" t="b">
        <v>0</v>
      </c>
      <c r="I10" s="25">
        <v>20</v>
      </c>
      <c r="J10" s="25">
        <v>1</v>
      </c>
      <c r="K10" s="24">
        <f>_xll.qlRateHelperEarliestDate($E10,Trigger)</f>
        <v>41705</v>
      </c>
      <c r="L10" s="23">
        <f>_xll.qlRateHelperLatestDate($E10,Trigger)</f>
        <v>41799</v>
      </c>
    </row>
    <row r="11" spans="2:14" x14ac:dyDescent="0.2">
      <c r="B11" s="36">
        <v>1</v>
      </c>
      <c r="C11" s="35" t="s">
        <v>53</v>
      </c>
      <c r="D11" s="34" t="str">
        <f t="shared" ref="D11:D28" si="0">(B11+Months)&amp;"F"</f>
        <v>4F</v>
      </c>
      <c r="E11" s="34" t="str">
        <f t="shared" ref="E11:E26" si="1">RateHelperPrefix&amp;"_"&amp;$B11&amp;$C11&amp;$D11</f>
        <v>EUR_YC3MRH_1x4F</v>
      </c>
      <c r="F11" s="33">
        <f>_xll.qlRateHelperQuoteValue($E11,Trigger)</f>
        <v>2.63E-3</v>
      </c>
      <c r="G11" s="33"/>
      <c r="H11" s="32" t="b">
        <v>0</v>
      </c>
      <c r="I11" s="32">
        <v>20</v>
      </c>
      <c r="J11" s="32">
        <v>1</v>
      </c>
      <c r="K11" s="31">
        <f>_xll.qlRateHelperEarliestDate($E11,Trigger)</f>
        <v>41736</v>
      </c>
      <c r="L11" s="30">
        <f>_xll.qlRateHelperLatestDate($E11,Trigger)</f>
        <v>41827</v>
      </c>
    </row>
    <row r="12" spans="2:14" x14ac:dyDescent="0.2">
      <c r="B12" s="36">
        <v>2</v>
      </c>
      <c r="C12" s="35" t="s">
        <v>53</v>
      </c>
      <c r="D12" s="34" t="str">
        <f t="shared" si="0"/>
        <v>5F</v>
      </c>
      <c r="E12" s="34" t="str">
        <f t="shared" si="1"/>
        <v>EUR_YC3MRH_2x5F</v>
      </c>
      <c r="F12" s="33">
        <f>_xll.qlRateHelperQuoteValue($E12,Trigger)</f>
        <v>2.5300000000000001E-3</v>
      </c>
      <c r="G12" s="33"/>
      <c r="H12" s="32" t="b">
        <v>0</v>
      </c>
      <c r="I12" s="32">
        <v>20</v>
      </c>
      <c r="J12" s="32">
        <v>1</v>
      </c>
      <c r="K12" s="31">
        <f>_xll.qlRateHelperEarliestDate($E12,Trigger)</f>
        <v>41765</v>
      </c>
      <c r="L12" s="30">
        <f>_xll.qlRateHelperLatestDate($E12,Trigger)</f>
        <v>41857</v>
      </c>
    </row>
    <row r="13" spans="2:14" x14ac:dyDescent="0.2">
      <c r="B13" s="36">
        <v>3</v>
      </c>
      <c r="C13" s="35" t="s">
        <v>53</v>
      </c>
      <c r="D13" s="34" t="str">
        <f t="shared" si="0"/>
        <v>6F</v>
      </c>
      <c r="E13" s="34" t="str">
        <f t="shared" si="1"/>
        <v>EUR_YC3MRH_3x6F</v>
      </c>
      <c r="F13" s="33">
        <f>_xll.qlRateHelperQuoteValue($E13,Trigger)</f>
        <v>2.48E-3</v>
      </c>
      <c r="G13" s="33"/>
      <c r="H13" s="32" t="b">
        <v>0</v>
      </c>
      <c r="I13" s="32">
        <v>20</v>
      </c>
      <c r="J13" s="32">
        <v>1</v>
      </c>
      <c r="K13" s="31">
        <f>_xll.qlRateHelperEarliestDate($E13,Trigger)</f>
        <v>41796</v>
      </c>
      <c r="L13" s="30">
        <f>_xll.qlRateHelperLatestDate($E13,Trigger)</f>
        <v>41890</v>
      </c>
    </row>
    <row r="14" spans="2:14" x14ac:dyDescent="0.2">
      <c r="B14" s="36">
        <v>4</v>
      </c>
      <c r="C14" s="35" t="s">
        <v>53</v>
      </c>
      <c r="D14" s="34" t="str">
        <f t="shared" si="0"/>
        <v>7F</v>
      </c>
      <c r="E14" s="34" t="str">
        <f t="shared" si="1"/>
        <v>EUR_YC3MRH_4x7F</v>
      </c>
      <c r="F14" s="33">
        <f>_xll.qlRateHelperQuoteValue($E14,Trigger)</f>
        <v>2.47E-3</v>
      </c>
      <c r="G14" s="33"/>
      <c r="H14" s="32" t="b">
        <v>0</v>
      </c>
      <c r="I14" s="32">
        <v>20</v>
      </c>
      <c r="J14" s="32">
        <v>1</v>
      </c>
      <c r="K14" s="31">
        <f>_xll.qlRateHelperEarliestDate($E14,Trigger)</f>
        <v>41827</v>
      </c>
      <c r="L14" s="30">
        <f>_xll.qlRateHelperLatestDate($E14,Trigger)</f>
        <v>41919</v>
      </c>
    </row>
    <row r="15" spans="2:14" x14ac:dyDescent="0.2">
      <c r="B15" s="36">
        <v>5</v>
      </c>
      <c r="C15" s="35" t="s">
        <v>53</v>
      </c>
      <c r="D15" s="34" t="str">
        <f t="shared" si="0"/>
        <v>8F</v>
      </c>
      <c r="E15" s="34" t="str">
        <f t="shared" si="1"/>
        <v>EUR_YC3MRH_5x8F</v>
      </c>
      <c r="F15" s="33">
        <f>_xll.qlRateHelperQuoteValue($E15,Trigger)</f>
        <v>2.48E-3</v>
      </c>
      <c r="G15" s="33"/>
      <c r="H15" s="32" t="b">
        <v>0</v>
      </c>
      <c r="I15" s="32">
        <v>20</v>
      </c>
      <c r="J15" s="32">
        <v>1</v>
      </c>
      <c r="K15" s="31">
        <f>_xll.qlRateHelperEarliestDate($E15,Trigger)</f>
        <v>41857</v>
      </c>
      <c r="L15" s="30">
        <f>_xll.qlRateHelperLatestDate($E15,Trigger)</f>
        <v>41949</v>
      </c>
    </row>
    <row r="16" spans="2:14" x14ac:dyDescent="0.2">
      <c r="B16" s="36">
        <v>6</v>
      </c>
      <c r="C16" s="35" t="s">
        <v>53</v>
      </c>
      <c r="D16" s="34" t="str">
        <f t="shared" si="0"/>
        <v>9F</v>
      </c>
      <c r="E16" s="34" t="str">
        <f t="shared" si="1"/>
        <v>EUR_YC3MRH_6x9F</v>
      </c>
      <c r="F16" s="33">
        <f>_xll.qlRateHelperQuoteValue($E16,Trigger)</f>
        <v>2.5000000000000001E-3</v>
      </c>
      <c r="G16" s="33"/>
      <c r="H16" s="32" t="b">
        <v>0</v>
      </c>
      <c r="I16" s="32">
        <v>20</v>
      </c>
      <c r="J16" s="32">
        <v>1</v>
      </c>
      <c r="K16" s="31">
        <f>_xll.qlRateHelperEarliestDate($E16,Trigger)</f>
        <v>41890</v>
      </c>
      <c r="L16" s="30">
        <f>_xll.qlRateHelperLatestDate($E16,Trigger)</f>
        <v>41981</v>
      </c>
    </row>
    <row r="17" spans="1:12" x14ac:dyDescent="0.2">
      <c r="B17" s="36">
        <v>7</v>
      </c>
      <c r="C17" s="35" t="s">
        <v>53</v>
      </c>
      <c r="D17" s="34" t="str">
        <f t="shared" si="0"/>
        <v>10F</v>
      </c>
      <c r="E17" s="34" t="str">
        <f t="shared" si="1"/>
        <v>EUR_YC3MRH_7x10F</v>
      </c>
      <c r="F17" s="33" t="e">
        <f>_xll.qlRateHelperQuoteValue($E17,Trigger)</f>
        <v>#NUM!</v>
      </c>
      <c r="G17" s="33"/>
      <c r="H17" s="32" t="b">
        <v>0</v>
      </c>
      <c r="I17" s="32">
        <v>20</v>
      </c>
      <c r="J17" s="32">
        <v>1</v>
      </c>
      <c r="K17" s="31" t="e">
        <f>_xll.qlRateHelperEarliestDate($E17,Trigger)</f>
        <v>#NUM!</v>
      </c>
      <c r="L17" s="30" t="e">
        <f>_xll.qlRateHelperLatestDate($E17,Trigger)</f>
        <v>#NUM!</v>
      </c>
    </row>
    <row r="18" spans="1:12" x14ac:dyDescent="0.2">
      <c r="B18" s="36">
        <v>8</v>
      </c>
      <c r="C18" s="35" t="s">
        <v>53</v>
      </c>
      <c r="D18" s="34" t="str">
        <f t="shared" si="0"/>
        <v>11F</v>
      </c>
      <c r="E18" s="34" t="str">
        <f t="shared" si="1"/>
        <v>EUR_YC3MRH_8x11F</v>
      </c>
      <c r="F18" s="33" t="e">
        <f>_xll.qlRateHelperQuoteValue($E18,Trigger)</f>
        <v>#NUM!</v>
      </c>
      <c r="G18" s="33"/>
      <c r="H18" s="32" t="b">
        <v>0</v>
      </c>
      <c r="I18" s="32">
        <v>20</v>
      </c>
      <c r="J18" s="32">
        <v>1</v>
      </c>
      <c r="K18" s="31" t="e">
        <f>_xll.qlRateHelperEarliestDate($E18,Trigger)</f>
        <v>#NUM!</v>
      </c>
      <c r="L18" s="30" t="e">
        <f>_xll.qlRateHelperLatestDate($E18,Trigger)</f>
        <v>#NUM!</v>
      </c>
    </row>
    <row r="19" spans="1:12" x14ac:dyDescent="0.2">
      <c r="B19" s="36">
        <v>9</v>
      </c>
      <c r="C19" s="35" t="s">
        <v>53</v>
      </c>
      <c r="D19" s="34" t="str">
        <f t="shared" si="0"/>
        <v>12F</v>
      </c>
      <c r="E19" s="34" t="str">
        <f t="shared" si="1"/>
        <v>EUR_YC3MRH_9x12F</v>
      </c>
      <c r="F19" s="33" t="e">
        <f>_xll.qlRateHelperQuoteValue($E19,Trigger)</f>
        <v>#NUM!</v>
      </c>
      <c r="G19" s="33"/>
      <c r="H19" s="32" t="b">
        <v>0</v>
      </c>
      <c r="I19" s="32">
        <v>20</v>
      </c>
      <c r="J19" s="32">
        <v>1</v>
      </c>
      <c r="K19" s="31" t="e">
        <f>_xll.qlRateHelperEarliestDate($E19,Trigger)</f>
        <v>#NUM!</v>
      </c>
      <c r="L19" s="30" t="e">
        <f>_xll.qlRateHelperLatestDate($E19,Trigger)</f>
        <v>#NUM!</v>
      </c>
    </row>
    <row r="20" spans="1:12" x14ac:dyDescent="0.2">
      <c r="B20" s="36">
        <v>10</v>
      </c>
      <c r="C20" s="35" t="s">
        <v>53</v>
      </c>
      <c r="D20" s="34" t="str">
        <f t="shared" si="0"/>
        <v>13F</v>
      </c>
      <c r="E20" s="34" t="str">
        <f t="shared" si="1"/>
        <v>EUR_YC3MRH_10x13F</v>
      </c>
      <c r="F20" s="33" t="e">
        <f>_xll.qlRateHelperQuoteValue($E20,Trigger)</f>
        <v>#NUM!</v>
      </c>
      <c r="G20" s="33"/>
      <c r="H20" s="32" t="b">
        <v>0</v>
      </c>
      <c r="I20" s="32">
        <v>20</v>
      </c>
      <c r="J20" s="32">
        <v>1</v>
      </c>
      <c r="K20" s="31" t="e">
        <f>_xll.qlRateHelperEarliestDate($E20,Trigger)</f>
        <v>#NUM!</v>
      </c>
      <c r="L20" s="30" t="e">
        <f>_xll.qlRateHelperLatestDate($E20,Trigger)</f>
        <v>#NUM!</v>
      </c>
    </row>
    <row r="21" spans="1:12" x14ac:dyDescent="0.2">
      <c r="B21" s="36">
        <v>11</v>
      </c>
      <c r="C21" s="35" t="s">
        <v>53</v>
      </c>
      <c r="D21" s="34" t="str">
        <f t="shared" si="0"/>
        <v>14F</v>
      </c>
      <c r="E21" s="34" t="str">
        <f t="shared" si="1"/>
        <v>EUR_YC3MRH_11x14F</v>
      </c>
      <c r="F21" s="33" t="e">
        <f>_xll.qlRateHelperQuoteValue($E21,Trigger)</f>
        <v>#NUM!</v>
      </c>
      <c r="G21" s="33"/>
      <c r="H21" s="32" t="b">
        <v>0</v>
      </c>
      <c r="I21" s="32">
        <v>20</v>
      </c>
      <c r="J21" s="32">
        <v>1</v>
      </c>
      <c r="K21" s="31" t="e">
        <f>_xll.qlRateHelperEarliestDate($E21,Trigger)</f>
        <v>#NUM!</v>
      </c>
      <c r="L21" s="30" t="e">
        <f>_xll.qlRateHelperLatestDate($E21,Trigger)</f>
        <v>#NUM!</v>
      </c>
    </row>
    <row r="22" spans="1:12" x14ac:dyDescent="0.2">
      <c r="B22" s="36">
        <v>12</v>
      </c>
      <c r="C22" s="35" t="s">
        <v>53</v>
      </c>
      <c r="D22" s="34" t="str">
        <f t="shared" si="0"/>
        <v>15F</v>
      </c>
      <c r="E22" s="34" t="str">
        <f t="shared" si="1"/>
        <v>EUR_YC3MRH_12x15F</v>
      </c>
      <c r="F22" s="33" t="e">
        <f>_xll.qlRateHelperQuoteValue($E22,Trigger)</f>
        <v>#NUM!</v>
      </c>
      <c r="G22" s="33"/>
      <c r="H22" s="32" t="b">
        <v>0</v>
      </c>
      <c r="I22" s="32">
        <v>20</v>
      </c>
      <c r="J22" s="32">
        <v>1</v>
      </c>
      <c r="K22" s="31" t="e">
        <f>_xll.qlRateHelperEarliestDate($E22,Trigger)</f>
        <v>#NUM!</v>
      </c>
      <c r="L22" s="30" t="e">
        <f>_xll.qlRateHelperLatestDate($E22,Trigger)</f>
        <v>#NUM!</v>
      </c>
    </row>
    <row r="23" spans="1:12" x14ac:dyDescent="0.2">
      <c r="B23" s="36">
        <v>13</v>
      </c>
      <c r="C23" s="35" t="s">
        <v>53</v>
      </c>
      <c r="D23" s="34" t="str">
        <f t="shared" si="0"/>
        <v>16F</v>
      </c>
      <c r="E23" s="34" t="str">
        <f t="shared" si="1"/>
        <v>EUR_YC3MRH_13x16F</v>
      </c>
      <c r="F23" s="33" t="e">
        <f>_xll.qlRateHelperQuoteValue($E23,Trigger)</f>
        <v>#NUM!</v>
      </c>
      <c r="G23" s="33"/>
      <c r="H23" s="32" t="b">
        <v>0</v>
      </c>
      <c r="I23" s="32">
        <v>20</v>
      </c>
      <c r="J23" s="32">
        <v>1</v>
      </c>
      <c r="K23" s="31" t="e">
        <f>_xll.qlRateHelperEarliestDate($E23,Trigger)</f>
        <v>#NUM!</v>
      </c>
      <c r="L23" s="30" t="e">
        <f>_xll.qlRateHelperLatestDate($E23,Trigger)</f>
        <v>#NUM!</v>
      </c>
    </row>
    <row r="24" spans="1:12" x14ac:dyDescent="0.2">
      <c r="B24" s="36">
        <v>14</v>
      </c>
      <c r="C24" s="35" t="s">
        <v>53</v>
      </c>
      <c r="D24" s="34" t="str">
        <f t="shared" si="0"/>
        <v>17F</v>
      </c>
      <c r="E24" s="34" t="str">
        <f t="shared" si="1"/>
        <v>EUR_YC3MRH_14x17F</v>
      </c>
      <c r="F24" s="33" t="e">
        <f>_xll.qlRateHelperQuoteValue($E24,Trigger)</f>
        <v>#NUM!</v>
      </c>
      <c r="G24" s="33"/>
      <c r="H24" s="32" t="b">
        <v>0</v>
      </c>
      <c r="I24" s="32">
        <v>20</v>
      </c>
      <c r="J24" s="32">
        <v>1</v>
      </c>
      <c r="K24" s="31" t="e">
        <f>_xll.qlRateHelperEarliestDate($E24,Trigger)</f>
        <v>#NUM!</v>
      </c>
      <c r="L24" s="30" t="e">
        <f>_xll.qlRateHelperLatestDate($E24,Trigger)</f>
        <v>#NUM!</v>
      </c>
    </row>
    <row r="25" spans="1:12" x14ac:dyDescent="0.2">
      <c r="B25" s="36">
        <v>15</v>
      </c>
      <c r="C25" s="35" t="s">
        <v>53</v>
      </c>
      <c r="D25" s="34" t="str">
        <f t="shared" si="0"/>
        <v>18F</v>
      </c>
      <c r="E25" s="34" t="str">
        <f t="shared" si="1"/>
        <v>EUR_YC3MRH_15x18F</v>
      </c>
      <c r="F25" s="33" t="e">
        <f>_xll.qlRateHelperQuoteValue($E25,Trigger)</f>
        <v>#NUM!</v>
      </c>
      <c r="G25" s="33"/>
      <c r="H25" s="32" t="b">
        <v>0</v>
      </c>
      <c r="I25" s="32">
        <v>20</v>
      </c>
      <c r="J25" s="32">
        <v>1</v>
      </c>
      <c r="K25" s="31" t="e">
        <f>_xll.qlRateHelperEarliestDate($E25,Trigger)</f>
        <v>#NUM!</v>
      </c>
      <c r="L25" s="30" t="e">
        <f>_xll.qlRateHelperLatestDate($E25,Trigger)</f>
        <v>#NUM!</v>
      </c>
    </row>
    <row r="26" spans="1:12" x14ac:dyDescent="0.2">
      <c r="B26" s="36">
        <v>16</v>
      </c>
      <c r="C26" s="35" t="s">
        <v>53</v>
      </c>
      <c r="D26" s="34" t="str">
        <f t="shared" si="0"/>
        <v>19F</v>
      </c>
      <c r="E26" s="34" t="str">
        <f t="shared" si="1"/>
        <v>EUR_YC3MRH_16x19F</v>
      </c>
      <c r="F26" s="33" t="e">
        <f>_xll.qlRateHelperQuoteValue($E26,Trigger)</f>
        <v>#NUM!</v>
      </c>
      <c r="G26" s="33"/>
      <c r="H26" s="32" t="b">
        <v>0</v>
      </c>
      <c r="I26" s="32">
        <v>20</v>
      </c>
      <c r="J26" s="32">
        <v>1</v>
      </c>
      <c r="K26" s="31" t="e">
        <f>_xll.qlRateHelperEarliestDate($E26,Trigger)</f>
        <v>#NUM!</v>
      </c>
      <c r="L26" s="30" t="e">
        <f>_xll.qlRateHelperLatestDate($E26,Trigger)</f>
        <v>#NUM!</v>
      </c>
    </row>
    <row r="27" spans="1:12" x14ac:dyDescent="0.2">
      <c r="B27" s="36">
        <v>17</v>
      </c>
      <c r="C27" s="35" t="s">
        <v>53</v>
      </c>
      <c r="D27" s="34" t="str">
        <f t="shared" si="0"/>
        <v>20F</v>
      </c>
      <c r="E27" s="34" t="str">
        <f t="shared" ref="E27:E28" si="2">RateHelperPrefix&amp;"_"&amp;$B27&amp;$C27&amp;$D27</f>
        <v>EUR_YC3MRH_17x20F</v>
      </c>
      <c r="F27" s="33" t="e">
        <f>_xll.qlRateHelperQuoteValue($E27,Trigger)</f>
        <v>#NUM!</v>
      </c>
      <c r="G27" s="33"/>
      <c r="H27" s="32" t="b">
        <v>0</v>
      </c>
      <c r="I27" s="32">
        <v>20</v>
      </c>
      <c r="J27" s="32">
        <v>1</v>
      </c>
      <c r="K27" s="31" t="e">
        <f>_xll.qlRateHelperEarliestDate($E27,Trigger)</f>
        <v>#NUM!</v>
      </c>
      <c r="L27" s="30" t="e">
        <f>_xll.qlRateHelperLatestDate($E27,Trigger)</f>
        <v>#NUM!</v>
      </c>
    </row>
    <row r="28" spans="1:12" x14ac:dyDescent="0.2">
      <c r="B28" s="29">
        <v>18</v>
      </c>
      <c r="C28" s="28" t="s">
        <v>53</v>
      </c>
      <c r="D28" s="27" t="str">
        <f t="shared" si="0"/>
        <v>21F</v>
      </c>
      <c r="E28" s="27" t="str">
        <f t="shared" si="2"/>
        <v>EUR_YC3MRH_18x21F</v>
      </c>
      <c r="F28" s="26" t="e">
        <f>_xll.qlRateHelperQuoteValue($E28,Trigger)</f>
        <v>#NUM!</v>
      </c>
      <c r="G28" s="26"/>
      <c r="H28" s="25" t="b">
        <v>0</v>
      </c>
      <c r="I28" s="25">
        <v>20</v>
      </c>
      <c r="J28" s="25">
        <v>1</v>
      </c>
      <c r="K28" s="24" t="e">
        <f>_xll.qlRateHelperEarliestDate($E28,Trigger)</f>
        <v>#NUM!</v>
      </c>
      <c r="L28" s="23" t="e">
        <f>_xll.qlRateHelperLatestDate($E28,Trigger)</f>
        <v>#NUM!</v>
      </c>
    </row>
    <row r="29" spans="1:12" ht="11.25" customHeight="1" x14ac:dyDescent="0.2">
      <c r="A29" s="43" t="b">
        <v>0</v>
      </c>
      <c r="B29" s="36"/>
      <c r="C29" s="35" t="str">
        <f t="shared" ref="C29:C70" si="3">IF(IndexTenor="6M","IMMFRA","FUT")&amp;IndexTenor</f>
        <v>FUT3M</v>
      </c>
      <c r="D29" s="34" t="str">
        <f t="array" ref="D29:D70">_xll.qlIMMNextCodes(_xll.qlSettingsEvaluationDate(Trigger)-1,$A29:$A70)</f>
        <v>H4</v>
      </c>
      <c r="E29" s="34" t="str">
        <f>Futures_3M!I3</f>
        <v>EUR_YC3MRH_FUT3MH4#0002</v>
      </c>
      <c r="F29" s="48">
        <f>_xll.qlRateHelperQuoteValue($E29,Trigger)</f>
        <v>99.737499999999997</v>
      </c>
      <c r="G29" s="33">
        <f>_xll.qlFuturesRateHelperConvexityAdjustment($E29,Trigger)</f>
        <v>0</v>
      </c>
      <c r="H29" s="32" t="b">
        <v>1</v>
      </c>
      <c r="I29" s="32">
        <v>60</v>
      </c>
      <c r="J29" s="32">
        <v>3</v>
      </c>
      <c r="K29" s="31">
        <f>_xll.qlRateHelperEarliestDate($E29,Trigger)</f>
        <v>41717</v>
      </c>
      <c r="L29" s="30">
        <f>_xll.qlRateHelperLatestDate($E29,Trigger)</f>
        <v>41809</v>
      </c>
    </row>
    <row r="30" spans="1:12" x14ac:dyDescent="0.2">
      <c r="A30" s="35" t="b">
        <v>0</v>
      </c>
      <c r="B30" s="36"/>
      <c r="C30" s="35" t="str">
        <f t="shared" si="3"/>
        <v>FUT3M</v>
      </c>
      <c r="D30" s="34" t="str">
        <v>J4</v>
      </c>
      <c r="E30" s="34" t="str">
        <f>Futures_3M!I4</f>
        <v>EUR_YC3MRH_FUT3MJ4#0002</v>
      </c>
      <c r="F30" s="48">
        <f>_xll.qlRateHelperQuoteValue($E30,Trigger)</f>
        <v>99.747500000000002</v>
      </c>
      <c r="G30" s="33">
        <f>_xll.qlFuturesRateHelperConvexityAdjustment($E30,Trigger)</f>
        <v>0</v>
      </c>
      <c r="H30" s="32" t="b">
        <v>1</v>
      </c>
      <c r="I30" s="32">
        <v>60</v>
      </c>
      <c r="J30" s="32">
        <v>3</v>
      </c>
      <c r="K30" s="31">
        <f>_xll.qlRateHelperEarliestDate($E30,Trigger)</f>
        <v>41745</v>
      </c>
      <c r="L30" s="30">
        <f>_xll.qlRateHelperLatestDate($E30,Trigger)</f>
        <v>41836</v>
      </c>
    </row>
    <row r="31" spans="1:12" x14ac:dyDescent="0.2">
      <c r="A31" s="35" t="b">
        <v>0</v>
      </c>
      <c r="B31" s="36"/>
      <c r="C31" s="35" t="str">
        <f t="shared" si="3"/>
        <v>FUT3M</v>
      </c>
      <c r="D31" s="34" t="str">
        <v>K4</v>
      </c>
      <c r="E31" s="34" t="str">
        <f>Futures_3M!I5</f>
        <v>EUR_YC3MRH_FUT3MK4#0002</v>
      </c>
      <c r="F31" s="48">
        <f>_xll.qlRateHelperQuoteValue($E31,Trigger)</f>
        <v>99.697499999999991</v>
      </c>
      <c r="G31" s="33">
        <f>_xll.qlFuturesRateHelperConvexityAdjustment($E31,Trigger)</f>
        <v>0</v>
      </c>
      <c r="H31" s="32" t="b">
        <v>1</v>
      </c>
      <c r="I31" s="32">
        <v>60</v>
      </c>
      <c r="J31" s="32">
        <v>3</v>
      </c>
      <c r="K31" s="31">
        <f>_xll.qlRateHelperEarliestDate($E31,Trigger)</f>
        <v>41780</v>
      </c>
      <c r="L31" s="30">
        <f>_xll.qlRateHelperLatestDate($E31,Trigger)</f>
        <v>41872</v>
      </c>
    </row>
    <row r="32" spans="1:12" x14ac:dyDescent="0.2">
      <c r="A32" s="35" t="b">
        <v>0</v>
      </c>
      <c r="B32" s="36"/>
      <c r="C32" s="35" t="str">
        <f t="shared" si="3"/>
        <v>FUT3M</v>
      </c>
      <c r="D32" s="34" t="str">
        <v>M4</v>
      </c>
      <c r="E32" s="34" t="str">
        <f>Futures_3M!I6</f>
        <v>EUR_YC3MRH_FUT3MM4#0002</v>
      </c>
      <c r="F32" s="48">
        <f>_xll.qlRateHelperQuoteValue($E32,Trigger)</f>
        <v>99.752499999999998</v>
      </c>
      <c r="G32" s="33">
        <f>_xll.qlFuturesRateHelperConvexityAdjustment($E32,Trigger)</f>
        <v>0</v>
      </c>
      <c r="H32" s="32" t="b">
        <v>1</v>
      </c>
      <c r="I32" s="32">
        <v>60</v>
      </c>
      <c r="J32" s="32">
        <v>21</v>
      </c>
      <c r="K32" s="31">
        <f>_xll.qlRateHelperEarliestDate($E32,Trigger)</f>
        <v>41808</v>
      </c>
      <c r="L32" s="30">
        <f>_xll.qlRateHelperLatestDate($E32,Trigger)</f>
        <v>41900</v>
      </c>
    </row>
    <row r="33" spans="1:12" x14ac:dyDescent="0.2">
      <c r="A33" s="35" t="b">
        <v>0</v>
      </c>
      <c r="B33" s="36"/>
      <c r="C33" s="35" t="str">
        <f t="shared" si="3"/>
        <v>FUT3M</v>
      </c>
      <c r="D33" s="34" t="str">
        <v>N4</v>
      </c>
      <c r="E33" s="34" t="str">
        <f>Futures_3M!I7</f>
        <v>EUR_YC3MRH_FUT3MN4#0002</v>
      </c>
      <c r="F33" s="48" t="e">
        <f>_xll.qlRateHelperQuoteValue($E33,Trigger)</f>
        <v>#NUM!</v>
      </c>
      <c r="G33" s="33" t="e">
        <f>_xll.qlFuturesRateHelperConvexityAdjustment($E33,Trigger)</f>
        <v>#NUM!</v>
      </c>
      <c r="H33" s="32" t="b">
        <v>1</v>
      </c>
      <c r="I33" s="32">
        <v>60</v>
      </c>
      <c r="J33" s="32">
        <v>21</v>
      </c>
      <c r="K33" s="31">
        <f>_xll.qlRateHelperEarliestDate($E33,Trigger)</f>
        <v>41836</v>
      </c>
      <c r="L33" s="30">
        <f>_xll.qlRateHelperLatestDate($E33,Trigger)</f>
        <v>41928</v>
      </c>
    </row>
    <row r="34" spans="1:12" x14ac:dyDescent="0.2">
      <c r="A34" s="35" t="b">
        <v>0</v>
      </c>
      <c r="B34" s="36"/>
      <c r="C34" s="35" t="str">
        <f t="shared" si="3"/>
        <v>FUT3M</v>
      </c>
      <c r="D34" s="34" t="str">
        <v>Q4</v>
      </c>
      <c r="E34" s="34" t="str">
        <f>Futures_3M!I8</f>
        <v>EUR_YC3MRH_FUT3MQ4#0002</v>
      </c>
      <c r="F34" s="48" t="e">
        <f>_xll.qlRateHelperQuoteValue($E34,Trigger)</f>
        <v>#NUM!</v>
      </c>
      <c r="G34" s="33" t="e">
        <f>_xll.qlFuturesRateHelperConvexityAdjustment($E34,Trigger)</f>
        <v>#NUM!</v>
      </c>
      <c r="H34" s="32" t="b">
        <v>1</v>
      </c>
      <c r="I34" s="32">
        <v>60</v>
      </c>
      <c r="J34" s="32">
        <v>21</v>
      </c>
      <c r="K34" s="31">
        <f>_xll.qlRateHelperEarliestDate($E34,Trigger)</f>
        <v>41871</v>
      </c>
      <c r="L34" s="30">
        <f>_xll.qlRateHelperLatestDate($E34,Trigger)</f>
        <v>41963</v>
      </c>
    </row>
    <row r="35" spans="1:12" x14ac:dyDescent="0.2">
      <c r="A35" s="35" t="b">
        <v>0</v>
      </c>
      <c r="B35" s="36"/>
      <c r="C35" s="35" t="str">
        <f t="shared" si="3"/>
        <v>FUT3M</v>
      </c>
      <c r="D35" s="34" t="str">
        <v>U4</v>
      </c>
      <c r="E35" s="34" t="str">
        <f>Futures_3M!I9</f>
        <v>EUR_YC3MRH_FUT3MU4#0002</v>
      </c>
      <c r="F35" s="48">
        <f>_xll.qlRateHelperQuoteValue($E35,Trigger)</f>
        <v>99.747500000000002</v>
      </c>
      <c r="G35" s="33">
        <f>_xll.qlFuturesRateHelperConvexityAdjustment($E35,Trigger)</f>
        <v>0</v>
      </c>
      <c r="H35" s="32" t="b">
        <v>1</v>
      </c>
      <c r="I35" s="32">
        <v>60</v>
      </c>
      <c r="J35" s="32">
        <v>21</v>
      </c>
      <c r="K35" s="31">
        <f>_xll.qlRateHelperEarliestDate($E35,Trigger)</f>
        <v>41899</v>
      </c>
      <c r="L35" s="30">
        <f>_xll.qlRateHelperLatestDate($E35,Trigger)</f>
        <v>41990</v>
      </c>
    </row>
    <row r="36" spans="1:12" x14ac:dyDescent="0.2">
      <c r="A36" s="35" t="b">
        <v>0</v>
      </c>
      <c r="B36" s="36"/>
      <c r="C36" s="35" t="str">
        <f t="shared" si="3"/>
        <v>FUT3M</v>
      </c>
      <c r="D36" s="34" t="str">
        <v>V4</v>
      </c>
      <c r="E36" s="34" t="str">
        <f>Futures_3M!I10</f>
        <v>EUR_YC3MRH_FUT3MV4#0002</v>
      </c>
      <c r="F36" s="48" t="e">
        <f>_xll.qlRateHelperQuoteValue($E36,Trigger)</f>
        <v>#NUM!</v>
      </c>
      <c r="G36" s="33" t="e">
        <f>_xll.qlFuturesRateHelperConvexityAdjustment($E36,Trigger)</f>
        <v>#NUM!</v>
      </c>
      <c r="H36" s="32" t="b">
        <v>1</v>
      </c>
      <c r="I36" s="32">
        <v>60</v>
      </c>
      <c r="J36" s="32">
        <v>21</v>
      </c>
      <c r="K36" s="31">
        <f>_xll.qlRateHelperEarliestDate($E36,Trigger)</f>
        <v>41927</v>
      </c>
      <c r="L36" s="30">
        <f>_xll.qlRateHelperLatestDate($E36,Trigger)</f>
        <v>42019</v>
      </c>
    </row>
    <row r="37" spans="1:12" x14ac:dyDescent="0.2">
      <c r="A37" s="35" t="b">
        <v>0</v>
      </c>
      <c r="B37" s="36"/>
      <c r="C37" s="35" t="str">
        <f t="shared" si="3"/>
        <v>FUT3M</v>
      </c>
      <c r="D37" s="34" t="str">
        <v>X4</v>
      </c>
      <c r="E37" s="34" t="str">
        <f>Futures_3M!I11</f>
        <v>EUR_YC3MRH_FUT3MX4#0002</v>
      </c>
      <c r="F37" s="48" t="e">
        <f>_xll.qlRateHelperQuoteValue($E37,Trigger)</f>
        <v>#NUM!</v>
      </c>
      <c r="G37" s="33" t="e">
        <f>_xll.qlFuturesRateHelperConvexityAdjustment($E37,Trigger)</f>
        <v>#NUM!</v>
      </c>
      <c r="H37" s="32" t="b">
        <v>1</v>
      </c>
      <c r="I37" s="32">
        <v>60</v>
      </c>
      <c r="J37" s="32">
        <v>21</v>
      </c>
      <c r="K37" s="31">
        <f>_xll.qlRateHelperEarliestDate($E37,Trigger)</f>
        <v>41962</v>
      </c>
      <c r="L37" s="30">
        <f>_xll.qlRateHelperLatestDate($E37,Trigger)</f>
        <v>42054</v>
      </c>
    </row>
    <row r="38" spans="1:12" x14ac:dyDescent="0.2">
      <c r="A38" s="35" t="b">
        <v>0</v>
      </c>
      <c r="B38" s="36"/>
      <c r="C38" s="35" t="str">
        <f t="shared" si="3"/>
        <v>FUT3M</v>
      </c>
      <c r="D38" s="34" t="str">
        <v>Z4</v>
      </c>
      <c r="E38" s="34" t="str">
        <f>Futures_3M!I12</f>
        <v>EUR_YC3MRH_FUT3MZ4#0002</v>
      </c>
      <c r="F38" s="48">
        <f>_xll.qlRateHelperQuoteValue($E38,Trigger)</f>
        <v>99.727499999999992</v>
      </c>
      <c r="G38" s="33">
        <f>_xll.qlFuturesRateHelperConvexityAdjustment($E38,Trigger)</f>
        <v>0</v>
      </c>
      <c r="H38" s="32" t="b">
        <v>1</v>
      </c>
      <c r="I38" s="32">
        <v>60</v>
      </c>
      <c r="J38" s="32">
        <v>21</v>
      </c>
      <c r="K38" s="31">
        <f>_xll.qlRateHelperEarliestDate($E38,Trigger)</f>
        <v>41990</v>
      </c>
      <c r="L38" s="30">
        <f>_xll.qlRateHelperLatestDate($E38,Trigger)</f>
        <v>42080</v>
      </c>
    </row>
    <row r="39" spans="1:12" x14ac:dyDescent="0.2">
      <c r="A39" s="35" t="b">
        <v>0</v>
      </c>
      <c r="B39" s="36"/>
      <c r="C39" s="35" t="str">
        <f t="shared" si="3"/>
        <v>FUT3M</v>
      </c>
      <c r="D39" s="34" t="str">
        <v>F5</v>
      </c>
      <c r="E39" s="34" t="str">
        <f>Futures_3M!I13</f>
        <v>EUR_YC3MRH_FUT3MF5#0002</v>
      </c>
      <c r="F39" s="48" t="e">
        <f>_xll.qlRateHelperQuoteValue($E39,Trigger)</f>
        <v>#NUM!</v>
      </c>
      <c r="G39" s="33" t="e">
        <f>_xll.qlFuturesRateHelperConvexityAdjustment($E39,Trigger)</f>
        <v>#NUM!</v>
      </c>
      <c r="H39" s="32" t="b">
        <v>1</v>
      </c>
      <c r="I39" s="32">
        <v>60</v>
      </c>
      <c r="J39" s="32">
        <v>21</v>
      </c>
      <c r="K39" s="31">
        <f>_xll.qlRateHelperEarliestDate($E39,Trigger)</f>
        <v>42025</v>
      </c>
      <c r="L39" s="30">
        <f>_xll.qlRateHelperLatestDate($E39,Trigger)</f>
        <v>42115</v>
      </c>
    </row>
    <row r="40" spans="1:12" x14ac:dyDescent="0.2">
      <c r="A40" s="35" t="b">
        <v>0</v>
      </c>
      <c r="B40" s="36"/>
      <c r="C40" s="35" t="str">
        <f t="shared" si="3"/>
        <v>FUT3M</v>
      </c>
      <c r="D40" s="34" t="str">
        <v>G5</v>
      </c>
      <c r="E40" s="34" t="str">
        <f>Futures_3M!I14</f>
        <v>EUR_YC3MRH_FUT3MG5#0002</v>
      </c>
      <c r="F40" s="48" t="e">
        <f>_xll.qlRateHelperQuoteValue($E40,Trigger)</f>
        <v>#NUM!</v>
      </c>
      <c r="G40" s="33" t="e">
        <f>_xll.qlFuturesRateHelperConvexityAdjustment($E40,Trigger)</f>
        <v>#NUM!</v>
      </c>
      <c r="H40" s="32" t="b">
        <v>1</v>
      </c>
      <c r="I40" s="32">
        <v>60</v>
      </c>
      <c r="J40" s="32">
        <v>21</v>
      </c>
      <c r="K40" s="31">
        <f>_xll.qlRateHelperEarliestDate($E40,Trigger)</f>
        <v>42053</v>
      </c>
      <c r="L40" s="30">
        <f>_xll.qlRateHelperLatestDate($E40,Trigger)</f>
        <v>42142</v>
      </c>
    </row>
    <row r="41" spans="1:12" x14ac:dyDescent="0.2">
      <c r="A41" s="35" t="b">
        <v>1</v>
      </c>
      <c r="B41" s="36"/>
      <c r="C41" s="35" t="str">
        <f t="shared" si="3"/>
        <v>FUT3M</v>
      </c>
      <c r="D41" s="34" t="str">
        <v>H5</v>
      </c>
      <c r="E41" s="34" t="str">
        <f>Futures_3M!I15</f>
        <v>EUR_YC3MRH_FUT3MH5#0002</v>
      </c>
      <c r="F41" s="48">
        <f>_xll.qlRateHelperQuoteValue($E41,Trigger)</f>
        <v>99.697499999999991</v>
      </c>
      <c r="G41" s="33">
        <f>_xll.qlFuturesRateHelperConvexityAdjustment($E41,Trigger)</f>
        <v>0</v>
      </c>
      <c r="H41" s="32" t="b">
        <v>1</v>
      </c>
      <c r="I41" s="32">
        <v>60</v>
      </c>
      <c r="J41" s="32">
        <v>21</v>
      </c>
      <c r="K41" s="31">
        <f>_xll.qlRateHelperEarliestDate($E41,Trigger)</f>
        <v>42081</v>
      </c>
      <c r="L41" s="30">
        <f>_xll.qlRateHelperLatestDate($E41,Trigger)</f>
        <v>42173</v>
      </c>
    </row>
    <row r="42" spans="1:12" x14ac:dyDescent="0.2">
      <c r="A42" s="35" t="b">
        <v>1</v>
      </c>
      <c r="B42" s="36"/>
      <c r="C42" s="35" t="str">
        <f t="shared" si="3"/>
        <v>FUT3M</v>
      </c>
      <c r="D42" s="34" t="str">
        <v>M5</v>
      </c>
      <c r="E42" s="34" t="str">
        <f>Futures_3M!I16</f>
        <v>EUR_YC3MRH_FUT3MM5#0002</v>
      </c>
      <c r="F42" s="48">
        <f>_xll.qlRateHelperQuoteValue($E42,Trigger)</f>
        <v>99.652500000000003</v>
      </c>
      <c r="G42" s="33">
        <f>_xll.qlFuturesRateHelperConvexityAdjustment($E42,Trigger)</f>
        <v>0</v>
      </c>
      <c r="H42" s="32" t="b">
        <v>1</v>
      </c>
      <c r="I42" s="32">
        <v>60</v>
      </c>
      <c r="J42" s="32">
        <v>21</v>
      </c>
      <c r="K42" s="31">
        <f>_xll.qlRateHelperEarliestDate($E42,Trigger)</f>
        <v>42172</v>
      </c>
      <c r="L42" s="30">
        <f>_xll.qlRateHelperLatestDate($E42,Trigger)</f>
        <v>42264</v>
      </c>
    </row>
    <row r="43" spans="1:12" x14ac:dyDescent="0.2">
      <c r="A43" s="35" t="b">
        <v>1</v>
      </c>
      <c r="B43" s="36"/>
      <c r="C43" s="35" t="str">
        <f t="shared" si="3"/>
        <v>FUT3M</v>
      </c>
      <c r="D43" s="34" t="str">
        <v>U5</v>
      </c>
      <c r="E43" s="34" t="str">
        <f>Futures_3M!I17</f>
        <v>EUR_YC3MRH_FUT3MU5#0002</v>
      </c>
      <c r="F43" s="48">
        <f>_xll.qlRateHelperQuoteValue($E43,Trigger)</f>
        <v>99.597499999999997</v>
      </c>
      <c r="G43" s="33">
        <f>_xll.qlFuturesRateHelperConvexityAdjustment($E43,Trigger)</f>
        <v>0</v>
      </c>
      <c r="H43" s="32" t="b">
        <v>1</v>
      </c>
      <c r="I43" s="32">
        <v>60</v>
      </c>
      <c r="J43" s="32">
        <v>21</v>
      </c>
      <c r="K43" s="31">
        <f>_xll.qlRateHelperEarliestDate($E43,Trigger)</f>
        <v>42263</v>
      </c>
      <c r="L43" s="30">
        <f>_xll.qlRateHelperLatestDate($E43,Trigger)</f>
        <v>42354</v>
      </c>
    </row>
    <row r="44" spans="1:12" x14ac:dyDescent="0.2">
      <c r="A44" s="35" t="b">
        <v>1</v>
      </c>
      <c r="B44" s="36"/>
      <c r="C44" s="35" t="str">
        <f t="shared" si="3"/>
        <v>FUT3M</v>
      </c>
      <c r="D44" s="34" t="str">
        <v>Z5</v>
      </c>
      <c r="E44" s="34" t="str">
        <f>Futures_3M!I18</f>
        <v>EUR_YC3MRH_FUT3MZ5#0002</v>
      </c>
      <c r="F44" s="48">
        <f>_xll.qlRateHelperQuoteValue($E44,Trigger)</f>
        <v>99.522500000000008</v>
      </c>
      <c r="G44" s="33">
        <f>_xll.qlFuturesRateHelperConvexityAdjustment($E44,Trigger)</f>
        <v>0</v>
      </c>
      <c r="H44" s="32" t="b">
        <v>1</v>
      </c>
      <c r="I44" s="32">
        <v>60</v>
      </c>
      <c r="J44" s="32">
        <v>21</v>
      </c>
      <c r="K44" s="31">
        <f>_xll.qlRateHelperEarliestDate($E44,Trigger)</f>
        <v>42354</v>
      </c>
      <c r="L44" s="30">
        <f>_xll.qlRateHelperLatestDate($E44,Trigger)</f>
        <v>42445</v>
      </c>
    </row>
    <row r="45" spans="1:12" x14ac:dyDescent="0.2">
      <c r="A45" s="35" t="b">
        <v>1</v>
      </c>
      <c r="B45" s="36"/>
      <c r="C45" s="35" t="str">
        <f t="shared" si="3"/>
        <v>FUT3M</v>
      </c>
      <c r="D45" s="34" t="str">
        <v>H6</v>
      </c>
      <c r="E45" s="34" t="str">
        <f>Futures_3M!I19</f>
        <v>EUR_YC3MRH_FUT3MH6#0002</v>
      </c>
      <c r="F45" s="48">
        <f>_xll.qlRateHelperQuoteValue($E45,Trigger)</f>
        <v>99.432500000000005</v>
      </c>
      <c r="G45" s="33">
        <f>_xll.qlFuturesRateHelperConvexityAdjustment($E45,Trigger)</f>
        <v>0</v>
      </c>
      <c r="H45" s="32" t="b">
        <v>1</v>
      </c>
      <c r="I45" s="32">
        <v>60</v>
      </c>
      <c r="J45" s="32">
        <v>21</v>
      </c>
      <c r="K45" s="31">
        <f>_xll.qlRateHelperEarliestDate($E45,Trigger)</f>
        <v>42445</v>
      </c>
      <c r="L45" s="30">
        <f>_xll.qlRateHelperLatestDate($E45,Trigger)</f>
        <v>42537</v>
      </c>
    </row>
    <row r="46" spans="1:12" x14ac:dyDescent="0.2">
      <c r="A46" s="35" t="b">
        <v>1</v>
      </c>
      <c r="B46" s="36"/>
      <c r="C46" s="35" t="str">
        <f t="shared" si="3"/>
        <v>FUT3M</v>
      </c>
      <c r="D46" s="34" t="str">
        <v>M6</v>
      </c>
      <c r="E46" s="34" t="str">
        <f>Futures_3M!I20</f>
        <v>EUR_YC3MRH_FUT3MM6#0002</v>
      </c>
      <c r="F46" s="48">
        <f>_xll.qlRateHelperQuoteValue($E46,Trigger)</f>
        <v>99.322499999999991</v>
      </c>
      <c r="G46" s="33">
        <f>_xll.qlFuturesRateHelperConvexityAdjustment($E46,Trigger)</f>
        <v>0</v>
      </c>
      <c r="H46" s="32" t="b">
        <v>1</v>
      </c>
      <c r="I46" s="32">
        <v>30</v>
      </c>
      <c r="J46" s="32">
        <v>21</v>
      </c>
      <c r="K46" s="31">
        <f>_xll.qlRateHelperEarliestDate($E46,Trigger)</f>
        <v>42536</v>
      </c>
      <c r="L46" s="30">
        <f>_xll.qlRateHelperLatestDate($E46,Trigger)</f>
        <v>42628</v>
      </c>
    </row>
    <row r="47" spans="1:12" x14ac:dyDescent="0.2">
      <c r="A47" s="35" t="b">
        <v>1</v>
      </c>
      <c r="B47" s="36"/>
      <c r="C47" s="35" t="str">
        <f t="shared" si="3"/>
        <v>FUT3M</v>
      </c>
      <c r="D47" s="34" t="str">
        <v>U6</v>
      </c>
      <c r="E47" s="34" t="str">
        <f>Futures_3M!I21</f>
        <v>EUR_YC3MRH_FUT3MU6#0002</v>
      </c>
      <c r="F47" s="48">
        <f>_xll.qlRateHelperQuoteValue($E47,Trigger)</f>
        <v>99.192499999999995</v>
      </c>
      <c r="G47" s="33">
        <f>_xll.qlFuturesRateHelperConvexityAdjustment($E47,Trigger)</f>
        <v>0</v>
      </c>
      <c r="H47" s="32" t="b">
        <v>1</v>
      </c>
      <c r="I47" s="32">
        <v>30</v>
      </c>
      <c r="J47" s="32">
        <v>21</v>
      </c>
      <c r="K47" s="31">
        <f>_xll.qlRateHelperEarliestDate($E47,Trigger)</f>
        <v>42634</v>
      </c>
      <c r="L47" s="30">
        <f>_xll.qlRateHelperLatestDate($E47,Trigger)</f>
        <v>42725</v>
      </c>
    </row>
    <row r="48" spans="1:12" x14ac:dyDescent="0.2">
      <c r="A48" s="35" t="b">
        <v>1</v>
      </c>
      <c r="B48" s="36"/>
      <c r="C48" s="35" t="str">
        <f t="shared" si="3"/>
        <v>FUT3M</v>
      </c>
      <c r="D48" s="34" t="str">
        <v>Z6</v>
      </c>
      <c r="E48" s="34" t="str">
        <f>Futures_3M!I22</f>
        <v>EUR_YC3MRH_FUT3MZ6#0002</v>
      </c>
      <c r="F48" s="48">
        <f>_xll.qlRateHelperQuoteValue($E48,Trigger)</f>
        <v>99.057500000000005</v>
      </c>
      <c r="G48" s="33">
        <f>_xll.qlFuturesRateHelperConvexityAdjustment($E48,Trigger)</f>
        <v>0</v>
      </c>
      <c r="H48" s="32" t="b">
        <v>1</v>
      </c>
      <c r="I48" s="32">
        <v>30</v>
      </c>
      <c r="J48" s="32">
        <v>21</v>
      </c>
      <c r="K48" s="31">
        <f>_xll.qlRateHelperEarliestDate($E48,Trigger)</f>
        <v>42725</v>
      </c>
      <c r="L48" s="30">
        <f>_xll.qlRateHelperLatestDate($E48,Trigger)</f>
        <v>42815</v>
      </c>
    </row>
    <row r="49" spans="1:12" x14ac:dyDescent="0.2">
      <c r="A49" s="35" t="b">
        <v>1</v>
      </c>
      <c r="B49" s="36"/>
      <c r="C49" s="35" t="str">
        <f t="shared" si="3"/>
        <v>FUT3M</v>
      </c>
      <c r="D49" s="34" t="str">
        <v>H7</v>
      </c>
      <c r="E49" s="34" t="str">
        <f>Futures_3M!I23</f>
        <v>EUR_YC3MRH_FUT3MH7#0002</v>
      </c>
      <c r="F49" s="48">
        <f>_xll.qlRateHelperQuoteValue($E49,Trigger)</f>
        <v>98.932500000000005</v>
      </c>
      <c r="G49" s="33">
        <f>_xll.qlFuturesRateHelperConvexityAdjustment($E49,Trigger)</f>
        <v>0</v>
      </c>
      <c r="H49" s="32" t="b">
        <v>1</v>
      </c>
      <c r="I49" s="32">
        <v>30</v>
      </c>
      <c r="J49" s="32">
        <v>21</v>
      </c>
      <c r="K49" s="31">
        <f>_xll.qlRateHelperEarliestDate($E49,Trigger)</f>
        <v>42809</v>
      </c>
      <c r="L49" s="30">
        <f>_xll.qlRateHelperLatestDate($E49,Trigger)</f>
        <v>42901</v>
      </c>
    </row>
    <row r="50" spans="1:12" x14ac:dyDescent="0.2">
      <c r="A50" s="35" t="b">
        <v>1</v>
      </c>
      <c r="B50" s="36"/>
      <c r="C50" s="35" t="str">
        <f t="shared" si="3"/>
        <v>FUT3M</v>
      </c>
      <c r="D50" s="34" t="str">
        <v>M7</v>
      </c>
      <c r="E50" s="34" t="str">
        <f>Futures_3M!I24</f>
        <v>EUR_YC3MRH_FUT3MM7#0002</v>
      </c>
      <c r="F50" s="48">
        <f>_xll.qlRateHelperQuoteValue($E50,Trigger)</f>
        <v>98.797499999999999</v>
      </c>
      <c r="G50" s="33">
        <f>_xll.qlFuturesRateHelperConvexityAdjustment($E50,Trigger)</f>
        <v>0</v>
      </c>
      <c r="H50" s="32" t="b">
        <v>1</v>
      </c>
      <c r="I50" s="32">
        <v>30</v>
      </c>
      <c r="J50" s="32">
        <v>21</v>
      </c>
      <c r="K50" s="31">
        <f>_xll.qlRateHelperEarliestDate($E50,Trigger)</f>
        <v>42907</v>
      </c>
      <c r="L50" s="30">
        <f>_xll.qlRateHelperLatestDate($E50,Trigger)</f>
        <v>42999</v>
      </c>
    </row>
    <row r="51" spans="1:12" x14ac:dyDescent="0.2">
      <c r="A51" s="35" t="b">
        <v>1</v>
      </c>
      <c r="B51" s="36"/>
      <c r="C51" s="35" t="str">
        <f t="shared" si="3"/>
        <v>FUT3M</v>
      </c>
      <c r="D51" s="34" t="str">
        <v>U7</v>
      </c>
      <c r="E51" s="34" t="str">
        <f>Futures_3M!I25</f>
        <v>EUR_YC3MRH_FUT3MU7#0002</v>
      </c>
      <c r="F51" s="48">
        <f>_xll.qlRateHelperQuoteValue($E51,Trigger)</f>
        <v>98.67</v>
      </c>
      <c r="G51" s="33">
        <f>_xll.qlFuturesRateHelperConvexityAdjustment($E51,Trigger)</f>
        <v>0</v>
      </c>
      <c r="H51" s="32" t="b">
        <v>1</v>
      </c>
      <c r="I51" s="32">
        <v>30</v>
      </c>
      <c r="J51" s="32">
        <v>21</v>
      </c>
      <c r="K51" s="31">
        <f>_xll.qlRateHelperEarliestDate($E51,Trigger)</f>
        <v>42998</v>
      </c>
      <c r="L51" s="30">
        <f>_xll.qlRateHelperLatestDate($E51,Trigger)</f>
        <v>43089</v>
      </c>
    </row>
    <row r="52" spans="1:12" x14ac:dyDescent="0.2">
      <c r="A52" s="35" t="b">
        <v>1</v>
      </c>
      <c r="B52" s="36"/>
      <c r="C52" s="35" t="str">
        <f t="shared" si="3"/>
        <v>FUT3M</v>
      </c>
      <c r="D52" s="34" t="str">
        <v>Z7</v>
      </c>
      <c r="E52" s="34" t="str">
        <f>Futures_3M!I26</f>
        <v>EUR_YC3MRH_FUT3MZ7#0002</v>
      </c>
      <c r="F52" s="48">
        <f>_xll.qlRateHelperQuoteValue($E52,Trigger)</f>
        <v>98.547499999999999</v>
      </c>
      <c r="G52" s="33">
        <f>_xll.qlFuturesRateHelperConvexityAdjustment($E52,Trigger)</f>
        <v>0</v>
      </c>
      <c r="H52" s="32" t="b">
        <v>1</v>
      </c>
      <c r="I52" s="32">
        <v>30</v>
      </c>
      <c r="J52" s="32">
        <v>21</v>
      </c>
      <c r="K52" s="31">
        <f>_xll.qlRateHelperEarliestDate($E52,Trigger)</f>
        <v>43089</v>
      </c>
      <c r="L52" s="30">
        <f>_xll.qlRateHelperLatestDate($E52,Trigger)</f>
        <v>43179</v>
      </c>
    </row>
    <row r="53" spans="1:12" x14ac:dyDescent="0.2">
      <c r="A53" s="35" t="b">
        <v>1</v>
      </c>
      <c r="B53" s="36"/>
      <c r="C53" s="35" t="str">
        <f t="shared" si="3"/>
        <v>FUT3M</v>
      </c>
      <c r="D53" s="34" t="str">
        <v>H8</v>
      </c>
      <c r="E53" s="34" t="str">
        <f>Futures_3M!I27</f>
        <v>EUR_YC3MRH_FUT3MH8#0002</v>
      </c>
      <c r="F53" s="48">
        <f>_xll.qlRateHelperQuoteValue($E53,Trigger)</f>
        <v>98.442499999999995</v>
      </c>
      <c r="G53" s="33">
        <f>_xll.qlFuturesRateHelperConvexityAdjustment($E53,Trigger)</f>
        <v>0</v>
      </c>
      <c r="H53" s="32" t="b">
        <v>1</v>
      </c>
      <c r="I53" s="32">
        <v>30</v>
      </c>
      <c r="J53" s="32">
        <v>21</v>
      </c>
      <c r="K53" s="31">
        <f>_xll.qlRateHelperEarliestDate($E53,Trigger)</f>
        <v>43180</v>
      </c>
      <c r="L53" s="30">
        <f>_xll.qlRateHelperLatestDate($E53,Trigger)</f>
        <v>43272</v>
      </c>
    </row>
    <row r="54" spans="1:12" x14ac:dyDescent="0.2">
      <c r="A54" s="35" t="b">
        <v>1</v>
      </c>
      <c r="B54" s="36"/>
      <c r="C54" s="35" t="str">
        <f t="shared" si="3"/>
        <v>FUT3M</v>
      </c>
      <c r="D54" s="34" t="str">
        <v>M8</v>
      </c>
      <c r="E54" s="34" t="str">
        <f>Futures_3M!I28</f>
        <v>EUR_YC3MRH_FUT3MM8#0002</v>
      </c>
      <c r="F54" s="48">
        <f>_xll.qlRateHelperQuoteValue($E54,Trigger)</f>
        <v>98.335000000000008</v>
      </c>
      <c r="G54" s="33">
        <f>_xll.qlFuturesRateHelperConvexityAdjustment($E54,Trigger)</f>
        <v>0</v>
      </c>
      <c r="H54" s="32" t="b">
        <v>1</v>
      </c>
      <c r="I54" s="32">
        <v>30</v>
      </c>
      <c r="J54" s="32">
        <v>21</v>
      </c>
      <c r="K54" s="31">
        <f>_xll.qlRateHelperEarliestDate($E54,Trigger)</f>
        <v>43271</v>
      </c>
      <c r="L54" s="30">
        <f>_xll.qlRateHelperLatestDate($E54,Trigger)</f>
        <v>43363</v>
      </c>
    </row>
    <row r="55" spans="1:12" x14ac:dyDescent="0.2">
      <c r="A55" s="35" t="b">
        <v>1</v>
      </c>
      <c r="B55" s="36"/>
      <c r="C55" s="35" t="str">
        <f t="shared" si="3"/>
        <v>FUT3M</v>
      </c>
      <c r="D55" s="34" t="str">
        <v>U8</v>
      </c>
      <c r="E55" s="34" t="str">
        <f>Futures_3M!I29</f>
        <v>EUR_YC3MRH_FUT3MU8#0002</v>
      </c>
      <c r="F55" s="48">
        <f>_xll.qlRateHelperQuoteValue($E55,Trigger)</f>
        <v>98.232499999999987</v>
      </c>
      <c r="G55" s="33">
        <f>_xll.qlFuturesRateHelperConvexityAdjustment($E55,Trigger)</f>
        <v>0</v>
      </c>
      <c r="H55" s="32" t="b">
        <v>1</v>
      </c>
      <c r="I55" s="32">
        <v>30</v>
      </c>
      <c r="J55" s="32">
        <v>21</v>
      </c>
      <c r="K55" s="31">
        <f>_xll.qlRateHelperEarliestDate($E55,Trigger)</f>
        <v>43362</v>
      </c>
      <c r="L55" s="30">
        <f>_xll.qlRateHelperLatestDate($E55,Trigger)</f>
        <v>43453</v>
      </c>
    </row>
    <row r="56" spans="1:12" x14ac:dyDescent="0.2">
      <c r="A56" s="35" t="b">
        <v>1</v>
      </c>
      <c r="B56" s="36"/>
      <c r="C56" s="35" t="str">
        <f t="shared" si="3"/>
        <v>FUT3M</v>
      </c>
      <c r="D56" s="34" t="str">
        <v>Z8</v>
      </c>
      <c r="E56" s="34" t="str">
        <f>Futures_3M!I30</f>
        <v>EUR_YC3MRH_FUT3MZ8#0002</v>
      </c>
      <c r="F56" s="48">
        <f>_xll.qlRateHelperQuoteValue($E56,Trigger)</f>
        <v>98.117500000000007</v>
      </c>
      <c r="G56" s="33">
        <f>_xll.qlFuturesRateHelperConvexityAdjustment($E56,Trigger)</f>
        <v>0</v>
      </c>
      <c r="H56" s="32" t="b">
        <v>1</v>
      </c>
      <c r="I56" s="32">
        <v>30</v>
      </c>
      <c r="J56" s="32">
        <v>21</v>
      </c>
      <c r="K56" s="31">
        <f>_xll.qlRateHelperEarliestDate($E56,Trigger)</f>
        <v>43453</v>
      </c>
      <c r="L56" s="30">
        <f>_xll.qlRateHelperLatestDate($E56,Trigger)</f>
        <v>43543</v>
      </c>
    </row>
    <row r="57" spans="1:12" x14ac:dyDescent="0.2">
      <c r="A57" s="35" t="b">
        <v>1</v>
      </c>
      <c r="B57" s="36"/>
      <c r="C57" s="35" t="str">
        <f t="shared" si="3"/>
        <v>FUT3M</v>
      </c>
      <c r="D57" s="34" t="str">
        <v>H9</v>
      </c>
      <c r="E57" s="34" t="str">
        <f>Futures_3M!I31</f>
        <v>EUR_YC3MRH_FUT3MH9#0002</v>
      </c>
      <c r="F57" s="48">
        <f>_xll.qlRateHelperQuoteValue($E57,Trigger)</f>
        <v>98.012500000000003</v>
      </c>
      <c r="G57" s="33">
        <f>_xll.qlFuturesRateHelperConvexityAdjustment($E57,Trigger)</f>
        <v>0</v>
      </c>
      <c r="H57" s="32" t="b">
        <v>1</v>
      </c>
      <c r="I57" s="32">
        <v>30</v>
      </c>
      <c r="J57" s="32">
        <v>21</v>
      </c>
      <c r="K57" s="31">
        <f>_xll.qlRateHelperEarliestDate($E57,Trigger)</f>
        <v>43544</v>
      </c>
      <c r="L57" s="30">
        <f>_xll.qlRateHelperLatestDate($E57,Trigger)</f>
        <v>43636</v>
      </c>
    </row>
    <row r="58" spans="1:12" x14ac:dyDescent="0.2">
      <c r="A58" s="35" t="b">
        <v>1</v>
      </c>
      <c r="B58" s="36"/>
      <c r="C58" s="35" t="str">
        <f t="shared" si="3"/>
        <v>FUT3M</v>
      </c>
      <c r="D58" s="34" t="str">
        <v>M9</v>
      </c>
      <c r="E58" s="34" t="str">
        <f>Futures_3M!I32</f>
        <v>EUR_YC3MRH_FUT3MM9#0002</v>
      </c>
      <c r="F58" s="48">
        <f>_xll.qlRateHelperQuoteValue($E58,Trigger)</f>
        <v>97.91</v>
      </c>
      <c r="G58" s="33">
        <f>_xll.qlFuturesRateHelperConvexityAdjustment($E58,Trigger)</f>
        <v>0</v>
      </c>
      <c r="H58" s="32" t="b">
        <v>1</v>
      </c>
      <c r="I58" s="32">
        <v>30</v>
      </c>
      <c r="J58" s="32">
        <v>21</v>
      </c>
      <c r="K58" s="31">
        <f>_xll.qlRateHelperEarliestDate($E58,Trigger)</f>
        <v>43635</v>
      </c>
      <c r="L58" s="30">
        <f>_xll.qlRateHelperLatestDate($E58,Trigger)</f>
        <v>43727</v>
      </c>
    </row>
    <row r="59" spans="1:12" x14ac:dyDescent="0.2">
      <c r="A59" s="35" t="b">
        <v>1</v>
      </c>
      <c r="B59" s="36"/>
      <c r="C59" s="35" t="str">
        <f t="shared" si="3"/>
        <v>FUT3M</v>
      </c>
      <c r="D59" s="34" t="str">
        <v>U9</v>
      </c>
      <c r="E59" s="34" t="str">
        <f>Futures_3M!I33</f>
        <v>EUR_YC3MRH_FUT3MU9#0002</v>
      </c>
      <c r="F59" s="48">
        <f>_xll.qlRateHelperQuoteValue($E59,Trigger)</f>
        <v>97.81</v>
      </c>
      <c r="G59" s="33">
        <f>_xll.qlFuturesRateHelperConvexityAdjustment($E59,Trigger)</f>
        <v>0</v>
      </c>
      <c r="H59" s="32" t="b">
        <v>1</v>
      </c>
      <c r="I59" s="32">
        <v>30</v>
      </c>
      <c r="J59" s="32">
        <v>21</v>
      </c>
      <c r="K59" s="31">
        <f>_xll.qlRateHelperEarliestDate($E59,Trigger)</f>
        <v>43726</v>
      </c>
      <c r="L59" s="30">
        <f>_xll.qlRateHelperLatestDate($E59,Trigger)</f>
        <v>43817</v>
      </c>
    </row>
    <row r="60" spans="1:12" x14ac:dyDescent="0.2">
      <c r="A60" s="35" t="b">
        <v>1</v>
      </c>
      <c r="B60" s="36"/>
      <c r="C60" s="35" t="str">
        <f t="shared" si="3"/>
        <v>FUT3M</v>
      </c>
      <c r="D60" s="34" t="str">
        <v>Z9</v>
      </c>
      <c r="E60" s="34" t="str">
        <f>Futures_3M!I34</f>
        <v>EUR_YC3MRH_FUT3MZ9#0002</v>
      </c>
      <c r="F60" s="48">
        <f>_xll.qlRateHelperQuoteValue($E60,Trigger)</f>
        <v>97.715000000000003</v>
      </c>
      <c r="G60" s="33">
        <f>_xll.qlFuturesRateHelperConvexityAdjustment($E60,Trigger)</f>
        <v>0</v>
      </c>
      <c r="H60" s="32" t="b">
        <v>1</v>
      </c>
      <c r="I60" s="32">
        <v>30</v>
      </c>
      <c r="J60" s="32">
        <v>21</v>
      </c>
      <c r="K60" s="31">
        <f>_xll.qlRateHelperEarliestDate($E60,Trigger)</f>
        <v>43817</v>
      </c>
      <c r="L60" s="30">
        <f>_xll.qlRateHelperLatestDate($E60,Trigger)</f>
        <v>43908</v>
      </c>
    </row>
    <row r="61" spans="1:12" x14ac:dyDescent="0.2">
      <c r="A61" s="35" t="b">
        <v>1</v>
      </c>
      <c r="B61" s="36"/>
      <c r="C61" s="35" t="str">
        <f t="shared" si="3"/>
        <v>FUT3M</v>
      </c>
      <c r="D61" s="34" t="str">
        <v>H0</v>
      </c>
      <c r="E61" s="34" t="str">
        <f>Futures_3M!I35</f>
        <v>EUR_YC3MRH_FUT3MH0#0002</v>
      </c>
      <c r="F61" s="48" t="e">
        <f>_xll.qlRateHelperQuoteValue($E61,Trigger)</f>
        <v>#NUM!</v>
      </c>
      <c r="G61" s="33" t="e">
        <f>_xll.qlFuturesRateHelperConvexityAdjustment($E61,Trigger)</f>
        <v>#NUM!</v>
      </c>
      <c r="H61" s="32" t="b">
        <v>1</v>
      </c>
      <c r="I61" s="32">
        <v>30</v>
      </c>
      <c r="J61" s="32">
        <v>21</v>
      </c>
      <c r="K61" s="31">
        <f>_xll.qlRateHelperEarliestDate($E61,Trigger)</f>
        <v>43908</v>
      </c>
      <c r="L61" s="30">
        <f>_xll.qlRateHelperLatestDate($E61,Trigger)</f>
        <v>44000</v>
      </c>
    </row>
    <row r="62" spans="1:12" x14ac:dyDescent="0.2">
      <c r="A62" s="35" t="b">
        <v>1</v>
      </c>
      <c r="B62" s="36"/>
      <c r="C62" s="35" t="str">
        <f t="shared" si="3"/>
        <v>FUT3M</v>
      </c>
      <c r="D62" s="34" t="str">
        <v>M0</v>
      </c>
      <c r="E62" s="34" t="str">
        <f>Futures_3M!I36</f>
        <v>EUR_YC3MRH_FUT3MM0#0002</v>
      </c>
      <c r="F62" s="48" t="e">
        <f>_xll.qlRateHelperQuoteValue($E62,Trigger)</f>
        <v>#NUM!</v>
      </c>
      <c r="G62" s="33" t="e">
        <f>_xll.qlFuturesRateHelperConvexityAdjustment($E62,Trigger)</f>
        <v>#NUM!</v>
      </c>
      <c r="H62" s="32" t="b">
        <v>1</v>
      </c>
      <c r="I62" s="32">
        <v>30</v>
      </c>
      <c r="J62" s="32">
        <v>21</v>
      </c>
      <c r="K62" s="31">
        <f>_xll.qlRateHelperEarliestDate($E62,Trigger)</f>
        <v>43999</v>
      </c>
      <c r="L62" s="30">
        <f>_xll.qlRateHelperLatestDate($E62,Trigger)</f>
        <v>44091</v>
      </c>
    </row>
    <row r="63" spans="1:12" x14ac:dyDescent="0.2">
      <c r="A63" s="35" t="b">
        <v>1</v>
      </c>
      <c r="B63" s="36"/>
      <c r="C63" s="35" t="str">
        <f t="shared" si="3"/>
        <v>FUT3M</v>
      </c>
      <c r="D63" s="34" t="str">
        <v>U0</v>
      </c>
      <c r="E63" s="34" t="str">
        <f>Futures_3M!I37</f>
        <v>EUR_YC3MRH_FUT3MU0#0002</v>
      </c>
      <c r="F63" s="48" t="e">
        <f>_xll.qlRateHelperQuoteValue($E63,Trigger)</f>
        <v>#NUM!</v>
      </c>
      <c r="G63" s="33" t="e">
        <f>_xll.qlFuturesRateHelperConvexityAdjustment($E63,Trigger)</f>
        <v>#NUM!</v>
      </c>
      <c r="H63" s="32" t="b">
        <v>1</v>
      </c>
      <c r="I63" s="32">
        <v>30</v>
      </c>
      <c r="J63" s="32">
        <v>21</v>
      </c>
      <c r="K63" s="31">
        <f>_xll.qlRateHelperEarliestDate($E63,Trigger)</f>
        <v>44090</v>
      </c>
      <c r="L63" s="30">
        <f>_xll.qlRateHelperLatestDate($E63,Trigger)</f>
        <v>44181</v>
      </c>
    </row>
    <row r="64" spans="1:12" x14ac:dyDescent="0.2">
      <c r="A64" s="35" t="b">
        <v>1</v>
      </c>
      <c r="B64" s="36"/>
      <c r="C64" s="35" t="str">
        <f t="shared" si="3"/>
        <v>FUT3M</v>
      </c>
      <c r="D64" s="34" t="str">
        <v>Z0</v>
      </c>
      <c r="E64" s="34" t="str">
        <f>Futures_3M!I38</f>
        <v>EUR_YC3MRH_FUT3MZ0#0002</v>
      </c>
      <c r="F64" s="48" t="e">
        <f>_xll.qlRateHelperQuoteValue($E64,Trigger)</f>
        <v>#NUM!</v>
      </c>
      <c r="G64" s="33" t="e">
        <f>_xll.qlFuturesRateHelperConvexityAdjustment($E64,Trigger)</f>
        <v>#NUM!</v>
      </c>
      <c r="H64" s="32" t="b">
        <v>1</v>
      </c>
      <c r="I64" s="32">
        <v>30</v>
      </c>
      <c r="J64" s="32">
        <v>21</v>
      </c>
      <c r="K64" s="31">
        <f>_xll.qlRateHelperEarliestDate($E64,Trigger)</f>
        <v>44181</v>
      </c>
      <c r="L64" s="30">
        <f>_xll.qlRateHelperLatestDate($E64,Trigger)</f>
        <v>44271</v>
      </c>
    </row>
    <row r="65" spans="1:13" x14ac:dyDescent="0.2">
      <c r="A65" s="35" t="b">
        <v>1</v>
      </c>
      <c r="B65" s="36"/>
      <c r="C65" s="35" t="str">
        <f t="shared" si="3"/>
        <v>FUT3M</v>
      </c>
      <c r="D65" s="34" t="str">
        <v>H1</v>
      </c>
      <c r="E65" s="34" t="str">
        <f>Futures_3M!I39</f>
        <v>EUR_YC3MRH_FUT3MH1#0002</v>
      </c>
      <c r="F65" s="48" t="e">
        <f>_xll.qlRateHelperQuoteValue($E65,Trigger)</f>
        <v>#NUM!</v>
      </c>
      <c r="G65" s="33" t="e">
        <f>_xll.qlFuturesRateHelperConvexityAdjustment($E65,Trigger)</f>
        <v>#NUM!</v>
      </c>
      <c r="H65" s="32" t="b">
        <v>1</v>
      </c>
      <c r="I65" s="32">
        <v>30</v>
      </c>
      <c r="J65" s="32">
        <v>21</v>
      </c>
      <c r="K65" s="31">
        <f>_xll.qlRateHelperEarliestDate($E65,Trigger)</f>
        <v>44272</v>
      </c>
      <c r="L65" s="30">
        <f>_xll.qlRateHelperLatestDate($E65,Trigger)</f>
        <v>44364</v>
      </c>
    </row>
    <row r="66" spans="1:13" x14ac:dyDescent="0.2">
      <c r="A66" s="35" t="b">
        <v>1</v>
      </c>
      <c r="B66" s="36"/>
      <c r="C66" s="35" t="str">
        <f t="shared" si="3"/>
        <v>FUT3M</v>
      </c>
      <c r="D66" s="34" t="str">
        <v>M1</v>
      </c>
      <c r="E66" s="34" t="str">
        <f>Futures_3M!I40</f>
        <v>EUR_YC3MRH_FUT3MM1#0002</v>
      </c>
      <c r="F66" s="48" t="e">
        <f>_xll.qlRateHelperQuoteValue($E66,Trigger)</f>
        <v>#NUM!</v>
      </c>
      <c r="G66" s="33" t="e">
        <f>_xll.qlFuturesRateHelperConvexityAdjustment($E66,Trigger)</f>
        <v>#NUM!</v>
      </c>
      <c r="H66" s="32" t="b">
        <v>1</v>
      </c>
      <c r="I66" s="32">
        <v>30</v>
      </c>
      <c r="J66" s="32">
        <v>21</v>
      </c>
      <c r="K66" s="31">
        <f>_xll.qlRateHelperEarliestDate($E66,Trigger)</f>
        <v>44363</v>
      </c>
      <c r="L66" s="30">
        <f>_xll.qlRateHelperLatestDate($E66,Trigger)</f>
        <v>44455</v>
      </c>
    </row>
    <row r="67" spans="1:13" x14ac:dyDescent="0.2">
      <c r="A67" s="35" t="b">
        <v>1</v>
      </c>
      <c r="B67" s="36"/>
      <c r="C67" s="35" t="str">
        <f t="shared" si="3"/>
        <v>FUT3M</v>
      </c>
      <c r="D67" s="34" t="str">
        <v>U1</v>
      </c>
      <c r="E67" s="34" t="str">
        <f>Futures_3M!I41</f>
        <v>EUR_YC3MRH_FUT3MU1#0002</v>
      </c>
      <c r="F67" s="48" t="e">
        <f>_xll.qlRateHelperQuoteValue($E67,Trigger)</f>
        <v>#NUM!</v>
      </c>
      <c r="G67" s="33" t="e">
        <f>_xll.qlFuturesRateHelperConvexityAdjustment($E67,Trigger)</f>
        <v>#NUM!</v>
      </c>
      <c r="H67" s="32" t="b">
        <v>1</v>
      </c>
      <c r="I67" s="32">
        <v>30</v>
      </c>
      <c r="J67" s="32">
        <v>21</v>
      </c>
      <c r="K67" s="31">
        <f>_xll.qlRateHelperEarliestDate($E67,Trigger)</f>
        <v>44454</v>
      </c>
      <c r="L67" s="30">
        <f>_xll.qlRateHelperLatestDate($E67,Trigger)</f>
        <v>44545</v>
      </c>
    </row>
    <row r="68" spans="1:13" x14ac:dyDescent="0.2">
      <c r="A68" s="35" t="b">
        <v>1</v>
      </c>
      <c r="B68" s="36"/>
      <c r="C68" s="35" t="str">
        <f t="shared" si="3"/>
        <v>FUT3M</v>
      </c>
      <c r="D68" s="34" t="str">
        <v>Z1</v>
      </c>
      <c r="E68" s="34" t="str">
        <f>Futures_3M!I42</f>
        <v>EUR_YC3MRH_FUT3MZ1#0002</v>
      </c>
      <c r="F68" s="48" t="e">
        <f>_xll.qlRateHelperQuoteValue($E68,Trigger)</f>
        <v>#NUM!</v>
      </c>
      <c r="G68" s="33" t="e">
        <f>_xll.qlFuturesRateHelperConvexityAdjustment($E68,Trigger)</f>
        <v>#NUM!</v>
      </c>
      <c r="H68" s="32" t="b">
        <v>1</v>
      </c>
      <c r="I68" s="32">
        <v>30</v>
      </c>
      <c r="J68" s="32">
        <v>21</v>
      </c>
      <c r="K68" s="31">
        <f>_xll.qlRateHelperEarliestDate($E68,Trigger)</f>
        <v>44545</v>
      </c>
      <c r="L68" s="30">
        <f>_xll.qlRateHelperLatestDate($E68,Trigger)</f>
        <v>44635</v>
      </c>
    </row>
    <row r="69" spans="1:13" x14ac:dyDescent="0.2">
      <c r="A69" s="35" t="b">
        <v>1</v>
      </c>
      <c r="B69" s="36"/>
      <c r="C69" s="35" t="str">
        <f t="shared" si="3"/>
        <v>FUT3M</v>
      </c>
      <c r="D69" s="34" t="str">
        <v>H2</v>
      </c>
      <c r="E69" s="34" t="str">
        <f>Futures_3M!I43</f>
        <v>EUR_YC3MRH_FUT3MH2#0002</v>
      </c>
      <c r="F69" s="48" t="e">
        <f>_xll.qlRateHelperQuoteValue($E69,Trigger)</f>
        <v>#NUM!</v>
      </c>
      <c r="G69" s="33" t="e">
        <f>_xll.qlFuturesRateHelperConvexityAdjustment($E69,Trigger)</f>
        <v>#NUM!</v>
      </c>
      <c r="H69" s="32" t="b">
        <v>1</v>
      </c>
      <c r="I69" s="32">
        <v>30</v>
      </c>
      <c r="J69" s="32">
        <v>21</v>
      </c>
      <c r="K69" s="31">
        <f>_xll.qlRateHelperEarliestDate($E69,Trigger)</f>
        <v>44636</v>
      </c>
      <c r="L69" s="30">
        <f>_xll.qlRateHelperLatestDate($E69,Trigger)</f>
        <v>44728</v>
      </c>
    </row>
    <row r="70" spans="1:13" x14ac:dyDescent="0.2">
      <c r="A70" s="28" t="b">
        <v>1</v>
      </c>
      <c r="B70" s="29"/>
      <c r="C70" s="28" t="str">
        <f t="shared" si="3"/>
        <v>FUT3M</v>
      </c>
      <c r="D70" s="27" t="str">
        <v>M2</v>
      </c>
      <c r="E70" s="27" t="str">
        <f>Futures_3M!I44</f>
        <v>EUR_YC3MRH_FUT3MM2#0002</v>
      </c>
      <c r="F70" s="47" t="e">
        <f>_xll.qlRateHelperQuoteValue($E70,Trigger)</f>
        <v>#NUM!</v>
      </c>
      <c r="G70" s="26" t="e">
        <f>_xll.qlFuturesRateHelperConvexityAdjustment($E70,Trigger)</f>
        <v>#NUM!</v>
      </c>
      <c r="H70" s="25" t="b">
        <v>1</v>
      </c>
      <c r="I70" s="25">
        <v>30</v>
      </c>
      <c r="J70" s="32">
        <v>21</v>
      </c>
      <c r="K70" s="24">
        <f>_xll.qlRateHelperEarliestDate($E70,Trigger)</f>
        <v>44727</v>
      </c>
      <c r="L70" s="23">
        <f>_xll.qlRateHelperLatestDate($E70,Trigger)</f>
        <v>44819</v>
      </c>
      <c r="M70" s="46"/>
    </row>
    <row r="71" spans="1:13" ht="11.25" customHeight="1" x14ac:dyDescent="0.2">
      <c r="B71" s="44">
        <v>2</v>
      </c>
      <c r="C71" s="43"/>
      <c r="D71" s="42" t="s">
        <v>52</v>
      </c>
      <c r="E71" s="42" t="str">
        <f t="shared" ref="E71:E88" si="4">RateHelperPrefix&amp;"_"&amp;$B71&amp;$C71&amp;$D71</f>
        <v>EUR_YC3MRH_2X1S</v>
      </c>
      <c r="F71" s="41" t="e">
        <f>_xll.qlRateHelperQuoteValue($E71,Trigger)</f>
        <v>#NUM!</v>
      </c>
      <c r="G71" s="41" t="e">
        <f>_xll.qlSwapRateHelperSpread($E71,Trigger)</f>
        <v>#NUM!</v>
      </c>
      <c r="H71" s="40" t="b">
        <v>0</v>
      </c>
      <c r="I71" s="40">
        <v>40</v>
      </c>
      <c r="J71" s="40">
        <v>1</v>
      </c>
      <c r="K71" s="39" t="e">
        <f>_xll.qlRateHelperEarliestDate($E71,Trigger)</f>
        <v>#NUM!</v>
      </c>
      <c r="L71" s="38" t="e">
        <f>_xll.qlRateHelperLatestDate($E71,Trigger)</f>
        <v>#NUM!</v>
      </c>
      <c r="M71" s="37"/>
    </row>
    <row r="72" spans="1:13" x14ac:dyDescent="0.2">
      <c r="B72" s="36">
        <v>3</v>
      </c>
      <c r="C72" s="35"/>
      <c r="D72" s="34" t="s">
        <v>52</v>
      </c>
      <c r="E72" s="34" t="str">
        <f t="shared" si="4"/>
        <v>EUR_YC3MRH_3X1S</v>
      </c>
      <c r="F72" s="33" t="e">
        <f>_xll.qlRateHelperQuoteValue($E72,Trigger)</f>
        <v>#NUM!</v>
      </c>
      <c r="G72" s="33" t="e">
        <f>_xll.qlSwapRateHelperSpread($E72,Trigger)</f>
        <v>#NUM!</v>
      </c>
      <c r="H72" s="32" t="b">
        <v>0</v>
      </c>
      <c r="I72" s="32">
        <v>40</v>
      </c>
      <c r="J72" s="32">
        <v>1</v>
      </c>
      <c r="K72" s="31" t="e">
        <f>_xll.qlRateHelperEarliestDate($E72,Trigger)</f>
        <v>#NUM!</v>
      </c>
      <c r="L72" s="30" t="e">
        <f>_xll.qlRateHelperLatestDate($E72,Trigger)</f>
        <v>#NUM!</v>
      </c>
      <c r="M72" s="45"/>
    </row>
    <row r="73" spans="1:13" x14ac:dyDescent="0.2">
      <c r="B73" s="36">
        <v>4</v>
      </c>
      <c r="C73" s="35"/>
      <c r="D73" s="34" t="s">
        <v>52</v>
      </c>
      <c r="E73" s="34" t="str">
        <f t="shared" si="4"/>
        <v>EUR_YC3MRH_4X1S</v>
      </c>
      <c r="F73" s="33" t="e">
        <f>_xll.qlRateHelperQuoteValue($E73,Trigger)</f>
        <v>#NUM!</v>
      </c>
      <c r="G73" s="33" t="e">
        <f>_xll.qlSwapRateHelperSpread($E73,Trigger)</f>
        <v>#NUM!</v>
      </c>
      <c r="H73" s="32" t="b">
        <v>0</v>
      </c>
      <c r="I73" s="32">
        <v>40</v>
      </c>
      <c r="J73" s="32">
        <v>1</v>
      </c>
      <c r="K73" s="31" t="e">
        <f>_xll.qlRateHelperEarliestDate($E73,Trigger)</f>
        <v>#NUM!</v>
      </c>
      <c r="L73" s="30" t="e">
        <f>_xll.qlRateHelperLatestDate($E73,Trigger)</f>
        <v>#NUM!</v>
      </c>
    </row>
    <row r="74" spans="1:13" x14ac:dyDescent="0.2">
      <c r="B74" s="36">
        <v>5</v>
      </c>
      <c r="C74" s="35"/>
      <c r="D74" s="34" t="s">
        <v>52</v>
      </c>
      <c r="E74" s="34" t="str">
        <f t="shared" si="4"/>
        <v>EUR_YC3MRH_5X1S</v>
      </c>
      <c r="F74" s="33" t="e">
        <f>_xll.qlRateHelperQuoteValue($E74,Trigger)</f>
        <v>#NUM!</v>
      </c>
      <c r="G74" s="33" t="e">
        <f>_xll.qlSwapRateHelperSpread($E74,Trigger)</f>
        <v>#NUM!</v>
      </c>
      <c r="H74" s="32" t="b">
        <v>0</v>
      </c>
      <c r="I74" s="32">
        <v>40</v>
      </c>
      <c r="J74" s="32">
        <v>1</v>
      </c>
      <c r="K74" s="31" t="e">
        <f>_xll.qlRateHelperEarliestDate($E74,Trigger)</f>
        <v>#NUM!</v>
      </c>
      <c r="L74" s="30" t="e">
        <f>_xll.qlRateHelperLatestDate($E74,Trigger)</f>
        <v>#NUM!</v>
      </c>
    </row>
    <row r="75" spans="1:13" ht="11.25" customHeight="1" x14ac:dyDescent="0.2">
      <c r="B75" s="36">
        <v>6</v>
      </c>
      <c r="C75" s="35"/>
      <c r="D75" s="34" t="s">
        <v>52</v>
      </c>
      <c r="E75" s="34" t="str">
        <f t="shared" si="4"/>
        <v>EUR_YC3MRH_6X1S</v>
      </c>
      <c r="F75" s="33" t="e">
        <f>_xll.qlRateHelperQuoteValue($E75,Trigger)</f>
        <v>#NUM!</v>
      </c>
      <c r="G75" s="33" t="e">
        <f>_xll.qlSwapRateHelperSpread($E75,Trigger)</f>
        <v>#NUM!</v>
      </c>
      <c r="H75" s="32" t="b">
        <v>0</v>
      </c>
      <c r="I75" s="32">
        <v>40</v>
      </c>
      <c r="J75" s="32">
        <v>1</v>
      </c>
      <c r="K75" s="31" t="e">
        <f>_xll.qlRateHelperEarliestDate($E75,Trigger)</f>
        <v>#NUM!</v>
      </c>
      <c r="L75" s="30" t="e">
        <f>_xll.qlRateHelperLatestDate($E75,Trigger)</f>
        <v>#NUM!</v>
      </c>
    </row>
    <row r="76" spans="1:13" x14ac:dyDescent="0.2">
      <c r="B76" s="36">
        <v>7</v>
      </c>
      <c r="C76" s="35"/>
      <c r="D76" s="34" t="s">
        <v>52</v>
      </c>
      <c r="E76" s="34" t="str">
        <f t="shared" si="4"/>
        <v>EUR_YC3MRH_7X1S</v>
      </c>
      <c r="F76" s="33" t="e">
        <f>_xll.qlRateHelperQuoteValue($E76,Trigger)</f>
        <v>#NUM!</v>
      </c>
      <c r="G76" s="33" t="e">
        <f>_xll.qlSwapRateHelperSpread($E76,Trigger)</f>
        <v>#NUM!</v>
      </c>
      <c r="H76" s="32" t="b">
        <v>0</v>
      </c>
      <c r="I76" s="32">
        <v>40</v>
      </c>
      <c r="J76" s="32">
        <v>1</v>
      </c>
      <c r="K76" s="31" t="e">
        <f>_xll.qlRateHelperEarliestDate($E76,Trigger)</f>
        <v>#NUM!</v>
      </c>
      <c r="L76" s="30" t="e">
        <f>_xll.qlRateHelperLatestDate($E76,Trigger)</f>
        <v>#NUM!</v>
      </c>
    </row>
    <row r="77" spans="1:13" x14ac:dyDescent="0.2">
      <c r="B77" s="36">
        <v>8</v>
      </c>
      <c r="C77" s="35"/>
      <c r="D77" s="34" t="s">
        <v>52</v>
      </c>
      <c r="E77" s="34" t="str">
        <f t="shared" si="4"/>
        <v>EUR_YC3MRH_8X1S</v>
      </c>
      <c r="F77" s="33" t="e">
        <f>_xll.qlRateHelperQuoteValue($E77,Trigger)</f>
        <v>#NUM!</v>
      </c>
      <c r="G77" s="33" t="e">
        <f>_xll.qlSwapRateHelperSpread($E77,Trigger)</f>
        <v>#NUM!</v>
      </c>
      <c r="H77" s="32" t="b">
        <v>0</v>
      </c>
      <c r="I77" s="32">
        <v>40</v>
      </c>
      <c r="J77" s="32">
        <v>1</v>
      </c>
      <c r="K77" s="31" t="e">
        <f>_xll.qlRateHelperEarliestDate($E77,Trigger)</f>
        <v>#NUM!</v>
      </c>
      <c r="L77" s="30" t="e">
        <f>_xll.qlRateHelperLatestDate($E77,Trigger)</f>
        <v>#NUM!</v>
      </c>
    </row>
    <row r="78" spans="1:13" ht="11.25" customHeight="1" x14ac:dyDescent="0.2">
      <c r="B78" s="36">
        <v>9</v>
      </c>
      <c r="C78" s="35"/>
      <c r="D78" s="34" t="s">
        <v>52</v>
      </c>
      <c r="E78" s="34" t="str">
        <f t="shared" si="4"/>
        <v>EUR_YC3MRH_9X1S</v>
      </c>
      <c r="F78" s="33" t="e">
        <f>_xll.qlRateHelperQuoteValue($E78,Trigger)</f>
        <v>#NUM!</v>
      </c>
      <c r="G78" s="33" t="e">
        <f>_xll.qlSwapRateHelperSpread($E78,Trigger)</f>
        <v>#NUM!</v>
      </c>
      <c r="H78" s="32" t="b">
        <v>0</v>
      </c>
      <c r="I78" s="32">
        <v>40</v>
      </c>
      <c r="J78" s="32">
        <v>1</v>
      </c>
      <c r="K78" s="31" t="e">
        <f>_xll.qlRateHelperEarliestDate($E78,Trigger)</f>
        <v>#NUM!</v>
      </c>
      <c r="L78" s="30" t="e">
        <f>_xll.qlRateHelperLatestDate($E78,Trigger)</f>
        <v>#NUM!</v>
      </c>
    </row>
    <row r="79" spans="1:13" x14ac:dyDescent="0.2">
      <c r="B79" s="36">
        <v>10</v>
      </c>
      <c r="C79" s="35"/>
      <c r="D79" s="34" t="s">
        <v>52</v>
      </c>
      <c r="E79" s="34" t="str">
        <f t="shared" si="4"/>
        <v>EUR_YC3MRH_10X1S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row>
    <row r="80" spans="1:13" x14ac:dyDescent="0.2">
      <c r="B80" s="36">
        <v>11</v>
      </c>
      <c r="C80" s="35"/>
      <c r="D80" s="34" t="s">
        <v>52</v>
      </c>
      <c r="E80" s="34" t="str">
        <f t="shared" si="4"/>
        <v>EUR_YC3MRH_11X1S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29">
        <v>12</v>
      </c>
      <c r="C81" s="28"/>
      <c r="D81" s="27" t="s">
        <v>52</v>
      </c>
      <c r="E81" s="27" t="str">
        <f t="shared" si="4"/>
        <v>EUR_YC3MRH_12X1S</v>
      </c>
      <c r="F81" s="26" t="e">
        <f>_xll.qlRateHelperQuoteValue($E81,Trigger)</f>
        <v>#NUM!</v>
      </c>
      <c r="G81" s="26" t="e">
        <f>_xll.qlSwapRateHelperSpread($E81,Trigger)</f>
        <v>#NUM!</v>
      </c>
      <c r="H81" s="25" t="b">
        <v>0</v>
      </c>
      <c r="I81" s="25">
        <v>40</v>
      </c>
      <c r="J81" s="32">
        <v>1</v>
      </c>
      <c r="K81" s="24" t="e">
        <f>_xll.qlRateHelperEarliestDate($E81,Trigger)</f>
        <v>#NUM!</v>
      </c>
      <c r="L81" s="23" t="e">
        <f>_xll.qlRateHelperLatestDate($E81,Trigger)</f>
        <v>#NUM!</v>
      </c>
    </row>
    <row r="82" spans="2:14" x14ac:dyDescent="0.2">
      <c r="B82" s="44" t="s">
        <v>48</v>
      </c>
      <c r="C82" s="43">
        <v>12</v>
      </c>
      <c r="D82" s="42"/>
      <c r="E82" s="42" t="str">
        <f t="shared" si="4"/>
        <v>EUR_YC3MRH_1S12</v>
      </c>
      <c r="F82" s="41">
        <f>_xll.qlRateHelperQuoteValue($E82,Trigger)</f>
        <v>2.5900000000000003E-3</v>
      </c>
      <c r="G82" s="41">
        <f>_xll.qlSwapRateHelperSpread($E82,Trigger)</f>
        <v>0</v>
      </c>
      <c r="H82" s="40" t="b">
        <v>0</v>
      </c>
      <c r="I82" s="40">
        <v>40</v>
      </c>
      <c r="J82" s="40">
        <v>1</v>
      </c>
      <c r="K82" s="39">
        <f>_xll.qlRateHelperEarliestDate($E82,Trigger)</f>
        <v>41704</v>
      </c>
      <c r="L82" s="38">
        <f>_xll.qlRateHelperLatestDate($E82,Trigger)</f>
        <v>42069</v>
      </c>
    </row>
    <row r="83" spans="2:14" x14ac:dyDescent="0.2">
      <c r="B83" s="36" t="s">
        <v>49</v>
      </c>
      <c r="C83" s="35">
        <v>12</v>
      </c>
      <c r="D83" s="34"/>
      <c r="E83" s="34" t="str">
        <f t="shared" si="4"/>
        <v>EUR_YC3MRH_2S12</v>
      </c>
      <c r="F83" s="33">
        <f>_xll.qlRateHelperQuoteValue($E83,Trigger)</f>
        <v>2.6900000000000001E-3</v>
      </c>
      <c r="G83" s="33">
        <f>_xll.qlSwapRateHelperSpread($E83,Trigger)</f>
        <v>0</v>
      </c>
      <c r="H83" s="32" t="b">
        <v>0</v>
      </c>
      <c r="I83" s="32">
        <v>40</v>
      </c>
      <c r="J83" s="32">
        <v>1</v>
      </c>
      <c r="K83" s="31">
        <f>_xll.qlRateHelperEarliestDate($E83,Trigger)</f>
        <v>41704</v>
      </c>
      <c r="L83" s="30">
        <f>_xll.qlRateHelperLatestDate($E83,Trigger)</f>
        <v>42069</v>
      </c>
    </row>
    <row r="84" spans="2:14" x14ac:dyDescent="0.2">
      <c r="B84" s="36" t="s">
        <v>51</v>
      </c>
      <c r="C84" s="35">
        <v>12</v>
      </c>
      <c r="D84" s="34"/>
      <c r="E84" s="34" t="str">
        <f t="shared" si="4"/>
        <v>EUR_YC3MRH_3S12</v>
      </c>
      <c r="F84" s="33">
        <f>_xll.qlRateHelperQuoteValue($E84,Trigger)</f>
        <v>2.9300000000000003E-3</v>
      </c>
      <c r="G84" s="33">
        <f>_xll.qlSwapRateHelperSpread($E84,Trigger)</f>
        <v>0</v>
      </c>
      <c r="H84" s="32" t="b">
        <v>0</v>
      </c>
      <c r="I84" s="32">
        <v>40</v>
      </c>
      <c r="J84" s="32">
        <v>1</v>
      </c>
      <c r="K84" s="31">
        <f>_xll.qlRateHelperEarliestDate($E84,Trigger)</f>
        <v>41704</v>
      </c>
      <c r="L84" s="30">
        <f>_xll.qlRateHelperLatestDate($E84,Trigger)</f>
        <v>42069</v>
      </c>
    </row>
    <row r="85" spans="2:14" x14ac:dyDescent="0.2">
      <c r="B85" s="36" t="s">
        <v>50</v>
      </c>
      <c r="C85" s="35">
        <v>12</v>
      </c>
      <c r="D85" s="34"/>
      <c r="E85" s="34" t="str">
        <f t="shared" si="4"/>
        <v>EUR_YC3MRH_4S12</v>
      </c>
      <c r="F85" s="33">
        <f>_xll.qlRateHelperQuoteValue($E85,Trigger)</f>
        <v>3.2999999999999995E-3</v>
      </c>
      <c r="G85" s="33">
        <f>_xll.qlSwapRateHelperSpread($E85,Trigger)</f>
        <v>0</v>
      </c>
      <c r="H85" s="32" t="b">
        <v>0</v>
      </c>
      <c r="I85" s="32">
        <v>40</v>
      </c>
      <c r="J85" s="32">
        <v>1</v>
      </c>
      <c r="K85" s="31">
        <f>_xll.qlRateHelperEarliestDate($E85,Trigger)</f>
        <v>41704</v>
      </c>
      <c r="L85" s="30">
        <f>_xll.qlRateHelperLatestDate($E85,Trigger)</f>
        <v>42069</v>
      </c>
    </row>
    <row r="86" spans="2:14" x14ac:dyDescent="0.2">
      <c r="B86" s="36" t="s">
        <v>48</v>
      </c>
      <c r="C86" s="35">
        <v>24</v>
      </c>
      <c r="D86" s="34"/>
      <c r="E86" s="34" t="str">
        <f t="shared" si="4"/>
        <v>EUR_YC3MRH_1S24</v>
      </c>
      <c r="F86" s="33">
        <f>_xll.qlRateHelperQuoteValue($E86,Trigger)</f>
        <v>3.1899999999999997E-3</v>
      </c>
      <c r="G86" s="33">
        <f>_xll.qlSwapRateHelperSpread($E86,Trigger)</f>
        <v>0</v>
      </c>
      <c r="H86" s="32" t="b">
        <v>0</v>
      </c>
      <c r="I86" s="32">
        <v>40</v>
      </c>
      <c r="J86" s="32">
        <v>1</v>
      </c>
      <c r="K86" s="31">
        <f>_xll.qlRateHelperEarliestDate($E86,Trigger)</f>
        <v>41704</v>
      </c>
      <c r="L86" s="30">
        <f>_xll.qlRateHelperLatestDate($E86,Trigger)</f>
        <v>42436</v>
      </c>
    </row>
    <row r="87" spans="2:14" x14ac:dyDescent="0.2">
      <c r="B87" s="36" t="s">
        <v>49</v>
      </c>
      <c r="C87" s="35">
        <v>24</v>
      </c>
      <c r="D87" s="34"/>
      <c r="E87" s="34" t="str">
        <f t="shared" si="4"/>
        <v>EUR_YC3MRH_2S24</v>
      </c>
      <c r="F87" s="33">
        <f>_xll.qlRateHelperQuoteValue($E87,Trigger)</f>
        <v>3.5599999999999998E-3</v>
      </c>
      <c r="G87" s="33">
        <f>_xll.qlSwapRateHelperSpread($E87,Trigger)</f>
        <v>0</v>
      </c>
      <c r="H87" s="32" t="b">
        <v>0</v>
      </c>
      <c r="I87" s="32">
        <v>40</v>
      </c>
      <c r="J87" s="32">
        <v>1</v>
      </c>
      <c r="K87" s="31">
        <f>_xll.qlRateHelperEarliestDate($E87,Trigger)</f>
        <v>41704</v>
      </c>
      <c r="L87" s="30">
        <f>_xll.qlRateHelperLatestDate($E87,Trigger)</f>
        <v>42436</v>
      </c>
    </row>
    <row r="88" spans="2:14" x14ac:dyDescent="0.2">
      <c r="B88" s="29" t="s">
        <v>48</v>
      </c>
      <c r="C88" s="28">
        <v>36</v>
      </c>
      <c r="D88" s="27"/>
      <c r="E88" s="27" t="str">
        <f t="shared" si="4"/>
        <v>EUR_YC3MRH_1S36</v>
      </c>
      <c r="F88" s="26">
        <f>_xll.qlRateHelperQuoteValue($E88,Trigger)</f>
        <v>4.5799999999999999E-3</v>
      </c>
      <c r="G88" s="26">
        <f>_xll.qlSwapRateHelperSpread($E88,Trigger)</f>
        <v>0</v>
      </c>
      <c r="H88" s="25" t="b">
        <v>0</v>
      </c>
      <c r="I88" s="25">
        <v>40</v>
      </c>
      <c r="J88" s="25">
        <v>1</v>
      </c>
      <c r="K88" s="24">
        <f>_xll.qlRateHelperEarliestDate($E88,Trigger)</f>
        <v>41704</v>
      </c>
      <c r="L88" s="23">
        <f>_xll.qlRateHelperLatestDate($E88,Trigger)</f>
        <v>42800</v>
      </c>
    </row>
    <row r="89" spans="2:14" x14ac:dyDescent="0.2">
      <c r="B89" s="36" t="str">
        <f t="shared" ref="B89:B120" si="5">SwapFixedFreq</f>
        <v>AB</v>
      </c>
      <c r="C89" s="35" t="str">
        <f t="shared" ref="C89:C125" si="6">IborType</f>
        <v>3E</v>
      </c>
      <c r="D89" s="34" t="s">
        <v>47</v>
      </c>
      <c r="E89" s="34" t="str">
        <f>Swaps_3M!L6</f>
        <v>EUR_YC3MRH_AB3E1Y#0002</v>
      </c>
      <c r="F89" s="33">
        <f>_xll.qlRateHelperQuoteValue($E89,Trigger)</f>
        <v>2.6800000000000001E-3</v>
      </c>
      <c r="G89" s="33">
        <f>_xll.qlSwapRateHelperSpread($E89,Trigger)</f>
        <v>0</v>
      </c>
      <c r="H89" s="32" t="b">
        <v>0</v>
      </c>
      <c r="I89" s="32">
        <v>50</v>
      </c>
      <c r="J89" s="32">
        <v>1</v>
      </c>
      <c r="K89" s="31">
        <f>_xll.qlRateHelperEarliestDate($E89,Trigger)</f>
        <v>41704</v>
      </c>
      <c r="L89" s="30">
        <f>_xll.qlRateHelperLatestDate($E89,Trigger)</f>
        <v>42069</v>
      </c>
      <c r="N89" s="37">
        <f t="shared" ref="N89:N125" si="7">IF(G89=G126,F89-F126,"--")</f>
        <v>0</v>
      </c>
    </row>
    <row r="90" spans="2:14" x14ac:dyDescent="0.2">
      <c r="B90" s="36" t="str">
        <f t="shared" si="5"/>
        <v>AB</v>
      </c>
      <c r="C90" s="35" t="str">
        <f t="shared" si="6"/>
        <v>3E</v>
      </c>
      <c r="D90" s="34" t="s">
        <v>46</v>
      </c>
      <c r="E90" s="34" t="str">
        <f>Swaps_3M!L7</f>
        <v>EUR_YC3MRH_AB3E15M#0002</v>
      </c>
      <c r="F90" s="33">
        <f>_xll.qlRateHelperQuoteValue($E90,Trigger)</f>
        <v>2.7500000000000003E-3</v>
      </c>
      <c r="G90" s="33">
        <f>_xll.qlSwapRateHelperSpread($E90,Trigger)</f>
        <v>0</v>
      </c>
      <c r="H90" s="32" t="b">
        <v>0</v>
      </c>
      <c r="I90" s="32">
        <v>50</v>
      </c>
      <c r="J90" s="32">
        <v>1</v>
      </c>
      <c r="K90" s="31">
        <f>_xll.qlRateHelperEarliestDate($E90,Trigger)</f>
        <v>41704</v>
      </c>
      <c r="L90" s="30">
        <f>_xll.qlRateHelperLatestDate($E90,Trigger)</f>
        <v>42163</v>
      </c>
      <c r="N90" s="37">
        <f t="shared" si="7"/>
        <v>2.4999999999999979E-4</v>
      </c>
    </row>
    <row r="91" spans="2:14" x14ac:dyDescent="0.2">
      <c r="B91" s="36" t="str">
        <f t="shared" si="5"/>
        <v>AB</v>
      </c>
      <c r="C91" s="35" t="str">
        <f t="shared" si="6"/>
        <v>3E</v>
      </c>
      <c r="D91" s="34" t="s">
        <v>45</v>
      </c>
      <c r="E91" s="34" t="str">
        <f>Swaps_3M!L8</f>
        <v>EUR_YC3MRH_AB3E18M#0002</v>
      </c>
      <c r="F91" s="33">
        <f>_xll.qlRateHelperQuoteValue($E91,Trigger)</f>
        <v>2.8800000000000002E-3</v>
      </c>
      <c r="G91" s="33">
        <f>_xll.qlSwapRateHelperSpread($E91,Trigger)</f>
        <v>0</v>
      </c>
      <c r="H91" s="32" t="b">
        <v>0</v>
      </c>
      <c r="I91" s="32">
        <v>50</v>
      </c>
      <c r="J91" s="32">
        <v>1</v>
      </c>
      <c r="K91" s="31">
        <f>_xll.qlRateHelperEarliestDate($E91,Trigger)</f>
        <v>41704</v>
      </c>
      <c r="L91" s="30">
        <f>_xll.qlRateHelperLatestDate($E91,Trigger)</f>
        <v>42254</v>
      </c>
      <c r="N91" s="37">
        <f t="shared" si="7"/>
        <v>4.3368086899420177E-19</v>
      </c>
    </row>
    <row r="92" spans="2:14" x14ac:dyDescent="0.2">
      <c r="B92" s="36" t="str">
        <f t="shared" si="5"/>
        <v>AB</v>
      </c>
      <c r="C92" s="35" t="str">
        <f t="shared" si="6"/>
        <v>3E</v>
      </c>
      <c r="D92" s="34" t="s">
        <v>44</v>
      </c>
      <c r="E92" s="34" t="str">
        <f>Swaps_3M!L9</f>
        <v>EUR_YC3MRH_AB3E21M#0002</v>
      </c>
      <c r="F92" s="33">
        <f>_xll.qlRateHelperQuoteValue($E92,Trigger)</f>
        <v>3.0300000000000006E-3</v>
      </c>
      <c r="G92" s="33">
        <f>_xll.qlSwapRateHelperSpread($E92,Trigger)</f>
        <v>0</v>
      </c>
      <c r="H92" s="32" t="b">
        <v>0</v>
      </c>
      <c r="I92" s="32">
        <v>50</v>
      </c>
      <c r="J92" s="32">
        <v>1</v>
      </c>
      <c r="K92" s="31">
        <f>_xll.qlRateHelperEarliestDate($E92,Trigger)</f>
        <v>41704</v>
      </c>
      <c r="L92" s="30">
        <f>_xll.qlRateHelperLatestDate($E92,Trigger)</f>
        <v>42345</v>
      </c>
      <c r="N92" s="37">
        <f t="shared" si="7"/>
        <v>1.8899999999999993E-4</v>
      </c>
    </row>
    <row r="93" spans="2:14" x14ac:dyDescent="0.2">
      <c r="B93" s="36" t="str">
        <f t="shared" si="5"/>
        <v>AB</v>
      </c>
      <c r="C93" s="35" t="str">
        <f t="shared" si="6"/>
        <v>3E</v>
      </c>
      <c r="D93" s="34" t="s">
        <v>43</v>
      </c>
      <c r="E93" s="34" t="str">
        <f>Swaps_3M!L10</f>
        <v>EUR_YC3MRH_AB3E2Y#0002</v>
      </c>
      <c r="F93" s="33">
        <f>_xll.qlRateHelperQuoteValue($E93,Trigger)</f>
        <v>3.2199999999999993E-3</v>
      </c>
      <c r="G93" s="33">
        <f>_xll.qlSwapRateHelperSpread($E93,Trigger)</f>
        <v>0</v>
      </c>
      <c r="H93" s="32" t="b">
        <v>0</v>
      </c>
      <c r="I93" s="32">
        <v>50</v>
      </c>
      <c r="J93" s="32">
        <v>1</v>
      </c>
      <c r="K93" s="31">
        <f>_xll.qlRateHelperEarliestDate($E93,Trigger)</f>
        <v>41704</v>
      </c>
      <c r="L93" s="30">
        <f>_xll.qlRateHelperLatestDate($E93,Trigger)</f>
        <v>42436</v>
      </c>
      <c r="N93" s="37">
        <f t="shared" si="7"/>
        <v>-5.00000000000023E-6</v>
      </c>
    </row>
    <row r="94" spans="2:14" x14ac:dyDescent="0.2">
      <c r="B94" s="36" t="str">
        <f t="shared" si="5"/>
        <v>AB</v>
      </c>
      <c r="C94" s="35" t="str">
        <f t="shared" si="6"/>
        <v>3E</v>
      </c>
      <c r="D94" s="34" t="s">
        <v>42</v>
      </c>
      <c r="E94" s="34" t="str">
        <f>Swaps_3M!L11</f>
        <v>EUR_YC3MRH_AB3E3Y#0002</v>
      </c>
      <c r="F94" s="33">
        <f>_xll.qlRateHelperQuoteValue($E94,Trigger)</f>
        <v>4.5999999999999999E-3</v>
      </c>
      <c r="G94" s="33">
        <f>_xll.qlSwapRateHelperSpread($E94,Trigger)</f>
        <v>0</v>
      </c>
      <c r="H94" s="32" t="b">
        <v>1</v>
      </c>
      <c r="I94" s="32">
        <v>50</v>
      </c>
      <c r="J94" s="32">
        <v>1</v>
      </c>
      <c r="K94" s="31">
        <f>_xll.qlRateHelperEarliestDate($E94,Trigger)</f>
        <v>41704</v>
      </c>
      <c r="L94" s="30">
        <f>_xll.qlRateHelperLatestDate($E94,Trigger)</f>
        <v>42800</v>
      </c>
      <c r="N94" s="37">
        <f t="shared" si="7"/>
        <v>0</v>
      </c>
    </row>
    <row r="95" spans="2:14" x14ac:dyDescent="0.2">
      <c r="B95" s="36" t="str">
        <f t="shared" si="5"/>
        <v>AB</v>
      </c>
      <c r="C95" s="35" t="str">
        <f t="shared" si="6"/>
        <v>3E</v>
      </c>
      <c r="D95" s="34" t="s">
        <v>41</v>
      </c>
      <c r="E95" s="34" t="str">
        <f>Swaps_3M!L12</f>
        <v>EUR_YC3MRH_AB3E4Y#0002</v>
      </c>
      <c r="F95" s="33">
        <f>_xll.qlRateHelperQuoteValue($E95,Trigger)</f>
        <v>6.4800000000000005E-3</v>
      </c>
      <c r="G95" s="33">
        <f>_xll.qlSwapRateHelperSpread($E95,Trigger)</f>
        <v>0</v>
      </c>
      <c r="H95" s="32" t="b">
        <v>1</v>
      </c>
      <c r="I95" s="32">
        <v>50</v>
      </c>
      <c r="J95" s="32">
        <v>1</v>
      </c>
      <c r="K95" s="31">
        <f>_xll.qlRateHelperEarliestDate($E95,Trigger)</f>
        <v>41704</v>
      </c>
      <c r="L95" s="30">
        <f>_xll.qlRateHelperLatestDate($E95,Trigger)</f>
        <v>43165</v>
      </c>
      <c r="N95" s="37">
        <f t="shared" si="7"/>
        <v>5.0000000000006636E-6</v>
      </c>
    </row>
    <row r="96" spans="2:14" x14ac:dyDescent="0.2">
      <c r="B96" s="36" t="str">
        <f t="shared" si="5"/>
        <v>AB</v>
      </c>
      <c r="C96" s="35" t="str">
        <f t="shared" si="6"/>
        <v>3E</v>
      </c>
      <c r="D96" s="34" t="s">
        <v>40</v>
      </c>
      <c r="E96" s="34" t="str">
        <f>Swaps_3M!L13</f>
        <v>EUR_YC3MRH_AB3E5Y#0002</v>
      </c>
      <c r="F96" s="33">
        <f>_xll.qlRateHelperQuoteValue($E96,Trigger)</f>
        <v>8.4799999999999997E-3</v>
      </c>
      <c r="G96" s="33">
        <f>_xll.qlSwapRateHelperSpread($E96,Trigger)</f>
        <v>0</v>
      </c>
      <c r="H96" s="32" t="b">
        <v>1</v>
      </c>
      <c r="I96" s="32">
        <v>50</v>
      </c>
      <c r="J96" s="32">
        <v>1</v>
      </c>
      <c r="K96" s="31">
        <f>_xll.qlRateHelperEarliestDate($E96,Trigger)</f>
        <v>41704</v>
      </c>
      <c r="L96" s="30">
        <f>_xll.qlRateHelperLatestDate($E96,Trigger)</f>
        <v>43530</v>
      </c>
      <c r="N96" s="37">
        <f t="shared" si="7"/>
        <v>5.000000000001531E-6</v>
      </c>
    </row>
    <row r="97" spans="2:14" x14ac:dyDescent="0.2">
      <c r="B97" s="36" t="str">
        <f t="shared" si="5"/>
        <v>AB</v>
      </c>
      <c r="C97" s="35" t="str">
        <f t="shared" si="6"/>
        <v>3E</v>
      </c>
      <c r="D97" s="34" t="s">
        <v>39</v>
      </c>
      <c r="E97" s="34" t="str">
        <f>Swaps_3M!L14</f>
        <v>EUR_YC3MRH_AB3E6Y#0002</v>
      </c>
      <c r="F97" s="33">
        <f>_xll.qlRateHelperQuoteValue($E97,Trigger)</f>
        <v>1.0459999999999999E-2</v>
      </c>
      <c r="G97" s="33">
        <f>_xll.qlSwapRateHelperSpread($E97,Trigger)</f>
        <v>0</v>
      </c>
      <c r="H97" s="32" t="b">
        <v>1</v>
      </c>
      <c r="I97" s="32">
        <v>50</v>
      </c>
      <c r="J97" s="32">
        <v>1</v>
      </c>
      <c r="K97" s="31">
        <f>_xll.qlRateHelperEarliestDate($E97,Trigger)</f>
        <v>41704</v>
      </c>
      <c r="L97" s="30">
        <f>_xll.qlRateHelperLatestDate($E97,Trigger)</f>
        <v>43896</v>
      </c>
      <c r="N97" s="37">
        <f t="shared" si="7"/>
        <v>-1.7347234759768071E-18</v>
      </c>
    </row>
    <row r="98" spans="2:14" x14ac:dyDescent="0.2">
      <c r="B98" s="36" t="str">
        <f t="shared" si="5"/>
        <v>AB</v>
      </c>
      <c r="C98" s="35" t="str">
        <f t="shared" si="6"/>
        <v>3E</v>
      </c>
      <c r="D98" s="34" t="s">
        <v>38</v>
      </c>
      <c r="E98" s="34" t="str">
        <f>Swaps_3M!L15</f>
        <v>EUR_YC3MRH_AB3E7Y#0002</v>
      </c>
      <c r="F98" s="33">
        <f>_xll.qlRateHelperQuoteValue($E98,Trigger)</f>
        <v>1.234E-2</v>
      </c>
      <c r="G98" s="33">
        <f>_xll.qlSwapRateHelperSpread($E98,Trigger)</f>
        <v>0</v>
      </c>
      <c r="H98" s="32" t="b">
        <v>1</v>
      </c>
      <c r="I98" s="32">
        <v>50</v>
      </c>
      <c r="J98" s="32">
        <v>1</v>
      </c>
      <c r="K98" s="31">
        <f>_xll.qlRateHelperEarliestDate($E98,Trigger)</f>
        <v>41704</v>
      </c>
      <c r="L98" s="30">
        <f>_xll.qlRateHelperLatestDate($E98,Trigger)</f>
        <v>44263</v>
      </c>
      <c r="N98" s="37">
        <f t="shared" si="7"/>
        <v>0</v>
      </c>
    </row>
    <row r="99" spans="2:14" x14ac:dyDescent="0.2">
      <c r="B99" s="36" t="str">
        <f t="shared" si="5"/>
        <v>AB</v>
      </c>
      <c r="C99" s="35" t="str">
        <f t="shared" si="6"/>
        <v>3E</v>
      </c>
      <c r="D99" s="34" t="s">
        <v>37</v>
      </c>
      <c r="E99" s="34" t="str">
        <f>Swaps_3M!L16</f>
        <v>EUR_YC3MRH_AB3E8Y#0002</v>
      </c>
      <c r="F99" s="33">
        <f>_xll.qlRateHelperQuoteValue($E99,Trigger)</f>
        <v>1.4079999999999999E-2</v>
      </c>
      <c r="G99" s="33">
        <f>_xll.qlSwapRateHelperSpread($E99,Trigger)</f>
        <v>0</v>
      </c>
      <c r="H99" s="32" t="b">
        <v>1</v>
      </c>
      <c r="I99" s="32">
        <v>50</v>
      </c>
      <c r="J99" s="32">
        <v>1</v>
      </c>
      <c r="K99" s="31">
        <f>_xll.qlRateHelperEarliestDate($E99,Trigger)</f>
        <v>41704</v>
      </c>
      <c r="L99" s="30">
        <f>_xll.qlRateHelperLatestDate($E99,Trigger)</f>
        <v>44627</v>
      </c>
      <c r="N99" s="37">
        <f t="shared" si="7"/>
        <v>0</v>
      </c>
    </row>
    <row r="100" spans="2:14" x14ac:dyDescent="0.2">
      <c r="B100" s="36" t="str">
        <f t="shared" si="5"/>
        <v>AB</v>
      </c>
      <c r="C100" s="35" t="str">
        <f t="shared" si="6"/>
        <v>3E</v>
      </c>
      <c r="D100" s="34" t="s">
        <v>36</v>
      </c>
      <c r="E100" s="34" t="str">
        <f>Swaps_3M!L17</f>
        <v>EUR_YC3MRH_AB3E9Y#0002</v>
      </c>
      <c r="F100" s="33">
        <f>_xll.qlRateHelperQuoteValue($E100,Trigger)</f>
        <v>1.5659999999999997E-2</v>
      </c>
      <c r="G100" s="33">
        <f>_xll.qlSwapRateHelperSpread($E100,Trigger)</f>
        <v>0</v>
      </c>
      <c r="H100" s="32" t="b">
        <v>1</v>
      </c>
      <c r="I100" s="32">
        <v>50</v>
      </c>
      <c r="J100" s="32">
        <v>1</v>
      </c>
      <c r="K100" s="31">
        <f>_xll.qlRateHelperEarliestDate($E100,Trigger)</f>
        <v>41704</v>
      </c>
      <c r="L100" s="30">
        <f>_xll.qlRateHelperLatestDate($E100,Trigger)</f>
        <v>44991</v>
      </c>
      <c r="N100" s="37">
        <f t="shared" si="7"/>
        <v>-5.000000000001531E-6</v>
      </c>
    </row>
    <row r="101" spans="2:14" x14ac:dyDescent="0.2">
      <c r="B101" s="36" t="str">
        <f t="shared" si="5"/>
        <v>AB</v>
      </c>
      <c r="C101" s="35" t="str">
        <f t="shared" si="6"/>
        <v>3E</v>
      </c>
      <c r="D101" s="34" t="s">
        <v>35</v>
      </c>
      <c r="E101" s="34" t="str">
        <f>Swaps_3M!L18</f>
        <v>EUR_YC3MRH_AB3E10Y#0002</v>
      </c>
      <c r="F101" s="33">
        <f>_xll.qlRateHelperQuoteValue($E101,Trigger)</f>
        <v>1.7090000000000001E-2</v>
      </c>
      <c r="G101" s="33">
        <f>_xll.qlSwapRateHelperSpread($E101,Trigger)</f>
        <v>0</v>
      </c>
      <c r="H101" s="32" t="b">
        <v>1</v>
      </c>
      <c r="I101" s="32">
        <v>50</v>
      </c>
      <c r="J101" s="32">
        <v>1</v>
      </c>
      <c r="K101" s="31">
        <f>_xll.qlRateHelperEarliestDate($E101,Trigger)</f>
        <v>41704</v>
      </c>
      <c r="L101" s="30">
        <f>_xll.qlRateHelperLatestDate($E101,Trigger)</f>
        <v>45357</v>
      </c>
      <c r="N101" s="37">
        <f t="shared" si="7"/>
        <v>-4.9999999999980616E-6</v>
      </c>
    </row>
    <row r="102" spans="2:14" x14ac:dyDescent="0.2">
      <c r="B102" s="36" t="str">
        <f t="shared" si="5"/>
        <v>AB</v>
      </c>
      <c r="C102" s="35" t="str">
        <f t="shared" si="6"/>
        <v>3E</v>
      </c>
      <c r="D102" s="34" t="s">
        <v>34</v>
      </c>
      <c r="E102" s="34" t="str">
        <f>Swaps_3M!L19</f>
        <v>EUR_YC3MRH_AB3E11Y#0002</v>
      </c>
      <c r="F102" s="33">
        <f>_xll.qlRateHelperQuoteValue($E102,Trigger)</f>
        <v>1.8340000000000002E-2</v>
      </c>
      <c r="G102" s="33">
        <f>_xll.qlSwapRateHelperSpread($E102,Trigger)</f>
        <v>0</v>
      </c>
      <c r="H102" s="32" t="b">
        <v>0</v>
      </c>
      <c r="I102" s="32">
        <v>50</v>
      </c>
      <c r="J102" s="32">
        <v>1</v>
      </c>
      <c r="K102" s="31">
        <f>_xll.qlRateHelperEarliestDate($E102,Trigger)</f>
        <v>41704</v>
      </c>
      <c r="L102" s="30">
        <f>_xll.qlRateHelperLatestDate($E102,Trigger)</f>
        <v>45722</v>
      </c>
      <c r="N102" s="37">
        <f t="shared" si="7"/>
        <v>-4.9999999999980616E-6</v>
      </c>
    </row>
    <row r="103" spans="2:14" x14ac:dyDescent="0.2">
      <c r="B103" s="36" t="str">
        <f t="shared" si="5"/>
        <v>AB</v>
      </c>
      <c r="C103" s="35" t="str">
        <f t="shared" si="6"/>
        <v>3E</v>
      </c>
      <c r="D103" s="34" t="s">
        <v>33</v>
      </c>
      <c r="E103" s="34" t="str">
        <f>Swaps_3M!L20</f>
        <v>EUR_YC3MRH_AB3E12Y#0002</v>
      </c>
      <c r="F103" s="33">
        <f>_xll.qlRateHelperQuoteValue($E103,Trigger)</f>
        <v>1.9400000000000001E-2</v>
      </c>
      <c r="G103" s="33">
        <f>_xll.qlSwapRateHelperSpread($E103,Trigger)</f>
        <v>0</v>
      </c>
      <c r="H103" s="32" t="b">
        <v>1</v>
      </c>
      <c r="I103" s="32">
        <v>50</v>
      </c>
      <c r="J103" s="32">
        <v>1</v>
      </c>
      <c r="K103" s="31">
        <f>_xll.qlRateHelperEarliestDate($E103,Trigger)</f>
        <v>41704</v>
      </c>
      <c r="L103" s="30">
        <f>_xll.qlRateHelperLatestDate($E103,Trigger)</f>
        <v>46087</v>
      </c>
      <c r="N103" s="37">
        <f t="shared" si="7"/>
        <v>-9.9999999999995925E-6</v>
      </c>
    </row>
    <row r="104" spans="2:14" x14ac:dyDescent="0.2">
      <c r="B104" s="36" t="str">
        <f t="shared" si="5"/>
        <v>AB</v>
      </c>
      <c r="C104" s="35" t="str">
        <f t="shared" si="6"/>
        <v>3E</v>
      </c>
      <c r="D104" s="34" t="s">
        <v>32</v>
      </c>
      <c r="E104" s="34" t="str">
        <f>Swaps_3M!L21</f>
        <v>EUR_YC3MRH_AB3E13Y#0002</v>
      </c>
      <c r="F104" s="33" t="e">
        <f>_xll.qlRateHelperQuoteValue($E104,Trigger)</f>
        <v>#NUM!</v>
      </c>
      <c r="G104" s="33">
        <f>_xll.qlSwapRateHelperSpread($E104,Trigger)</f>
        <v>0</v>
      </c>
      <c r="H104" s="32" t="b">
        <v>0</v>
      </c>
      <c r="I104" s="32">
        <v>50</v>
      </c>
      <c r="J104" s="32">
        <v>1</v>
      </c>
      <c r="K104" s="31">
        <f>_xll.qlRateHelperEarliestDate($E104,Trigger)</f>
        <v>41704</v>
      </c>
      <c r="L104" s="30">
        <f>_xll.qlRateHelperLatestDate($E104,Trigger)</f>
        <v>46454</v>
      </c>
      <c r="N104" s="37" t="e">
        <f t="shared" si="7"/>
        <v>#NUM!</v>
      </c>
    </row>
    <row r="105" spans="2:14" x14ac:dyDescent="0.2">
      <c r="B105" s="36" t="str">
        <f t="shared" si="5"/>
        <v>AB</v>
      </c>
      <c r="C105" s="35" t="str">
        <f t="shared" si="6"/>
        <v>3E</v>
      </c>
      <c r="D105" s="34" t="s">
        <v>31</v>
      </c>
      <c r="E105" s="34" t="str">
        <f>Swaps_3M!L22</f>
        <v>EUR_YC3MRH_AB3E14Y#0002</v>
      </c>
      <c r="F105" s="33" t="e">
        <f>_xll.qlRateHelperQuoteValue($E105,Trigger)</f>
        <v>#NUM!</v>
      </c>
      <c r="G105" s="33">
        <f>_xll.qlSwapRateHelperSpread($E105,Trigger)</f>
        <v>0</v>
      </c>
      <c r="H105" s="32" t="b">
        <v>0</v>
      </c>
      <c r="I105" s="32">
        <v>50</v>
      </c>
      <c r="J105" s="32">
        <v>1</v>
      </c>
      <c r="K105" s="31">
        <f>_xll.qlRateHelperEarliestDate($E105,Trigger)</f>
        <v>41704</v>
      </c>
      <c r="L105" s="30">
        <f>_xll.qlRateHelperLatestDate($E105,Trigger)</f>
        <v>46818</v>
      </c>
      <c r="N105" s="37" t="e">
        <f t="shared" si="7"/>
        <v>#NUM!</v>
      </c>
    </row>
    <row r="106" spans="2:14" x14ac:dyDescent="0.2">
      <c r="B106" s="36" t="str">
        <f t="shared" si="5"/>
        <v>AB</v>
      </c>
      <c r="C106" s="35" t="str">
        <f t="shared" si="6"/>
        <v>3E</v>
      </c>
      <c r="D106" s="34" t="s">
        <v>30</v>
      </c>
      <c r="E106" s="34" t="str">
        <f>Swaps_3M!L23</f>
        <v>EUR_YC3MRH_AB3E15Y#0002</v>
      </c>
      <c r="F106" s="33">
        <f>_xll.qlRateHelperQuoteValue($E106,Trigger)</f>
        <v>2.1780000000000001E-2</v>
      </c>
      <c r="G106" s="33">
        <f>_xll.qlSwapRateHelperSpread($E106,Trigger)</f>
        <v>0</v>
      </c>
      <c r="H106" s="32" t="b">
        <v>1</v>
      </c>
      <c r="I106" s="32">
        <v>50</v>
      </c>
      <c r="J106" s="32">
        <v>1</v>
      </c>
      <c r="K106" s="31">
        <f>_xll.qlRateHelperEarliestDate($E106,Trigger)</f>
        <v>41704</v>
      </c>
      <c r="L106" s="30">
        <f>_xll.qlRateHelperLatestDate($E106,Trigger)</f>
        <v>47183</v>
      </c>
      <c r="N106" s="37">
        <f t="shared" si="7"/>
        <v>-9.9999999999995925E-6</v>
      </c>
    </row>
    <row r="107" spans="2:14" x14ac:dyDescent="0.2">
      <c r="B107" s="36" t="str">
        <f t="shared" si="5"/>
        <v>AB</v>
      </c>
      <c r="C107" s="35" t="str">
        <f t="shared" si="6"/>
        <v>3E</v>
      </c>
      <c r="D107" s="34" t="s">
        <v>29</v>
      </c>
      <c r="E107" s="34" t="str">
        <f>Swaps_3M!L24</f>
        <v>EUR_YC3MRH_AB3E16Y#0002</v>
      </c>
      <c r="F107" s="33" t="e">
        <f>_xll.qlRateHelperQuoteValue($E107,Trigger)</f>
        <v>#NUM!</v>
      </c>
      <c r="G107" s="33">
        <f>_xll.qlSwapRateHelperSpread($E107,Trigger)</f>
        <v>0</v>
      </c>
      <c r="H107" s="32" t="b">
        <v>0</v>
      </c>
      <c r="I107" s="32">
        <v>50</v>
      </c>
      <c r="J107" s="32">
        <v>1</v>
      </c>
      <c r="K107" s="31">
        <f>_xll.qlRateHelperEarliestDate($E107,Trigger)</f>
        <v>41704</v>
      </c>
      <c r="L107" s="30">
        <f>_xll.qlRateHelperLatestDate($E107,Trigger)</f>
        <v>47548</v>
      </c>
      <c r="N107" s="37" t="e">
        <f t="shared" si="7"/>
        <v>#NUM!</v>
      </c>
    </row>
    <row r="108" spans="2:14" x14ac:dyDescent="0.2">
      <c r="B108" s="36" t="str">
        <f t="shared" si="5"/>
        <v>AB</v>
      </c>
      <c r="C108" s="35" t="str">
        <f t="shared" si="6"/>
        <v>3E</v>
      </c>
      <c r="D108" s="34" t="s">
        <v>28</v>
      </c>
      <c r="E108" s="34" t="str">
        <f>Swaps_3M!L25</f>
        <v>EUR_YC3MRH_AB3E17Y#0002</v>
      </c>
      <c r="F108" s="33" t="e">
        <f>_xll.qlRateHelperQuoteValue($E108,Trigger)</f>
        <v>#NUM!</v>
      </c>
      <c r="G108" s="33">
        <f>_xll.qlSwapRateHelperSpread($E108,Trigger)</f>
        <v>0</v>
      </c>
      <c r="H108" s="32" t="b">
        <v>0</v>
      </c>
      <c r="I108" s="32">
        <v>50</v>
      </c>
      <c r="J108" s="32">
        <v>1</v>
      </c>
      <c r="K108" s="31">
        <f>_xll.qlRateHelperEarliestDate($E108,Trigger)</f>
        <v>41704</v>
      </c>
      <c r="L108" s="30">
        <f>_xll.qlRateHelperLatestDate($E108,Trigger)</f>
        <v>47913</v>
      </c>
      <c r="N108" s="37" t="e">
        <f t="shared" si="7"/>
        <v>#NUM!</v>
      </c>
    </row>
    <row r="109" spans="2:14" x14ac:dyDescent="0.2">
      <c r="B109" s="36" t="str">
        <f t="shared" si="5"/>
        <v>AB</v>
      </c>
      <c r="C109" s="35" t="str">
        <f t="shared" si="6"/>
        <v>3E</v>
      </c>
      <c r="D109" s="34" t="s">
        <v>27</v>
      </c>
      <c r="E109" s="34" t="str">
        <f>Swaps_3M!L26</f>
        <v>EUR_YC3MRH_AB3E18Y#0002</v>
      </c>
      <c r="F109" s="33" t="e">
        <f>_xll.qlRateHelperQuoteValue($E109,Trigger)</f>
        <v>#NUM!</v>
      </c>
      <c r="G109" s="33">
        <f>_xll.qlSwapRateHelperSpread($E109,Trigger)</f>
        <v>0</v>
      </c>
      <c r="H109" s="32" t="b">
        <v>0</v>
      </c>
      <c r="I109" s="32">
        <v>50</v>
      </c>
      <c r="J109" s="32">
        <v>1</v>
      </c>
      <c r="K109" s="31">
        <f>_xll.qlRateHelperEarliestDate($E109,Trigger)</f>
        <v>41704</v>
      </c>
      <c r="L109" s="30">
        <f>_xll.qlRateHelperLatestDate($E109,Trigger)</f>
        <v>48281</v>
      </c>
      <c r="N109" s="37" t="e">
        <f t="shared" si="7"/>
        <v>#NUM!</v>
      </c>
    </row>
    <row r="110" spans="2:14" x14ac:dyDescent="0.2">
      <c r="B110" s="36" t="str">
        <f t="shared" si="5"/>
        <v>AB</v>
      </c>
      <c r="C110" s="35" t="str">
        <f t="shared" si="6"/>
        <v>3E</v>
      </c>
      <c r="D110" s="34" t="s">
        <v>26</v>
      </c>
      <c r="E110" s="34" t="str">
        <f>Swaps_3M!L27</f>
        <v>EUR_YC3MRH_AB3E19Y#0002</v>
      </c>
      <c r="F110" s="33" t="e">
        <f>_xll.qlRateHelperQuoteValue($E110,Trigger)</f>
        <v>#NUM!</v>
      </c>
      <c r="G110" s="33">
        <f>_xll.qlSwapRateHelperSpread($E110,Trigger)</f>
        <v>0</v>
      </c>
      <c r="H110" s="32" t="b">
        <v>0</v>
      </c>
      <c r="I110" s="32">
        <v>50</v>
      </c>
      <c r="J110" s="32">
        <v>1</v>
      </c>
      <c r="K110" s="31">
        <f>_xll.qlRateHelperEarliestDate($E110,Trigger)</f>
        <v>41704</v>
      </c>
      <c r="L110" s="30">
        <f>_xll.qlRateHelperLatestDate($E110,Trigger)</f>
        <v>48645</v>
      </c>
      <c r="N110" s="37" t="e">
        <f t="shared" si="7"/>
        <v>#NUM!</v>
      </c>
    </row>
    <row r="111" spans="2:14" x14ac:dyDescent="0.2">
      <c r="B111" s="36" t="str">
        <f t="shared" si="5"/>
        <v>AB</v>
      </c>
      <c r="C111" s="35" t="str">
        <f t="shared" si="6"/>
        <v>3E</v>
      </c>
      <c r="D111" s="34" t="s">
        <v>25</v>
      </c>
      <c r="E111" s="34" t="str">
        <f>Swaps_3M!L28</f>
        <v>EUR_YC3MRH_AB3E20Y#0002</v>
      </c>
      <c r="F111" s="33">
        <f>_xll.qlRateHelperQuoteValue($E111,Trigger)</f>
        <v>2.35E-2</v>
      </c>
      <c r="G111" s="33">
        <f>_xll.qlSwapRateHelperSpread($E111,Trigger)</f>
        <v>0</v>
      </c>
      <c r="H111" s="32" t="b">
        <v>1</v>
      </c>
      <c r="I111" s="32">
        <v>50</v>
      </c>
      <c r="J111" s="32">
        <v>1</v>
      </c>
      <c r="K111" s="31">
        <f>_xll.qlRateHelperEarliestDate($E111,Trigger)</f>
        <v>41704</v>
      </c>
      <c r="L111" s="30">
        <f>_xll.qlRateHelperLatestDate($E111,Trigger)</f>
        <v>49009</v>
      </c>
      <c r="N111" s="37">
        <f t="shared" si="7"/>
        <v>-1.0000000000003062E-5</v>
      </c>
    </row>
    <row r="112" spans="2:14" x14ac:dyDescent="0.2">
      <c r="B112" s="36" t="str">
        <f t="shared" si="5"/>
        <v>AB</v>
      </c>
      <c r="C112" s="35" t="str">
        <f t="shared" si="6"/>
        <v>3E</v>
      </c>
      <c r="D112" s="34" t="s">
        <v>24</v>
      </c>
      <c r="E112" s="34" t="str">
        <f>Swaps_3M!L29</f>
        <v>EUR_YC3MRH_AB3E21Y#0002</v>
      </c>
      <c r="F112" s="33" t="e">
        <f>_xll.qlRateHelperQuoteValue($E112,Trigger)</f>
        <v>#NUM!</v>
      </c>
      <c r="G112" s="33">
        <f>_xll.qlSwapRateHelperSpread($E112,Trigger)</f>
        <v>0</v>
      </c>
      <c r="H112" s="32" t="b">
        <v>0</v>
      </c>
      <c r="I112" s="32">
        <v>50</v>
      </c>
      <c r="J112" s="32">
        <v>1</v>
      </c>
      <c r="K112" s="31">
        <f>_xll.qlRateHelperEarliestDate($E112,Trigger)</f>
        <v>41704</v>
      </c>
      <c r="L112" s="30">
        <f>_xll.qlRateHelperLatestDate($E112,Trigger)</f>
        <v>49374</v>
      </c>
      <c r="N112" s="37" t="e">
        <f t="shared" si="7"/>
        <v>#NUM!</v>
      </c>
    </row>
    <row r="113" spans="2:14" x14ac:dyDescent="0.2">
      <c r="B113" s="36" t="str">
        <f t="shared" si="5"/>
        <v>AB</v>
      </c>
      <c r="C113" s="35" t="str">
        <f t="shared" si="6"/>
        <v>3E</v>
      </c>
      <c r="D113" s="34" t="s">
        <v>23</v>
      </c>
      <c r="E113" s="34" t="str">
        <f>Swaps_3M!L30</f>
        <v>EUR_YC3MRH_AB3E22Y#0002</v>
      </c>
      <c r="F113" s="33" t="e">
        <f>_xll.qlRateHelperQuoteValue($E113,Trigger)</f>
        <v>#NUM!</v>
      </c>
      <c r="G113" s="33">
        <f>_xll.qlSwapRateHelperSpread($E113,Trigger)</f>
        <v>0</v>
      </c>
      <c r="H113" s="32" t="b">
        <v>0</v>
      </c>
      <c r="I113" s="32">
        <v>50</v>
      </c>
      <c r="J113" s="32">
        <v>1</v>
      </c>
      <c r="K113" s="31">
        <f>_xll.qlRateHelperEarliestDate($E113,Trigger)</f>
        <v>41704</v>
      </c>
      <c r="L113" s="30">
        <f>_xll.qlRateHelperLatestDate($E113,Trigger)</f>
        <v>49740</v>
      </c>
      <c r="N113" s="37" t="e">
        <f t="shared" si="7"/>
        <v>#NUM!</v>
      </c>
    </row>
    <row r="114" spans="2:14" x14ac:dyDescent="0.2">
      <c r="B114" s="36" t="str">
        <f t="shared" si="5"/>
        <v>AB</v>
      </c>
      <c r="C114" s="35" t="str">
        <f t="shared" si="6"/>
        <v>3E</v>
      </c>
      <c r="D114" s="34" t="s">
        <v>22</v>
      </c>
      <c r="E114" s="34" t="str">
        <f>Swaps_3M!L31</f>
        <v>EUR_YC3MRH_AB3E23Y#0002</v>
      </c>
      <c r="F114" s="33" t="e">
        <f>_xll.qlRateHelperQuoteValue($E114,Trigger)</f>
        <v>#NUM!</v>
      </c>
      <c r="G114" s="33">
        <f>_xll.qlSwapRateHelperSpread($E114,Trigger)</f>
        <v>0</v>
      </c>
      <c r="H114" s="32" t="b">
        <v>0</v>
      </c>
      <c r="I114" s="32">
        <v>50</v>
      </c>
      <c r="J114" s="32">
        <v>1</v>
      </c>
      <c r="K114" s="31">
        <f>_xll.qlRateHelperEarliestDate($E114,Trigger)</f>
        <v>41704</v>
      </c>
      <c r="L114" s="30">
        <f>_xll.qlRateHelperLatestDate($E114,Trigger)</f>
        <v>50105</v>
      </c>
      <c r="N114" s="37" t="e">
        <f t="shared" si="7"/>
        <v>#NUM!</v>
      </c>
    </row>
    <row r="115" spans="2:14" x14ac:dyDescent="0.2">
      <c r="B115" s="36" t="str">
        <f t="shared" si="5"/>
        <v>AB</v>
      </c>
      <c r="C115" s="35" t="str">
        <f t="shared" si="6"/>
        <v>3E</v>
      </c>
      <c r="D115" s="34" t="s">
        <v>21</v>
      </c>
      <c r="E115" s="34" t="str">
        <f>Swaps_3M!L32</f>
        <v>EUR_YC3MRH_AB3E24Y#0002</v>
      </c>
      <c r="F115" s="33" t="e">
        <f>_xll.qlRateHelperQuoteValue($E115,Trigger)</f>
        <v>#NUM!</v>
      </c>
      <c r="G115" s="33">
        <f>_xll.qlSwapRateHelperSpread($E115,Trigger)</f>
        <v>0</v>
      </c>
      <c r="H115" s="32" t="b">
        <v>0</v>
      </c>
      <c r="I115" s="32">
        <v>50</v>
      </c>
      <c r="J115" s="32">
        <v>1</v>
      </c>
      <c r="K115" s="31">
        <f>_xll.qlRateHelperEarliestDate($E115,Trigger)</f>
        <v>41704</v>
      </c>
      <c r="L115" s="30">
        <f>_xll.qlRateHelperLatestDate($E115,Trigger)</f>
        <v>50472</v>
      </c>
      <c r="N115" s="37" t="e">
        <f t="shared" si="7"/>
        <v>#NUM!</v>
      </c>
    </row>
    <row r="116" spans="2:14" x14ac:dyDescent="0.2">
      <c r="B116" s="36" t="str">
        <f t="shared" si="5"/>
        <v>AB</v>
      </c>
      <c r="C116" s="35" t="str">
        <f t="shared" si="6"/>
        <v>3E</v>
      </c>
      <c r="D116" s="34" t="s">
        <v>20</v>
      </c>
      <c r="E116" s="34" t="str">
        <f>Swaps_3M!L33</f>
        <v>EUR_YC3MRH_AB3E25Y#0002</v>
      </c>
      <c r="F116" s="33">
        <f>_xll.qlRateHelperQuoteValue($E116,Trigger)</f>
        <v>2.4050000000000002E-2</v>
      </c>
      <c r="G116" s="33">
        <f>_xll.qlSwapRateHelperSpread($E116,Trigger)</f>
        <v>0</v>
      </c>
      <c r="H116" s="32" t="b">
        <v>1</v>
      </c>
      <c r="I116" s="32">
        <v>50</v>
      </c>
      <c r="J116" s="32">
        <v>1</v>
      </c>
      <c r="K116" s="31">
        <f>_xll.qlRateHelperEarliestDate($E116,Trigger)</f>
        <v>41704</v>
      </c>
      <c r="L116" s="30">
        <f>_xll.qlRateHelperLatestDate($E116,Trigger)</f>
        <v>50836</v>
      </c>
      <c r="N116" s="37">
        <f t="shared" si="7"/>
        <v>-9.9999999999995925E-6</v>
      </c>
    </row>
    <row r="117" spans="2:14" x14ac:dyDescent="0.2">
      <c r="B117" s="36" t="str">
        <f t="shared" si="5"/>
        <v>AB</v>
      </c>
      <c r="C117" s="35" t="str">
        <f t="shared" si="6"/>
        <v>3E</v>
      </c>
      <c r="D117" s="34" t="s">
        <v>19</v>
      </c>
      <c r="E117" s="34" t="str">
        <f>Swaps_3M!L34</f>
        <v>EUR_YC3MRH_AB3E26Y#0002</v>
      </c>
      <c r="F117" s="33" t="e">
        <f>_xll.qlRateHelperQuoteValue($E117,Trigger)</f>
        <v>#NUM!</v>
      </c>
      <c r="G117" s="33">
        <f>_xll.qlSwapRateHelperSpread($E117,Trigger)</f>
        <v>0</v>
      </c>
      <c r="H117" s="32" t="b">
        <v>0</v>
      </c>
      <c r="I117" s="32">
        <v>50</v>
      </c>
      <c r="J117" s="32">
        <v>1</v>
      </c>
      <c r="K117" s="31">
        <f>_xll.qlRateHelperEarliestDate($E117,Trigger)</f>
        <v>41704</v>
      </c>
      <c r="L117" s="30">
        <f>_xll.qlRateHelperLatestDate($E117,Trigger)</f>
        <v>51201</v>
      </c>
      <c r="N117" s="37" t="e">
        <f t="shared" si="7"/>
        <v>#NUM!</v>
      </c>
    </row>
    <row r="118" spans="2:14" x14ac:dyDescent="0.2">
      <c r="B118" s="36" t="str">
        <f t="shared" si="5"/>
        <v>AB</v>
      </c>
      <c r="C118" s="35" t="str">
        <f t="shared" si="6"/>
        <v>3E</v>
      </c>
      <c r="D118" s="34" t="s">
        <v>18</v>
      </c>
      <c r="E118" s="34" t="str">
        <f>Swaps_3M!L35</f>
        <v>EUR_YC3MRH_AB3E27Y#0002</v>
      </c>
      <c r="F118" s="33" t="e">
        <f>_xll.qlRateHelperQuoteValue($E118,Trigger)</f>
        <v>#NUM!</v>
      </c>
      <c r="G118" s="33">
        <f>_xll.qlSwapRateHelperSpread($E118,Trigger)</f>
        <v>0</v>
      </c>
      <c r="H118" s="32" t="b">
        <v>0</v>
      </c>
      <c r="I118" s="32">
        <v>50</v>
      </c>
      <c r="J118" s="32">
        <v>1</v>
      </c>
      <c r="K118" s="31">
        <f>_xll.qlRateHelperEarliestDate($E118,Trigger)</f>
        <v>41704</v>
      </c>
      <c r="L118" s="30">
        <f>_xll.qlRateHelperLatestDate($E118,Trigger)</f>
        <v>51566</v>
      </c>
      <c r="N118" s="37" t="e">
        <f t="shared" si="7"/>
        <v>#NUM!</v>
      </c>
    </row>
    <row r="119" spans="2:14" x14ac:dyDescent="0.2">
      <c r="B119" s="36" t="str">
        <f t="shared" si="5"/>
        <v>AB</v>
      </c>
      <c r="C119" s="35" t="str">
        <f t="shared" si="6"/>
        <v>3E</v>
      </c>
      <c r="D119" s="34" t="s">
        <v>17</v>
      </c>
      <c r="E119" s="34" t="str">
        <f>Swaps_3M!L36</f>
        <v>EUR_YC3MRH_AB3E28Y#0002</v>
      </c>
      <c r="F119" s="33" t="e">
        <f>_xll.qlRateHelperQuoteValue($E119,Trigger)</f>
        <v>#NUM!</v>
      </c>
      <c r="G119" s="33">
        <f>_xll.qlSwapRateHelperSpread($E119,Trigger)</f>
        <v>0</v>
      </c>
      <c r="H119" s="32" t="b">
        <v>0</v>
      </c>
      <c r="I119" s="32">
        <v>50</v>
      </c>
      <c r="J119" s="32">
        <v>1</v>
      </c>
      <c r="K119" s="31">
        <f>_xll.qlRateHelperEarliestDate($E119,Trigger)</f>
        <v>41704</v>
      </c>
      <c r="L119" s="30">
        <f>_xll.qlRateHelperLatestDate($E119,Trigger)</f>
        <v>51931</v>
      </c>
      <c r="N119" s="37" t="e">
        <f t="shared" si="7"/>
        <v>#NUM!</v>
      </c>
    </row>
    <row r="120" spans="2:14" x14ac:dyDescent="0.2">
      <c r="B120" s="36" t="str">
        <f t="shared" si="5"/>
        <v>AB</v>
      </c>
      <c r="C120" s="35" t="str">
        <f t="shared" si="6"/>
        <v>3E</v>
      </c>
      <c r="D120" s="34" t="s">
        <v>16</v>
      </c>
      <c r="E120" s="34" t="str">
        <f>Swaps_3M!L37</f>
        <v>EUR_YC3MRH_AB3E29Y#0002</v>
      </c>
      <c r="F120" s="33" t="e">
        <f>_xll.qlRateHelperQuoteValue($E120,Trigger)</f>
        <v>#NUM!</v>
      </c>
      <c r="G120" s="33">
        <f>_xll.qlSwapRateHelperSpread($E120,Trigger)</f>
        <v>0</v>
      </c>
      <c r="H120" s="32" t="b">
        <v>0</v>
      </c>
      <c r="I120" s="32">
        <v>50</v>
      </c>
      <c r="J120" s="32">
        <v>1</v>
      </c>
      <c r="K120" s="31">
        <f>_xll.qlRateHelperEarliestDate($E120,Trigger)</f>
        <v>41704</v>
      </c>
      <c r="L120" s="30">
        <f>_xll.qlRateHelperLatestDate($E120,Trigger)</f>
        <v>52296</v>
      </c>
      <c r="N120" s="37" t="e">
        <f t="shared" si="7"/>
        <v>#NUM!</v>
      </c>
    </row>
    <row r="121" spans="2:14" x14ac:dyDescent="0.2">
      <c r="B121" s="36" t="str">
        <f t="shared" ref="B121:B152" si="8">SwapFixedFreq</f>
        <v>AB</v>
      </c>
      <c r="C121" s="35" t="str">
        <f t="shared" si="6"/>
        <v>3E</v>
      </c>
      <c r="D121" s="34" t="s">
        <v>15</v>
      </c>
      <c r="E121" s="34" t="str">
        <f>Swaps_3M!L38</f>
        <v>EUR_YC3MRH_AB3E30Y#0002</v>
      </c>
      <c r="F121" s="33">
        <f>_xll.qlRateHelperQuoteValue($E121,Trigger)</f>
        <v>2.4169999999999997E-2</v>
      </c>
      <c r="G121" s="33">
        <f>_xll.qlSwapRateHelperSpread($E121,Trigger)</f>
        <v>0</v>
      </c>
      <c r="H121" s="32" t="b">
        <v>1</v>
      </c>
      <c r="I121" s="32">
        <v>50</v>
      </c>
      <c r="J121" s="32">
        <v>1</v>
      </c>
      <c r="K121" s="31">
        <f>_xll.qlRateHelperEarliestDate($E121,Trigger)</f>
        <v>41704</v>
      </c>
      <c r="L121" s="30">
        <f>_xll.qlRateHelperLatestDate($E121,Trigger)</f>
        <v>52663</v>
      </c>
      <c r="N121" s="37">
        <f t="shared" si="7"/>
        <v>-5.000000000001531E-6</v>
      </c>
    </row>
    <row r="122" spans="2:14" x14ac:dyDescent="0.2">
      <c r="B122" s="36" t="str">
        <f t="shared" si="8"/>
        <v>AB</v>
      </c>
      <c r="C122" s="35" t="str">
        <f t="shared" si="6"/>
        <v>3E</v>
      </c>
      <c r="D122" s="34" t="s">
        <v>14</v>
      </c>
      <c r="E122" s="34" t="str">
        <f>Swaps_3M!L39</f>
        <v>EUR_YC3MRH_AB3E35Y#0002</v>
      </c>
      <c r="F122" s="33" t="e">
        <f>_xll.qlRateHelperQuoteValue($E122,Trigger)</f>
        <v>#NUM!</v>
      </c>
      <c r="G122" s="33">
        <f>_xll.qlSwapRateHelperSpread($E122,Trigger)</f>
        <v>0</v>
      </c>
      <c r="H122" s="32" t="b">
        <v>0</v>
      </c>
      <c r="I122" s="32">
        <v>50</v>
      </c>
      <c r="J122" s="32">
        <v>1</v>
      </c>
      <c r="K122" s="31">
        <f>_xll.qlRateHelperEarliestDate($E122,Trigger)</f>
        <v>41704</v>
      </c>
      <c r="L122" s="30">
        <f>_xll.qlRateHelperLatestDate($E122,Trigger)</f>
        <v>54490</v>
      </c>
      <c r="N122" s="37" t="e">
        <f t="shared" si="7"/>
        <v>#NUM!</v>
      </c>
    </row>
    <row r="123" spans="2:14" x14ac:dyDescent="0.2">
      <c r="B123" s="36" t="str">
        <f t="shared" si="8"/>
        <v>AB</v>
      </c>
      <c r="C123" s="35" t="str">
        <f t="shared" si="6"/>
        <v>3E</v>
      </c>
      <c r="D123" s="34" t="s">
        <v>13</v>
      </c>
      <c r="E123" s="34" t="str">
        <f>Swaps_3M!L40</f>
        <v>EUR_YC3MRH_AB3E40Y#0002</v>
      </c>
      <c r="F123" s="33">
        <f>_xll.qlRateHelperQuoteValue($E123,Trigger)</f>
        <v>2.4470000000000002E-2</v>
      </c>
      <c r="G123" s="33">
        <f>_xll.qlSwapRateHelperSpread($E123,Trigger)</f>
        <v>0</v>
      </c>
      <c r="H123" s="32" t="b">
        <v>0</v>
      </c>
      <c r="I123" s="32">
        <v>50</v>
      </c>
      <c r="J123" s="32">
        <v>1</v>
      </c>
      <c r="K123" s="31">
        <f>_xll.qlRateHelperEarliestDate($E123,Trigger)</f>
        <v>41704</v>
      </c>
      <c r="L123" s="30">
        <f>_xll.qlRateHelperLatestDate($E123,Trigger)</f>
        <v>56314</v>
      </c>
      <c r="N123" s="37">
        <f t="shared" si="7"/>
        <v>-4.9999999999945921E-6</v>
      </c>
    </row>
    <row r="124" spans="2:14" x14ac:dyDescent="0.2">
      <c r="B124" s="36" t="str">
        <f t="shared" si="8"/>
        <v>AB</v>
      </c>
      <c r="C124" s="35" t="str">
        <f t="shared" si="6"/>
        <v>3E</v>
      </c>
      <c r="D124" s="34" t="s">
        <v>12</v>
      </c>
      <c r="E124" s="34" t="str">
        <f>Swaps_3M!L41</f>
        <v>EUR_YC3MRH_AB3E50Y#0002</v>
      </c>
      <c r="F124" s="33">
        <f>_xll.qlRateHelperQuoteValue($E124,Trigger)</f>
        <v>2.4660000000000001E-2</v>
      </c>
      <c r="G124" s="33">
        <f>_xll.qlSwapRateHelperSpread($E124,Trigger)</f>
        <v>0</v>
      </c>
      <c r="H124" s="32" t="b">
        <v>0</v>
      </c>
      <c r="I124" s="32">
        <v>50</v>
      </c>
      <c r="J124" s="32">
        <v>1</v>
      </c>
      <c r="K124" s="31">
        <f>_xll.qlRateHelperEarliestDate($E124,Trigger)</f>
        <v>41704</v>
      </c>
      <c r="L124" s="30">
        <f>_xll.qlRateHelperLatestDate($E124,Trigger)</f>
        <v>59967</v>
      </c>
      <c r="N124" s="37">
        <f t="shared" si="7"/>
        <v>-5.000000000001531E-6</v>
      </c>
    </row>
    <row r="125" spans="2:14" x14ac:dyDescent="0.2">
      <c r="B125" s="29" t="str">
        <f t="shared" si="8"/>
        <v>AB</v>
      </c>
      <c r="C125" s="28" t="str">
        <f t="shared" si="6"/>
        <v>3E</v>
      </c>
      <c r="D125" s="27" t="s">
        <v>11</v>
      </c>
      <c r="E125" s="27" t="str">
        <f>Swaps_3M!L42</f>
        <v>EUR_YC3MRH_AB3E60Y#0002</v>
      </c>
      <c r="F125" s="26">
        <f>_xll.qlRateHelperQuoteValue($E125,Trigger)</f>
        <v>2.4820000000000002E-2</v>
      </c>
      <c r="G125" s="26">
        <f>_xll.qlSwapRateHelperSpread($E125,Trigger)</f>
        <v>0</v>
      </c>
      <c r="H125" s="25" t="b">
        <v>0</v>
      </c>
      <c r="I125" s="25">
        <v>50</v>
      </c>
      <c r="J125" s="25">
        <v>1</v>
      </c>
      <c r="K125" s="24">
        <f>_xll.qlRateHelperEarliestDate($E125,Trigger)</f>
        <v>41704</v>
      </c>
      <c r="L125" s="23">
        <f>_xll.qlRateHelperLatestDate($E125,Trigger)</f>
        <v>63619</v>
      </c>
      <c r="N125" s="37">
        <f t="shared" si="7"/>
        <v>-2.9999999999995308E-6</v>
      </c>
    </row>
    <row r="126" spans="2:14" x14ac:dyDescent="0.2">
      <c r="B126" s="36" t="str">
        <f t="shared" si="8"/>
        <v>AB</v>
      </c>
      <c r="C126" s="35" t="str">
        <f t="shared" ref="C126:C162" si="9">IborType&amp;"BASIS"</f>
        <v>3EBASIS</v>
      </c>
      <c r="D126" s="34" t="s">
        <v>47</v>
      </c>
      <c r="E126" s="34" t="str">
        <f>SwapsFromBasis_3M!L6</f>
        <v>EUR_YC3MRH_AB3EBASIS1Y#0002</v>
      </c>
      <c r="F126" s="33">
        <f>_xll.qlRateHelperQuoteValue($E126,Trigger)</f>
        <v>2.6800000000000001E-3</v>
      </c>
      <c r="G126" s="33">
        <f>_xll.qlSwapRateHelperSpread($E126,Trigger)</f>
        <v>0</v>
      </c>
      <c r="H126" s="32" t="b">
        <v>0</v>
      </c>
      <c r="I126" s="32">
        <v>40</v>
      </c>
      <c r="J126" s="32">
        <v>1</v>
      </c>
      <c r="K126" s="31">
        <f>_xll.qlRateHelperEarliestDate($E126,Trigger)</f>
        <v>41704</v>
      </c>
      <c r="L126" s="30">
        <f>_xll.qlRateHelperLatestDate($E126,Trigger)</f>
        <v>42069</v>
      </c>
    </row>
    <row r="127" spans="2:14" x14ac:dyDescent="0.2">
      <c r="B127" s="36" t="str">
        <f t="shared" si="8"/>
        <v>AB</v>
      </c>
      <c r="C127" s="35" t="str">
        <f t="shared" si="9"/>
        <v>3EBASIS</v>
      </c>
      <c r="D127" s="34" t="s">
        <v>46</v>
      </c>
      <c r="E127" s="34" t="str">
        <f>SwapsFromBasis_3M!L7</f>
        <v>EUR_YC3MRH_AB3EBASIS15M#0002</v>
      </c>
      <c r="F127" s="33">
        <f>_xll.qlRateHelperQuoteValue($E127,Trigger)</f>
        <v>2.5000000000000005E-3</v>
      </c>
      <c r="G127" s="33">
        <f>_xll.qlSwapRateHelperSpread($E127,Trigger)</f>
        <v>0</v>
      </c>
      <c r="H127" s="32" t="b">
        <v>0</v>
      </c>
      <c r="I127" s="32">
        <v>40</v>
      </c>
      <c r="J127" s="32">
        <v>1</v>
      </c>
      <c r="K127" s="31">
        <f>_xll.qlRateHelperEarliestDate($E127,Trigger)</f>
        <v>41704</v>
      </c>
      <c r="L127" s="30">
        <f>_xll.qlRateHelperLatestDate($E127,Trigger)</f>
        <v>42163</v>
      </c>
    </row>
    <row r="128" spans="2:14" x14ac:dyDescent="0.2">
      <c r="B128" s="36" t="str">
        <f t="shared" si="8"/>
        <v>AB</v>
      </c>
      <c r="C128" s="35" t="str">
        <f t="shared" si="9"/>
        <v>3EBASIS</v>
      </c>
      <c r="D128" s="34" t="s">
        <v>45</v>
      </c>
      <c r="E128" s="34" t="str">
        <f>SwapsFromBasis_3M!L8</f>
        <v>EUR_YC3MRH_AB3EBASIS18M#0002</v>
      </c>
      <c r="F128" s="33">
        <f>_xll.qlRateHelperQuoteValue($E128,Trigger)</f>
        <v>2.8799999999999997E-3</v>
      </c>
      <c r="G128" s="33">
        <f>_xll.qlSwapRateHelperSpread($E128,Trigger)</f>
        <v>0</v>
      </c>
      <c r="H128" s="32" t="b">
        <v>0</v>
      </c>
      <c r="I128" s="32">
        <v>40</v>
      </c>
      <c r="J128" s="32">
        <v>1</v>
      </c>
      <c r="K128" s="31">
        <f>_xll.qlRateHelperEarliestDate($E128,Trigger)</f>
        <v>41704</v>
      </c>
      <c r="L128" s="30">
        <f>_xll.qlRateHelperLatestDate($E128,Trigger)</f>
        <v>42254</v>
      </c>
    </row>
    <row r="129" spans="2:12" x14ac:dyDescent="0.2">
      <c r="B129" s="36" t="str">
        <f t="shared" si="8"/>
        <v>AB</v>
      </c>
      <c r="C129" s="35" t="str">
        <f t="shared" si="9"/>
        <v>3EBASIS</v>
      </c>
      <c r="D129" s="34" t="s">
        <v>44</v>
      </c>
      <c r="E129" s="34" t="str">
        <f>SwapsFromBasis_3M!L9</f>
        <v>EUR_YC3MRH_AB3EBASIS21M#0002</v>
      </c>
      <c r="F129" s="33">
        <f>_xll.qlRateHelperQuoteValue($E129,Trigger)</f>
        <v>2.8410000000000006E-3</v>
      </c>
      <c r="G129" s="33">
        <f>_xll.qlSwapRateHelperSpread($E129,Trigger)</f>
        <v>0</v>
      </c>
      <c r="H129" s="32" t="b">
        <v>0</v>
      </c>
      <c r="I129" s="32">
        <v>40</v>
      </c>
      <c r="J129" s="32">
        <v>1</v>
      </c>
      <c r="K129" s="31">
        <f>_xll.qlRateHelperEarliestDate($E129,Trigger)</f>
        <v>41704</v>
      </c>
      <c r="L129" s="30">
        <f>_xll.qlRateHelperLatestDate($E129,Trigger)</f>
        <v>42345</v>
      </c>
    </row>
    <row r="130" spans="2:12" x14ac:dyDescent="0.2">
      <c r="B130" s="36" t="str">
        <f t="shared" si="8"/>
        <v>AB</v>
      </c>
      <c r="C130" s="35" t="str">
        <f t="shared" si="9"/>
        <v>3EBASIS</v>
      </c>
      <c r="D130" s="34" t="s">
        <v>43</v>
      </c>
      <c r="E130" s="34" t="str">
        <f>SwapsFromBasis_3M!L10</f>
        <v>EUR_YC3MRH_AB3EBASIS2Y#0002</v>
      </c>
      <c r="F130" s="33">
        <f>_xll.qlRateHelperQuoteValue($E130,Trigger)</f>
        <v>3.2249999999999996E-3</v>
      </c>
      <c r="G130" s="33">
        <f>_xll.qlSwapRateHelperSpread($E130,Trigger)</f>
        <v>0</v>
      </c>
      <c r="H130" s="32" t="b">
        <v>0</v>
      </c>
      <c r="I130" s="32">
        <v>40</v>
      </c>
      <c r="J130" s="32">
        <v>1</v>
      </c>
      <c r="K130" s="31">
        <f>_xll.qlRateHelperEarliestDate($E130,Trigger)</f>
        <v>41704</v>
      </c>
      <c r="L130" s="30">
        <f>_xll.qlRateHelperLatestDate($E130,Trigger)</f>
        <v>42436</v>
      </c>
    </row>
    <row r="131" spans="2:12" x14ac:dyDescent="0.2">
      <c r="B131" s="36" t="str">
        <f t="shared" si="8"/>
        <v>AB</v>
      </c>
      <c r="C131" s="35" t="str">
        <f t="shared" si="9"/>
        <v>3EBASIS</v>
      </c>
      <c r="D131" s="34" t="s">
        <v>42</v>
      </c>
      <c r="E131" s="34" t="str">
        <f>SwapsFromBasis_3M!L11</f>
        <v>EUR_YC3MRH_AB3EBASIS3Y#0002</v>
      </c>
      <c r="F131" s="33">
        <f>_xll.qlRateHelperQuoteValue($E131,Trigger)</f>
        <v>4.5999999999999999E-3</v>
      </c>
      <c r="G131" s="33">
        <f>_xll.qlSwapRateHelperSpread($E131,Trigger)</f>
        <v>0</v>
      </c>
      <c r="H131" s="32" t="b">
        <v>0</v>
      </c>
      <c r="I131" s="32">
        <v>40</v>
      </c>
      <c r="J131" s="32">
        <v>1</v>
      </c>
      <c r="K131" s="31">
        <f>_xll.qlRateHelperEarliestDate($E131,Trigger)</f>
        <v>41704</v>
      </c>
      <c r="L131" s="30">
        <f>_xll.qlRateHelperLatestDate($E131,Trigger)</f>
        <v>42800</v>
      </c>
    </row>
    <row r="132" spans="2:12" x14ac:dyDescent="0.2">
      <c r="B132" s="36" t="str">
        <f t="shared" si="8"/>
        <v>AB</v>
      </c>
      <c r="C132" s="35" t="str">
        <f t="shared" si="9"/>
        <v>3EBASIS</v>
      </c>
      <c r="D132" s="34" t="s">
        <v>41</v>
      </c>
      <c r="E132" s="34" t="str">
        <f>SwapsFromBasis_3M!L12</f>
        <v>EUR_YC3MRH_AB3EBASIS4Y#0002</v>
      </c>
      <c r="F132" s="33">
        <f>_xll.qlRateHelperQuoteValue($E132,Trigger)</f>
        <v>6.4749999999999999E-3</v>
      </c>
      <c r="G132" s="33">
        <f>_xll.qlSwapRateHelperSpread($E132,Trigger)</f>
        <v>0</v>
      </c>
      <c r="H132" s="32" t="b">
        <v>0</v>
      </c>
      <c r="I132" s="32">
        <v>40</v>
      </c>
      <c r="J132" s="32">
        <v>1</v>
      </c>
      <c r="K132" s="31">
        <f>_xll.qlRateHelperEarliestDate($E132,Trigger)</f>
        <v>41704</v>
      </c>
      <c r="L132" s="30">
        <f>_xll.qlRateHelperLatestDate($E132,Trigger)</f>
        <v>43165</v>
      </c>
    </row>
    <row r="133" spans="2:12" x14ac:dyDescent="0.2">
      <c r="B133" s="36" t="str">
        <f t="shared" si="8"/>
        <v>AB</v>
      </c>
      <c r="C133" s="35" t="str">
        <f t="shared" si="9"/>
        <v>3EBASIS</v>
      </c>
      <c r="D133" s="34" t="s">
        <v>40</v>
      </c>
      <c r="E133" s="34" t="str">
        <f>SwapsFromBasis_3M!L13</f>
        <v>EUR_YC3MRH_AB3EBASIS5Y#0002</v>
      </c>
      <c r="F133" s="33">
        <f>_xll.qlRateHelperQuoteValue($E133,Trigger)</f>
        <v>8.4749999999999982E-3</v>
      </c>
      <c r="G133" s="33">
        <f>_xll.qlSwapRateHelperSpread($E133,Trigger)</f>
        <v>0</v>
      </c>
      <c r="H133" s="32" t="b">
        <v>0</v>
      </c>
      <c r="I133" s="32">
        <v>40</v>
      </c>
      <c r="J133" s="32">
        <v>1</v>
      </c>
      <c r="K133" s="31">
        <f>_xll.qlRateHelperEarliestDate($E133,Trigger)</f>
        <v>41704</v>
      </c>
      <c r="L133" s="30">
        <f>_xll.qlRateHelperLatestDate($E133,Trigger)</f>
        <v>43530</v>
      </c>
    </row>
    <row r="134" spans="2:12" x14ac:dyDescent="0.2">
      <c r="B134" s="36" t="str">
        <f t="shared" si="8"/>
        <v>AB</v>
      </c>
      <c r="C134" s="35" t="str">
        <f t="shared" si="9"/>
        <v>3EBASIS</v>
      </c>
      <c r="D134" s="34" t="s">
        <v>39</v>
      </c>
      <c r="E134" s="34" t="str">
        <f>SwapsFromBasis_3M!L14</f>
        <v>EUR_YC3MRH_AB3EBASIS6Y#0002</v>
      </c>
      <c r="F134" s="33">
        <f>_xll.qlRateHelperQuoteValue($E134,Trigger)</f>
        <v>1.0460000000000001E-2</v>
      </c>
      <c r="G134" s="33">
        <f>_xll.qlSwapRateHelperSpread($E134,Trigger)</f>
        <v>0</v>
      </c>
      <c r="H134" s="32" t="b">
        <v>0</v>
      </c>
      <c r="I134" s="32">
        <v>40</v>
      </c>
      <c r="J134" s="32">
        <v>1</v>
      </c>
      <c r="K134" s="31">
        <f>_xll.qlRateHelperEarliestDate($E134,Trigger)</f>
        <v>41704</v>
      </c>
      <c r="L134" s="30">
        <f>_xll.qlRateHelperLatestDate($E134,Trigger)</f>
        <v>43896</v>
      </c>
    </row>
    <row r="135" spans="2:12" x14ac:dyDescent="0.2">
      <c r="B135" s="36" t="str">
        <f t="shared" si="8"/>
        <v>AB</v>
      </c>
      <c r="C135" s="35" t="str">
        <f t="shared" si="9"/>
        <v>3EBASIS</v>
      </c>
      <c r="D135" s="34" t="s">
        <v>38</v>
      </c>
      <c r="E135" s="34" t="str">
        <f>SwapsFromBasis_3M!L15</f>
        <v>EUR_YC3MRH_AB3EBASIS7Y#0002</v>
      </c>
      <c r="F135" s="33">
        <f>_xll.qlRateHelperQuoteValue($E135,Trigger)</f>
        <v>1.234E-2</v>
      </c>
      <c r="G135" s="33">
        <f>_xll.qlSwapRateHelperSpread($E135,Trigger)</f>
        <v>0</v>
      </c>
      <c r="H135" s="32" t="b">
        <v>0</v>
      </c>
      <c r="I135" s="32">
        <v>40</v>
      </c>
      <c r="J135" s="32">
        <v>1</v>
      </c>
      <c r="K135" s="31">
        <f>_xll.qlRateHelperEarliestDate($E135,Trigger)</f>
        <v>41704</v>
      </c>
      <c r="L135" s="30">
        <f>_xll.qlRateHelperLatestDate($E135,Trigger)</f>
        <v>44263</v>
      </c>
    </row>
    <row r="136" spans="2:12" x14ac:dyDescent="0.2">
      <c r="B136" s="36" t="str">
        <f t="shared" si="8"/>
        <v>AB</v>
      </c>
      <c r="C136" s="35" t="str">
        <f t="shared" si="9"/>
        <v>3EBASIS</v>
      </c>
      <c r="D136" s="34" t="s">
        <v>37</v>
      </c>
      <c r="E136" s="34" t="str">
        <f>SwapsFromBasis_3M!L16</f>
        <v>EUR_YC3MRH_AB3EBASIS8Y#0002</v>
      </c>
      <c r="F136" s="33">
        <f>_xll.qlRateHelperQuoteValue($E136,Trigger)</f>
        <v>1.4079999999999999E-2</v>
      </c>
      <c r="G136" s="33">
        <f>_xll.qlSwapRateHelperSpread($E136,Trigger)</f>
        <v>0</v>
      </c>
      <c r="H136" s="32" t="b">
        <v>0</v>
      </c>
      <c r="I136" s="32">
        <v>40</v>
      </c>
      <c r="J136" s="32">
        <v>1</v>
      </c>
      <c r="K136" s="31">
        <f>_xll.qlRateHelperEarliestDate($E136,Trigger)</f>
        <v>41704</v>
      </c>
      <c r="L136" s="30">
        <f>_xll.qlRateHelperLatestDate($E136,Trigger)</f>
        <v>44627</v>
      </c>
    </row>
    <row r="137" spans="2:12" x14ac:dyDescent="0.2">
      <c r="B137" s="36" t="str">
        <f t="shared" si="8"/>
        <v>AB</v>
      </c>
      <c r="C137" s="35" t="str">
        <f t="shared" si="9"/>
        <v>3EBASIS</v>
      </c>
      <c r="D137" s="34" t="s">
        <v>36</v>
      </c>
      <c r="E137" s="34" t="str">
        <f>SwapsFromBasis_3M!L17</f>
        <v>EUR_YC3MRH_AB3EBASIS9Y#0002</v>
      </c>
      <c r="F137" s="33">
        <f>_xll.qlRateHelperQuoteValue($E137,Trigger)</f>
        <v>1.5664999999999998E-2</v>
      </c>
      <c r="G137" s="33">
        <f>_xll.qlSwapRateHelperSpread($E137,Trigger)</f>
        <v>0</v>
      </c>
      <c r="H137" s="32" t="b">
        <v>0</v>
      </c>
      <c r="I137" s="32">
        <v>40</v>
      </c>
      <c r="J137" s="32">
        <v>1</v>
      </c>
      <c r="K137" s="31">
        <f>_xll.qlRateHelperEarliestDate($E137,Trigger)</f>
        <v>41704</v>
      </c>
      <c r="L137" s="30">
        <f>_xll.qlRateHelperLatestDate($E137,Trigger)</f>
        <v>44991</v>
      </c>
    </row>
    <row r="138" spans="2:12" x14ac:dyDescent="0.2">
      <c r="B138" s="36" t="str">
        <f t="shared" si="8"/>
        <v>AB</v>
      </c>
      <c r="C138" s="35" t="str">
        <f t="shared" si="9"/>
        <v>3EBASIS</v>
      </c>
      <c r="D138" s="34" t="s">
        <v>35</v>
      </c>
      <c r="E138" s="34" t="str">
        <f>SwapsFromBasis_3M!L18</f>
        <v>EUR_YC3MRH_AB3EBASIS10Y#0002</v>
      </c>
      <c r="F138" s="33">
        <f>_xll.qlRateHelperQuoteValue($E138,Trigger)</f>
        <v>1.7094999999999999E-2</v>
      </c>
      <c r="G138" s="33">
        <f>_xll.qlSwapRateHelperSpread($E138,Trigger)</f>
        <v>0</v>
      </c>
      <c r="H138" s="32" t="b">
        <v>0</v>
      </c>
      <c r="I138" s="32">
        <v>40</v>
      </c>
      <c r="J138" s="32">
        <v>1</v>
      </c>
      <c r="K138" s="31">
        <f>_xll.qlRateHelperEarliestDate($E138,Trigger)</f>
        <v>41704</v>
      </c>
      <c r="L138" s="30">
        <f>_xll.qlRateHelperLatestDate($E138,Trigger)</f>
        <v>45357</v>
      </c>
    </row>
    <row r="139" spans="2:12" x14ac:dyDescent="0.2">
      <c r="B139" s="36" t="str">
        <f t="shared" si="8"/>
        <v>AB</v>
      </c>
      <c r="C139" s="35" t="str">
        <f t="shared" si="9"/>
        <v>3EBASIS</v>
      </c>
      <c r="D139" s="34" t="s">
        <v>34</v>
      </c>
      <c r="E139" s="34" t="str">
        <f>SwapsFromBasis_3M!L19</f>
        <v>EUR_YC3MRH_AB3EBASIS11Y#0002</v>
      </c>
      <c r="F139" s="33">
        <f>_xll.qlRateHelperQuoteValue($E139,Trigger)</f>
        <v>1.8345E-2</v>
      </c>
      <c r="G139" s="33">
        <f>_xll.qlSwapRateHelperSpread($E139,Trigger)</f>
        <v>0</v>
      </c>
      <c r="H139" s="32" t="b">
        <v>0</v>
      </c>
      <c r="I139" s="32">
        <v>40</v>
      </c>
      <c r="J139" s="32">
        <v>1</v>
      </c>
      <c r="K139" s="31">
        <f>_xll.qlRateHelperEarliestDate($E139,Trigger)</f>
        <v>41704</v>
      </c>
      <c r="L139" s="30">
        <f>_xll.qlRateHelperLatestDate($E139,Trigger)</f>
        <v>45722</v>
      </c>
    </row>
    <row r="140" spans="2:12" x14ac:dyDescent="0.2">
      <c r="B140" s="36" t="str">
        <f t="shared" si="8"/>
        <v>AB</v>
      </c>
      <c r="C140" s="35" t="str">
        <f t="shared" si="9"/>
        <v>3EBASIS</v>
      </c>
      <c r="D140" s="34" t="s">
        <v>33</v>
      </c>
      <c r="E140" s="34" t="str">
        <f>SwapsFromBasis_3M!L20</f>
        <v>EUR_YC3MRH_AB3EBASIS12Y#0002</v>
      </c>
      <c r="F140" s="33">
        <f>_xll.qlRateHelperQuoteValue($E140,Trigger)</f>
        <v>1.941E-2</v>
      </c>
      <c r="G140" s="33">
        <f>_xll.qlSwapRateHelperSpread($E140,Trigger)</f>
        <v>0</v>
      </c>
      <c r="H140" s="32" t="b">
        <v>0</v>
      </c>
      <c r="I140" s="32">
        <v>40</v>
      </c>
      <c r="J140" s="32">
        <v>1</v>
      </c>
      <c r="K140" s="31">
        <f>_xll.qlRateHelperEarliestDate($E140,Trigger)</f>
        <v>41704</v>
      </c>
      <c r="L140" s="30">
        <f>_xll.qlRateHelperLatestDate($E140,Trigger)</f>
        <v>46087</v>
      </c>
    </row>
    <row r="141" spans="2:12" x14ac:dyDescent="0.2">
      <c r="B141" s="36" t="str">
        <f t="shared" si="8"/>
        <v>AB</v>
      </c>
      <c r="C141" s="35" t="str">
        <f t="shared" si="9"/>
        <v>3EBASIS</v>
      </c>
      <c r="D141" s="34" t="s">
        <v>32</v>
      </c>
      <c r="E141" s="34" t="str">
        <f>SwapsFromBasis_3M!L21</f>
        <v>EUR_YC3MRH_AB3EBASIS13Y#0002</v>
      </c>
      <c r="F141" s="33">
        <f>_xll.qlRateHelperQuoteValue($E141,Trigger)</f>
        <v>2.0344999999999999E-2</v>
      </c>
      <c r="G141" s="33">
        <f>_xll.qlSwapRateHelperSpread($E141,Trigger)</f>
        <v>0</v>
      </c>
      <c r="H141" s="32" t="b">
        <v>0</v>
      </c>
      <c r="I141" s="32">
        <v>40</v>
      </c>
      <c r="J141" s="32">
        <v>1</v>
      </c>
      <c r="K141" s="31">
        <f>_xll.qlRateHelperEarliestDate($E141,Trigger)</f>
        <v>41704</v>
      </c>
      <c r="L141" s="30">
        <f>_xll.qlRateHelperLatestDate($E141,Trigger)</f>
        <v>46454</v>
      </c>
    </row>
    <row r="142" spans="2:12" x14ac:dyDescent="0.2">
      <c r="B142" s="36" t="str">
        <f t="shared" si="8"/>
        <v>AB</v>
      </c>
      <c r="C142" s="35" t="str">
        <f t="shared" si="9"/>
        <v>3EBASIS</v>
      </c>
      <c r="D142" s="34" t="s">
        <v>31</v>
      </c>
      <c r="E142" s="34" t="str">
        <f>SwapsFromBasis_3M!L22</f>
        <v>EUR_YC3MRH_AB3EBASIS14Y#0002</v>
      </c>
      <c r="F142" s="33">
        <f>_xll.qlRateHelperQuoteValue($E142,Trigger)</f>
        <v>2.1139999999999999E-2</v>
      </c>
      <c r="G142" s="33">
        <f>_xll.qlSwapRateHelperSpread($E142,Trigger)</f>
        <v>0</v>
      </c>
      <c r="H142" s="32" t="b">
        <v>0</v>
      </c>
      <c r="I142" s="32">
        <v>40</v>
      </c>
      <c r="J142" s="32">
        <v>1</v>
      </c>
      <c r="K142" s="31">
        <f>_xll.qlRateHelperEarliestDate($E142,Trigger)</f>
        <v>41704</v>
      </c>
      <c r="L142" s="30">
        <f>_xll.qlRateHelperLatestDate($E142,Trigger)</f>
        <v>46818</v>
      </c>
    </row>
    <row r="143" spans="2:12" x14ac:dyDescent="0.2">
      <c r="B143" s="36" t="str">
        <f t="shared" si="8"/>
        <v>AB</v>
      </c>
      <c r="C143" s="35" t="str">
        <f t="shared" si="9"/>
        <v>3EBASIS</v>
      </c>
      <c r="D143" s="34" t="s">
        <v>30</v>
      </c>
      <c r="E143" s="34" t="str">
        <f>SwapsFromBasis_3M!L23</f>
        <v>EUR_YC3MRH_AB3EBASIS15Y#0002</v>
      </c>
      <c r="F143" s="33">
        <f>_xll.qlRateHelperQuoteValue($E143,Trigger)</f>
        <v>2.179E-2</v>
      </c>
      <c r="G143" s="33">
        <f>_xll.qlSwapRateHelperSpread($E143,Trigger)</f>
        <v>0</v>
      </c>
      <c r="H143" s="32" t="b">
        <v>0</v>
      </c>
      <c r="I143" s="32">
        <v>40</v>
      </c>
      <c r="J143" s="32">
        <v>1</v>
      </c>
      <c r="K143" s="31">
        <f>_xll.qlRateHelperEarliestDate($E143,Trigger)</f>
        <v>41704</v>
      </c>
      <c r="L143" s="30">
        <f>_xll.qlRateHelperLatestDate($E143,Trigger)</f>
        <v>47183</v>
      </c>
    </row>
    <row r="144" spans="2:12" x14ac:dyDescent="0.2">
      <c r="B144" s="36" t="str">
        <f t="shared" si="8"/>
        <v>AB</v>
      </c>
      <c r="C144" s="35" t="str">
        <f t="shared" si="9"/>
        <v>3EBASIS</v>
      </c>
      <c r="D144" s="34" t="s">
        <v>29</v>
      </c>
      <c r="E144" s="34" t="str">
        <f>SwapsFromBasis_3M!L24</f>
        <v>EUR_YC3MRH_AB3EBASIS16Y#0002</v>
      </c>
      <c r="F144" s="33">
        <f>_xll.qlRateHelperQuoteValue($E144,Trigger)</f>
        <v>2.2314000000000001E-2</v>
      </c>
      <c r="G144" s="33">
        <f>_xll.qlSwapRateHelperSpread($E144,Trigger)</f>
        <v>0</v>
      </c>
      <c r="H144" s="32" t="b">
        <v>0</v>
      </c>
      <c r="I144" s="32">
        <v>40</v>
      </c>
      <c r="J144" s="32">
        <v>1</v>
      </c>
      <c r="K144" s="31">
        <f>_xll.qlRateHelperEarliestDate($E144,Trigger)</f>
        <v>41704</v>
      </c>
      <c r="L144" s="30">
        <f>_xll.qlRateHelperLatestDate($E144,Trigger)</f>
        <v>47548</v>
      </c>
    </row>
    <row r="145" spans="2:12" x14ac:dyDescent="0.2">
      <c r="B145" s="36" t="str">
        <f t="shared" si="8"/>
        <v>AB</v>
      </c>
      <c r="C145" s="35" t="str">
        <f t="shared" si="9"/>
        <v>3EBASIS</v>
      </c>
      <c r="D145" s="34" t="s">
        <v>28</v>
      </c>
      <c r="E145" s="34" t="str">
        <f>SwapsFromBasis_3M!L25</f>
        <v>EUR_YC3MRH_AB3EBASIS17Y#0002</v>
      </c>
      <c r="F145" s="33">
        <f>_xll.qlRateHelperQuoteValue($E145,Trigger)</f>
        <v>2.2731999999999999E-2</v>
      </c>
      <c r="G145" s="33">
        <f>_xll.qlSwapRateHelperSpread($E145,Trigger)</f>
        <v>0</v>
      </c>
      <c r="H145" s="32" t="b">
        <v>0</v>
      </c>
      <c r="I145" s="32">
        <v>40</v>
      </c>
      <c r="J145" s="32">
        <v>1</v>
      </c>
      <c r="K145" s="31">
        <f>_xll.qlRateHelperEarliestDate($E145,Trigger)</f>
        <v>41704</v>
      </c>
      <c r="L145" s="30">
        <f>_xll.qlRateHelperLatestDate($E145,Trigger)</f>
        <v>47913</v>
      </c>
    </row>
    <row r="146" spans="2:12" x14ac:dyDescent="0.2">
      <c r="B146" s="36" t="str">
        <f t="shared" si="8"/>
        <v>AB</v>
      </c>
      <c r="C146" s="35" t="str">
        <f t="shared" si="9"/>
        <v>3EBASIS</v>
      </c>
      <c r="D146" s="34" t="s">
        <v>27</v>
      </c>
      <c r="E146" s="34" t="str">
        <f>SwapsFromBasis_3M!L26</f>
        <v>EUR_YC3MRH_AB3EBASIS18Y#0002</v>
      </c>
      <c r="F146" s="33">
        <f>_xll.qlRateHelperQuoteValue($E146,Trigger)</f>
        <v>2.3065000000000002E-2</v>
      </c>
      <c r="G146" s="33">
        <f>_xll.qlSwapRateHelperSpread($E146,Trigger)</f>
        <v>0</v>
      </c>
      <c r="H146" s="32" t="b">
        <v>0</v>
      </c>
      <c r="I146" s="32">
        <v>40</v>
      </c>
      <c r="J146" s="32">
        <v>1</v>
      </c>
      <c r="K146" s="31">
        <f>_xll.qlRateHelperEarliestDate($E146,Trigger)</f>
        <v>41704</v>
      </c>
      <c r="L146" s="30">
        <f>_xll.qlRateHelperLatestDate($E146,Trigger)</f>
        <v>48281</v>
      </c>
    </row>
    <row r="147" spans="2:12" x14ac:dyDescent="0.2">
      <c r="B147" s="36" t="str">
        <f t="shared" si="8"/>
        <v>AB</v>
      </c>
      <c r="C147" s="35" t="str">
        <f t="shared" si="9"/>
        <v>3EBASIS</v>
      </c>
      <c r="D147" s="34" t="s">
        <v>26</v>
      </c>
      <c r="E147" s="34" t="str">
        <f>SwapsFromBasis_3M!L27</f>
        <v>EUR_YC3MRH_AB3EBASIS19Y#0002</v>
      </c>
      <c r="F147" s="33">
        <f>_xll.qlRateHelperQuoteValue($E147,Trigger)</f>
        <v>2.3313999999999998E-2</v>
      </c>
      <c r="G147" s="33">
        <f>_xll.qlSwapRateHelperSpread($E147,Trigger)</f>
        <v>0</v>
      </c>
      <c r="H147" s="32" t="b">
        <v>0</v>
      </c>
      <c r="I147" s="32">
        <v>40</v>
      </c>
      <c r="J147" s="32">
        <v>1</v>
      </c>
      <c r="K147" s="31">
        <f>_xll.qlRateHelperEarliestDate($E147,Trigger)</f>
        <v>41704</v>
      </c>
      <c r="L147" s="30">
        <f>_xll.qlRateHelperLatestDate($E147,Trigger)</f>
        <v>48645</v>
      </c>
    </row>
    <row r="148" spans="2:12" x14ac:dyDescent="0.2">
      <c r="B148" s="36" t="str">
        <f t="shared" si="8"/>
        <v>AB</v>
      </c>
      <c r="C148" s="35" t="str">
        <f t="shared" si="9"/>
        <v>3EBASIS</v>
      </c>
      <c r="D148" s="34" t="s">
        <v>25</v>
      </c>
      <c r="E148" s="34" t="str">
        <f>SwapsFromBasis_3M!L28</f>
        <v>EUR_YC3MRH_AB3EBASIS20Y#0002</v>
      </c>
      <c r="F148" s="33">
        <f>_xll.qlRateHelperQuoteValue($E148,Trigger)</f>
        <v>2.3510000000000003E-2</v>
      </c>
      <c r="G148" s="33">
        <f>_xll.qlSwapRateHelperSpread($E148,Trigger)</f>
        <v>0</v>
      </c>
      <c r="H148" s="32" t="b">
        <v>0</v>
      </c>
      <c r="I148" s="32">
        <v>40</v>
      </c>
      <c r="J148" s="32">
        <v>1</v>
      </c>
      <c r="K148" s="31">
        <f>_xll.qlRateHelperEarliestDate($E148,Trigger)</f>
        <v>41704</v>
      </c>
      <c r="L148" s="30">
        <f>_xll.qlRateHelperLatestDate($E148,Trigger)</f>
        <v>49009</v>
      </c>
    </row>
    <row r="149" spans="2:12" x14ac:dyDescent="0.2">
      <c r="B149" s="36" t="str">
        <f t="shared" si="8"/>
        <v>AB</v>
      </c>
      <c r="C149" s="35" t="str">
        <f t="shared" si="9"/>
        <v>3EBASIS</v>
      </c>
      <c r="D149" s="34" t="s">
        <v>24</v>
      </c>
      <c r="E149" s="34" t="str">
        <f>SwapsFromBasis_3M!L29</f>
        <v>EUR_YC3MRH_AB3EBASIS21Y#0002</v>
      </c>
      <c r="F149" s="33">
        <f>_xll.qlRateHelperQuoteValue($E149,Trigger)</f>
        <v>2.3674000000000001E-2</v>
      </c>
      <c r="G149" s="33">
        <f>_xll.qlSwapRateHelperSpread($E149,Trigger)</f>
        <v>0</v>
      </c>
      <c r="H149" s="32" t="b">
        <v>0</v>
      </c>
      <c r="I149" s="32">
        <v>40</v>
      </c>
      <c r="J149" s="32">
        <v>1</v>
      </c>
      <c r="K149" s="31">
        <f>_xll.qlRateHelperEarliestDate($E149,Trigger)</f>
        <v>41704</v>
      </c>
      <c r="L149" s="30">
        <f>_xll.qlRateHelperLatestDate($E149,Trigger)</f>
        <v>49374</v>
      </c>
    </row>
    <row r="150" spans="2:12" x14ac:dyDescent="0.2">
      <c r="B150" s="36" t="str">
        <f t="shared" si="8"/>
        <v>AB</v>
      </c>
      <c r="C150" s="35" t="str">
        <f t="shared" si="9"/>
        <v>3EBASIS</v>
      </c>
      <c r="D150" s="34" t="s">
        <v>23</v>
      </c>
      <c r="E150" s="34" t="str">
        <f>SwapsFromBasis_3M!L30</f>
        <v>EUR_YC3MRH_AB3EBASIS22Y#0002</v>
      </c>
      <c r="F150" s="33">
        <f>_xll.qlRateHelperQuoteValue($E150,Trigger)</f>
        <v>2.3814999999999999E-2</v>
      </c>
      <c r="G150" s="33">
        <f>_xll.qlSwapRateHelperSpread($E150,Trigger)</f>
        <v>0</v>
      </c>
      <c r="H150" s="32" t="b">
        <v>0</v>
      </c>
      <c r="I150" s="32">
        <v>40</v>
      </c>
      <c r="J150" s="32">
        <v>1</v>
      </c>
      <c r="K150" s="31">
        <f>_xll.qlRateHelperEarliestDate($E150,Trigger)</f>
        <v>41704</v>
      </c>
      <c r="L150" s="30">
        <f>_xll.qlRateHelperLatestDate($E150,Trigger)</f>
        <v>49740</v>
      </c>
    </row>
    <row r="151" spans="2:12" x14ac:dyDescent="0.2">
      <c r="B151" s="36" t="str">
        <f t="shared" si="8"/>
        <v>AB</v>
      </c>
      <c r="C151" s="35" t="str">
        <f t="shared" si="9"/>
        <v>3EBASIS</v>
      </c>
      <c r="D151" s="34" t="s">
        <v>22</v>
      </c>
      <c r="E151" s="34" t="str">
        <f>SwapsFromBasis_3M!L31</f>
        <v>EUR_YC3MRH_AB3EBASIS23Y#0002</v>
      </c>
      <c r="F151" s="33">
        <f>_xll.qlRateHelperQuoteValue($E151,Trigger)</f>
        <v>2.3914999999999999E-2</v>
      </c>
      <c r="G151" s="33">
        <f>_xll.qlSwapRateHelperSpread($E151,Trigger)</f>
        <v>0</v>
      </c>
      <c r="H151" s="32" t="b">
        <v>0</v>
      </c>
      <c r="I151" s="32">
        <v>40</v>
      </c>
      <c r="J151" s="32">
        <v>1</v>
      </c>
      <c r="K151" s="31">
        <f>_xll.qlRateHelperEarliestDate($E151,Trigger)</f>
        <v>41704</v>
      </c>
      <c r="L151" s="30">
        <f>_xll.qlRateHelperLatestDate($E151,Trigger)</f>
        <v>50105</v>
      </c>
    </row>
    <row r="152" spans="2:12" x14ac:dyDescent="0.2">
      <c r="B152" s="36" t="str">
        <f t="shared" si="8"/>
        <v>AB</v>
      </c>
      <c r="C152" s="35" t="str">
        <f t="shared" si="9"/>
        <v>3EBASIS</v>
      </c>
      <c r="D152" s="34" t="s">
        <v>21</v>
      </c>
      <c r="E152" s="34" t="str">
        <f>SwapsFromBasis_3M!L32</f>
        <v>EUR_YC3MRH_AB3EBASIS24Y#0002</v>
      </c>
      <c r="F152" s="33">
        <f>_xll.qlRateHelperQuoteValue($E152,Trigger)</f>
        <v>2.4003E-2</v>
      </c>
      <c r="G152" s="33">
        <f>_xll.qlSwapRateHelperSpread($E152,Trigger)</f>
        <v>0</v>
      </c>
      <c r="H152" s="32" t="b">
        <v>0</v>
      </c>
      <c r="I152" s="32">
        <v>40</v>
      </c>
      <c r="J152" s="32">
        <v>1</v>
      </c>
      <c r="K152" s="31">
        <f>_xll.qlRateHelperEarliestDate($E152,Trigger)</f>
        <v>41704</v>
      </c>
      <c r="L152" s="30">
        <f>_xll.qlRateHelperLatestDate($E152,Trigger)</f>
        <v>50472</v>
      </c>
    </row>
    <row r="153" spans="2:12" x14ac:dyDescent="0.2">
      <c r="B153" s="36" t="str">
        <f t="shared" ref="B153:B162" si="10">SwapFixedFreq</f>
        <v>AB</v>
      </c>
      <c r="C153" s="35" t="str">
        <f t="shared" si="9"/>
        <v>3EBASIS</v>
      </c>
      <c r="D153" s="34" t="s">
        <v>20</v>
      </c>
      <c r="E153" s="34" t="str">
        <f>SwapsFromBasis_3M!L33</f>
        <v>EUR_YC3MRH_AB3EBASIS25Y#0002</v>
      </c>
      <c r="F153" s="33">
        <f>_xll.qlRateHelperQuoteValue($E153,Trigger)</f>
        <v>2.4060000000000002E-2</v>
      </c>
      <c r="G153" s="33">
        <f>_xll.qlSwapRateHelperSpread($E153,Trigger)</f>
        <v>0</v>
      </c>
      <c r="H153" s="32" t="b">
        <v>0</v>
      </c>
      <c r="I153" s="32">
        <v>40</v>
      </c>
      <c r="J153" s="32">
        <v>1</v>
      </c>
      <c r="K153" s="31">
        <f>_xll.qlRateHelperEarliestDate($E153,Trigger)</f>
        <v>41704</v>
      </c>
      <c r="L153" s="30">
        <f>_xll.qlRateHelperLatestDate($E153,Trigger)</f>
        <v>50836</v>
      </c>
    </row>
    <row r="154" spans="2:12" x14ac:dyDescent="0.2">
      <c r="B154" s="36" t="str">
        <f t="shared" si="10"/>
        <v>AB</v>
      </c>
      <c r="C154" s="35" t="str">
        <f t="shared" si="9"/>
        <v>3EBASIS</v>
      </c>
      <c r="D154" s="34" t="s">
        <v>19</v>
      </c>
      <c r="E154" s="34" t="str">
        <f>SwapsFromBasis_3M!L34</f>
        <v>EUR_YC3MRH_AB3EBASIS26Y#0002</v>
      </c>
      <c r="F154" s="33">
        <f>_xll.qlRateHelperQuoteValue($E154,Trigger)</f>
        <v>2.4105000000000005E-2</v>
      </c>
      <c r="G154" s="33">
        <f>_xll.qlSwapRateHelperSpread($E154,Trigger)</f>
        <v>0</v>
      </c>
      <c r="H154" s="32" t="b">
        <v>0</v>
      </c>
      <c r="I154" s="32">
        <v>40</v>
      </c>
      <c r="J154" s="32">
        <v>1</v>
      </c>
      <c r="K154" s="31">
        <f>_xll.qlRateHelperEarliestDate($E154,Trigger)</f>
        <v>41704</v>
      </c>
      <c r="L154" s="30">
        <f>_xll.qlRateHelperLatestDate($E154,Trigger)</f>
        <v>51201</v>
      </c>
    </row>
    <row r="155" spans="2:12" x14ac:dyDescent="0.2">
      <c r="B155" s="36" t="str">
        <f t="shared" si="10"/>
        <v>AB</v>
      </c>
      <c r="C155" s="35" t="str">
        <f t="shared" si="9"/>
        <v>3EBASIS</v>
      </c>
      <c r="D155" s="34" t="s">
        <v>18</v>
      </c>
      <c r="E155" s="34" t="str">
        <f>SwapsFromBasis_3M!L35</f>
        <v>EUR_YC3MRH_AB3EBASIS27Y#0002</v>
      </c>
      <c r="F155" s="33">
        <f>_xll.qlRateHelperQuoteValue($E155,Trigger)</f>
        <v>2.4129000000000001E-2</v>
      </c>
      <c r="G155" s="33">
        <f>_xll.qlSwapRateHelperSpread($E155,Trigger)</f>
        <v>0</v>
      </c>
      <c r="H155" s="32" t="b">
        <v>0</v>
      </c>
      <c r="I155" s="32">
        <v>40</v>
      </c>
      <c r="J155" s="32">
        <v>1</v>
      </c>
      <c r="K155" s="31">
        <f>_xll.qlRateHelperEarliestDate($E155,Trigger)</f>
        <v>41704</v>
      </c>
      <c r="L155" s="30">
        <f>_xll.qlRateHelperLatestDate($E155,Trigger)</f>
        <v>51566</v>
      </c>
    </row>
    <row r="156" spans="2:12" x14ac:dyDescent="0.2">
      <c r="B156" s="36" t="str">
        <f t="shared" si="10"/>
        <v>AB</v>
      </c>
      <c r="C156" s="35" t="str">
        <f t="shared" si="9"/>
        <v>3EBASIS</v>
      </c>
      <c r="D156" s="34" t="s">
        <v>17</v>
      </c>
      <c r="E156" s="34" t="str">
        <f>SwapsFromBasis_3M!L36</f>
        <v>EUR_YC3MRH_AB3EBASIS28Y#0002</v>
      </c>
      <c r="F156" s="33">
        <f>_xll.qlRateHelperQuoteValue($E156,Trigger)</f>
        <v>2.4152E-2</v>
      </c>
      <c r="G156" s="33">
        <f>_xll.qlSwapRateHelperSpread($E156,Trigger)</f>
        <v>0</v>
      </c>
      <c r="H156" s="32" t="b">
        <v>0</v>
      </c>
      <c r="I156" s="32">
        <v>40</v>
      </c>
      <c r="J156" s="32">
        <v>1</v>
      </c>
      <c r="K156" s="31">
        <f>_xll.qlRateHelperEarliestDate($E156,Trigger)</f>
        <v>41704</v>
      </c>
      <c r="L156" s="30">
        <f>_xll.qlRateHelperLatestDate($E156,Trigger)</f>
        <v>51931</v>
      </c>
    </row>
    <row r="157" spans="2:12" x14ac:dyDescent="0.2">
      <c r="B157" s="36" t="str">
        <f t="shared" si="10"/>
        <v>AB</v>
      </c>
      <c r="C157" s="35" t="str">
        <f t="shared" si="9"/>
        <v>3EBASIS</v>
      </c>
      <c r="D157" s="34" t="s">
        <v>16</v>
      </c>
      <c r="E157" s="34" t="str">
        <f>SwapsFromBasis_3M!L37</f>
        <v>EUR_YC3MRH_AB3EBASIS29Y#0002</v>
      </c>
      <c r="F157" s="33">
        <f>_xll.qlRateHelperQuoteValue($E157,Trigger)</f>
        <v>2.4163999999999998E-2</v>
      </c>
      <c r="G157" s="33">
        <f>_xll.qlSwapRateHelperSpread($E157,Trigger)</f>
        <v>0</v>
      </c>
      <c r="H157" s="32" t="b">
        <v>0</v>
      </c>
      <c r="I157" s="32">
        <v>40</v>
      </c>
      <c r="J157" s="32">
        <v>1</v>
      </c>
      <c r="K157" s="31">
        <f>_xll.qlRateHelperEarliestDate($E157,Trigger)</f>
        <v>41704</v>
      </c>
      <c r="L157" s="30">
        <f>_xll.qlRateHelperLatestDate($E157,Trigger)</f>
        <v>52296</v>
      </c>
    </row>
    <row r="158" spans="2:12" x14ac:dyDescent="0.2">
      <c r="B158" s="36" t="str">
        <f t="shared" si="10"/>
        <v>AB</v>
      </c>
      <c r="C158" s="35" t="str">
        <f t="shared" si="9"/>
        <v>3EBASIS</v>
      </c>
      <c r="D158" s="34" t="s">
        <v>15</v>
      </c>
      <c r="E158" s="34" t="str">
        <f>SwapsFromBasis_3M!L38</f>
        <v>EUR_YC3MRH_AB3EBASIS30Y#0002</v>
      </c>
      <c r="F158" s="33">
        <f>_xll.qlRateHelperQuoteValue($E158,Trigger)</f>
        <v>2.4174999999999999E-2</v>
      </c>
      <c r="G158" s="33">
        <f>_xll.qlSwapRateHelperSpread($E158,Trigger)</f>
        <v>0</v>
      </c>
      <c r="H158" s="32" t="b">
        <v>0</v>
      </c>
      <c r="I158" s="32">
        <v>40</v>
      </c>
      <c r="J158" s="32">
        <v>1</v>
      </c>
      <c r="K158" s="31">
        <f>_xll.qlRateHelperEarliestDate($E158,Trigger)</f>
        <v>41704</v>
      </c>
      <c r="L158" s="30">
        <f>_xll.qlRateHelperLatestDate($E158,Trigger)</f>
        <v>52663</v>
      </c>
    </row>
    <row r="159" spans="2:12" x14ac:dyDescent="0.2">
      <c r="B159" s="36" t="str">
        <f t="shared" si="10"/>
        <v>AB</v>
      </c>
      <c r="C159" s="35" t="str">
        <f t="shared" si="9"/>
        <v>3EBASIS</v>
      </c>
      <c r="D159" s="34" t="s">
        <v>14</v>
      </c>
      <c r="E159" s="34" t="str">
        <f>SwapsFromBasis_3M!L39</f>
        <v>EUR_YC3MRH_AB3EBASIS35Y#0002</v>
      </c>
      <c r="F159" s="33">
        <f>_xll.qlRateHelperQuoteValue($E159,Trigger)</f>
        <v>2.4305E-2</v>
      </c>
      <c r="G159" s="33">
        <f>_xll.qlSwapRateHelperSpread($E159,Trigger)</f>
        <v>0</v>
      </c>
      <c r="H159" s="32" t="b">
        <v>1</v>
      </c>
      <c r="I159" s="32">
        <v>40</v>
      </c>
      <c r="J159" s="32">
        <v>1</v>
      </c>
      <c r="K159" s="31">
        <f>_xll.qlRateHelperEarliestDate($E159,Trigger)</f>
        <v>41704</v>
      </c>
      <c r="L159" s="30">
        <f>_xll.qlRateHelperLatestDate($E159,Trigger)</f>
        <v>54490</v>
      </c>
    </row>
    <row r="160" spans="2:12" x14ac:dyDescent="0.2">
      <c r="B160" s="36" t="str">
        <f t="shared" si="10"/>
        <v>AB</v>
      </c>
      <c r="C160" s="35" t="str">
        <f t="shared" si="9"/>
        <v>3EBASIS</v>
      </c>
      <c r="D160" s="34" t="s">
        <v>13</v>
      </c>
      <c r="E160" s="34" t="str">
        <f>SwapsFromBasis_3M!L40</f>
        <v>EUR_YC3MRH_AB3EBASIS40Y#0002</v>
      </c>
      <c r="F160" s="33">
        <f>_xll.qlRateHelperQuoteValue($E160,Trigger)</f>
        <v>2.4474999999999997E-2</v>
      </c>
      <c r="G160" s="33">
        <f>_xll.qlSwapRateHelperSpread($E160,Trigger)</f>
        <v>0</v>
      </c>
      <c r="H160" s="32" t="b">
        <v>1</v>
      </c>
      <c r="I160" s="32">
        <v>40</v>
      </c>
      <c r="J160" s="32">
        <v>1</v>
      </c>
      <c r="K160" s="31">
        <f>_xll.qlRateHelperEarliestDate($E160,Trigger)</f>
        <v>41704</v>
      </c>
      <c r="L160" s="30">
        <f>_xll.qlRateHelperLatestDate($E160,Trigger)</f>
        <v>56314</v>
      </c>
    </row>
    <row r="161" spans="2:12" x14ac:dyDescent="0.2">
      <c r="B161" s="36" t="str">
        <f t="shared" si="10"/>
        <v>AB</v>
      </c>
      <c r="C161" s="35" t="str">
        <f t="shared" si="9"/>
        <v>3EBASIS</v>
      </c>
      <c r="D161" s="34" t="s">
        <v>12</v>
      </c>
      <c r="E161" s="34" t="str">
        <f>SwapsFromBasis_3M!L41</f>
        <v>EUR_YC3MRH_AB3EBASIS50Y#0002</v>
      </c>
      <c r="F161" s="33">
        <f>_xll.qlRateHelperQuoteValue($E161,Trigger)</f>
        <v>2.4665000000000003E-2</v>
      </c>
      <c r="G161" s="33">
        <f>_xll.qlSwapRateHelperSpread($E161,Trigger)</f>
        <v>0</v>
      </c>
      <c r="H161" s="32" t="b">
        <v>1</v>
      </c>
      <c r="I161" s="32">
        <v>40</v>
      </c>
      <c r="J161" s="32">
        <v>1</v>
      </c>
      <c r="K161" s="31">
        <f>_xll.qlRateHelperEarliestDate($E161,Trigger)</f>
        <v>41704</v>
      </c>
      <c r="L161" s="30">
        <f>_xll.qlRateHelperLatestDate($E161,Trigger)</f>
        <v>59967</v>
      </c>
    </row>
    <row r="162" spans="2:12" x14ac:dyDescent="0.2">
      <c r="B162" s="29" t="str">
        <f t="shared" si="10"/>
        <v>AB</v>
      </c>
      <c r="C162" s="28" t="str">
        <f t="shared" si="9"/>
        <v>3EBASIS</v>
      </c>
      <c r="D162" s="27" t="s">
        <v>11</v>
      </c>
      <c r="E162" s="27" t="str">
        <f>SwapsFromBasis_3M!L42</f>
        <v>EUR_YC3MRH_AB3EBASIS60Y#0002</v>
      </c>
      <c r="F162" s="26">
        <f>_xll.qlRateHelperQuoteValue($E162,Trigger)</f>
        <v>2.4823000000000001E-2</v>
      </c>
      <c r="G162" s="26">
        <f>_xll.qlSwapRateHelperSpread($E162,Trigger)</f>
        <v>0</v>
      </c>
      <c r="H162" s="25" t="b">
        <v>1</v>
      </c>
      <c r="I162" s="25">
        <v>40</v>
      </c>
      <c r="J162" s="25">
        <v>1</v>
      </c>
      <c r="K162" s="24">
        <f>_xll.qlRateHelperEarliestDate($E162,Trigger)</f>
        <v>41704</v>
      </c>
      <c r="L162" s="23">
        <f>_xll.qlRateHelperLatestDate($E162,Trigger)</f>
        <v>63619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activeCell="F1" sqref="F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8" style="1" bestFit="1" customWidth="1"/>
    <col min="13" max="16384" width="9.140625" style="1"/>
  </cols>
  <sheetData>
    <row r="1" spans="1:12" ht="12" thickBot="1" x14ac:dyDescent="0.25">
      <c r="A1" s="224" t="s">
        <v>10</v>
      </c>
      <c r="B1" s="225"/>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3.3240000000000001E-3</v>
      </c>
      <c r="F2" s="10" t="str">
        <f>IF(ISERROR(_xll.qlSwapRateHelperSpread($D2)),IF(ISERROR(_xll.qlFuturesRateHelperConvexityAdjustment($D2)),"--",_xll.qlFuturesRateHelperConvexityAdjustment($D2)),_xll.qlSwapRateHelperSpread($D2))</f>
        <v>--</v>
      </c>
      <c r="G2" s="9">
        <f>_xll.qlRateHelperEarliestDate($D2)</f>
        <v>41704</v>
      </c>
      <c r="H2" s="8">
        <f>_xll.qlRateHelperLatestDate($D2)</f>
        <v>41718</v>
      </c>
      <c r="I2" s="3">
        <v>0.99987075004102899</v>
      </c>
      <c r="K2" s="1" t="s">
        <v>106</v>
      </c>
      <c r="L2" s="37">
        <v>3.0699999999999998E-3</v>
      </c>
    </row>
    <row r="3" spans="1:12" x14ac:dyDescent="0.2">
      <c r="A3" s="15" t="s">
        <v>4</v>
      </c>
      <c r="B3" s="17">
        <v>0</v>
      </c>
      <c r="D3" s="11" t="str">
        <v>EUR_YC3MRH_3WD</v>
      </c>
      <c r="E3" s="10">
        <f>_xll.qlRateHelperRate($D3)</f>
        <v>3.3240000000000001E-3</v>
      </c>
      <c r="F3" s="10" t="str">
        <f>IF(ISERROR(_xll.qlSwapRateHelperSpread($D3)),IF(ISERROR(_xll.qlFuturesRateHelperConvexityAdjustment($D3)),"--",_xll.qlFuturesRateHelperConvexityAdjustment($D3)),_xll.qlSwapRateHelperSpread($D3))</f>
        <v>--</v>
      </c>
      <c r="G3" s="9">
        <f>_xll.qlRateHelperEarliestDate($D3)</f>
        <v>41704</v>
      </c>
      <c r="H3" s="8">
        <f>_xll.qlRateHelperLatestDate($D3)</f>
        <v>41725</v>
      </c>
      <c r="I3" s="3">
        <v>0.99980613758992132</v>
      </c>
      <c r="K3" s="1" t="s">
        <v>107</v>
      </c>
      <c r="L3" s="37">
        <v>3.0240000000000002E-3</v>
      </c>
    </row>
    <row r="4" spans="1:12" x14ac:dyDescent="0.2">
      <c r="A4" s="15" t="s">
        <v>3</v>
      </c>
      <c r="B4" s="17">
        <v>4</v>
      </c>
      <c r="D4" s="11" t="str">
        <v>EUR_YC3MRH_1MD</v>
      </c>
      <c r="E4" s="10">
        <f>_xll.qlRateHelperRate($D4)</f>
        <v>3.3240000000000001E-3</v>
      </c>
      <c r="F4" s="10" t="str">
        <f>IF(ISERROR(_xll.qlSwapRateHelperSpread($D4)),IF(ISERROR(_xll.qlFuturesRateHelperConvexityAdjustment($D4)),"--",_xll.qlFuturesRateHelperConvexityAdjustment($D4)),_xll.qlSwapRateHelperSpread($D4))</f>
        <v>--</v>
      </c>
      <c r="G4" s="9">
        <f>_xll.qlRateHelperEarliestDate($D4)</f>
        <v>41704</v>
      </c>
      <c r="H4" s="8">
        <f>_xll.qlRateHelperLatestDate($D4)</f>
        <v>41736</v>
      </c>
      <c r="I4" s="3">
        <v>0.99970462060809773</v>
      </c>
      <c r="K4" s="1" t="s">
        <v>108</v>
      </c>
      <c r="L4" s="37">
        <v>2.967E-3</v>
      </c>
    </row>
    <row r="5" spans="1:12" x14ac:dyDescent="0.2">
      <c r="A5" s="15" t="s">
        <v>2</v>
      </c>
      <c r="B5" s="16" t="s">
        <v>1</v>
      </c>
      <c r="D5" s="11" t="str">
        <v>EUR_YC3MRH_2MD</v>
      </c>
      <c r="E5" s="10">
        <f>_xll.qlRateHelperRate($D5)</f>
        <v>3.3240000000000001E-3</v>
      </c>
      <c r="F5" s="10" t="str">
        <f>IF(ISERROR(_xll.qlSwapRateHelperSpread($D5)),IF(ISERROR(_xll.qlFuturesRateHelperConvexityAdjustment($D5)),"--",_xll.qlFuturesRateHelperConvexityAdjustment($D5)),_xll.qlSwapRateHelperSpread($D5))</f>
        <v>--</v>
      </c>
      <c r="G5" s="9">
        <f>_xll.qlRateHelperEarliestDate($D5)</f>
        <v>41704</v>
      </c>
      <c r="H5" s="8">
        <f>_xll.qlRateHelperLatestDate($D5)</f>
        <v>41765</v>
      </c>
      <c r="I5" s="3">
        <v>0.99943708371987994</v>
      </c>
      <c r="K5" s="1" t="s">
        <v>109</v>
      </c>
      <c r="L5" s="37">
        <v>2.993E-3</v>
      </c>
    </row>
    <row r="6" spans="1:12" x14ac:dyDescent="0.2">
      <c r="A6" s="15" t="s">
        <v>0</v>
      </c>
      <c r="B6" s="14" t="str">
        <f>_xll.ohRangeRetrieveError(Selected!D2)</f>
        <v/>
      </c>
      <c r="D6" s="11" t="str">
        <v>EUR_YC3MRH_FUT3MH4</v>
      </c>
      <c r="E6" s="10">
        <f>_xll.qlRateHelperRate($D6)</f>
        <v>2.6249999999999885E-3</v>
      </c>
      <c r="F6" s="10">
        <f>IF(ISERROR(_xll.qlSwapRateHelperSpread($D6)),IF(ISERROR(_xll.qlFuturesRateHelperConvexityAdjustment($D6)),"--",_xll.qlFuturesRateHelperConvexityAdjustment($D6)),_xll.qlSwapRateHelperSpread($D6))</f>
        <v>0</v>
      </c>
      <c r="G6" s="9">
        <f>_xll.qlRateHelperEarliestDate($D6)</f>
        <v>41717</v>
      </c>
      <c r="H6" s="8">
        <f>_xll.qlRateHelperLatestDate($D6)</f>
        <v>41809</v>
      </c>
      <c r="I6" s="3">
        <v>0.99920969514353841</v>
      </c>
      <c r="K6" s="1" t="s">
        <v>110</v>
      </c>
      <c r="L6" s="37">
        <v>2.9750000000000002E-3</v>
      </c>
    </row>
    <row r="7" spans="1:12" ht="12" thickBot="1" x14ac:dyDescent="0.25">
      <c r="A7" s="13" t="str">
        <f>_xll.ohGroup(,_xll.ohPack(D2:D126),Permanent,,ObjectOverwrite)</f>
        <v>obj_00578#0007</v>
      </c>
      <c r="B7" s="12" t="str">
        <f>_xll.ohRangeRetrieveError(RateHelpersSelected)</f>
        <v/>
      </c>
      <c r="D7" s="11" t="str">
        <v>EUR_YC3MRH_FUT3MM4</v>
      </c>
      <c r="E7" s="10">
        <f>_xll.qlRateHelperRate($D7)</f>
        <v>2.475000000000005E-3</v>
      </c>
      <c r="F7" s="10">
        <f>IF(ISERROR(_xll.qlSwapRateHelperSpread($D7)),IF(ISERROR(_xll.qlFuturesRateHelperConvexityAdjustment($D7)),"--",_xll.qlFuturesRateHelperConvexityAdjustment($D7)),_xll.qlSwapRateHelperSpread($D7))</f>
        <v>0</v>
      </c>
      <c r="G7" s="9">
        <f>_xll.qlRateHelperEarliestDate($D7)</f>
        <v>41808</v>
      </c>
      <c r="H7" s="8">
        <f>_xll.qlRateHelperLatestDate($D7)</f>
        <v>41900</v>
      </c>
      <c r="I7" s="3">
        <v>0.9985828691513815</v>
      </c>
      <c r="K7" s="1" t="s">
        <v>111</v>
      </c>
      <c r="L7" s="37">
        <v>2.9250000000000001E-3</v>
      </c>
    </row>
    <row r="8" spans="1:12" x14ac:dyDescent="0.2">
      <c r="D8" s="11" t="str">
        <v>EUR_YC3MRH_FUT3MU4</v>
      </c>
      <c r="E8" s="10">
        <f>_xll.qlRateHelperRate($D8)</f>
        <v>2.5249999999999995E-3</v>
      </c>
      <c r="F8" s="10">
        <f>IF(ISERROR(_xll.qlSwapRateHelperSpread($D8)),IF(ISERROR(_xll.qlFuturesRateHelperConvexityAdjustment($D8)),"--",_xll.qlFuturesRateHelperConvexityAdjustment($D8)),_xll.qlSwapRateHelperSpread($D8))</f>
        <v>0</v>
      </c>
      <c r="G8" s="9">
        <f>_xll.qlRateHelperEarliestDate($D8)</f>
        <v>41899</v>
      </c>
      <c r="H8" s="8">
        <f>_xll.qlRateHelperLatestDate($D8)</f>
        <v>41990</v>
      </c>
      <c r="I8" s="3">
        <v>0.99795336119816869</v>
      </c>
      <c r="K8" s="207" t="s">
        <v>112</v>
      </c>
      <c r="L8" s="37">
        <v>2.9750000000000002E-3</v>
      </c>
    </row>
    <row r="9" spans="1:12" x14ac:dyDescent="0.2">
      <c r="D9" s="11" t="str">
        <v>EUR_YC3MRH_FUT3MZ4</v>
      </c>
      <c r="E9" s="10">
        <f>_xll.qlRateHelperRate($D9)</f>
        <v>2.7250000000000885E-3</v>
      </c>
      <c r="F9" s="10">
        <f>IF(ISERROR(_xll.qlSwapRateHelperSpread($D9)),IF(ISERROR(_xll.qlFuturesRateHelperConvexityAdjustment($D9)),"--",_xll.qlFuturesRateHelperConvexityAdjustment($D9)),_xll.qlSwapRateHelperSpread($D9))</f>
        <v>0</v>
      </c>
      <c r="G9" s="9">
        <f>_xll.qlRateHelperEarliestDate($D9)</f>
        <v>41990</v>
      </c>
      <c r="H9" s="8">
        <f>_xll.qlRateHelperLatestDate($D9)</f>
        <v>42080</v>
      </c>
      <c r="I9" s="3">
        <v>0.99727396830725945</v>
      </c>
      <c r="K9" s="207" t="s">
        <v>113</v>
      </c>
      <c r="L9" s="37">
        <v>3.1749999999999999E-3</v>
      </c>
    </row>
    <row r="10" spans="1:12" x14ac:dyDescent="0.2">
      <c r="D10" s="11" t="str">
        <v>EUR_YC3MRH_FUT3MH5</v>
      </c>
      <c r="E10" s="10">
        <f>_xll.qlRateHelperRate($D10)</f>
        <v>3.0250000000000554E-3</v>
      </c>
      <c r="F10" s="10">
        <f>IF(ISERROR(_xll.qlSwapRateHelperSpread($D10)),IF(ISERROR(_xll.qlFuturesRateHelperConvexityAdjustment($D10)),"--",_xll.qlFuturesRateHelperConvexityAdjustment($D10)),_xll.qlSwapRateHelperSpread($D10))</f>
        <v>0</v>
      </c>
      <c r="G10" s="9">
        <f>_xll.qlRateHelperEarliestDate($D10)</f>
        <v>42081</v>
      </c>
      <c r="H10" s="8">
        <f>_xll.qlRateHelperLatestDate($D10)</f>
        <v>42173</v>
      </c>
      <c r="I10" s="3">
        <v>0.99649568125083321</v>
      </c>
      <c r="K10" s="207" t="s">
        <v>114</v>
      </c>
      <c r="L10" s="37">
        <v>3.5750000000000001E-3</v>
      </c>
    </row>
    <row r="11" spans="1:12" x14ac:dyDescent="0.2">
      <c r="D11" s="11" t="str">
        <v>EUR_YC3MRH_FUT3MM5</v>
      </c>
      <c r="E11" s="10">
        <f>_xll.qlRateHelperRate($D11)</f>
        <v>3.4750000000000059E-3</v>
      </c>
      <c r="F11" s="10">
        <f>IF(ISERROR(_xll.qlSwapRateHelperSpread($D11)),IF(ISERROR(_xll.qlFuturesRateHelperConvexityAdjustment($D11)),"--",_xll.qlFuturesRateHelperConvexityAdjustment($D11)),_xll.qlSwapRateHelperSpread($D11))</f>
        <v>0</v>
      </c>
      <c r="G11" s="9">
        <f>_xll.qlRateHelperEarliestDate($D11)</f>
        <v>42172</v>
      </c>
      <c r="H11" s="8">
        <f>_xll.qlRateHelperLatestDate($D11)</f>
        <v>42264</v>
      </c>
      <c r="I11" s="3">
        <v>0.99562043754671092</v>
      </c>
      <c r="K11" s="1" t="s">
        <v>115</v>
      </c>
      <c r="L11" s="37">
        <v>4.1250000000000002E-3</v>
      </c>
    </row>
    <row r="12" spans="1:12" x14ac:dyDescent="0.2">
      <c r="D12" s="11" t="str">
        <v>EUR_YC3MRH_FUT3MU5</v>
      </c>
      <c r="E12" s="10">
        <f>_xll.qlRateHelperRate($D12)</f>
        <v>4.0250000000000563E-3</v>
      </c>
      <c r="F12" s="10">
        <f>IF(ISERROR(_xll.qlSwapRateHelperSpread($D12)),IF(ISERROR(_xll.qlFuturesRateHelperConvexityAdjustment($D12)),"--",_xll.qlFuturesRateHelperConvexityAdjustment($D12)),_xll.qlSwapRateHelperSpread($D12))</f>
        <v>0</v>
      </c>
      <c r="G12" s="9">
        <f>_xll.qlRateHelperEarliestDate($D12)</f>
        <v>42263</v>
      </c>
      <c r="H12" s="8">
        <f>_xll.qlRateHelperLatestDate($D12)</f>
        <v>42354</v>
      </c>
      <c r="I12" s="3">
        <v>0.99461879217436866</v>
      </c>
      <c r="K12" s="1" t="s">
        <v>116</v>
      </c>
      <c r="L12" s="37">
        <v>4.9249999999999997E-3</v>
      </c>
    </row>
    <row r="13" spans="1:12" x14ac:dyDescent="0.2">
      <c r="D13" s="11" t="str">
        <v>EUR_YC3MRH_FUT3MZ5</v>
      </c>
      <c r="E13" s="10">
        <f>_xll.qlRateHelperRate($D13)</f>
        <v>4.7749999999999737E-3</v>
      </c>
      <c r="F13" s="10">
        <f>IF(ISERROR(_xll.qlSwapRateHelperSpread($D13)),IF(ISERROR(_xll.qlFuturesRateHelperConvexityAdjustment($D13)),"--",_xll.qlFuturesRateHelperConvexityAdjustment($D13)),_xll.qlSwapRateHelperSpread($D13))</f>
        <v>0</v>
      </c>
      <c r="G13" s="9">
        <f>_xll.qlRateHelperEarliestDate($D13)</f>
        <v>42354</v>
      </c>
      <c r="H13" s="8">
        <f>_xll.qlRateHelperLatestDate($D13)</f>
        <v>42445</v>
      </c>
      <c r="I13" s="3">
        <v>0.99341972077416152</v>
      </c>
      <c r="K13" s="1" t="s">
        <v>178</v>
      </c>
      <c r="L13" s="37">
        <v>5.875E-3</v>
      </c>
    </row>
    <row r="14" spans="1:12" x14ac:dyDescent="0.2">
      <c r="D14" s="11" t="str">
        <v>EUR_YC3MRH_AB3E3Y</v>
      </c>
      <c r="E14" s="10">
        <f>_xll.qlRateHelperRate($D14)</f>
        <v>4.5999999999999999E-3</v>
      </c>
      <c r="F14" s="10">
        <f>IF(ISERROR(_xll.qlSwapRateHelperSpread($D14)),IF(ISERROR(_xll.qlFuturesRateHelperConvexityAdjustment($D14)),"--",_xll.qlFuturesRateHelperConvexityAdjustment($D14)),_xll.qlSwapRateHelperSpread($D14))</f>
        <v>0</v>
      </c>
      <c r="G14" s="9">
        <f>_xll.qlRateHelperEarliestDate($D14)</f>
        <v>41704</v>
      </c>
      <c r="H14" s="8">
        <f>_xll.qlRateHelperLatestDate($D14)</f>
        <v>42800</v>
      </c>
      <c r="I14" s="3">
        <v>0.9863056284018501</v>
      </c>
      <c r="K14" s="1" t="s">
        <v>117</v>
      </c>
      <c r="L14" s="37">
        <v>5.2700000000000004E-3</v>
      </c>
    </row>
    <row r="15" spans="1:12" x14ac:dyDescent="0.2">
      <c r="D15" s="11" t="str">
        <v>EUR_YC3MRH_AB3E4Y</v>
      </c>
      <c r="E15" s="10">
        <f>_xll.qlRateHelperRate($D15)</f>
        <v>6.4800000000000005E-3</v>
      </c>
      <c r="F15" s="10">
        <f>IF(ISERROR(_xll.qlSwapRateHelperSpread($D15)),IF(ISERROR(_xll.qlFuturesRateHelperConvexityAdjustment($D15)),"--",_xll.qlFuturesRateHelperConvexityAdjustment($D15)),_xll.qlSwapRateHelperSpread($D15))</f>
        <v>0</v>
      </c>
      <c r="G15" s="9">
        <f>_xll.qlRateHelperEarliestDate($D15)</f>
        <v>41704</v>
      </c>
      <c r="H15" s="8">
        <f>_xll.qlRateHelperLatestDate($D15)</f>
        <v>43165</v>
      </c>
      <c r="I15" s="3">
        <v>0.97439435168352628</v>
      </c>
      <c r="K15" s="1" t="s">
        <v>118</v>
      </c>
      <c r="L15" s="37">
        <v>7.4900000000000001E-3</v>
      </c>
    </row>
    <row r="16" spans="1:12" x14ac:dyDescent="0.2">
      <c r="D16" s="11" t="str">
        <v>EUR_YC3MRH_AB3E5Y</v>
      </c>
      <c r="E16" s="10">
        <f>_xll.qlRateHelperRate($D16)</f>
        <v>8.4799999999999997E-3</v>
      </c>
      <c r="F16" s="10">
        <f>IF(ISERROR(_xll.qlSwapRateHelperSpread($D16)),IF(ISERROR(_xll.qlFuturesRateHelperConvexityAdjustment($D16)),"--",_xll.qlFuturesRateHelperConvexityAdjustment($D16)),_xll.qlSwapRateHelperSpread($D16))</f>
        <v>0</v>
      </c>
      <c r="G16" s="9">
        <f>_xll.qlRateHelperEarliestDate($D16)</f>
        <v>41704</v>
      </c>
      <c r="H16" s="8">
        <f>_xll.qlRateHelperLatestDate($D16)</f>
        <v>43530</v>
      </c>
      <c r="I16" s="3">
        <v>0.95836416536915203</v>
      </c>
      <c r="K16" s="1" t="s">
        <v>119</v>
      </c>
      <c r="L16" s="37">
        <v>9.8099999999999993E-3</v>
      </c>
    </row>
    <row r="17" spans="4:12" x14ac:dyDescent="0.2">
      <c r="D17" s="11" t="str">
        <v>EUR_YC3MRH_AB3E6Y</v>
      </c>
      <c r="E17" s="10">
        <f>_xll.qlRateHelperRate($D17)</f>
        <v>1.0459999999999999E-2</v>
      </c>
      <c r="F17" s="10">
        <f>IF(ISERROR(_xll.qlSwapRateHelperSpread($D17)),IF(ISERROR(_xll.qlFuturesRateHelperConvexityAdjustment($D17)),"--",_xll.qlFuturesRateHelperConvexityAdjustment($D17)),_xll.qlSwapRateHelperSpread($D17))</f>
        <v>0</v>
      </c>
      <c r="G17" s="9">
        <f>_xll.qlRateHelperEarliestDate($D17)</f>
        <v>41704</v>
      </c>
      <c r="H17" s="8">
        <f>_xll.qlRateHelperLatestDate($D17)</f>
        <v>43896</v>
      </c>
      <c r="I17" s="3">
        <v>0.93882229748000412</v>
      </c>
      <c r="K17" s="1" t="s">
        <v>120</v>
      </c>
      <c r="L17" s="37">
        <v>1.201E-2</v>
      </c>
    </row>
    <row r="18" spans="4:12" x14ac:dyDescent="0.2">
      <c r="D18" s="11" t="str">
        <v>EUR_YC3MRH_AB3E7Y</v>
      </c>
      <c r="E18" s="10">
        <f>_xll.qlRateHelperRate($D18)</f>
        <v>1.234E-2</v>
      </c>
      <c r="F18" s="10">
        <f>IF(ISERROR(_xll.qlSwapRateHelperSpread($D18)),IF(ISERROR(_xll.qlFuturesRateHelperConvexityAdjustment($D18)),"--",_xll.qlFuturesRateHelperConvexityAdjustment($D18)),_xll.qlSwapRateHelperSpread($D18))</f>
        <v>0</v>
      </c>
      <c r="G18" s="9">
        <f>_xll.qlRateHelperEarliestDate($D18)</f>
        <v>41704</v>
      </c>
      <c r="H18" s="8">
        <f>_xll.qlRateHelperLatestDate($D18)</f>
        <v>44263</v>
      </c>
      <c r="I18" s="3">
        <v>0.91645464584231973</v>
      </c>
      <c r="K18" s="1" t="s">
        <v>121</v>
      </c>
      <c r="L18" s="37">
        <v>1.405E-2</v>
      </c>
    </row>
    <row r="19" spans="4:12" x14ac:dyDescent="0.2">
      <c r="D19" s="11" t="str">
        <v>EUR_YC3MRH_AB3E8Y</v>
      </c>
      <c r="E19" s="10">
        <f>_xll.qlRateHelperRate($D19)</f>
        <v>1.4079999999999999E-2</v>
      </c>
      <c r="F19" s="10">
        <f>IF(ISERROR(_xll.qlSwapRateHelperSpread($D19)),IF(ISERROR(_xll.qlFuturesRateHelperConvexityAdjustment($D19)),"--",_xll.qlFuturesRateHelperConvexityAdjustment($D19)),_xll.qlSwapRateHelperSpread($D19))</f>
        <v>0</v>
      </c>
      <c r="G19" s="9">
        <f>_xll.qlRateHelperEarliestDate($D19)</f>
        <v>41704</v>
      </c>
      <c r="H19" s="8">
        <f>_xll.qlRateHelperLatestDate($D19)</f>
        <v>44627</v>
      </c>
      <c r="I19" s="3">
        <v>0.89214767031329445</v>
      </c>
      <c r="K19" s="1" t="s">
        <v>122</v>
      </c>
      <c r="L19" s="37">
        <v>1.5900000000000001E-2</v>
      </c>
    </row>
    <row r="20" spans="4:12" x14ac:dyDescent="0.2">
      <c r="D20" s="11" t="str">
        <v>EUR_YC3MRH_AB3E9Y</v>
      </c>
      <c r="E20" s="10">
        <f>_xll.qlRateHelperRate($D20)</f>
        <v>1.5659999999999997E-2</v>
      </c>
      <c r="F20" s="10">
        <f>IF(ISERROR(_xll.qlSwapRateHelperSpread($D20)),IF(ISERROR(_xll.qlFuturesRateHelperConvexityAdjustment($D20)),"--",_xll.qlFuturesRateHelperConvexityAdjustment($D20)),_xll.qlSwapRateHelperSpread($D20))</f>
        <v>0</v>
      </c>
      <c r="G20" s="9">
        <f>_xll.qlRateHelperEarliestDate($D20)</f>
        <v>41704</v>
      </c>
      <c r="H20" s="8">
        <f>_xll.qlRateHelperLatestDate($D20)</f>
        <v>44991</v>
      </c>
      <c r="I20" s="3">
        <v>0.86651292212427611</v>
      </c>
      <c r="K20" s="1" t="s">
        <v>123</v>
      </c>
      <c r="L20" s="37">
        <v>1.755E-2</v>
      </c>
    </row>
    <row r="21" spans="4:12" x14ac:dyDescent="0.2">
      <c r="D21" s="11" t="str">
        <v>EUR_YC3MRH_AB3E10Y</v>
      </c>
      <c r="E21" s="10">
        <f>_xll.qlRateHelperRate($D21)</f>
        <v>1.7090000000000001E-2</v>
      </c>
      <c r="F21" s="10">
        <f>IF(ISERROR(_xll.qlSwapRateHelperSpread($D21)),IF(ISERROR(_xll.qlFuturesRateHelperConvexityAdjustment($D21)),"--",_xll.qlFuturesRateHelperConvexityAdjustment($D21)),_xll.qlSwapRateHelperSpread($D21))</f>
        <v>0</v>
      </c>
      <c r="G21" s="9">
        <f>_xll.qlRateHelperEarliestDate($D21)</f>
        <v>41704</v>
      </c>
      <c r="H21" s="8">
        <f>_xll.qlRateHelperLatestDate($D21)</f>
        <v>45357</v>
      </c>
      <c r="I21" s="3">
        <v>0.83996834710018176</v>
      </c>
      <c r="K21" s="1" t="s">
        <v>124</v>
      </c>
      <c r="L21" s="37">
        <v>1.9019999999999999E-2</v>
      </c>
    </row>
    <row r="22" spans="4:12" x14ac:dyDescent="0.2">
      <c r="D22" s="11" t="str">
        <v>EUR_YC3MRH_AB3E12Y</v>
      </c>
      <c r="E22" s="10">
        <f>_xll.qlRateHelperRate($D22)</f>
        <v>1.9400000000000001E-2</v>
      </c>
      <c r="F22" s="10">
        <f>IF(ISERROR(_xll.qlSwapRateHelperSpread($D22)),IF(ISERROR(_xll.qlFuturesRateHelperConvexityAdjustment($D22)),"--",_xll.qlFuturesRateHelperConvexityAdjustment($D22)),_xll.qlSwapRateHelperSpread($D22))</f>
        <v>0</v>
      </c>
      <c r="G22" s="9">
        <f>_xll.qlRateHelperEarliestDate($D22)</f>
        <v>41704</v>
      </c>
      <c r="H22" s="8">
        <f>_xll.qlRateHelperLatestDate($D22)</f>
        <v>46087</v>
      </c>
      <c r="I22" s="3">
        <v>0.78728248433717518</v>
      </c>
      <c r="K22" s="1" t="s">
        <v>125</v>
      </c>
      <c r="L22" s="37">
        <v>2.1399999999999999E-2</v>
      </c>
    </row>
    <row r="23" spans="4:12" x14ac:dyDescent="0.2">
      <c r="D23" s="11" t="str">
        <v>EUR_YC3MRH_AB3E15Y</v>
      </c>
      <c r="E23" s="10">
        <f>_xll.qlRateHelperRate($D23)</f>
        <v>2.1780000000000001E-2</v>
      </c>
      <c r="F23" s="10">
        <f>IF(ISERROR(_xll.qlSwapRateHelperSpread($D23)),IF(ISERROR(_xll.qlFuturesRateHelperConvexityAdjustment($D23)),"--",_xll.qlFuturesRateHelperConvexityAdjustment($D23)),_xll.qlSwapRateHelperSpread($D23))</f>
        <v>0</v>
      </c>
      <c r="G23" s="9">
        <f>_xll.qlRateHelperEarliestDate($D23)</f>
        <v>41704</v>
      </c>
      <c r="H23" s="8">
        <f>_xll.qlRateHelperLatestDate($D23)</f>
        <v>47183</v>
      </c>
      <c r="I23" s="3">
        <v>0.71302451530203637</v>
      </c>
      <c r="K23" s="1" t="s">
        <v>126</v>
      </c>
      <c r="L23" s="37">
        <v>2.3779999999999999E-2</v>
      </c>
    </row>
    <row r="24" spans="4:12" x14ac:dyDescent="0.2">
      <c r="D24" s="11" t="str">
        <v>EUR_YC3MRH_AB3E20Y</v>
      </c>
      <c r="E24" s="10">
        <f>_xll.qlRateHelperRate($D24)</f>
        <v>2.35E-2</v>
      </c>
      <c r="F24" s="10">
        <f>IF(ISERROR(_xll.qlSwapRateHelperSpread($D24)),IF(ISERROR(_xll.qlFuturesRateHelperConvexityAdjustment($D24)),"--",_xll.qlFuturesRateHelperConvexityAdjustment($D24)),_xll.qlSwapRateHelperSpread($D24))</f>
        <v>0</v>
      </c>
      <c r="G24" s="9">
        <f>_xll.qlRateHelperEarliestDate($D24)</f>
        <v>41704</v>
      </c>
      <c r="H24" s="8">
        <f>_xll.qlRateHelperLatestDate($D24)</f>
        <v>49009</v>
      </c>
      <c r="I24" s="3">
        <v>0.61383806625525061</v>
      </c>
      <c r="K24" s="1" t="s">
        <v>127</v>
      </c>
      <c r="L24" s="37">
        <v>2.545E-2</v>
      </c>
    </row>
    <row r="25" spans="4:12" x14ac:dyDescent="0.2">
      <c r="D25" s="11" t="str">
        <v>EUR_YC3MRH_AB3E25Y</v>
      </c>
      <c r="E25" s="10">
        <f>_xll.qlRateHelperRate($D25)</f>
        <v>2.4050000000000002E-2</v>
      </c>
      <c r="F25" s="10">
        <f>IF(ISERROR(_xll.qlSwapRateHelperSpread($D25)),IF(ISERROR(_xll.qlFuturesRateHelperConvexityAdjustment($D25)),"--",_xll.qlFuturesRateHelperConvexityAdjustment($D25)),_xll.qlSwapRateHelperSpread($D25))</f>
        <v>0</v>
      </c>
      <c r="G25" s="9">
        <f>_xll.qlRateHelperEarliestDate($D25)</f>
        <v>41704</v>
      </c>
      <c r="H25" s="8">
        <f>_xll.qlRateHelperLatestDate($D25)</f>
        <v>50836</v>
      </c>
      <c r="I25" s="3">
        <v>0.53668975548849807</v>
      </c>
      <c r="K25" s="1" t="s">
        <v>128</v>
      </c>
      <c r="L25" s="37">
        <v>2.5940000000000001E-2</v>
      </c>
    </row>
    <row r="26" spans="4:12" x14ac:dyDescent="0.2">
      <c r="D26" s="11" t="str">
        <v>EUR_YC3MRH_AB3E30Y</v>
      </c>
      <c r="E26" s="10">
        <f>_xll.qlRateHelperRate($D26)</f>
        <v>2.4169999999999997E-2</v>
      </c>
      <c r="F26" s="10">
        <f>IF(ISERROR(_xll.qlSwapRateHelperSpread($D26)),IF(ISERROR(_xll.qlFuturesRateHelperConvexityAdjustment($D26)),"--",_xll.qlFuturesRateHelperConvexityAdjustment($D26)),_xll.qlSwapRateHelperSpread($D26))</f>
        <v>0</v>
      </c>
      <c r="G26" s="9">
        <f>_xll.qlRateHelperEarliestDate($D26)</f>
        <v>41704</v>
      </c>
      <c r="H26" s="8">
        <f>_xll.qlRateHelperLatestDate($D26)</f>
        <v>52663</v>
      </c>
      <c r="I26" s="3">
        <v>0.47414797299809336</v>
      </c>
      <c r="K26" s="1" t="s">
        <v>129</v>
      </c>
      <c r="L26" s="37">
        <v>2.5999999999999999E-2</v>
      </c>
    </row>
    <row r="27" spans="4:12" x14ac:dyDescent="0.2">
      <c r="D27" s="11" t="str">
        <v>EUR_YC3MRH_AB3EBASIS35Y</v>
      </c>
      <c r="E27" s="10">
        <f>_xll.qlRateHelperRate($D27)</f>
        <v>2.4305E-2</v>
      </c>
      <c r="F27" s="10">
        <f>IF(ISERROR(_xll.qlSwapRateHelperSpread($D27)),IF(ISERROR(_xll.qlFuturesRateHelperConvexityAdjustment($D27)),"--",_xll.qlFuturesRateHelperConvexityAdjustment($D27)),_xll.qlSwapRateHelperSpread($D27))</f>
        <v>0</v>
      </c>
      <c r="G27" s="9">
        <f>_xll.qlRateHelperEarliestDate($D27)</f>
        <v>41704</v>
      </c>
      <c r="H27" s="8">
        <f>_xll.qlRateHelperLatestDate($D27)</f>
        <v>54490</v>
      </c>
      <c r="I27" s="3">
        <v>0.41771691875459449</v>
      </c>
      <c r="K27" s="1" t="s">
        <v>130</v>
      </c>
      <c r="L27" s="37">
        <v>2.6120000000000001E-2</v>
      </c>
    </row>
    <row r="28" spans="4:12" x14ac:dyDescent="0.2">
      <c r="D28" s="11" t="str">
        <v>EUR_YC3MRH_AB3EBASIS40Y</v>
      </c>
      <c r="E28" s="10">
        <f>_xll.qlRateHelperRate($D28)</f>
        <v>2.4474999999999997E-2</v>
      </c>
      <c r="F28" s="10">
        <f>IF(ISERROR(_xll.qlSwapRateHelperSpread($D28)),IF(ISERROR(_xll.qlFuturesRateHelperConvexityAdjustment($D28)),"--",_xll.qlFuturesRateHelperConvexityAdjustment($D28)),_xll.qlSwapRateHelperSpread($D28))</f>
        <v>0</v>
      </c>
      <c r="G28" s="9">
        <f>_xll.qlRateHelperEarliestDate($D28)</f>
        <v>41704</v>
      </c>
      <c r="H28" s="8">
        <f>_xll.qlRateHelperLatestDate($D28)</f>
        <v>56314</v>
      </c>
      <c r="I28" s="3">
        <v>0.36640719268915972</v>
      </c>
      <c r="K28" s="1" t="s">
        <v>131</v>
      </c>
      <c r="L28" s="37">
        <v>2.6315000000000002E-2</v>
      </c>
    </row>
    <row r="29" spans="4:12" x14ac:dyDescent="0.2">
      <c r="D29" s="11" t="str">
        <v>EUR_YC3MRH_AB3EBASIS50Y</v>
      </c>
      <c r="E29" s="10">
        <f>_xll.qlRateHelperRate($D29)</f>
        <v>2.4665000000000003E-2</v>
      </c>
      <c r="F29" s="10">
        <f>IF(ISERROR(_xll.qlSwapRateHelperSpread($D29)),IF(ISERROR(_xll.qlFuturesRateHelperConvexityAdjustment($D29)),"--",_xll.qlFuturesRateHelperConvexityAdjustment($D29)),_xll.qlSwapRateHelperSpread($D29))</f>
        <v>0</v>
      </c>
      <c r="G29" s="9">
        <f>_xll.qlRateHelperEarliestDate($D29)</f>
        <v>41704</v>
      </c>
      <c r="H29" s="8">
        <f>_xll.qlRateHelperLatestDate($D29)</f>
        <v>59967</v>
      </c>
      <c r="I29" s="3">
        <v>0.28289609524010234</v>
      </c>
      <c r="K29" s="1" t="s">
        <v>132</v>
      </c>
      <c r="L29" s="37">
        <v>2.6554999999999999E-2</v>
      </c>
    </row>
    <row r="30" spans="4:12" x14ac:dyDescent="0.2">
      <c r="D30" s="11" t="str">
        <v>EUR_YC3MRH_AB3EBASIS60Y</v>
      </c>
      <c r="E30" s="10">
        <f>_xll.qlRateHelperRate($D30)</f>
        <v>2.4823000000000001E-2</v>
      </c>
      <c r="F30" s="10">
        <f>IF(ISERROR(_xll.qlSwapRateHelperSpread($D30)),IF(ISERROR(_xll.qlFuturesRateHelperConvexityAdjustment($D30)),"--",_xll.qlFuturesRateHelperConvexityAdjustment($D30)),_xll.qlSwapRateHelperSpread($D30))</f>
        <v>0</v>
      </c>
      <c r="G30" s="9">
        <f>_xll.qlRateHelperEarliestDate($D30)</f>
        <v>41704</v>
      </c>
      <c r="H30" s="8">
        <f>_xll.qlRateHelperLatestDate($D30)</f>
        <v>63619</v>
      </c>
      <c r="I30" s="3">
        <v>0.21735147414618813</v>
      </c>
      <c r="K30" s="1" t="s">
        <v>133</v>
      </c>
      <c r="L30" s="37">
        <v>2.6716E-2</v>
      </c>
    </row>
    <row r="31" spans="4:12"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c r="L31" s="46"/>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
  <sheetViews>
    <sheetView workbookViewId="0">
      <selection activeCell="C1" sqref="C1:C1048576"/>
    </sheetView>
  </sheetViews>
  <sheetFormatPr defaultRowHeight="12.75" x14ac:dyDescent="0.2"/>
  <cols>
    <col min="1" max="1" width="3" style="88" customWidth="1"/>
    <col min="2" max="2" width="3.42578125" style="88" bestFit="1" customWidth="1"/>
    <col min="3" max="5" width="9.5703125" style="88" customWidth="1"/>
    <col min="6" max="6" width="13.85546875" style="88" bestFit="1" customWidth="1"/>
    <col min="7" max="8" width="9.5703125" style="88" customWidth="1"/>
    <col min="9" max="9" width="20.42578125" style="88" bestFit="1" customWidth="1"/>
    <col min="10" max="10" width="21.85546875" style="88" bestFit="1" customWidth="1"/>
    <col min="11" max="11" width="19.7109375" style="88" bestFit="1" customWidth="1"/>
    <col min="12" max="12" width="23.5703125" style="88" customWidth="1"/>
    <col min="13" max="13" width="4.7109375" style="88" customWidth="1"/>
    <col min="14" max="16384" width="9.140625" style="88"/>
  </cols>
  <sheetData>
    <row r="1" spans="1:15" x14ac:dyDescent="0.2">
      <c r="A1" s="109" t="s">
        <v>152</v>
      </c>
      <c r="B1" s="108"/>
      <c r="C1" s="108"/>
      <c r="D1" s="108"/>
      <c r="E1" s="108"/>
      <c r="F1" s="97" t="str">
        <f>PROPER(Currency)&amp;FamilyName&amp;$B9</f>
        <v>Euribor3M</v>
      </c>
      <c r="G1" s="108"/>
      <c r="H1" s="108"/>
      <c r="I1" s="107" t="s">
        <v>134</v>
      </c>
      <c r="J1" s="106" t="str">
        <f>Currency&amp;"_YC"&amp;$I$1&amp;"RH"</f>
        <v>EUR_YC3MRH</v>
      </c>
      <c r="K1" s="105"/>
      <c r="L1" s="105"/>
      <c r="M1" s="92"/>
    </row>
    <row r="2" spans="1:15" ht="23.25" customHeight="1" x14ac:dyDescent="0.2">
      <c r="A2" s="99"/>
      <c r="B2" s="104"/>
      <c r="C2" s="104" t="s">
        <v>180</v>
      </c>
      <c r="D2" s="104" t="s">
        <v>181</v>
      </c>
      <c r="E2" s="104" t="s">
        <v>182</v>
      </c>
      <c r="F2" s="104" t="s">
        <v>183</v>
      </c>
      <c r="G2" s="104" t="s">
        <v>184</v>
      </c>
      <c r="H2" s="104" t="s">
        <v>185</v>
      </c>
      <c r="I2" s="104" t="s">
        <v>141</v>
      </c>
      <c r="J2" s="103" t="str">
        <f>$J$1&amp;"_Deposits.xml"</f>
        <v>EUR_YC3MRH_Deposits.xml</v>
      </c>
      <c r="K2" s="102">
        <f ca="1">IF(Serialize,_xll.ohObjectSave(K3:K9,SerializationPath&amp;J2,FileOverwrite,Serialize),"---")</f>
        <v>7</v>
      </c>
      <c r="L2" s="101" t="str">
        <f ca="1">_xll.ohRangeRetrieveError(K2)</f>
        <v/>
      </c>
      <c r="M2" s="92"/>
    </row>
    <row r="3" spans="1:15" x14ac:dyDescent="0.2">
      <c r="A3" s="99"/>
      <c r="B3" s="100" t="s">
        <v>140</v>
      </c>
      <c r="C3" s="97" t="s">
        <v>153</v>
      </c>
      <c r="D3" s="216">
        <f>_xll.qlInterestRateIndexFixingDays($F$1,Trigger)</f>
        <v>2</v>
      </c>
      <c r="E3" s="97" t="str">
        <f>_xll.qlIndexFixingCalendar($F$1,Trigger)</f>
        <v>TARGET</v>
      </c>
      <c r="F3" s="97" t="s">
        <v>187</v>
      </c>
      <c r="G3" s="97" t="b">
        <v>0</v>
      </c>
      <c r="H3" s="216" t="str">
        <f>_xll.qlInterestRateIndexDayCounter($F$1,Trigger)</f>
        <v>Actual/360</v>
      </c>
      <c r="I3" s="96" t="str">
        <f t="shared" ref="I3:I9" si="0">Currency&amp;B3&amp;"D_SYNTH"&amp;$I$1&amp;QuoteSuffix</f>
        <v>EURSND_SYNTH3M_Quote</v>
      </c>
      <c r="J3" s="95" t="str">
        <f t="shared" ref="J3:J9" si="1">$J$1&amp;"_"&amp;$B3&amp;"D"</f>
        <v>EUR_YC3MRH_SND</v>
      </c>
      <c r="K3" s="94" t="str">
        <f>_xll.qlDepositRateHelper2(J3,I3,C3,D3,E3,F3,G3,H3,Permanent,Trigger,ObjectOverwrite)</f>
        <v>EUR_YC3MRH_SND#0016</v>
      </c>
      <c r="L3" s="93" t="str">
        <f>_xll.ohRangeRetrieveError(K3)</f>
        <v/>
      </c>
      <c r="M3" s="92"/>
    </row>
    <row r="4" spans="1:15" x14ac:dyDescent="0.2">
      <c r="A4" s="99"/>
      <c r="B4" s="98" t="s">
        <v>139</v>
      </c>
      <c r="C4" s="97" t="s">
        <v>186</v>
      </c>
      <c r="D4" s="216">
        <f>_xll.qlInterestRateIndexFixingDays($F$1,Trigger)</f>
        <v>2</v>
      </c>
      <c r="E4" s="97" t="str">
        <f>_xll.qlIndexFixingCalendar($F$1,Trigger)</f>
        <v>TARGET</v>
      </c>
      <c r="F4" s="97" t="s">
        <v>187</v>
      </c>
      <c r="G4" s="97" t="b">
        <v>0</v>
      </c>
      <c r="H4" s="216" t="str">
        <f>_xll.qlInterestRateIndexDayCounter($F$1,Trigger)</f>
        <v>Actual/360</v>
      </c>
      <c r="I4" s="96" t="str">
        <f t="shared" si="0"/>
        <v>EURSWD_SYNTH3M_Quote</v>
      </c>
      <c r="J4" s="95" t="str">
        <f t="shared" si="1"/>
        <v>EUR_YC3MRH_SWD</v>
      </c>
      <c r="K4" s="94" t="str">
        <f>_xll.qlDepositRateHelper2(J4,I4,C4,D4,E4,F4,G4,H4,Permanent,Trigger,ObjectOverwrite)</f>
        <v>EUR_YC3MRH_SWD#0010</v>
      </c>
      <c r="L4" s="93" t="str">
        <f>_xll.ohRangeRetrieveError(K4)</f>
        <v/>
      </c>
      <c r="M4" s="92"/>
    </row>
    <row r="5" spans="1:15" x14ac:dyDescent="0.2">
      <c r="A5" s="99"/>
      <c r="B5" s="98" t="s">
        <v>138</v>
      </c>
      <c r="C5" s="97" t="s">
        <v>138</v>
      </c>
      <c r="D5" s="216">
        <f>_xll.qlInterestRateIndexFixingDays($F$1,Trigger)</f>
        <v>2</v>
      </c>
      <c r="E5" s="97" t="str">
        <f>_xll.qlIndexFixingCalendar($F$1,Trigger)</f>
        <v>TARGET</v>
      </c>
      <c r="F5" s="97" t="s">
        <v>187</v>
      </c>
      <c r="G5" s="97" t="b">
        <v>0</v>
      </c>
      <c r="H5" s="216" t="str">
        <f>_xll.qlInterestRateIndexDayCounter($F$1,Trigger)</f>
        <v>Actual/360</v>
      </c>
      <c r="I5" s="96" t="str">
        <f t="shared" si="0"/>
        <v>EUR2WD_SYNTH3M_Quote</v>
      </c>
      <c r="J5" s="95" t="str">
        <f t="shared" si="1"/>
        <v>EUR_YC3MRH_2WD</v>
      </c>
      <c r="K5" s="94" t="str">
        <f>_xll.qlDepositRateHelper2(J5,I5,C5,D5,E5,F5,G5,H5,Permanent,Trigger,ObjectOverwrite)</f>
        <v>EUR_YC3MRH_2WD#0010</v>
      </c>
      <c r="L5" s="93" t="str">
        <f>_xll.ohRangeRetrieveError(K5)</f>
        <v/>
      </c>
      <c r="M5" s="92"/>
      <c r="O5" s="88" t="str">
        <f>_xll.ohObjectCallerAddress(I5)</f>
        <v>'[EUR_Market.xlsm]3M'!R7C4</v>
      </c>
    </row>
    <row r="6" spans="1:15" x14ac:dyDescent="0.2">
      <c r="A6" s="99"/>
      <c r="B6" s="98" t="s">
        <v>137</v>
      </c>
      <c r="C6" s="97" t="s">
        <v>137</v>
      </c>
      <c r="D6" s="216">
        <f>_xll.qlInterestRateIndexFixingDays($F$1,Trigger)</f>
        <v>2</v>
      </c>
      <c r="E6" s="97" t="str">
        <f>_xll.qlIndexFixingCalendar($F$1,Trigger)</f>
        <v>TARGET</v>
      </c>
      <c r="F6" s="97" t="s">
        <v>187</v>
      </c>
      <c r="G6" s="97" t="b">
        <v>0</v>
      </c>
      <c r="H6" s="216" t="str">
        <f>_xll.qlInterestRateIndexDayCounter($F$1,Trigger)</f>
        <v>Actual/360</v>
      </c>
      <c r="I6" s="96" t="str">
        <f t="shared" si="0"/>
        <v>EUR3WD_SYNTH3M_Quote</v>
      </c>
      <c r="J6" s="95" t="str">
        <f t="shared" si="1"/>
        <v>EUR_YC3MRH_3WD</v>
      </c>
      <c r="K6" s="94" t="str">
        <f>_xll.qlDepositRateHelper2(J6,I6,C6,D6,E6,F6,G6,H6,Permanent,Trigger,ObjectOverwrite)</f>
        <v>EUR_YC3MRH_3WD#0004</v>
      </c>
      <c r="L6" s="93" t="str">
        <f>_xll.ohRangeRetrieveError(K6)</f>
        <v/>
      </c>
      <c r="M6" s="92"/>
    </row>
    <row r="7" spans="1:15" x14ac:dyDescent="0.2">
      <c r="A7" s="99"/>
      <c r="B7" s="98" t="s">
        <v>136</v>
      </c>
      <c r="C7" s="97" t="s">
        <v>136</v>
      </c>
      <c r="D7" s="216">
        <f>_xll.qlInterestRateIndexFixingDays($F$1,Trigger)</f>
        <v>2</v>
      </c>
      <c r="E7" s="97" t="str">
        <f>_xll.qlIndexFixingCalendar($F$1,Trigger)</f>
        <v>TARGET</v>
      </c>
      <c r="F7" s="97" t="str">
        <f>_xll.qlIborIndexBusinessDayConv($F$1,Trigger)</f>
        <v>Modified Following</v>
      </c>
      <c r="G7" s="97" t="b">
        <f>_xll.qlIborIndexEndOfMonth($F$1,Trigger)</f>
        <v>1</v>
      </c>
      <c r="H7" s="216" t="str">
        <f>_xll.qlInterestRateIndexDayCounter($F$1,Trigger)</f>
        <v>Actual/360</v>
      </c>
      <c r="I7" s="96" t="str">
        <f t="shared" si="0"/>
        <v>EUR1MD_SYNTH3M_Quote</v>
      </c>
      <c r="J7" s="95" t="str">
        <f t="shared" si="1"/>
        <v>EUR_YC3MRH_1MD</v>
      </c>
      <c r="K7" s="94" t="str">
        <f>_xll.qlDepositRateHelper2(J7,I7,C7,D7,E7,F7,G7,H7,Permanent,Trigger,ObjectOverwrite)</f>
        <v>EUR_YC3MRH_1MD#0011</v>
      </c>
      <c r="L7" s="93" t="str">
        <f>_xll.ohRangeRetrieveError(K7)</f>
        <v/>
      </c>
      <c r="M7" s="92"/>
    </row>
    <row r="8" spans="1:15" x14ac:dyDescent="0.2">
      <c r="A8" s="99"/>
      <c r="B8" s="98" t="s">
        <v>135</v>
      </c>
      <c r="C8" s="97" t="s">
        <v>135</v>
      </c>
      <c r="D8" s="216">
        <f>_xll.qlInterestRateIndexFixingDays($F$1,Trigger)</f>
        <v>2</v>
      </c>
      <c r="E8" s="97" t="str">
        <f>_xll.qlIndexFixingCalendar($F$1,Trigger)</f>
        <v>TARGET</v>
      </c>
      <c r="F8" s="97" t="str">
        <f>_xll.qlIborIndexBusinessDayConv($F$1,Trigger)</f>
        <v>Modified Following</v>
      </c>
      <c r="G8" s="97" t="b">
        <f>_xll.qlIborIndexEndOfMonth($F$1,Trigger)</f>
        <v>1</v>
      </c>
      <c r="H8" s="216" t="str">
        <f>_xll.qlInterestRateIndexDayCounter($F$1,Trigger)</f>
        <v>Actual/360</v>
      </c>
      <c r="I8" s="96" t="str">
        <f t="shared" si="0"/>
        <v>EUR2MD_SYNTH3M_Quote</v>
      </c>
      <c r="J8" s="95" t="str">
        <f t="shared" si="1"/>
        <v>EUR_YC3MRH_2MD</v>
      </c>
      <c r="K8" s="94" t="str">
        <f>_xll.qlDepositRateHelper2(J8,I8,C8,D8,E8,F8,G8,H8,Permanent,Trigger,ObjectOverwrite)</f>
        <v>EUR_YC3MRH_2MD#0010</v>
      </c>
      <c r="L8" s="93" t="str">
        <f>_xll.ohRangeRetrieveError(K8)</f>
        <v/>
      </c>
      <c r="M8" s="92"/>
    </row>
    <row r="9" spans="1:15" x14ac:dyDescent="0.2">
      <c r="A9" s="99"/>
      <c r="B9" s="98" t="s">
        <v>134</v>
      </c>
      <c r="C9" s="97" t="s">
        <v>134</v>
      </c>
      <c r="D9" s="216">
        <f>_xll.qlInterestRateIndexFixingDays($F$1,Trigger)</f>
        <v>2</v>
      </c>
      <c r="E9" s="97" t="str">
        <f>_xll.qlIndexFixingCalendar($F$1,Trigger)</f>
        <v>TARGET</v>
      </c>
      <c r="F9" s="97" t="str">
        <f>_xll.qlIborIndexBusinessDayConv($F$1,Trigger)</f>
        <v>Modified Following</v>
      </c>
      <c r="G9" s="97" t="b">
        <f>_xll.qlIborIndexEndOfMonth($F$1,Trigger)</f>
        <v>1</v>
      </c>
      <c r="H9" s="216" t="str">
        <f>_xll.qlInterestRateIndexDayCounter($F$1,Trigger)</f>
        <v>Actual/360</v>
      </c>
      <c r="I9" s="96" t="str">
        <f t="shared" si="0"/>
        <v>EUR3MD_SYNTH3M_Quote</v>
      </c>
      <c r="J9" s="95" t="str">
        <f t="shared" si="1"/>
        <v>EUR_YC3MRH_3MD</v>
      </c>
      <c r="K9" s="94" t="str">
        <f>_xll.qlDepositRateHelper2(J9,I9,C9,D9,E9,F9,G9,H9,Permanent,Trigger,ObjectOverwrite)</f>
        <v>EUR_YC3MRH_3MD#0011</v>
      </c>
      <c r="L9" s="93" t="str">
        <f>_xll.ohRangeRetrieveError(K9)</f>
        <v/>
      </c>
      <c r="M9" s="92"/>
    </row>
    <row r="10" spans="1:15" ht="13.5" thickBot="1" x14ac:dyDescent="0.25">
      <c r="A10" s="91"/>
      <c r="B10" s="90"/>
      <c r="C10" s="90"/>
      <c r="D10" s="90"/>
      <c r="E10" s="90"/>
      <c r="F10" s="90"/>
      <c r="G10" s="90"/>
      <c r="H10" s="90"/>
      <c r="I10" s="90"/>
      <c r="J10" s="90"/>
      <c r="K10" s="90"/>
      <c r="L10" s="90"/>
      <c r="M10" s="8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L5" sqref="L5"/>
    </sheetView>
  </sheetViews>
  <sheetFormatPr defaultRowHeight="11.25" x14ac:dyDescent="0.2"/>
  <cols>
    <col min="1" max="1" width="3.7109375" style="105" customWidth="1"/>
    <col min="2" max="2" width="3" style="105" bestFit="1" customWidth="1"/>
    <col min="3" max="3" width="5" style="105" customWidth="1"/>
    <col min="4" max="4" width="3.5703125" style="129" bestFit="1" customWidth="1"/>
    <col min="5" max="5" width="7.85546875" style="129" bestFit="1" customWidth="1"/>
    <col min="6" max="6" width="14.7109375" style="105" bestFit="1" customWidth="1"/>
    <col min="7" max="7" width="19.5703125" style="105" bestFit="1" customWidth="1"/>
    <col min="8" max="8" width="22.140625" style="128" bestFit="1" customWidth="1"/>
    <col min="9" max="9" width="38.28515625" style="105" customWidth="1"/>
    <col min="10" max="10" width="3" style="105" customWidth="1"/>
    <col min="11" max="16384" width="9.140625" style="105"/>
  </cols>
  <sheetData>
    <row r="1" spans="1:12" x14ac:dyDescent="0.2">
      <c r="A1" s="170" t="s">
        <v>160</v>
      </c>
      <c r="B1" s="151"/>
      <c r="C1" s="151"/>
      <c r="D1" s="151">
        <v>3</v>
      </c>
      <c r="E1" s="150" t="str">
        <f>_xll.qlPeriodEquivalent(D1&amp;"M")</f>
        <v>3M</v>
      </c>
      <c r="G1" s="149" t="str">
        <f>Currency&amp;"_YC"&amp;$E$1&amp;"RH"</f>
        <v>EUR_YC3MRH</v>
      </c>
      <c r="H1" s="148"/>
      <c r="I1" s="147"/>
      <c r="J1" s="146"/>
    </row>
    <row r="2" spans="1:12" ht="23.25" customHeight="1" x14ac:dyDescent="0.2">
      <c r="A2" s="99"/>
      <c r="B2" s="100"/>
      <c r="C2" s="100"/>
      <c r="D2" s="145"/>
      <c r="E2" s="104" t="s">
        <v>142</v>
      </c>
      <c r="F2" s="104" t="s">
        <v>141</v>
      </c>
      <c r="G2" s="103" t="str">
        <f>$G$1&amp;"_FRAs.xml"</f>
        <v>EUR_YC3MRH_FRAs.xml</v>
      </c>
      <c r="H2" s="144">
        <f ca="1">IF(Serialize,_xll.ohObjectSave(H3:H10,SerializationPath&amp;G2,FileOverwrite,Serialize),"---")</f>
        <v>8</v>
      </c>
      <c r="I2" s="143" t="str">
        <f ca="1">_xll.ohRangeRetrieveError(H2)</f>
        <v/>
      </c>
      <c r="J2" s="92"/>
    </row>
    <row r="3" spans="1:12" x14ac:dyDescent="0.2">
      <c r="A3" s="99"/>
      <c r="B3" s="142" t="s">
        <v>154</v>
      </c>
      <c r="C3" s="142" t="str">
        <f>"T"&amp;D1</f>
        <v>T3</v>
      </c>
      <c r="D3" s="141" t="s">
        <v>54</v>
      </c>
      <c r="E3" s="140" t="str">
        <f t="shared" ref="E3:E10" si="0">PROPER(Currency)&amp;FamilyName&amp;$E$1</f>
        <v>Euribor3M</v>
      </c>
      <c r="F3" s="140" t="str">
        <f t="shared" ref="F3:F10" si="1">Currency&amp;C3&amp;D3&amp;"_Quote"</f>
        <v>EURT3F1_Quote</v>
      </c>
      <c r="G3" s="140" t="str">
        <f t="shared" ref="G3:G10" si="2">$G$1&amp;"_"&amp;$C3&amp;$D3</f>
        <v>EUR_YC3MRH_T3F1</v>
      </c>
      <c r="H3" s="140" t="str">
        <f>_xll.qlFraRateHelper(G3,F3,B3,E3,Permanent,Trigger,ObjectOverwrite)</f>
        <v>EUR_YC3MRH_T3F1#0002</v>
      </c>
      <c r="I3" s="139" t="str">
        <f>_xll.ohRangeRetrieveError(H3)</f>
        <v/>
      </c>
      <c r="J3" s="92"/>
    </row>
    <row r="4" spans="1:12" x14ac:dyDescent="0.2">
      <c r="A4" s="99"/>
      <c r="B4" s="133" t="s">
        <v>153</v>
      </c>
      <c r="C4" s="133" t="str">
        <f>"TOM"&amp;D1</f>
        <v>TOM3</v>
      </c>
      <c r="D4" s="94" t="s">
        <v>54</v>
      </c>
      <c r="E4" s="132" t="str">
        <f t="shared" si="0"/>
        <v>Euribor3M</v>
      </c>
      <c r="F4" s="132" t="str">
        <f t="shared" si="1"/>
        <v>EURTOM3F1_Quote</v>
      </c>
      <c r="G4" s="132" t="str">
        <f t="shared" si="2"/>
        <v>EUR_YC3MRH_TOM3F1</v>
      </c>
      <c r="H4" s="132" t="str">
        <f>_xll.qlFraRateHelper(G4,F4,B4,E4,Permanent,Trigger,ObjectOverwrite)</f>
        <v>EUR_YC3MRH_TOM3F1#0002</v>
      </c>
      <c r="I4" s="138" t="str">
        <f>_xll.ohRangeRetrieveError(H4)</f>
        <v/>
      </c>
      <c r="J4" s="92"/>
      <c r="L4" s="105" t="str">
        <f>_xll.ohObjectCallerAddress(F4)</f>
        <v>[EUR_Market.xlsm]FRA!R6C5</v>
      </c>
    </row>
    <row r="5" spans="1:12" x14ac:dyDescent="0.2">
      <c r="A5" s="99"/>
      <c r="B5" s="137" t="str">
        <f t="shared" ref="B5:B10" si="3">C5&amp;"M"</f>
        <v>1M</v>
      </c>
      <c r="C5" s="137">
        <v>1</v>
      </c>
      <c r="D5" s="136" t="str">
        <f t="shared" ref="D5:D10" si="4">"x"&amp;C5+$D$1&amp;"F"</f>
        <v>x4F</v>
      </c>
      <c r="E5" s="135" t="str">
        <f t="shared" si="0"/>
        <v>Euribor3M</v>
      </c>
      <c r="F5" s="135" t="str">
        <f t="shared" si="1"/>
        <v>EUR1x4F_Quote</v>
      </c>
      <c r="G5" s="135" t="str">
        <f t="shared" si="2"/>
        <v>EUR_YC3MRH_1x4F</v>
      </c>
      <c r="H5" s="135" t="str">
        <f>_xll.qlFraRateHelper(G5,F5,B5,E5,Permanent,Trigger,ObjectOverwrite)</f>
        <v>EUR_YC3MRH_1x4F#0002</v>
      </c>
      <c r="I5" s="134" t="str">
        <f>_xll.ohRangeRetrieveError(H5)</f>
        <v/>
      </c>
      <c r="J5" s="92"/>
    </row>
    <row r="6" spans="1:12" x14ac:dyDescent="0.2">
      <c r="A6" s="99"/>
      <c r="B6" s="137" t="str">
        <f t="shared" si="3"/>
        <v>2M</v>
      </c>
      <c r="C6" s="137">
        <v>2</v>
      </c>
      <c r="D6" s="136" t="str">
        <f t="shared" si="4"/>
        <v>x5F</v>
      </c>
      <c r="E6" s="135" t="str">
        <f t="shared" si="0"/>
        <v>Euribor3M</v>
      </c>
      <c r="F6" s="135" t="str">
        <f t="shared" si="1"/>
        <v>EUR2x5F_Quote</v>
      </c>
      <c r="G6" s="135" t="str">
        <f t="shared" si="2"/>
        <v>EUR_YC3MRH_2x5F</v>
      </c>
      <c r="H6" s="135" t="str">
        <f>_xll.qlFraRateHelper(G6,F6,B6,E6,Permanent,Trigger,ObjectOverwrite)</f>
        <v>EUR_YC3MRH_2x5F#0002</v>
      </c>
      <c r="I6" s="134" t="str">
        <f>_xll.ohRangeRetrieveError(H6)</f>
        <v/>
      </c>
      <c r="J6" s="92"/>
    </row>
    <row r="7" spans="1:12" x14ac:dyDescent="0.2">
      <c r="A7" s="99"/>
      <c r="B7" s="137" t="str">
        <f t="shared" si="3"/>
        <v>3M</v>
      </c>
      <c r="C7" s="137">
        <v>3</v>
      </c>
      <c r="D7" s="136" t="str">
        <f t="shared" si="4"/>
        <v>x6F</v>
      </c>
      <c r="E7" s="135" t="str">
        <f t="shared" si="0"/>
        <v>Euribor3M</v>
      </c>
      <c r="F7" s="135" t="str">
        <f t="shared" si="1"/>
        <v>EUR3x6F_Quote</v>
      </c>
      <c r="G7" s="135" t="str">
        <f t="shared" si="2"/>
        <v>EUR_YC3MRH_3x6F</v>
      </c>
      <c r="H7" s="135" t="str">
        <f>_xll.qlFraRateHelper(G7,F7,B7,E7,Permanent,Trigger,ObjectOverwrite)</f>
        <v>EUR_YC3MRH_3x6F#0002</v>
      </c>
      <c r="I7" s="134" t="str">
        <f>_xll.ohRangeRetrieveError(H7)</f>
        <v/>
      </c>
      <c r="J7" s="92"/>
    </row>
    <row r="8" spans="1:12" x14ac:dyDescent="0.2">
      <c r="A8" s="99"/>
      <c r="B8" s="137" t="str">
        <f t="shared" si="3"/>
        <v>4M</v>
      </c>
      <c r="C8" s="137">
        <v>4</v>
      </c>
      <c r="D8" s="136" t="str">
        <f t="shared" si="4"/>
        <v>x7F</v>
      </c>
      <c r="E8" s="135" t="str">
        <f t="shared" si="0"/>
        <v>Euribor3M</v>
      </c>
      <c r="F8" s="135" t="str">
        <f t="shared" si="1"/>
        <v>EUR4x7F_Quote</v>
      </c>
      <c r="G8" s="135" t="str">
        <f t="shared" si="2"/>
        <v>EUR_YC3MRH_4x7F</v>
      </c>
      <c r="H8" s="135" t="str">
        <f>_xll.qlFraRateHelper(G8,F8,B8,E8,Permanent,Trigger,ObjectOverwrite)</f>
        <v>EUR_YC3MRH_4x7F#0002</v>
      </c>
      <c r="I8" s="134" t="str">
        <f>_xll.ohRangeRetrieveError(H8)</f>
        <v/>
      </c>
      <c r="J8" s="92"/>
    </row>
    <row r="9" spans="1:12" x14ac:dyDescent="0.2">
      <c r="A9" s="99"/>
      <c r="B9" s="137" t="str">
        <f t="shared" si="3"/>
        <v>5M</v>
      </c>
      <c r="C9" s="137">
        <v>5</v>
      </c>
      <c r="D9" s="136" t="str">
        <f t="shared" si="4"/>
        <v>x8F</v>
      </c>
      <c r="E9" s="135" t="str">
        <f t="shared" si="0"/>
        <v>Euribor3M</v>
      </c>
      <c r="F9" s="135" t="str">
        <f t="shared" si="1"/>
        <v>EUR5x8F_Quote</v>
      </c>
      <c r="G9" s="135" t="str">
        <f t="shared" si="2"/>
        <v>EUR_YC3MRH_5x8F</v>
      </c>
      <c r="H9" s="135" t="str">
        <f>_xll.qlFraRateHelper(G9,F9,B9,E9,Permanent,Trigger,ObjectOverwrite)</f>
        <v>EUR_YC3MRH_5x8F#0002</v>
      </c>
      <c r="I9" s="134" t="str">
        <f>_xll.ohRangeRetrieveError(H9)</f>
        <v/>
      </c>
      <c r="J9" s="92"/>
    </row>
    <row r="10" spans="1:12" x14ac:dyDescent="0.2">
      <c r="A10" s="99"/>
      <c r="B10" s="133" t="str">
        <f t="shared" si="3"/>
        <v>6M</v>
      </c>
      <c r="C10" s="133">
        <v>6</v>
      </c>
      <c r="D10" s="94" t="str">
        <f t="shared" si="4"/>
        <v>x9F</v>
      </c>
      <c r="E10" s="132" t="str">
        <f t="shared" si="0"/>
        <v>Euribor3M</v>
      </c>
      <c r="F10" s="132" t="str">
        <f t="shared" si="1"/>
        <v>EUR6x9F_Quote</v>
      </c>
      <c r="G10" s="132" t="str">
        <f t="shared" si="2"/>
        <v>EUR_YC3MRH_6x9F</v>
      </c>
      <c r="H10" s="132" t="str">
        <f>_xll.qlFraRateHelper(G10,F10,B10,E10,Permanent,Trigger,ObjectOverwrite)</f>
        <v>EUR_YC3MRH_6x9F#0002</v>
      </c>
      <c r="I10" s="131" t="str">
        <f>_xll.ohRangeRetrieveError(H10)</f>
        <v/>
      </c>
      <c r="J10" s="92"/>
    </row>
    <row r="11" spans="1:12" ht="12" thickBot="1" x14ac:dyDescent="0.25">
      <c r="A11" s="91"/>
      <c r="B11" s="90"/>
      <c r="C11" s="90"/>
      <c r="D11" s="90"/>
      <c r="E11" s="90"/>
      <c r="F11" s="90"/>
      <c r="G11" s="90"/>
      <c r="H11" s="130"/>
      <c r="I11" s="130"/>
      <c r="J11" s="89"/>
    </row>
    <row r="13" spans="1:12" x14ac:dyDescent="0.2">
      <c r="D13" s="105"/>
      <c r="E13" s="105"/>
      <c r="H13" s="10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M4" sqref="M4"/>
    </sheetView>
  </sheetViews>
  <sheetFormatPr defaultRowHeight="12.75" x14ac:dyDescent="0.2"/>
  <cols>
    <col min="1" max="1" width="2.28515625" style="88" customWidth="1"/>
    <col min="2" max="2" width="3.5703125" style="88" bestFit="1" customWidth="1"/>
    <col min="3" max="3" width="5.7109375" style="88" bestFit="1" customWidth="1"/>
    <col min="4" max="4" width="6.140625" style="88" bestFit="1" customWidth="1"/>
    <col min="5" max="5" width="9.140625" style="88"/>
    <col min="6" max="6" width="15.85546875" style="88" bestFit="1" customWidth="1"/>
    <col min="7" max="7" width="22" style="88" bestFit="1" customWidth="1"/>
    <col min="8" max="8" width="23.140625" style="88" bestFit="1" customWidth="1"/>
    <col min="9" max="9" width="23.28515625" style="88" bestFit="1" customWidth="1"/>
    <col min="10" max="10" width="15.5703125" style="88" customWidth="1"/>
    <col min="11" max="11" width="4.140625" style="88" customWidth="1"/>
    <col min="12" max="16384" width="9.140625" style="88"/>
  </cols>
  <sheetData>
    <row r="1" spans="1:13" x14ac:dyDescent="0.2">
      <c r="A1" s="165" t="s">
        <v>159</v>
      </c>
      <c r="B1" s="169"/>
      <c r="C1" s="169"/>
      <c r="D1" s="169"/>
      <c r="E1" s="107" t="s">
        <v>134</v>
      </c>
      <c r="F1" s="168"/>
      <c r="G1" s="168"/>
      <c r="H1" s="167" t="str">
        <f>Currency&amp;"_YC"&amp;$E$1&amp;"RH"</f>
        <v>EUR_YC3MRH</v>
      </c>
      <c r="I1" s="166"/>
      <c r="J1" s="166"/>
      <c r="K1" s="92"/>
    </row>
    <row r="2" spans="1:13" ht="32.25" customHeight="1" x14ac:dyDescent="0.2">
      <c r="A2" s="165"/>
      <c r="B2" s="100" t="s">
        <v>158</v>
      </c>
      <c r="C2" s="104" t="s">
        <v>157</v>
      </c>
      <c r="D2" s="164" t="s">
        <v>156</v>
      </c>
      <c r="E2" s="104" t="s">
        <v>142</v>
      </c>
      <c r="F2" s="104" t="s">
        <v>141</v>
      </c>
      <c r="G2" s="100" t="s">
        <v>155</v>
      </c>
      <c r="H2" s="103" t="str">
        <f>$H$1&amp;"_Futures"&amp;$E$1&amp;".xml"</f>
        <v>EUR_YC3MRH_Futures3M.xml</v>
      </c>
      <c r="I2" s="102">
        <f ca="1">IF(Serialize,_xll.ohObjectSave(I3:I44,SerializationPath&amp;H2,FileOverwrite,Serialize),"---")</f>
        <v>42</v>
      </c>
      <c r="J2" s="101" t="str">
        <f ca="1">_xll.ohRangeRetrieveError(I2)</f>
        <v/>
      </c>
      <c r="K2" s="92"/>
    </row>
    <row r="3" spans="1:13" x14ac:dyDescent="0.2">
      <c r="A3" s="159"/>
      <c r="B3" s="163">
        <v>1</v>
      </c>
      <c r="C3" s="157" t="b">
        <v>0</v>
      </c>
      <c r="D3" s="205" t="str">
        <f t="array" ref="D3:D44">_xll.qlIMMNextCodes(_xll.qlSettingsEvaluationDate(Trigger)-1,$C3:$C122)</f>
        <v>H4</v>
      </c>
      <c r="E3" s="157" t="str">
        <f t="shared" ref="E3:E34" si="0">PROPER(Currency)&amp;FamilyName&amp;$E$1</f>
        <v>Euribor3M</v>
      </c>
      <c r="F3" s="156" t="str">
        <f t="shared" ref="F3:F34" si="1">Currency&amp;"FUT"&amp;$E$1&amp;$D3&amp;QuoteSuffix</f>
        <v>EURFUT3MH4_Quote</v>
      </c>
      <c r="G3" s="156" t="str">
        <f t="shared" ref="G3:G34" si="2">Currency&amp;"FUT"&amp;$E$1&amp;$D3&amp;"ConvAdj"&amp;QuoteSuffix</f>
        <v>EURFUT3MH4ConvAdj_Quote</v>
      </c>
      <c r="H3" s="156" t="str">
        <f t="shared" ref="H3:H34" si="3">$H$1&amp;"_FUT"&amp;$E$1&amp;$D3</f>
        <v>EUR_YC3MRH_FUT3MH4</v>
      </c>
      <c r="I3" s="162" t="str">
        <f>_xll.qlFuturesRateHelper(H3,$F3,$D3,$E3,$G3,Permanent,Trigger,ObjectOverwrite)</f>
        <v>EUR_YC3MRH_FUT3MH4#0002</v>
      </c>
      <c r="J3" s="161" t="str">
        <f>_xll.ohRangeRetrieveError(I3)</f>
        <v/>
      </c>
      <c r="K3" s="92"/>
      <c r="L3" s="160"/>
      <c r="M3" s="88" t="str">
        <f>_xll.ohObjectCallerAddress(F3)</f>
        <v>'C:\Projects\quantlib\QuantLibXL\Data2\XLS\[EUR_Market.xlsm]Futures3M'!R7C6</v>
      </c>
    </row>
    <row r="4" spans="1:13" x14ac:dyDescent="0.2">
      <c r="A4" s="159"/>
      <c r="B4" s="98">
        <v>2</v>
      </c>
      <c r="C4" s="158" t="b">
        <v>0</v>
      </c>
      <c r="D4" s="206" t="str">
        <v>J4</v>
      </c>
      <c r="E4" s="157" t="str">
        <f t="shared" si="0"/>
        <v>Euribor3M</v>
      </c>
      <c r="F4" s="156" t="str">
        <f t="shared" si="1"/>
        <v>EURFUT3MJ4_Quote</v>
      </c>
      <c r="G4" s="156" t="str">
        <f t="shared" si="2"/>
        <v>EURFUT3MJ4ConvAdj_Quote</v>
      </c>
      <c r="H4" s="156" t="str">
        <f t="shared" si="3"/>
        <v>EUR_YC3MRH_FUT3MJ4</v>
      </c>
      <c r="I4" s="155" t="str">
        <f>_xll.qlFuturesRateHelper(H4,$F4,$D4,$E4,$G4,Permanent,Trigger,ObjectOverwrite)</f>
        <v>EUR_YC3MRH_FUT3MJ4#0002</v>
      </c>
      <c r="J4" s="93" t="str">
        <f>_xll.ohRangeRetrieveError(I4)</f>
        <v/>
      </c>
      <c r="K4" s="92"/>
      <c r="L4" s="160"/>
    </row>
    <row r="5" spans="1:13" x14ac:dyDescent="0.2">
      <c r="A5" s="159"/>
      <c r="B5" s="98">
        <v>3</v>
      </c>
      <c r="C5" s="158" t="b">
        <v>0</v>
      </c>
      <c r="D5" s="206" t="str">
        <v>K4</v>
      </c>
      <c r="E5" s="157" t="str">
        <f t="shared" si="0"/>
        <v>Euribor3M</v>
      </c>
      <c r="F5" s="156" t="str">
        <f t="shared" si="1"/>
        <v>EURFUT3MK4_Quote</v>
      </c>
      <c r="G5" s="156" t="str">
        <f t="shared" si="2"/>
        <v>EURFUT3MK4ConvAdj_Quote</v>
      </c>
      <c r="H5" s="156" t="str">
        <f t="shared" si="3"/>
        <v>EUR_YC3MRH_FUT3MK4</v>
      </c>
      <c r="I5" s="155" t="str">
        <f>_xll.qlFuturesRateHelper(H5,$F5,$D5,$E5,$G5,Permanent,Trigger,ObjectOverwrite)</f>
        <v>EUR_YC3MRH_FUT3MK4#0002</v>
      </c>
      <c r="J5" s="93" t="str">
        <f>_xll.ohRangeRetrieveError(I5)</f>
        <v/>
      </c>
      <c r="K5" s="92"/>
      <c r="L5" s="160"/>
    </row>
    <row r="6" spans="1:13" x14ac:dyDescent="0.2">
      <c r="A6" s="159"/>
      <c r="B6" s="98">
        <v>4</v>
      </c>
      <c r="C6" s="158" t="b">
        <v>0</v>
      </c>
      <c r="D6" s="206" t="str">
        <v>M4</v>
      </c>
      <c r="E6" s="157" t="str">
        <f t="shared" si="0"/>
        <v>Euribor3M</v>
      </c>
      <c r="F6" s="156" t="str">
        <f t="shared" si="1"/>
        <v>EURFUT3MM4_Quote</v>
      </c>
      <c r="G6" s="156" t="str">
        <f t="shared" si="2"/>
        <v>EURFUT3MM4ConvAdj_Quote</v>
      </c>
      <c r="H6" s="156" t="str">
        <f t="shared" si="3"/>
        <v>EUR_YC3MRH_FUT3MM4</v>
      </c>
      <c r="I6" s="155" t="str">
        <f>_xll.qlFuturesRateHelper(H6,$F6,$D6,$E6,$G6,Permanent,Trigger,ObjectOverwrite)</f>
        <v>EUR_YC3MRH_FUT3MM4#0002</v>
      </c>
      <c r="J6" s="93" t="str">
        <f>_xll.ohRangeRetrieveError(I6)</f>
        <v/>
      </c>
      <c r="K6" s="92"/>
      <c r="L6" s="160"/>
    </row>
    <row r="7" spans="1:13" x14ac:dyDescent="0.2">
      <c r="A7" s="159"/>
      <c r="B7" s="98">
        <v>5</v>
      </c>
      <c r="C7" s="158" t="b">
        <v>0</v>
      </c>
      <c r="D7" s="206" t="str">
        <v>N4</v>
      </c>
      <c r="E7" s="157" t="str">
        <f t="shared" si="0"/>
        <v>Euribor3M</v>
      </c>
      <c r="F7" s="156" t="str">
        <f t="shared" si="1"/>
        <v>EURFUT3MN4_Quote</v>
      </c>
      <c r="G7" s="156" t="str">
        <f t="shared" si="2"/>
        <v>EURFUT3MN4ConvAdj_Quote</v>
      </c>
      <c r="H7" s="156" t="str">
        <f t="shared" si="3"/>
        <v>EUR_YC3MRH_FUT3MN4</v>
      </c>
      <c r="I7" s="155" t="str">
        <f>_xll.qlFuturesRateHelper(H7,$F7,$D7,$E7,$G7,Permanent,Trigger,ObjectOverwrite)</f>
        <v>EUR_YC3MRH_FUT3MN4#0002</v>
      </c>
      <c r="J7" s="93" t="str">
        <f>_xll.ohRangeRetrieveError(I7)</f>
        <v/>
      </c>
      <c r="K7" s="92"/>
      <c r="L7" s="160"/>
    </row>
    <row r="8" spans="1:13" x14ac:dyDescent="0.2">
      <c r="A8" s="159"/>
      <c r="B8" s="98">
        <v>6</v>
      </c>
      <c r="C8" s="158" t="b">
        <v>0</v>
      </c>
      <c r="D8" s="206" t="str">
        <v>Q4</v>
      </c>
      <c r="E8" s="157" t="str">
        <f t="shared" si="0"/>
        <v>Euribor3M</v>
      </c>
      <c r="F8" s="156" t="str">
        <f t="shared" si="1"/>
        <v>EURFUT3MQ4_Quote</v>
      </c>
      <c r="G8" s="156" t="str">
        <f t="shared" si="2"/>
        <v>EURFUT3MQ4ConvAdj_Quote</v>
      </c>
      <c r="H8" s="156" t="str">
        <f t="shared" si="3"/>
        <v>EUR_YC3MRH_FUT3MQ4</v>
      </c>
      <c r="I8" s="155" t="str">
        <f>_xll.qlFuturesRateHelper(H8,$F8,$D8,$E8,$G8,Permanent,Trigger,ObjectOverwrite)</f>
        <v>EUR_YC3MRH_FUT3MQ4#0002</v>
      </c>
      <c r="J8" s="93" t="str">
        <f>_xll.ohRangeRetrieveError(I8)</f>
        <v/>
      </c>
      <c r="K8" s="92"/>
      <c r="L8" s="160"/>
    </row>
    <row r="9" spans="1:13" x14ac:dyDescent="0.2">
      <c r="A9" s="159"/>
      <c r="B9" s="98">
        <v>7</v>
      </c>
      <c r="C9" s="158" t="b">
        <v>0</v>
      </c>
      <c r="D9" s="206" t="str">
        <v>U4</v>
      </c>
      <c r="E9" s="157" t="str">
        <f t="shared" si="0"/>
        <v>Euribor3M</v>
      </c>
      <c r="F9" s="156" t="str">
        <f t="shared" si="1"/>
        <v>EURFUT3MU4_Quote</v>
      </c>
      <c r="G9" s="156" t="str">
        <f t="shared" si="2"/>
        <v>EURFUT3MU4ConvAdj_Quote</v>
      </c>
      <c r="H9" s="156" t="str">
        <f t="shared" si="3"/>
        <v>EUR_YC3MRH_FUT3MU4</v>
      </c>
      <c r="I9" s="155" t="str">
        <f>_xll.qlFuturesRateHelper(H9,$F9,$D9,$E9,$G9,Permanent,Trigger,ObjectOverwrite)</f>
        <v>EUR_YC3MRH_FUT3MU4#0002</v>
      </c>
      <c r="J9" s="93" t="str">
        <f>_xll.ohRangeRetrieveError(I9)</f>
        <v/>
      </c>
      <c r="K9" s="92"/>
      <c r="L9" s="160"/>
    </row>
    <row r="10" spans="1:13" x14ac:dyDescent="0.2">
      <c r="A10" s="159"/>
      <c r="B10" s="98">
        <v>8</v>
      </c>
      <c r="C10" s="158" t="b">
        <v>0</v>
      </c>
      <c r="D10" s="206" t="str">
        <v>V4</v>
      </c>
      <c r="E10" s="157" t="str">
        <f t="shared" si="0"/>
        <v>Euribor3M</v>
      </c>
      <c r="F10" s="156" t="str">
        <f t="shared" si="1"/>
        <v>EURFUT3MV4_Quote</v>
      </c>
      <c r="G10" s="156" t="str">
        <f t="shared" si="2"/>
        <v>EURFUT3MV4ConvAdj_Quote</v>
      </c>
      <c r="H10" s="156" t="str">
        <f t="shared" si="3"/>
        <v>EUR_YC3MRH_FUT3MV4</v>
      </c>
      <c r="I10" s="155" t="str">
        <f>_xll.qlFuturesRateHelper(H10,$F10,$D10,$E10,$G10,Permanent,Trigger,ObjectOverwrite)</f>
        <v>EUR_YC3MRH_FUT3MV4#0002</v>
      </c>
      <c r="J10" s="93" t="str">
        <f>_xll.ohRangeRetrieveError(I10)</f>
        <v/>
      </c>
      <c r="K10" s="92"/>
      <c r="L10" s="160"/>
    </row>
    <row r="11" spans="1:13" x14ac:dyDescent="0.2">
      <c r="A11" s="159"/>
      <c r="B11" s="98">
        <v>9</v>
      </c>
      <c r="C11" s="158" t="b">
        <v>0</v>
      </c>
      <c r="D11" s="206" t="str">
        <v>X4</v>
      </c>
      <c r="E11" s="157" t="str">
        <f t="shared" si="0"/>
        <v>Euribor3M</v>
      </c>
      <c r="F11" s="156" t="str">
        <f t="shared" si="1"/>
        <v>EURFUT3MX4_Quote</v>
      </c>
      <c r="G11" s="156" t="str">
        <f t="shared" si="2"/>
        <v>EURFUT3MX4ConvAdj_Quote</v>
      </c>
      <c r="H11" s="156" t="str">
        <f t="shared" si="3"/>
        <v>EUR_YC3MRH_FUT3MX4</v>
      </c>
      <c r="I11" s="155" t="str">
        <f>_xll.qlFuturesRateHelper(H11,$F11,$D11,$E11,$G11,Permanent,Trigger,ObjectOverwrite)</f>
        <v>EUR_YC3MRH_FUT3MX4#0002</v>
      </c>
      <c r="J11" s="93" t="str">
        <f>_xll.ohRangeRetrieveError(I11)</f>
        <v/>
      </c>
      <c r="K11" s="92"/>
      <c r="L11" s="160"/>
    </row>
    <row r="12" spans="1:13" x14ac:dyDescent="0.2">
      <c r="A12" s="159"/>
      <c r="B12" s="98">
        <v>10</v>
      </c>
      <c r="C12" s="158" t="b">
        <v>0</v>
      </c>
      <c r="D12" s="206" t="str">
        <v>Z4</v>
      </c>
      <c r="E12" s="157" t="str">
        <f t="shared" si="0"/>
        <v>Euribor3M</v>
      </c>
      <c r="F12" s="156" t="str">
        <f t="shared" si="1"/>
        <v>EURFUT3MZ4_Quote</v>
      </c>
      <c r="G12" s="156" t="str">
        <f t="shared" si="2"/>
        <v>EURFUT3MZ4ConvAdj_Quote</v>
      </c>
      <c r="H12" s="156" t="str">
        <f t="shared" si="3"/>
        <v>EUR_YC3MRH_FUT3MZ4</v>
      </c>
      <c r="I12" s="155" t="str">
        <f>_xll.qlFuturesRateHelper(H12,$F12,$D12,$E12,$G12,Permanent,Trigger,ObjectOverwrite)</f>
        <v>EUR_YC3MRH_FUT3MZ4#0002</v>
      </c>
      <c r="J12" s="93" t="str">
        <f>_xll.ohRangeRetrieveError(I12)</f>
        <v/>
      </c>
      <c r="K12" s="92"/>
      <c r="L12" s="160"/>
    </row>
    <row r="13" spans="1:13" x14ac:dyDescent="0.2">
      <c r="A13" s="159"/>
      <c r="B13" s="98">
        <v>11</v>
      </c>
      <c r="C13" s="158" t="b">
        <v>0</v>
      </c>
      <c r="D13" s="206" t="str">
        <v>F5</v>
      </c>
      <c r="E13" s="157" t="str">
        <f t="shared" si="0"/>
        <v>Euribor3M</v>
      </c>
      <c r="F13" s="156" t="str">
        <f t="shared" si="1"/>
        <v>EURFUT3MF5_Quote</v>
      </c>
      <c r="G13" s="156" t="str">
        <f t="shared" si="2"/>
        <v>EURFUT3MF5ConvAdj_Quote</v>
      </c>
      <c r="H13" s="156" t="str">
        <f t="shared" si="3"/>
        <v>EUR_YC3MRH_FUT3MF5</v>
      </c>
      <c r="I13" s="155" t="str">
        <f>_xll.qlFuturesRateHelper(H13,$F13,$D13,$E13,$G13,Permanent,Trigger,ObjectOverwrite)</f>
        <v>EUR_YC3MRH_FUT3MF5#0002</v>
      </c>
      <c r="J13" s="93" t="str">
        <f>_xll.ohRangeRetrieveError(I13)</f>
        <v/>
      </c>
      <c r="K13" s="92"/>
      <c r="L13" s="160"/>
    </row>
    <row r="14" spans="1:13" x14ac:dyDescent="0.2">
      <c r="A14" s="159"/>
      <c r="B14" s="98">
        <v>12</v>
      </c>
      <c r="C14" s="158" t="b">
        <v>0</v>
      </c>
      <c r="D14" s="206" t="str">
        <v>G5</v>
      </c>
      <c r="E14" s="157" t="str">
        <f t="shared" si="0"/>
        <v>Euribor3M</v>
      </c>
      <c r="F14" s="156" t="str">
        <f t="shared" si="1"/>
        <v>EURFUT3MG5_Quote</v>
      </c>
      <c r="G14" s="156" t="str">
        <f t="shared" si="2"/>
        <v>EURFUT3MG5ConvAdj_Quote</v>
      </c>
      <c r="H14" s="156" t="str">
        <f t="shared" si="3"/>
        <v>EUR_YC3MRH_FUT3MG5</v>
      </c>
      <c r="I14" s="155" t="str">
        <f>_xll.qlFuturesRateHelper(H14,$F14,$D14,$E14,$G14,Permanent,Trigger,ObjectOverwrite)</f>
        <v>EUR_YC3MRH_FUT3MG5#0002</v>
      </c>
      <c r="J14" s="93" t="str">
        <f>_xll.ohRangeRetrieveError(I14)</f>
        <v/>
      </c>
      <c r="K14" s="92"/>
      <c r="L14" s="160"/>
    </row>
    <row r="15" spans="1:13" x14ac:dyDescent="0.2">
      <c r="A15" s="159"/>
      <c r="B15" s="98">
        <v>13</v>
      </c>
      <c r="C15" s="158" t="b">
        <v>1</v>
      </c>
      <c r="D15" s="206" t="str">
        <v>H5</v>
      </c>
      <c r="E15" s="157" t="str">
        <f t="shared" si="0"/>
        <v>Euribor3M</v>
      </c>
      <c r="F15" s="156" t="str">
        <f t="shared" si="1"/>
        <v>EURFUT3MH5_Quote</v>
      </c>
      <c r="G15" s="156" t="str">
        <f t="shared" si="2"/>
        <v>EURFUT3MH5ConvAdj_Quote</v>
      </c>
      <c r="H15" s="156" t="str">
        <f t="shared" si="3"/>
        <v>EUR_YC3MRH_FUT3MH5</v>
      </c>
      <c r="I15" s="155" t="str">
        <f>_xll.qlFuturesRateHelper(H15,$F15,$D15,$E15,$G15,Permanent,Trigger,ObjectOverwrite)</f>
        <v>EUR_YC3MRH_FUT3MH5#0002</v>
      </c>
      <c r="J15" s="93" t="str">
        <f>_xll.ohRangeRetrieveError(I15)</f>
        <v/>
      </c>
      <c r="K15" s="92"/>
      <c r="L15" s="160"/>
    </row>
    <row r="16" spans="1:13" x14ac:dyDescent="0.2">
      <c r="A16" s="159"/>
      <c r="B16" s="98">
        <v>14</v>
      </c>
      <c r="C16" s="158" t="b">
        <v>1</v>
      </c>
      <c r="D16" s="206" t="str">
        <v>M5</v>
      </c>
      <c r="E16" s="157" t="str">
        <f t="shared" si="0"/>
        <v>Euribor3M</v>
      </c>
      <c r="F16" s="156" t="str">
        <f t="shared" si="1"/>
        <v>EURFUT3MM5_Quote</v>
      </c>
      <c r="G16" s="156" t="str">
        <f t="shared" si="2"/>
        <v>EURFUT3MM5ConvAdj_Quote</v>
      </c>
      <c r="H16" s="156" t="str">
        <f t="shared" si="3"/>
        <v>EUR_YC3MRH_FUT3MM5</v>
      </c>
      <c r="I16" s="155" t="str">
        <f>_xll.qlFuturesRateHelper(H16,$F16,$D16,$E16,$G16,Permanent,Trigger,ObjectOverwrite)</f>
        <v>EUR_YC3MRH_FUT3MM5#0002</v>
      </c>
      <c r="J16" s="93" t="str">
        <f>_xll.ohRangeRetrieveError(I16)</f>
        <v/>
      </c>
      <c r="K16" s="92"/>
      <c r="L16" s="160"/>
    </row>
    <row r="17" spans="1:12" x14ac:dyDescent="0.2">
      <c r="A17" s="159"/>
      <c r="B17" s="98">
        <v>15</v>
      </c>
      <c r="C17" s="158" t="b">
        <v>1</v>
      </c>
      <c r="D17" s="206" t="str">
        <v>U5</v>
      </c>
      <c r="E17" s="157" t="str">
        <f t="shared" si="0"/>
        <v>Euribor3M</v>
      </c>
      <c r="F17" s="156" t="str">
        <f t="shared" si="1"/>
        <v>EURFUT3MU5_Quote</v>
      </c>
      <c r="G17" s="156" t="str">
        <f t="shared" si="2"/>
        <v>EURFUT3MU5ConvAdj_Quote</v>
      </c>
      <c r="H17" s="156" t="str">
        <f t="shared" si="3"/>
        <v>EUR_YC3MRH_FUT3MU5</v>
      </c>
      <c r="I17" s="155" t="str">
        <f>_xll.qlFuturesRateHelper(H17,$F17,$D17,$E17,$G17,Permanent,Trigger,ObjectOverwrite)</f>
        <v>EUR_YC3MRH_FUT3MU5#0002</v>
      </c>
      <c r="J17" s="93" t="str">
        <f>_xll.ohRangeRetrieveError(I17)</f>
        <v/>
      </c>
      <c r="K17" s="92"/>
      <c r="L17" s="160"/>
    </row>
    <row r="18" spans="1:12" x14ac:dyDescent="0.2">
      <c r="A18" s="159"/>
      <c r="B18" s="98">
        <v>16</v>
      </c>
      <c r="C18" s="158" t="b">
        <v>1</v>
      </c>
      <c r="D18" s="206" t="str">
        <v>Z5</v>
      </c>
      <c r="E18" s="157" t="str">
        <f t="shared" si="0"/>
        <v>Euribor3M</v>
      </c>
      <c r="F18" s="156" t="str">
        <f t="shared" si="1"/>
        <v>EURFUT3MZ5_Quote</v>
      </c>
      <c r="G18" s="156" t="str">
        <f t="shared" si="2"/>
        <v>EURFUT3MZ5ConvAdj_Quote</v>
      </c>
      <c r="H18" s="156" t="str">
        <f t="shared" si="3"/>
        <v>EUR_YC3MRH_FUT3MZ5</v>
      </c>
      <c r="I18" s="155" t="str">
        <f>_xll.qlFuturesRateHelper(H18,$F18,$D18,$E18,$G18,Permanent,Trigger,ObjectOverwrite)</f>
        <v>EUR_YC3MRH_FUT3MZ5#0002</v>
      </c>
      <c r="J18" s="93" t="str">
        <f>_xll.ohRangeRetrieveError(I18)</f>
        <v/>
      </c>
      <c r="K18" s="92"/>
      <c r="L18" s="160"/>
    </row>
    <row r="19" spans="1:12" x14ac:dyDescent="0.2">
      <c r="A19" s="159"/>
      <c r="B19" s="98">
        <v>17</v>
      </c>
      <c r="C19" s="158" t="b">
        <v>1</v>
      </c>
      <c r="D19" s="206" t="str">
        <v>H6</v>
      </c>
      <c r="E19" s="157" t="str">
        <f t="shared" si="0"/>
        <v>Euribor3M</v>
      </c>
      <c r="F19" s="156" t="str">
        <f t="shared" si="1"/>
        <v>EURFUT3MH6_Quote</v>
      </c>
      <c r="G19" s="156" t="str">
        <f t="shared" si="2"/>
        <v>EURFUT3MH6ConvAdj_Quote</v>
      </c>
      <c r="H19" s="156" t="str">
        <f t="shared" si="3"/>
        <v>EUR_YC3MRH_FUT3MH6</v>
      </c>
      <c r="I19" s="155" t="str">
        <f>_xll.qlFuturesRateHelper(H19,$F19,$D19,$E19,$G19,Permanent,Trigger,ObjectOverwrite)</f>
        <v>EUR_YC3MRH_FUT3MH6#0002</v>
      </c>
      <c r="J19" s="93" t="str">
        <f>_xll.ohRangeRetrieveError(I19)</f>
        <v/>
      </c>
      <c r="K19" s="92"/>
      <c r="L19" s="160"/>
    </row>
    <row r="20" spans="1:12" x14ac:dyDescent="0.2">
      <c r="A20" s="159"/>
      <c r="B20" s="98">
        <v>18</v>
      </c>
      <c r="C20" s="158" t="b">
        <v>1</v>
      </c>
      <c r="D20" s="206" t="str">
        <v>M6</v>
      </c>
      <c r="E20" s="157" t="str">
        <f t="shared" si="0"/>
        <v>Euribor3M</v>
      </c>
      <c r="F20" s="156" t="str">
        <f t="shared" si="1"/>
        <v>EURFUT3MM6_Quote</v>
      </c>
      <c r="G20" s="156" t="str">
        <f t="shared" si="2"/>
        <v>EURFUT3MM6ConvAdj_Quote</v>
      </c>
      <c r="H20" s="156" t="str">
        <f t="shared" si="3"/>
        <v>EUR_YC3MRH_FUT3MM6</v>
      </c>
      <c r="I20" s="155" t="str">
        <f>_xll.qlFuturesRateHelper(H20,$F20,$D20,$E20,$G20,Permanent,Trigger,ObjectOverwrite)</f>
        <v>EUR_YC3MRH_FUT3MM6#0002</v>
      </c>
      <c r="J20" s="93" t="str">
        <f>_xll.ohRangeRetrieveError(I20)</f>
        <v/>
      </c>
      <c r="K20" s="92"/>
      <c r="L20" s="160"/>
    </row>
    <row r="21" spans="1:12" x14ac:dyDescent="0.2">
      <c r="A21" s="159"/>
      <c r="B21" s="98">
        <v>19</v>
      </c>
      <c r="C21" s="158" t="b">
        <v>1</v>
      </c>
      <c r="D21" s="206" t="str">
        <v>U6</v>
      </c>
      <c r="E21" s="157" t="str">
        <f t="shared" si="0"/>
        <v>Euribor3M</v>
      </c>
      <c r="F21" s="156" t="str">
        <f t="shared" si="1"/>
        <v>EURFUT3MU6_Quote</v>
      </c>
      <c r="G21" s="156" t="str">
        <f t="shared" si="2"/>
        <v>EURFUT3MU6ConvAdj_Quote</v>
      </c>
      <c r="H21" s="156" t="str">
        <f t="shared" si="3"/>
        <v>EUR_YC3MRH_FUT3MU6</v>
      </c>
      <c r="I21" s="155" t="str">
        <f>_xll.qlFuturesRateHelper(H21,$F21,$D21,$E21,$G21,Permanent,Trigger,ObjectOverwrite)</f>
        <v>EUR_YC3MRH_FUT3MU6#0002</v>
      </c>
      <c r="J21" s="93" t="str">
        <f>_xll.ohRangeRetrieveError(I21)</f>
        <v/>
      </c>
      <c r="K21" s="92"/>
      <c r="L21" s="160"/>
    </row>
    <row r="22" spans="1:12" x14ac:dyDescent="0.2">
      <c r="A22" s="159"/>
      <c r="B22" s="98">
        <v>20</v>
      </c>
      <c r="C22" s="158" t="b">
        <v>1</v>
      </c>
      <c r="D22" s="206" t="str">
        <v>Z6</v>
      </c>
      <c r="E22" s="157" t="str">
        <f t="shared" si="0"/>
        <v>Euribor3M</v>
      </c>
      <c r="F22" s="156" t="str">
        <f t="shared" si="1"/>
        <v>EURFUT3MZ6_Quote</v>
      </c>
      <c r="G22" s="156" t="str">
        <f t="shared" si="2"/>
        <v>EURFUT3MZ6ConvAdj_Quote</v>
      </c>
      <c r="H22" s="156" t="str">
        <f t="shared" si="3"/>
        <v>EUR_YC3MRH_FUT3MZ6</v>
      </c>
      <c r="I22" s="155" t="str">
        <f>_xll.qlFuturesRateHelper(H22,$F22,$D22,$E22,$G22,Permanent,Trigger,ObjectOverwrite)</f>
        <v>EUR_YC3MRH_FUT3MZ6#0002</v>
      </c>
      <c r="J22" s="93" t="str">
        <f>_xll.ohRangeRetrieveError(I22)</f>
        <v/>
      </c>
      <c r="K22" s="92"/>
      <c r="L22" s="160"/>
    </row>
    <row r="23" spans="1:12" x14ac:dyDescent="0.2">
      <c r="A23" s="159"/>
      <c r="B23" s="98">
        <v>21</v>
      </c>
      <c r="C23" s="158" t="b">
        <v>1</v>
      </c>
      <c r="D23" s="206" t="str">
        <v>H7</v>
      </c>
      <c r="E23" s="157" t="str">
        <f t="shared" si="0"/>
        <v>Euribor3M</v>
      </c>
      <c r="F23" s="156" t="str">
        <f t="shared" si="1"/>
        <v>EURFUT3MH7_Quote</v>
      </c>
      <c r="G23" s="156" t="str">
        <f t="shared" si="2"/>
        <v>EURFUT3MH7ConvAdj_Quote</v>
      </c>
      <c r="H23" s="156" t="str">
        <f t="shared" si="3"/>
        <v>EUR_YC3MRH_FUT3MH7</v>
      </c>
      <c r="I23" s="155" t="str">
        <f>_xll.qlFuturesRateHelper(H23,$F23,$D23,$E23,$G23,Permanent,Trigger,ObjectOverwrite)</f>
        <v>EUR_YC3MRH_FUT3MH7#0002</v>
      </c>
      <c r="J23" s="93" t="str">
        <f>_xll.ohRangeRetrieveError(I23)</f>
        <v/>
      </c>
      <c r="K23" s="92"/>
      <c r="L23" s="160"/>
    </row>
    <row r="24" spans="1:12" x14ac:dyDescent="0.2">
      <c r="A24" s="159"/>
      <c r="B24" s="98">
        <v>22</v>
      </c>
      <c r="C24" s="158" t="b">
        <v>1</v>
      </c>
      <c r="D24" s="206" t="str">
        <v>M7</v>
      </c>
      <c r="E24" s="157" t="str">
        <f t="shared" si="0"/>
        <v>Euribor3M</v>
      </c>
      <c r="F24" s="156" t="str">
        <f t="shared" si="1"/>
        <v>EURFUT3MM7_Quote</v>
      </c>
      <c r="G24" s="156" t="str">
        <f t="shared" si="2"/>
        <v>EURFUT3MM7ConvAdj_Quote</v>
      </c>
      <c r="H24" s="156" t="str">
        <f t="shared" si="3"/>
        <v>EUR_YC3MRH_FUT3MM7</v>
      </c>
      <c r="I24" s="155" t="str">
        <f>_xll.qlFuturesRateHelper(H24,$F24,$D24,$E24,$G24,Permanent,Trigger,ObjectOverwrite)</f>
        <v>EUR_YC3MRH_FUT3MM7#0002</v>
      </c>
      <c r="J24" s="93" t="str">
        <f>_xll.ohRangeRetrieveError(I24)</f>
        <v/>
      </c>
      <c r="K24" s="92"/>
      <c r="L24" s="160"/>
    </row>
    <row r="25" spans="1:12" x14ac:dyDescent="0.2">
      <c r="A25" s="159"/>
      <c r="B25" s="98">
        <v>23</v>
      </c>
      <c r="C25" s="158" t="b">
        <v>1</v>
      </c>
      <c r="D25" s="206" t="str">
        <v>U7</v>
      </c>
      <c r="E25" s="157" t="str">
        <f t="shared" si="0"/>
        <v>Euribor3M</v>
      </c>
      <c r="F25" s="156" t="str">
        <f t="shared" si="1"/>
        <v>EURFUT3MU7_Quote</v>
      </c>
      <c r="G25" s="156" t="str">
        <f t="shared" si="2"/>
        <v>EURFUT3MU7ConvAdj_Quote</v>
      </c>
      <c r="H25" s="156" t="str">
        <f t="shared" si="3"/>
        <v>EUR_YC3MRH_FUT3MU7</v>
      </c>
      <c r="I25" s="155" t="str">
        <f>_xll.qlFuturesRateHelper(H25,$F25,$D25,$E25,$G25,Permanent,Trigger,ObjectOverwrite)</f>
        <v>EUR_YC3MRH_FUT3MU7#0002</v>
      </c>
      <c r="J25" s="93" t="str">
        <f>_xll.ohRangeRetrieveError(I25)</f>
        <v/>
      </c>
      <c r="K25" s="92"/>
      <c r="L25" s="160"/>
    </row>
    <row r="26" spans="1:12" x14ac:dyDescent="0.2">
      <c r="A26" s="159"/>
      <c r="B26" s="98">
        <v>24</v>
      </c>
      <c r="C26" s="158" t="b">
        <v>1</v>
      </c>
      <c r="D26" s="206" t="str">
        <v>Z7</v>
      </c>
      <c r="E26" s="157" t="str">
        <f t="shared" si="0"/>
        <v>Euribor3M</v>
      </c>
      <c r="F26" s="156" t="str">
        <f t="shared" si="1"/>
        <v>EURFUT3MZ7_Quote</v>
      </c>
      <c r="G26" s="156" t="str">
        <f t="shared" si="2"/>
        <v>EURFUT3MZ7ConvAdj_Quote</v>
      </c>
      <c r="H26" s="156" t="str">
        <f t="shared" si="3"/>
        <v>EUR_YC3MRH_FUT3MZ7</v>
      </c>
      <c r="I26" s="155" t="str">
        <f>_xll.qlFuturesRateHelper(H26,$F26,$D26,$E26,$G26,Permanent,Trigger,ObjectOverwrite)</f>
        <v>EUR_YC3MRH_FUT3MZ7#0002</v>
      </c>
      <c r="J26" s="93" t="str">
        <f>_xll.ohRangeRetrieveError(I26)</f>
        <v/>
      </c>
      <c r="K26" s="92"/>
      <c r="L26" s="160"/>
    </row>
    <row r="27" spans="1:12" x14ac:dyDescent="0.2">
      <c r="A27" s="159"/>
      <c r="B27" s="98">
        <v>25</v>
      </c>
      <c r="C27" s="158" t="b">
        <v>1</v>
      </c>
      <c r="D27" s="206" t="str">
        <v>H8</v>
      </c>
      <c r="E27" s="157" t="str">
        <f t="shared" si="0"/>
        <v>Euribor3M</v>
      </c>
      <c r="F27" s="156" t="str">
        <f t="shared" si="1"/>
        <v>EURFUT3MH8_Quote</v>
      </c>
      <c r="G27" s="156" t="str">
        <f t="shared" si="2"/>
        <v>EURFUT3MH8ConvAdj_Quote</v>
      </c>
      <c r="H27" s="156" t="str">
        <f t="shared" si="3"/>
        <v>EUR_YC3MRH_FUT3MH8</v>
      </c>
      <c r="I27" s="155" t="str">
        <f>_xll.qlFuturesRateHelper(H27,$F27,$D27,$E27,$G27,Permanent,Trigger,ObjectOverwrite)</f>
        <v>EUR_YC3MRH_FUT3MH8#0002</v>
      </c>
      <c r="J27" s="93" t="str">
        <f>_xll.ohRangeRetrieveError(I27)</f>
        <v/>
      </c>
      <c r="K27" s="92"/>
      <c r="L27" s="160"/>
    </row>
    <row r="28" spans="1:12" x14ac:dyDescent="0.2">
      <c r="A28" s="159"/>
      <c r="B28" s="98">
        <v>26</v>
      </c>
      <c r="C28" s="158" t="b">
        <v>1</v>
      </c>
      <c r="D28" s="206" t="str">
        <v>M8</v>
      </c>
      <c r="E28" s="157" t="str">
        <f t="shared" si="0"/>
        <v>Euribor3M</v>
      </c>
      <c r="F28" s="156" t="str">
        <f t="shared" si="1"/>
        <v>EURFUT3MM8_Quote</v>
      </c>
      <c r="G28" s="156" t="str">
        <f t="shared" si="2"/>
        <v>EURFUT3MM8ConvAdj_Quote</v>
      </c>
      <c r="H28" s="156" t="str">
        <f t="shared" si="3"/>
        <v>EUR_YC3MRH_FUT3MM8</v>
      </c>
      <c r="I28" s="155" t="str">
        <f>_xll.qlFuturesRateHelper(H28,$F28,$D28,$E28,$G28,Permanent,Trigger,ObjectOverwrite)</f>
        <v>EUR_YC3MRH_FUT3MM8#0002</v>
      </c>
      <c r="J28" s="93" t="str">
        <f>_xll.ohRangeRetrieveError(I28)</f>
        <v/>
      </c>
      <c r="K28" s="92"/>
      <c r="L28" s="160"/>
    </row>
    <row r="29" spans="1:12" x14ac:dyDescent="0.2">
      <c r="A29" s="159"/>
      <c r="B29" s="98">
        <v>27</v>
      </c>
      <c r="C29" s="158" t="b">
        <v>1</v>
      </c>
      <c r="D29" s="206" t="str">
        <v>U8</v>
      </c>
      <c r="E29" s="157" t="str">
        <f t="shared" si="0"/>
        <v>Euribor3M</v>
      </c>
      <c r="F29" s="156" t="str">
        <f t="shared" si="1"/>
        <v>EURFUT3MU8_Quote</v>
      </c>
      <c r="G29" s="156" t="str">
        <f t="shared" si="2"/>
        <v>EURFUT3MU8ConvAdj_Quote</v>
      </c>
      <c r="H29" s="156" t="str">
        <f t="shared" si="3"/>
        <v>EUR_YC3MRH_FUT3MU8</v>
      </c>
      <c r="I29" s="155" t="str">
        <f>_xll.qlFuturesRateHelper(H29,$F29,$D29,$E29,$G29,Permanent,Trigger,ObjectOverwrite)</f>
        <v>EUR_YC3MRH_FUT3MU8#0002</v>
      </c>
      <c r="J29" s="93" t="str">
        <f>_xll.ohRangeRetrieveError(I29)</f>
        <v/>
      </c>
      <c r="K29" s="92"/>
      <c r="L29" s="160"/>
    </row>
    <row r="30" spans="1:12" x14ac:dyDescent="0.2">
      <c r="A30" s="159"/>
      <c r="B30" s="98">
        <v>28</v>
      </c>
      <c r="C30" s="158" t="b">
        <v>1</v>
      </c>
      <c r="D30" s="206" t="str">
        <v>Z8</v>
      </c>
      <c r="E30" s="157" t="str">
        <f t="shared" si="0"/>
        <v>Euribor3M</v>
      </c>
      <c r="F30" s="156" t="str">
        <f t="shared" si="1"/>
        <v>EURFUT3MZ8_Quote</v>
      </c>
      <c r="G30" s="156" t="str">
        <f t="shared" si="2"/>
        <v>EURFUT3MZ8ConvAdj_Quote</v>
      </c>
      <c r="H30" s="156" t="str">
        <f t="shared" si="3"/>
        <v>EUR_YC3MRH_FUT3MZ8</v>
      </c>
      <c r="I30" s="155" t="str">
        <f>_xll.qlFuturesRateHelper(H30,$F30,$D30,$E30,$G30,Permanent,Trigger,ObjectOverwrite)</f>
        <v>EUR_YC3MRH_FUT3MZ8#0002</v>
      </c>
      <c r="J30" s="93" t="str">
        <f>_xll.ohRangeRetrieveError(I30)</f>
        <v/>
      </c>
      <c r="K30" s="92"/>
      <c r="L30" s="160"/>
    </row>
    <row r="31" spans="1:12" x14ac:dyDescent="0.2">
      <c r="A31" s="159"/>
      <c r="B31" s="98">
        <v>29</v>
      </c>
      <c r="C31" s="158" t="b">
        <v>1</v>
      </c>
      <c r="D31" s="206" t="str">
        <v>H9</v>
      </c>
      <c r="E31" s="157" t="str">
        <f t="shared" si="0"/>
        <v>Euribor3M</v>
      </c>
      <c r="F31" s="156" t="str">
        <f t="shared" si="1"/>
        <v>EURFUT3MH9_Quote</v>
      </c>
      <c r="G31" s="156" t="str">
        <f t="shared" si="2"/>
        <v>EURFUT3MH9ConvAdj_Quote</v>
      </c>
      <c r="H31" s="156" t="str">
        <f t="shared" si="3"/>
        <v>EUR_YC3MRH_FUT3MH9</v>
      </c>
      <c r="I31" s="155" t="str">
        <f>_xll.qlFuturesRateHelper(H31,$F31,$D31,$E31,$G31,Permanent,Trigger,ObjectOverwrite)</f>
        <v>EUR_YC3MRH_FUT3MH9#0002</v>
      </c>
      <c r="J31" s="93" t="str">
        <f>_xll.ohRangeRetrieveError(I31)</f>
        <v/>
      </c>
      <c r="K31" s="92"/>
      <c r="L31" s="160"/>
    </row>
    <row r="32" spans="1:12" x14ac:dyDescent="0.2">
      <c r="A32" s="159"/>
      <c r="B32" s="98">
        <v>30</v>
      </c>
      <c r="C32" s="158" t="b">
        <v>1</v>
      </c>
      <c r="D32" s="206" t="str">
        <v>M9</v>
      </c>
      <c r="E32" s="157" t="str">
        <f t="shared" si="0"/>
        <v>Euribor3M</v>
      </c>
      <c r="F32" s="156" t="str">
        <f t="shared" si="1"/>
        <v>EURFUT3MM9_Quote</v>
      </c>
      <c r="G32" s="156" t="str">
        <f t="shared" si="2"/>
        <v>EURFUT3MM9ConvAdj_Quote</v>
      </c>
      <c r="H32" s="156" t="str">
        <f t="shared" si="3"/>
        <v>EUR_YC3MRH_FUT3MM9</v>
      </c>
      <c r="I32" s="155" t="str">
        <f>_xll.qlFuturesRateHelper(H32,$F32,$D32,$E32,$G32,Permanent,Trigger,ObjectOverwrite)</f>
        <v>EUR_YC3MRH_FUT3MM9#0002</v>
      </c>
      <c r="J32" s="93" t="str">
        <f>_xll.ohRangeRetrieveError(I32)</f>
        <v/>
      </c>
      <c r="K32" s="92"/>
      <c r="L32" s="160"/>
    </row>
    <row r="33" spans="1:12" x14ac:dyDescent="0.2">
      <c r="A33" s="159"/>
      <c r="B33" s="98">
        <v>31</v>
      </c>
      <c r="C33" s="158" t="b">
        <v>1</v>
      </c>
      <c r="D33" s="206" t="str">
        <v>U9</v>
      </c>
      <c r="E33" s="157" t="str">
        <f t="shared" si="0"/>
        <v>Euribor3M</v>
      </c>
      <c r="F33" s="156" t="str">
        <f t="shared" si="1"/>
        <v>EURFUT3MU9_Quote</v>
      </c>
      <c r="G33" s="156" t="str">
        <f t="shared" si="2"/>
        <v>EURFUT3MU9ConvAdj_Quote</v>
      </c>
      <c r="H33" s="156" t="str">
        <f t="shared" si="3"/>
        <v>EUR_YC3MRH_FUT3MU9</v>
      </c>
      <c r="I33" s="155" t="str">
        <f>_xll.qlFuturesRateHelper(H33,$F33,$D33,$E33,$G33,Permanent,Trigger,ObjectOverwrite)</f>
        <v>EUR_YC3MRH_FUT3MU9#0002</v>
      </c>
      <c r="J33" s="93" t="str">
        <f>_xll.ohRangeRetrieveError(I33)</f>
        <v/>
      </c>
      <c r="K33" s="92"/>
      <c r="L33" s="160"/>
    </row>
    <row r="34" spans="1:12" x14ac:dyDescent="0.2">
      <c r="A34" s="159"/>
      <c r="B34" s="98">
        <v>32</v>
      </c>
      <c r="C34" s="158" t="b">
        <v>1</v>
      </c>
      <c r="D34" s="206" t="str">
        <v>Z9</v>
      </c>
      <c r="E34" s="157" t="str">
        <f t="shared" si="0"/>
        <v>Euribor3M</v>
      </c>
      <c r="F34" s="156" t="str">
        <f t="shared" si="1"/>
        <v>EURFUT3MZ9_Quote</v>
      </c>
      <c r="G34" s="156" t="str">
        <f t="shared" si="2"/>
        <v>EURFUT3MZ9ConvAdj_Quote</v>
      </c>
      <c r="H34" s="156" t="str">
        <f t="shared" si="3"/>
        <v>EUR_YC3MRH_FUT3MZ9</v>
      </c>
      <c r="I34" s="155" t="str">
        <f>_xll.qlFuturesRateHelper(H34,$F34,$D34,$E34,$G34,Permanent,Trigger,ObjectOverwrite)</f>
        <v>EUR_YC3MRH_FUT3MZ9#0002</v>
      </c>
      <c r="J34" s="93" t="str">
        <f>_xll.ohRangeRetrieveError(I34)</f>
        <v/>
      </c>
      <c r="K34" s="92"/>
      <c r="L34" s="160"/>
    </row>
    <row r="35" spans="1:12" x14ac:dyDescent="0.2">
      <c r="A35" s="159"/>
      <c r="B35" s="98">
        <v>33</v>
      </c>
      <c r="C35" s="158" t="b">
        <v>1</v>
      </c>
      <c r="D35" s="206" t="str">
        <v>H0</v>
      </c>
      <c r="E35" s="157" t="str">
        <f t="shared" ref="E35:E44" si="4">PROPER(Currency)&amp;FamilyName&amp;$E$1</f>
        <v>Euribor3M</v>
      </c>
      <c r="F35" s="156" t="str">
        <f t="shared" ref="F35:F44" si="5">Currency&amp;"FUT"&amp;$E$1&amp;$D35&amp;QuoteSuffix</f>
        <v>EURFUT3MH0_Quote</v>
      </c>
      <c r="G35" s="156" t="str">
        <f t="shared" ref="G35:G44" si="6">Currency&amp;"FUT"&amp;$E$1&amp;$D35&amp;"ConvAdj"&amp;QuoteSuffix</f>
        <v>EURFUT3MH0ConvAdj_Quote</v>
      </c>
      <c r="H35" s="156" t="str">
        <f t="shared" ref="H35:H44" si="7">$H$1&amp;"_FUT"&amp;$E$1&amp;$D35</f>
        <v>EUR_YC3MRH_FUT3MH0</v>
      </c>
      <c r="I35" s="155" t="str">
        <f>_xll.qlFuturesRateHelper(H35,$F35,$D35,$E35,$G35,Permanent,Trigger,ObjectOverwrite)</f>
        <v>EUR_YC3MRH_FUT3MH0#0002</v>
      </c>
      <c r="J35" s="93" t="str">
        <f>_xll.ohRangeRetrieveError(I35)</f>
        <v/>
      </c>
      <c r="K35" s="92"/>
      <c r="L35" s="160"/>
    </row>
    <row r="36" spans="1:12" x14ac:dyDescent="0.2">
      <c r="A36" s="159"/>
      <c r="B36" s="98">
        <v>34</v>
      </c>
      <c r="C36" s="158" t="b">
        <v>1</v>
      </c>
      <c r="D36" s="206" t="str">
        <v>M0</v>
      </c>
      <c r="E36" s="157" t="str">
        <f t="shared" si="4"/>
        <v>Euribor3M</v>
      </c>
      <c r="F36" s="156" t="str">
        <f t="shared" si="5"/>
        <v>EURFUT3MM0_Quote</v>
      </c>
      <c r="G36" s="156" t="str">
        <f t="shared" si="6"/>
        <v>EURFUT3MM0ConvAdj_Quote</v>
      </c>
      <c r="H36" s="156" t="str">
        <f t="shared" si="7"/>
        <v>EUR_YC3MRH_FUT3MM0</v>
      </c>
      <c r="I36" s="155" t="str">
        <f>_xll.qlFuturesRateHelper(H36,$F36,$D36,$E36,$G36,Permanent,Trigger,ObjectOverwrite)</f>
        <v>EUR_YC3MRH_FUT3MM0#0002</v>
      </c>
      <c r="J36" s="93" t="str">
        <f>_xll.ohRangeRetrieveError(I36)</f>
        <v/>
      </c>
      <c r="K36" s="92"/>
      <c r="L36" s="160"/>
    </row>
    <row r="37" spans="1:12" x14ac:dyDescent="0.2">
      <c r="A37" s="159"/>
      <c r="B37" s="98">
        <v>35</v>
      </c>
      <c r="C37" s="158" t="b">
        <v>1</v>
      </c>
      <c r="D37" s="206" t="str">
        <v>U0</v>
      </c>
      <c r="E37" s="157" t="str">
        <f t="shared" si="4"/>
        <v>Euribor3M</v>
      </c>
      <c r="F37" s="156" t="str">
        <f t="shared" si="5"/>
        <v>EURFUT3MU0_Quote</v>
      </c>
      <c r="G37" s="156" t="str">
        <f t="shared" si="6"/>
        <v>EURFUT3MU0ConvAdj_Quote</v>
      </c>
      <c r="H37" s="156" t="str">
        <f t="shared" si="7"/>
        <v>EUR_YC3MRH_FUT3MU0</v>
      </c>
      <c r="I37" s="155" t="str">
        <f>_xll.qlFuturesRateHelper(H37,$F37,$D37,$E37,$G37,Permanent,Trigger,ObjectOverwrite)</f>
        <v>EUR_YC3MRH_FUT3MU0#0002</v>
      </c>
      <c r="J37" s="93" t="str">
        <f>_xll.ohRangeRetrieveError(I37)</f>
        <v/>
      </c>
      <c r="K37" s="92"/>
      <c r="L37" s="160"/>
    </row>
    <row r="38" spans="1:12" x14ac:dyDescent="0.2">
      <c r="A38" s="159"/>
      <c r="B38" s="98">
        <v>36</v>
      </c>
      <c r="C38" s="158" t="b">
        <v>1</v>
      </c>
      <c r="D38" s="206" t="str">
        <v>Z0</v>
      </c>
      <c r="E38" s="157" t="str">
        <f t="shared" si="4"/>
        <v>Euribor3M</v>
      </c>
      <c r="F38" s="156" t="str">
        <f t="shared" si="5"/>
        <v>EURFUT3MZ0_Quote</v>
      </c>
      <c r="G38" s="156" t="str">
        <f t="shared" si="6"/>
        <v>EURFUT3MZ0ConvAdj_Quote</v>
      </c>
      <c r="H38" s="156" t="str">
        <f t="shared" si="7"/>
        <v>EUR_YC3MRH_FUT3MZ0</v>
      </c>
      <c r="I38" s="155" t="str">
        <f>_xll.qlFuturesRateHelper(H38,$F38,$D38,$E38,$G38,Permanent,Trigger,ObjectOverwrite)</f>
        <v>EUR_YC3MRH_FUT3MZ0#0002</v>
      </c>
      <c r="J38" s="93" t="str">
        <f>_xll.ohRangeRetrieveError(I38)</f>
        <v/>
      </c>
      <c r="K38" s="92"/>
      <c r="L38" s="160"/>
    </row>
    <row r="39" spans="1:12" x14ac:dyDescent="0.2">
      <c r="A39" s="159"/>
      <c r="B39" s="98">
        <v>37</v>
      </c>
      <c r="C39" s="158" t="b">
        <v>1</v>
      </c>
      <c r="D39" s="206" t="str">
        <v>H1</v>
      </c>
      <c r="E39" s="157" t="str">
        <f t="shared" si="4"/>
        <v>Euribor3M</v>
      </c>
      <c r="F39" s="156" t="str">
        <f t="shared" si="5"/>
        <v>EURFUT3MH1_Quote</v>
      </c>
      <c r="G39" s="156" t="str">
        <f t="shared" si="6"/>
        <v>EURFUT3MH1ConvAdj_Quote</v>
      </c>
      <c r="H39" s="156" t="str">
        <f t="shared" si="7"/>
        <v>EUR_YC3MRH_FUT3MH1</v>
      </c>
      <c r="I39" s="155" t="str">
        <f>_xll.qlFuturesRateHelper(H39,$F39,$D39,$E39,$G39,Permanent,Trigger,ObjectOverwrite)</f>
        <v>EUR_YC3MRH_FUT3MH1#0002</v>
      </c>
      <c r="J39" s="93" t="str">
        <f>_xll.ohRangeRetrieveError(I39)</f>
        <v/>
      </c>
      <c r="K39" s="92"/>
      <c r="L39" s="160"/>
    </row>
    <row r="40" spans="1:12" x14ac:dyDescent="0.2">
      <c r="A40" s="159"/>
      <c r="B40" s="98">
        <v>38</v>
      </c>
      <c r="C40" s="158" t="b">
        <v>1</v>
      </c>
      <c r="D40" s="206" t="str">
        <v>M1</v>
      </c>
      <c r="E40" s="157" t="str">
        <f t="shared" si="4"/>
        <v>Euribor3M</v>
      </c>
      <c r="F40" s="156" t="str">
        <f t="shared" si="5"/>
        <v>EURFUT3MM1_Quote</v>
      </c>
      <c r="G40" s="156" t="str">
        <f t="shared" si="6"/>
        <v>EURFUT3MM1ConvAdj_Quote</v>
      </c>
      <c r="H40" s="156" t="str">
        <f t="shared" si="7"/>
        <v>EUR_YC3MRH_FUT3MM1</v>
      </c>
      <c r="I40" s="155" t="str">
        <f>_xll.qlFuturesRateHelper(H40,$F40,$D40,$E40,$G40,Permanent,Trigger,ObjectOverwrite)</f>
        <v>EUR_YC3MRH_FUT3MM1#0002</v>
      </c>
      <c r="J40" s="93" t="str">
        <f>_xll.ohRangeRetrieveError(I40)</f>
        <v/>
      </c>
      <c r="K40" s="92"/>
    </row>
    <row r="41" spans="1:12" x14ac:dyDescent="0.2">
      <c r="A41" s="159"/>
      <c r="B41" s="98">
        <v>39</v>
      </c>
      <c r="C41" s="158" t="b">
        <v>1</v>
      </c>
      <c r="D41" s="206" t="str">
        <v>U1</v>
      </c>
      <c r="E41" s="157" t="str">
        <f t="shared" si="4"/>
        <v>Euribor3M</v>
      </c>
      <c r="F41" s="156" t="str">
        <f t="shared" si="5"/>
        <v>EURFUT3MU1_Quote</v>
      </c>
      <c r="G41" s="156" t="str">
        <f t="shared" si="6"/>
        <v>EURFUT3MU1ConvAdj_Quote</v>
      </c>
      <c r="H41" s="156" t="str">
        <f t="shared" si="7"/>
        <v>EUR_YC3MRH_FUT3MU1</v>
      </c>
      <c r="I41" s="155" t="str">
        <f>_xll.qlFuturesRateHelper(H41,$F41,$D41,$E41,$G41,Permanent,Trigger,ObjectOverwrite)</f>
        <v>EUR_YC3MRH_FUT3MU1#0002</v>
      </c>
      <c r="J41" s="93" t="str">
        <f>_xll.ohRangeRetrieveError(I41)</f>
        <v/>
      </c>
      <c r="K41" s="92"/>
    </row>
    <row r="42" spans="1:12" x14ac:dyDescent="0.2">
      <c r="A42" s="159"/>
      <c r="B42" s="98">
        <v>40</v>
      </c>
      <c r="C42" s="158" t="b">
        <v>1</v>
      </c>
      <c r="D42" s="206" t="str">
        <v>Z1</v>
      </c>
      <c r="E42" s="157" t="str">
        <f t="shared" si="4"/>
        <v>Euribor3M</v>
      </c>
      <c r="F42" s="156" t="str">
        <f t="shared" si="5"/>
        <v>EURFUT3MZ1_Quote</v>
      </c>
      <c r="G42" s="156" t="str">
        <f t="shared" si="6"/>
        <v>EURFUT3MZ1ConvAdj_Quote</v>
      </c>
      <c r="H42" s="156" t="str">
        <f t="shared" si="7"/>
        <v>EUR_YC3MRH_FUT3MZ1</v>
      </c>
      <c r="I42" s="155" t="str">
        <f>_xll.qlFuturesRateHelper(H42,$F42,$D42,$E42,$G42,Permanent,Trigger,ObjectOverwrite)</f>
        <v>EUR_YC3MRH_FUT3MZ1#0002</v>
      </c>
      <c r="J42" s="93" t="str">
        <f>_xll.ohRangeRetrieveError(I42)</f>
        <v/>
      </c>
      <c r="K42" s="92"/>
    </row>
    <row r="43" spans="1:12" x14ac:dyDescent="0.2">
      <c r="A43" s="159"/>
      <c r="B43" s="98">
        <v>41</v>
      </c>
      <c r="C43" s="158" t="b">
        <v>1</v>
      </c>
      <c r="D43" s="206" t="str">
        <v>H2</v>
      </c>
      <c r="E43" s="157" t="str">
        <f t="shared" si="4"/>
        <v>Euribor3M</v>
      </c>
      <c r="F43" s="156" t="str">
        <f t="shared" si="5"/>
        <v>EURFUT3MH2_Quote</v>
      </c>
      <c r="G43" s="156" t="str">
        <f t="shared" si="6"/>
        <v>EURFUT3MH2ConvAdj_Quote</v>
      </c>
      <c r="H43" s="156" t="str">
        <f t="shared" si="7"/>
        <v>EUR_YC3MRH_FUT3MH2</v>
      </c>
      <c r="I43" s="155" t="str">
        <f>_xll.qlFuturesRateHelper(H43,$F43,$D43,$E43,$G43,Permanent,Trigger,ObjectOverwrite)</f>
        <v>EUR_YC3MRH_FUT3MH2#0002</v>
      </c>
      <c r="J43" s="93" t="str">
        <f>_xll.ohRangeRetrieveError(I43)</f>
        <v/>
      </c>
      <c r="K43" s="92"/>
    </row>
    <row r="44" spans="1:12" x14ac:dyDescent="0.2">
      <c r="A44" s="159"/>
      <c r="B44" s="98">
        <v>42</v>
      </c>
      <c r="C44" s="158" t="b">
        <v>1</v>
      </c>
      <c r="D44" s="206" t="str">
        <v>M2</v>
      </c>
      <c r="E44" s="157" t="str">
        <f t="shared" si="4"/>
        <v>Euribor3M</v>
      </c>
      <c r="F44" s="156" t="str">
        <f t="shared" si="5"/>
        <v>EURFUT3MM2_Quote</v>
      </c>
      <c r="G44" s="156" t="str">
        <f t="shared" si="6"/>
        <v>EURFUT3MM2ConvAdj_Quote</v>
      </c>
      <c r="H44" s="156" t="str">
        <f t="shared" si="7"/>
        <v>EUR_YC3MRH_FUT3MM2</v>
      </c>
      <c r="I44" s="155" t="str">
        <f>_xll.qlFuturesRateHelper(H44,$F44,$D44,$E44,$G44,Permanent,Trigger,ObjectOverwrite)</f>
        <v>EUR_YC3MRH_FUT3MM2#0002</v>
      </c>
      <c r="J44" s="93" t="str">
        <f>_xll.ohRangeRetrieveError(I44)</f>
        <v/>
      </c>
      <c r="K44" s="92"/>
    </row>
    <row r="45" spans="1:12" ht="13.5" thickBot="1" x14ac:dyDescent="0.25">
      <c r="A45" s="154"/>
      <c r="B45" s="153"/>
      <c r="C45" s="153"/>
      <c r="D45" s="153"/>
      <c r="E45" s="153"/>
      <c r="F45" s="153"/>
      <c r="G45" s="153"/>
      <c r="H45" s="153"/>
      <c r="I45" s="153"/>
      <c r="J45" s="153"/>
      <c r="K45" s="152"/>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T7" sqref="T7"/>
    </sheetView>
  </sheetViews>
  <sheetFormatPr defaultRowHeight="11.25" x14ac:dyDescent="0.2"/>
  <cols>
    <col min="1" max="1" width="4.140625" style="105" customWidth="1"/>
    <col min="2" max="2" width="4.7109375" style="105" bestFit="1" customWidth="1"/>
    <col min="3" max="3" width="3.85546875" style="105" bestFit="1" customWidth="1"/>
    <col min="4" max="4" width="3.140625" style="105" bestFit="1" customWidth="1"/>
    <col min="5" max="5" width="2.710937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15.7109375" style="105" bestFit="1" customWidth="1"/>
    <col min="11" max="11" width="21.42578125" style="105" bestFit="1" customWidth="1"/>
    <col min="12" max="12" width="25.85546875" style="128" bestFit="1" customWidth="1"/>
    <col min="13" max="13" width="16" style="105" customWidth="1"/>
    <col min="14" max="14" width="3.5703125" style="105" customWidth="1"/>
    <col min="15" max="15" width="2.5703125" style="105" customWidth="1"/>
    <col min="16" max="16" width="4" style="105" customWidth="1"/>
    <col min="17" max="17" width="3.140625" style="105" customWidth="1"/>
    <col min="18" max="18" width="2.7109375" style="105" customWidth="1"/>
    <col min="19" max="16384" width="9.140625" style="105"/>
  </cols>
  <sheetData>
    <row r="1" spans="1:20" x14ac:dyDescent="0.2">
      <c r="A1" s="170" t="s">
        <v>176</v>
      </c>
      <c r="B1" s="151"/>
      <c r="C1" s="151"/>
      <c r="D1" s="151"/>
      <c r="E1" s="151"/>
      <c r="F1" s="151"/>
      <c r="G1" s="151"/>
      <c r="H1" s="151"/>
      <c r="I1" s="151"/>
      <c r="J1" s="151"/>
      <c r="K1" s="150"/>
      <c r="L1" s="151"/>
      <c r="M1" s="151"/>
      <c r="N1" s="195"/>
    </row>
    <row r="2" spans="1:20" x14ac:dyDescent="0.2">
      <c r="A2" s="99"/>
      <c r="B2" s="108"/>
      <c r="C2" s="108"/>
      <c r="D2" s="108"/>
      <c r="E2" s="108"/>
      <c r="F2" s="108"/>
      <c r="G2" s="108"/>
      <c r="H2" s="108"/>
      <c r="I2" s="108"/>
      <c r="J2" s="107" t="s">
        <v>134</v>
      </c>
      <c r="K2" s="107" t="str">
        <f>Currency&amp;"_YC"&amp;$J$2&amp;"RH"</f>
        <v>EUR_YC3MRH</v>
      </c>
      <c r="L2" s="107" t="str">
        <f>Discounting</f>
        <v>EurON</v>
      </c>
      <c r="M2" s="108"/>
      <c r="N2" s="173"/>
    </row>
    <row r="3" spans="1:20" ht="36" customHeight="1" x14ac:dyDescent="0.2">
      <c r="A3" s="99"/>
      <c r="B3" s="104" t="s">
        <v>171</v>
      </c>
      <c r="C3" s="104"/>
      <c r="D3" s="104"/>
      <c r="E3" s="104"/>
      <c r="F3" s="104" t="s">
        <v>170</v>
      </c>
      <c r="G3" s="104" t="s">
        <v>169</v>
      </c>
      <c r="H3" s="104" t="s">
        <v>168</v>
      </c>
      <c r="I3" s="104" t="s">
        <v>167</v>
      </c>
      <c r="J3" s="104" t="s">
        <v>141</v>
      </c>
      <c r="K3" s="194" t="str">
        <f>K2&amp;"_Swaps.xml"</f>
        <v>EUR_YC3MRH_Swaps.xml</v>
      </c>
      <c r="L3" s="144">
        <f ca="1">IF(Serialize,_xll.ohObjectSave(L4:L50,SerializationPath&amp;K3,FileOverwrite,Serialize),"---")</f>
        <v>45</v>
      </c>
      <c r="M3" s="174" t="str">
        <f ca="1">_xll.ohRangeRetrieveError(L3)</f>
        <v/>
      </c>
      <c r="N3" s="173"/>
    </row>
    <row r="4" spans="1:20" x14ac:dyDescent="0.2">
      <c r="A4" s="109"/>
      <c r="B4" s="108"/>
      <c r="C4" s="108"/>
      <c r="D4" s="108"/>
      <c r="E4" s="108"/>
      <c r="F4" s="108"/>
      <c r="G4" s="108"/>
      <c r="H4" s="108"/>
      <c r="I4" s="108"/>
      <c r="J4" s="108"/>
      <c r="K4" s="193" t="str">
        <f>$K$2&amp;"_"&amp;$D6&amp;$E6&amp;"_"&amp;FamilyName&amp;$J$2</f>
        <v>EUR_YC3MRH_AB3E_ibor3M</v>
      </c>
      <c r="L4" s="192" t="str">
        <f>IF(UPPER(FamilyName)="IBOR",_xll.qlEuribor($K4,$J$2,,Permanent,Trigger,ObjectOverwrite),IF(UPPER(FamilyName)="LIBOR",_xll.qlLibor($K4,Currency,$J$2,,Permanent,Trigger,ObjectOverwrite),"--"))</f>
        <v>EUR_YC3MRH_AB3E_ibor3M#0002</v>
      </c>
      <c r="M4" s="191" t="str">
        <f>_xll.ohRangeRetrieveError(L4)</f>
        <v/>
      </c>
      <c r="N4" s="173"/>
    </row>
    <row r="5" spans="1:20" ht="12" thickBot="1" x14ac:dyDescent="0.25">
      <c r="A5" s="109"/>
      <c r="B5" s="108"/>
      <c r="C5" s="108"/>
      <c r="D5" s="108"/>
      <c r="E5" s="108"/>
      <c r="F5" s="108"/>
      <c r="G5" s="108"/>
      <c r="H5" s="108"/>
      <c r="I5" s="108"/>
      <c r="J5" s="108"/>
      <c r="K5" s="108"/>
      <c r="L5" s="108"/>
      <c r="M5" s="108"/>
      <c r="N5" s="173"/>
    </row>
    <row r="6" spans="1:20" x14ac:dyDescent="0.2">
      <c r="A6" s="99"/>
      <c r="B6" s="178" t="s">
        <v>154</v>
      </c>
      <c r="C6" s="181" t="s">
        <v>47</v>
      </c>
      <c r="D6" s="178" t="str">
        <f t="array" ref="D6:D42">VLOOKUP(Currency,Conventions,2)</f>
        <v>AB</v>
      </c>
      <c r="E6" s="178" t="str">
        <f t="array" ref="E6:E42">VLOOKUP(Currency,Conventions,3)</f>
        <v>3E</v>
      </c>
      <c r="F6" s="178" t="str">
        <f t="shared" ref="F6:F42" si="0">IF(UPPER(LEFT($D6))="A","Annual",IF(UPPER(LEFT($D6))="S","Semiannual","--"))</f>
        <v>Annual</v>
      </c>
      <c r="G6" s="158" t="s">
        <v>162</v>
      </c>
      <c r="H6" s="158" t="str">
        <f t="shared" ref="H6:H42" si="1">IF(UPPER(RIGHT($D6))="B",BondBasisDayCounter,IF(UPPER(RIGHT($D6))="M",MoneyMarketDayCounter,"--"))</f>
        <v>30/360 (Bond Basis)</v>
      </c>
      <c r="I6" s="177">
        <v>0</v>
      </c>
      <c r="J6" s="180" t="str">
        <f t="shared" ref="J6:J42" si="2">Currency&amp;$D6&amp;$E6&amp;$C6&amp;"_Quote"</f>
        <v>EURAB3E1Y_Quote</v>
      </c>
      <c r="K6" s="176" t="str">
        <f t="shared" ref="K6:K42" si="3">$K$2&amp;"_"&amp;$D6&amp;$E6&amp;$C6</f>
        <v>EUR_YC3MRH_AB3E1Y</v>
      </c>
      <c r="L6" s="175" t="str">
        <f>_xll.qlSwapRateHelper2(K6,$J6,$C6,Calendar,$F6,$G6,$H6,$L$4,$I6,B6,DiscountingCurve,Permanent,,ObjectOverwrite)</f>
        <v>EUR_YC3MRH_AB3E1Y#0002</v>
      </c>
      <c r="M6" s="174" t="str">
        <f>_xll.ohRangeRetrieveError(L6)</f>
        <v/>
      </c>
      <c r="N6" s="173"/>
      <c r="P6" s="190" t="s">
        <v>104</v>
      </c>
      <c r="Q6" s="189" t="s">
        <v>101</v>
      </c>
      <c r="R6" s="188" t="s">
        <v>164</v>
      </c>
      <c r="T6" s="105" t="str">
        <f>_xll.ohObjectCallerAddress(J6)</f>
        <v>[EUR_Market.xlsm]Swap3M!R6C6</v>
      </c>
    </row>
    <row r="7" spans="1:20" x14ac:dyDescent="0.2">
      <c r="A7" s="99"/>
      <c r="B7" s="178" t="s">
        <v>154</v>
      </c>
      <c r="C7" s="181" t="s">
        <v>46</v>
      </c>
      <c r="D7" s="178" t="str">
        <v>AB</v>
      </c>
      <c r="E7" s="178" t="str">
        <v>3E</v>
      </c>
      <c r="F7" s="178" t="str">
        <f t="shared" si="0"/>
        <v>Annual</v>
      </c>
      <c r="G7" s="157" t="s">
        <v>162</v>
      </c>
      <c r="H7" s="157" t="str">
        <f t="shared" si="1"/>
        <v>30/360 (Bond Basis)</v>
      </c>
      <c r="I7" s="177">
        <v>0</v>
      </c>
      <c r="J7" s="132" t="str">
        <f t="shared" si="2"/>
        <v>EURAB3E15M_Quote</v>
      </c>
      <c r="K7" s="176" t="str">
        <f t="shared" si="3"/>
        <v>EUR_YC3MRH_AB3E15M</v>
      </c>
      <c r="L7" s="175" t="str">
        <f>_xll.qlSwapRateHelper2(K7,$J7,$C7,Calendar,$F7,$G7,$H7,$L$4,$I7,B7,DiscountingCurve,Permanent,,ObjectOverwrite)</f>
        <v>EUR_YC3MRH_AB3E15M#0002</v>
      </c>
      <c r="M7" s="174" t="str">
        <f>_xll.ohRangeRetrieveError(L7)</f>
        <v/>
      </c>
      <c r="N7" s="173"/>
      <c r="P7" s="187" t="s">
        <v>102</v>
      </c>
      <c r="Q7" s="186" t="s">
        <v>101</v>
      </c>
      <c r="R7" s="185" t="s">
        <v>166</v>
      </c>
    </row>
    <row r="8" spans="1:20" x14ac:dyDescent="0.2">
      <c r="A8" s="99"/>
      <c r="B8" s="178" t="s">
        <v>154</v>
      </c>
      <c r="C8" s="181" t="s">
        <v>45</v>
      </c>
      <c r="D8" s="178" t="str">
        <v>AB</v>
      </c>
      <c r="E8" s="178" t="str">
        <v>3E</v>
      </c>
      <c r="F8" s="178" t="str">
        <f t="shared" si="0"/>
        <v>Annual</v>
      </c>
      <c r="G8" s="157" t="s">
        <v>162</v>
      </c>
      <c r="H8" s="157" t="str">
        <f t="shared" si="1"/>
        <v>30/360 (Bond Basis)</v>
      </c>
      <c r="I8" s="177">
        <v>0</v>
      </c>
      <c r="J8" s="132" t="str">
        <f t="shared" si="2"/>
        <v>EURAB3E18M_Quote</v>
      </c>
      <c r="K8" s="176" t="str">
        <f t="shared" si="3"/>
        <v>EUR_YC3MRH_AB3E18M</v>
      </c>
      <c r="L8" s="175" t="str">
        <f>_xll.qlSwapRateHelper2(K8,$J8,$C8,Calendar,$F8,$G8,$H8,$L$4,$I8,B8,DiscountingCurve,Permanent,,ObjectOverwrite)</f>
        <v>EUR_YC3MRH_AB3E18M#0002</v>
      </c>
      <c r="M8" s="174" t="str">
        <f>_xll.ohRangeRetrieveError(L8)</f>
        <v/>
      </c>
      <c r="N8" s="173"/>
      <c r="P8" s="187" t="s">
        <v>99</v>
      </c>
      <c r="Q8" s="186" t="s">
        <v>94</v>
      </c>
      <c r="R8" s="185" t="s">
        <v>164</v>
      </c>
    </row>
    <row r="9" spans="1:20" x14ac:dyDescent="0.2">
      <c r="A9" s="99"/>
      <c r="B9" s="178" t="s">
        <v>154</v>
      </c>
      <c r="C9" s="181" t="s">
        <v>44</v>
      </c>
      <c r="D9" s="178" t="str">
        <v>AB</v>
      </c>
      <c r="E9" s="178" t="str">
        <v>3E</v>
      </c>
      <c r="F9" s="178" t="str">
        <f t="shared" si="0"/>
        <v>Annual</v>
      </c>
      <c r="G9" s="157" t="s">
        <v>162</v>
      </c>
      <c r="H9" s="157" t="str">
        <f t="shared" si="1"/>
        <v>30/360 (Bond Basis)</v>
      </c>
      <c r="I9" s="177">
        <v>0</v>
      </c>
      <c r="J9" s="132" t="str">
        <f t="shared" si="2"/>
        <v>EURAB3E21M_Quote</v>
      </c>
      <c r="K9" s="176" t="str">
        <f t="shared" si="3"/>
        <v>EUR_YC3MRH_AB3E21M</v>
      </c>
      <c r="L9" s="175" t="str">
        <f>_xll.qlSwapRateHelper2(K9,$J9,$C9,Calendar,$F9,$G9,$H9,$L$4,$I9,B9,DiscountingCurve,Permanent,,ObjectOverwrite)</f>
        <v>EUR_YC3MRH_AB3E21M#0002</v>
      </c>
      <c r="M9" s="174" t="str">
        <f>_xll.ohRangeRetrieveError(L9)</f>
        <v/>
      </c>
      <c r="N9" s="173"/>
      <c r="P9" s="187" t="s">
        <v>97</v>
      </c>
      <c r="Q9" s="186" t="s">
        <v>165</v>
      </c>
      <c r="R9" s="185" t="s">
        <v>164</v>
      </c>
    </row>
    <row r="10" spans="1:20" ht="12" thickBot="1" x14ac:dyDescent="0.25">
      <c r="A10" s="99"/>
      <c r="B10" s="178" t="s">
        <v>154</v>
      </c>
      <c r="C10" s="179" t="s">
        <v>43</v>
      </c>
      <c r="D10" s="178" t="str">
        <v>AB</v>
      </c>
      <c r="E10" s="178" t="str">
        <v>3E</v>
      </c>
      <c r="F10" s="178" t="str">
        <f t="shared" si="0"/>
        <v>Annual</v>
      </c>
      <c r="G10" s="157" t="s">
        <v>162</v>
      </c>
      <c r="H10" s="157" t="str">
        <f t="shared" si="1"/>
        <v>30/360 (Bond Basis)</v>
      </c>
      <c r="I10" s="177">
        <v>0</v>
      </c>
      <c r="J10" s="132" t="str">
        <f t="shared" si="2"/>
        <v>EURAB3E2Y_Quote</v>
      </c>
      <c r="K10" s="176" t="str">
        <f t="shared" si="3"/>
        <v>EUR_YC3MRH_AB3E2Y</v>
      </c>
      <c r="L10" s="175" t="str">
        <f>_xll.qlSwapRateHelper2(K10,$J10,$C10,Calendar,$F10,$G10,$H10,$L$4,$I10,B10,DiscountingCurve,Permanent,,ObjectOverwrite)</f>
        <v>EUR_YC3MRH_AB3E2Y#0002</v>
      </c>
      <c r="M10" s="174" t="str">
        <f>_xll.ohRangeRetrieveError(L10)</f>
        <v/>
      </c>
      <c r="N10" s="173"/>
      <c r="P10" s="184" t="s">
        <v>95</v>
      </c>
      <c r="Q10" s="183" t="s">
        <v>94</v>
      </c>
      <c r="R10" s="182" t="s">
        <v>164</v>
      </c>
    </row>
    <row r="11" spans="1:20" x14ac:dyDescent="0.2">
      <c r="A11" s="99"/>
      <c r="B11" s="178" t="s">
        <v>154</v>
      </c>
      <c r="C11" s="179" t="s">
        <v>42</v>
      </c>
      <c r="D11" s="178" t="str">
        <v>AB</v>
      </c>
      <c r="E11" s="178" t="str">
        <v>3E</v>
      </c>
      <c r="F11" s="178" t="str">
        <f t="shared" si="0"/>
        <v>Annual</v>
      </c>
      <c r="G11" s="157" t="s">
        <v>162</v>
      </c>
      <c r="H11" s="157" t="str">
        <f t="shared" si="1"/>
        <v>30/360 (Bond Basis)</v>
      </c>
      <c r="I11" s="177">
        <v>0</v>
      </c>
      <c r="J11" s="132" t="str">
        <f t="shared" si="2"/>
        <v>EURAB3E3Y_Quote</v>
      </c>
      <c r="K11" s="176" t="str">
        <f t="shared" si="3"/>
        <v>EUR_YC3MRH_AB3E3Y</v>
      </c>
      <c r="L11" s="175" t="str">
        <f>_xll.qlSwapRateHelper2(K11,$J11,$C11,Calendar,$F11,$G11,$H11,$L$4,$I11,B11,DiscountingCurve,Permanent,,ObjectOverwrite)</f>
        <v>EUR_YC3MRH_AB3E3Y#0002</v>
      </c>
      <c r="M11" s="174" t="str">
        <f>_xll.ohRangeRetrieveError(L11)</f>
        <v/>
      </c>
      <c r="N11" s="173"/>
    </row>
    <row r="12" spans="1:20" x14ac:dyDescent="0.2">
      <c r="A12" s="99"/>
      <c r="B12" s="178" t="s">
        <v>154</v>
      </c>
      <c r="C12" s="179" t="s">
        <v>41</v>
      </c>
      <c r="D12" s="178" t="str">
        <v>AB</v>
      </c>
      <c r="E12" s="178" t="str">
        <v>3E</v>
      </c>
      <c r="F12" s="178" t="str">
        <f t="shared" si="0"/>
        <v>Annual</v>
      </c>
      <c r="G12" s="157" t="s">
        <v>162</v>
      </c>
      <c r="H12" s="157" t="str">
        <f t="shared" si="1"/>
        <v>30/360 (Bond Basis)</v>
      </c>
      <c r="I12" s="177">
        <v>0</v>
      </c>
      <c r="J12" s="132" t="str">
        <f t="shared" si="2"/>
        <v>EURAB3E4Y_Quote</v>
      </c>
      <c r="K12" s="176" t="str">
        <f t="shared" si="3"/>
        <v>EUR_YC3MRH_AB3E4Y</v>
      </c>
      <c r="L12" s="175" t="str">
        <f>_xll.qlSwapRateHelper2(K12,$J12,$C12,Calendar,$F12,$G12,$H12,$L$4,$I12,B12,DiscountingCurve,Permanent,,ObjectOverwrite)</f>
        <v>EUR_YC3MRH_AB3E4Y#0002</v>
      </c>
      <c r="M12" s="174" t="str">
        <f>_xll.ohRangeRetrieveError(L12)</f>
        <v/>
      </c>
      <c r="N12" s="173"/>
    </row>
    <row r="13" spans="1:20" x14ac:dyDescent="0.2">
      <c r="A13" s="99"/>
      <c r="B13" s="178" t="s">
        <v>154</v>
      </c>
      <c r="C13" s="179" t="s">
        <v>40</v>
      </c>
      <c r="D13" s="178" t="str">
        <v>AB</v>
      </c>
      <c r="E13" s="178" t="str">
        <v>3E</v>
      </c>
      <c r="F13" s="178" t="str">
        <f t="shared" si="0"/>
        <v>Annual</v>
      </c>
      <c r="G13" s="157" t="s">
        <v>162</v>
      </c>
      <c r="H13" s="157" t="str">
        <f t="shared" si="1"/>
        <v>30/360 (Bond Basis)</v>
      </c>
      <c r="I13" s="177">
        <v>0</v>
      </c>
      <c r="J13" s="132" t="str">
        <f t="shared" si="2"/>
        <v>EURAB3E5Y_Quote</v>
      </c>
      <c r="K13" s="176" t="str">
        <f t="shared" si="3"/>
        <v>EUR_YC3MRH_AB3E5Y</v>
      </c>
      <c r="L13" s="175" t="str">
        <f>_xll.qlSwapRateHelper2(K13,$J13,$C13,Calendar,$F13,$G13,$H13,$L$4,$I13,B13,DiscountingCurve,Permanent,,ObjectOverwrite)</f>
        <v>EUR_YC3MRH_AB3E5Y#0002</v>
      </c>
      <c r="M13" s="174" t="str">
        <f>_xll.ohRangeRetrieveError(L13)</f>
        <v/>
      </c>
      <c r="N13" s="173"/>
    </row>
    <row r="14" spans="1:20" x14ac:dyDescent="0.2">
      <c r="A14" s="99"/>
      <c r="B14" s="178" t="s">
        <v>154</v>
      </c>
      <c r="C14" s="179" t="s">
        <v>39</v>
      </c>
      <c r="D14" s="178" t="str">
        <v>AB</v>
      </c>
      <c r="E14" s="178" t="str">
        <v>3E</v>
      </c>
      <c r="F14" s="178" t="str">
        <f t="shared" si="0"/>
        <v>Annual</v>
      </c>
      <c r="G14" s="157" t="s">
        <v>162</v>
      </c>
      <c r="H14" s="157" t="str">
        <f t="shared" si="1"/>
        <v>30/360 (Bond Basis)</v>
      </c>
      <c r="I14" s="177">
        <v>0</v>
      </c>
      <c r="J14" s="132" t="str">
        <f t="shared" si="2"/>
        <v>EURAB3E6Y_Quote</v>
      </c>
      <c r="K14" s="176" t="str">
        <f t="shared" si="3"/>
        <v>EUR_YC3MRH_AB3E6Y</v>
      </c>
      <c r="L14" s="175" t="str">
        <f>_xll.qlSwapRateHelper2(K14,$J14,$C14,Calendar,$F14,$G14,$H14,$L$4,$I14,B14,DiscountingCurve,Permanent,,ObjectOverwrite)</f>
        <v>EUR_YC3MRH_AB3E6Y#0002</v>
      </c>
      <c r="M14" s="174" t="str">
        <f>_xll.ohRangeRetrieveError(L14)</f>
        <v/>
      </c>
      <c r="N14" s="173"/>
    </row>
    <row r="15" spans="1:20" x14ac:dyDescent="0.2">
      <c r="A15" s="99"/>
      <c r="B15" s="178" t="s">
        <v>154</v>
      </c>
      <c r="C15" s="179" t="s">
        <v>38</v>
      </c>
      <c r="D15" s="178" t="str">
        <v>AB</v>
      </c>
      <c r="E15" s="178" t="str">
        <v>3E</v>
      </c>
      <c r="F15" s="178" t="str">
        <f t="shared" si="0"/>
        <v>Annual</v>
      </c>
      <c r="G15" s="157" t="s">
        <v>162</v>
      </c>
      <c r="H15" s="157" t="str">
        <f t="shared" si="1"/>
        <v>30/360 (Bond Basis)</v>
      </c>
      <c r="I15" s="177">
        <v>0</v>
      </c>
      <c r="J15" s="132" t="str">
        <f t="shared" si="2"/>
        <v>EURAB3E7Y_Quote</v>
      </c>
      <c r="K15" s="176" t="str">
        <f t="shared" si="3"/>
        <v>EUR_YC3MRH_AB3E7Y</v>
      </c>
      <c r="L15" s="175" t="str">
        <f>_xll.qlSwapRateHelper2(K15,$J15,$C15,Calendar,$F15,$G15,$H15,$L$4,$I15,B15,DiscountingCurve,Permanent,,ObjectOverwrite)</f>
        <v>EUR_YC3MRH_AB3E7Y#0002</v>
      </c>
      <c r="M15" s="174" t="str">
        <f>_xll.ohRangeRetrieveError(L15)</f>
        <v/>
      </c>
      <c r="N15" s="173"/>
    </row>
    <row r="16" spans="1:20" x14ac:dyDescent="0.2">
      <c r="A16" s="99"/>
      <c r="B16" s="178" t="s">
        <v>154</v>
      </c>
      <c r="C16" s="179" t="s">
        <v>37</v>
      </c>
      <c r="D16" s="178" t="str">
        <v>AB</v>
      </c>
      <c r="E16" s="178" t="str">
        <v>3E</v>
      </c>
      <c r="F16" s="178" t="str">
        <f t="shared" si="0"/>
        <v>Annual</v>
      </c>
      <c r="G16" s="157" t="s">
        <v>162</v>
      </c>
      <c r="H16" s="157" t="str">
        <f t="shared" si="1"/>
        <v>30/360 (Bond Basis)</v>
      </c>
      <c r="I16" s="177">
        <v>0</v>
      </c>
      <c r="J16" s="132" t="str">
        <f t="shared" si="2"/>
        <v>EURAB3E8Y_Quote</v>
      </c>
      <c r="K16" s="176" t="str">
        <f t="shared" si="3"/>
        <v>EUR_YC3MRH_AB3E8Y</v>
      </c>
      <c r="L16" s="175" t="str">
        <f>_xll.qlSwapRateHelper2(K16,$J16,$C16,Calendar,$F16,$G16,$H16,$L$4,$I16,B16,DiscountingCurve,Permanent,,ObjectOverwrite)</f>
        <v>EUR_YC3MRH_AB3E8Y#0002</v>
      </c>
      <c r="M16" s="174" t="str">
        <f>_xll.ohRangeRetrieveError(L16)</f>
        <v/>
      </c>
      <c r="N16" s="173"/>
    </row>
    <row r="17" spans="1:14" x14ac:dyDescent="0.2">
      <c r="A17" s="99"/>
      <c r="B17" s="178" t="s">
        <v>154</v>
      </c>
      <c r="C17" s="179" t="s">
        <v>36</v>
      </c>
      <c r="D17" s="178" t="str">
        <v>AB</v>
      </c>
      <c r="E17" s="178" t="str">
        <v>3E</v>
      </c>
      <c r="F17" s="178" t="str">
        <f t="shared" si="0"/>
        <v>Annual</v>
      </c>
      <c r="G17" s="157" t="s">
        <v>162</v>
      </c>
      <c r="H17" s="157" t="str">
        <f t="shared" si="1"/>
        <v>30/360 (Bond Basis)</v>
      </c>
      <c r="I17" s="177">
        <v>0</v>
      </c>
      <c r="J17" s="132" t="str">
        <f t="shared" si="2"/>
        <v>EURAB3E9Y_Quote</v>
      </c>
      <c r="K17" s="176" t="str">
        <f t="shared" si="3"/>
        <v>EUR_YC3MRH_AB3E9Y</v>
      </c>
      <c r="L17" s="175" t="str">
        <f>_xll.qlSwapRateHelper2(K17,$J17,$C17,Calendar,$F17,$G17,$H17,$L$4,$I17,B17,DiscountingCurve,Permanent,,ObjectOverwrite)</f>
        <v>EUR_YC3MRH_AB3E9Y#0002</v>
      </c>
      <c r="M17" s="174" t="str">
        <f>_xll.ohRangeRetrieveError(L17)</f>
        <v/>
      </c>
      <c r="N17" s="173"/>
    </row>
    <row r="18" spans="1:14" x14ac:dyDescent="0.2">
      <c r="A18" s="99"/>
      <c r="B18" s="178" t="s">
        <v>154</v>
      </c>
      <c r="C18" s="179" t="s">
        <v>35</v>
      </c>
      <c r="D18" s="178" t="str">
        <v>AB</v>
      </c>
      <c r="E18" s="178" t="str">
        <v>3E</v>
      </c>
      <c r="F18" s="178" t="str">
        <f t="shared" si="0"/>
        <v>Annual</v>
      </c>
      <c r="G18" s="157" t="s">
        <v>162</v>
      </c>
      <c r="H18" s="157" t="str">
        <f t="shared" si="1"/>
        <v>30/360 (Bond Basis)</v>
      </c>
      <c r="I18" s="177">
        <v>0</v>
      </c>
      <c r="J18" s="132" t="str">
        <f t="shared" si="2"/>
        <v>EURAB3E10Y_Quote</v>
      </c>
      <c r="K18" s="176" t="str">
        <f t="shared" si="3"/>
        <v>EUR_YC3MRH_AB3E10Y</v>
      </c>
      <c r="L18" s="175" t="str">
        <f>_xll.qlSwapRateHelper2(K18,$J18,$C18,Calendar,$F18,$G18,$H18,$L$4,$I18,B18,DiscountingCurve,Permanent,,ObjectOverwrite)</f>
        <v>EUR_YC3MRH_AB3E10Y#0002</v>
      </c>
      <c r="M18" s="174" t="str">
        <f>_xll.ohRangeRetrieveError(L18)</f>
        <v/>
      </c>
      <c r="N18" s="173"/>
    </row>
    <row r="19" spans="1:14" x14ac:dyDescent="0.2">
      <c r="A19" s="99"/>
      <c r="B19" s="178" t="s">
        <v>154</v>
      </c>
      <c r="C19" s="179" t="s">
        <v>34</v>
      </c>
      <c r="D19" s="178" t="str">
        <v>AB</v>
      </c>
      <c r="E19" s="178" t="str">
        <v>3E</v>
      </c>
      <c r="F19" s="178" t="str">
        <f t="shared" si="0"/>
        <v>Annual</v>
      </c>
      <c r="G19" s="157" t="s">
        <v>162</v>
      </c>
      <c r="H19" s="157" t="str">
        <f t="shared" si="1"/>
        <v>30/360 (Bond Basis)</v>
      </c>
      <c r="I19" s="177">
        <v>0</v>
      </c>
      <c r="J19" s="132" t="str">
        <f t="shared" si="2"/>
        <v>EURAB3E11Y_Quote</v>
      </c>
      <c r="K19" s="176" t="str">
        <f t="shared" si="3"/>
        <v>EUR_YC3MRH_AB3E11Y</v>
      </c>
      <c r="L19" s="175" t="str">
        <f>_xll.qlSwapRateHelper2(K19,$J19,$C19,Calendar,$F19,$G19,$H19,$L$4,$I19,B19,DiscountingCurve,Permanent,,ObjectOverwrite)</f>
        <v>EUR_YC3MRH_AB3E11Y#0002</v>
      </c>
      <c r="M19" s="174" t="str">
        <f>_xll.ohRangeRetrieveError(L19)</f>
        <v/>
      </c>
      <c r="N19" s="173"/>
    </row>
    <row r="20" spans="1:14" x14ac:dyDescent="0.2">
      <c r="A20" s="99"/>
      <c r="B20" s="178" t="s">
        <v>154</v>
      </c>
      <c r="C20" s="179" t="s">
        <v>33</v>
      </c>
      <c r="D20" s="178" t="str">
        <v>AB</v>
      </c>
      <c r="E20" s="178" t="str">
        <v>3E</v>
      </c>
      <c r="F20" s="178" t="str">
        <f t="shared" si="0"/>
        <v>Annual</v>
      </c>
      <c r="G20" s="157" t="s">
        <v>162</v>
      </c>
      <c r="H20" s="157" t="str">
        <f t="shared" si="1"/>
        <v>30/360 (Bond Basis)</v>
      </c>
      <c r="I20" s="177">
        <v>0</v>
      </c>
      <c r="J20" s="132" t="str">
        <f t="shared" si="2"/>
        <v>EURAB3E12Y_Quote</v>
      </c>
      <c r="K20" s="176" t="str">
        <f t="shared" si="3"/>
        <v>EUR_YC3MRH_AB3E12Y</v>
      </c>
      <c r="L20" s="175" t="str">
        <f>_xll.qlSwapRateHelper2(K20,$J20,$C20,Calendar,$F20,$G20,$H20,$L$4,$I20,B20,DiscountingCurve,Permanent,,ObjectOverwrite)</f>
        <v>EUR_YC3MRH_AB3E12Y#0002</v>
      </c>
      <c r="M20" s="174" t="str">
        <f>_xll.ohRangeRetrieveError(L20)</f>
        <v/>
      </c>
      <c r="N20" s="173"/>
    </row>
    <row r="21" spans="1:14" x14ac:dyDescent="0.2">
      <c r="A21" s="99"/>
      <c r="B21" s="178" t="s">
        <v>154</v>
      </c>
      <c r="C21" s="179" t="s">
        <v>32</v>
      </c>
      <c r="D21" s="178" t="str">
        <v>AB</v>
      </c>
      <c r="E21" s="178" t="str">
        <v>3E</v>
      </c>
      <c r="F21" s="178" t="str">
        <f t="shared" si="0"/>
        <v>Annual</v>
      </c>
      <c r="G21" s="157" t="s">
        <v>162</v>
      </c>
      <c r="H21" s="157" t="str">
        <f t="shared" si="1"/>
        <v>30/360 (Bond Basis)</v>
      </c>
      <c r="I21" s="177">
        <v>0</v>
      </c>
      <c r="J21" s="132" t="str">
        <f t="shared" si="2"/>
        <v>EURAB3E13Y_Quote</v>
      </c>
      <c r="K21" s="176" t="str">
        <f t="shared" si="3"/>
        <v>EUR_YC3MRH_AB3E13Y</v>
      </c>
      <c r="L21" s="175" t="str">
        <f>_xll.qlSwapRateHelper2(K21,$J21,$C21,Calendar,$F21,$G21,$H21,$L$4,$I21,B21,DiscountingCurve,Permanent,,ObjectOverwrite)</f>
        <v>EUR_YC3MRH_AB3E13Y#0002</v>
      </c>
      <c r="M21" s="174" t="str">
        <f>_xll.ohRangeRetrieveError(L21)</f>
        <v/>
      </c>
      <c r="N21" s="173"/>
    </row>
    <row r="22" spans="1:14" x14ac:dyDescent="0.2">
      <c r="A22" s="99"/>
      <c r="B22" s="178" t="s">
        <v>154</v>
      </c>
      <c r="C22" s="179" t="s">
        <v>31</v>
      </c>
      <c r="D22" s="178" t="str">
        <v>AB</v>
      </c>
      <c r="E22" s="178" t="str">
        <v>3E</v>
      </c>
      <c r="F22" s="178" t="str">
        <f t="shared" si="0"/>
        <v>Annual</v>
      </c>
      <c r="G22" s="157" t="s">
        <v>162</v>
      </c>
      <c r="H22" s="157" t="str">
        <f t="shared" si="1"/>
        <v>30/360 (Bond Basis)</v>
      </c>
      <c r="I22" s="177">
        <v>0</v>
      </c>
      <c r="J22" s="132" t="str">
        <f t="shared" si="2"/>
        <v>EURAB3E14Y_Quote</v>
      </c>
      <c r="K22" s="176" t="str">
        <f t="shared" si="3"/>
        <v>EUR_YC3MRH_AB3E14Y</v>
      </c>
      <c r="L22" s="175" t="str">
        <f>_xll.qlSwapRateHelper2(K22,$J22,$C22,Calendar,$F22,$G22,$H22,$L$4,$I22,B22,DiscountingCurve,Permanent,,ObjectOverwrite)</f>
        <v>EUR_YC3MRH_AB3E14Y#0002</v>
      </c>
      <c r="M22" s="174" t="str">
        <f>_xll.ohRangeRetrieveError(L22)</f>
        <v/>
      </c>
      <c r="N22" s="173"/>
    </row>
    <row r="23" spans="1:14" x14ac:dyDescent="0.2">
      <c r="A23" s="99"/>
      <c r="B23" s="178" t="s">
        <v>154</v>
      </c>
      <c r="C23" s="179" t="s">
        <v>30</v>
      </c>
      <c r="D23" s="178" t="str">
        <v>AB</v>
      </c>
      <c r="E23" s="178" t="str">
        <v>3E</v>
      </c>
      <c r="F23" s="178" t="str">
        <f t="shared" si="0"/>
        <v>Annual</v>
      </c>
      <c r="G23" s="157" t="s">
        <v>162</v>
      </c>
      <c r="H23" s="157" t="str">
        <f t="shared" si="1"/>
        <v>30/360 (Bond Basis)</v>
      </c>
      <c r="I23" s="177">
        <v>0</v>
      </c>
      <c r="J23" s="132" t="str">
        <f t="shared" si="2"/>
        <v>EURAB3E15Y_Quote</v>
      </c>
      <c r="K23" s="176" t="str">
        <f t="shared" si="3"/>
        <v>EUR_YC3MRH_AB3E15Y</v>
      </c>
      <c r="L23" s="175" t="str">
        <f>_xll.qlSwapRateHelper2(K23,$J23,$C23,Calendar,$F23,$G23,$H23,$L$4,$I23,B23,DiscountingCurve,Permanent,,ObjectOverwrite)</f>
        <v>EUR_YC3MRH_AB3E15Y#0002</v>
      </c>
      <c r="M23" s="174" t="str">
        <f>_xll.ohRangeRetrieveError(L23)</f>
        <v/>
      </c>
      <c r="N23" s="173"/>
    </row>
    <row r="24" spans="1:14" x14ac:dyDescent="0.2">
      <c r="A24" s="99"/>
      <c r="B24" s="178" t="s">
        <v>154</v>
      </c>
      <c r="C24" s="179" t="s">
        <v>29</v>
      </c>
      <c r="D24" s="178" t="str">
        <v>AB</v>
      </c>
      <c r="E24" s="178" t="str">
        <v>3E</v>
      </c>
      <c r="F24" s="178" t="str">
        <f t="shared" si="0"/>
        <v>Annual</v>
      </c>
      <c r="G24" s="157" t="s">
        <v>162</v>
      </c>
      <c r="H24" s="157" t="str">
        <f t="shared" si="1"/>
        <v>30/360 (Bond Basis)</v>
      </c>
      <c r="I24" s="177">
        <v>0</v>
      </c>
      <c r="J24" s="132" t="str">
        <f t="shared" si="2"/>
        <v>EURAB3E16Y_Quote</v>
      </c>
      <c r="K24" s="176" t="str">
        <f t="shared" si="3"/>
        <v>EUR_YC3MRH_AB3E16Y</v>
      </c>
      <c r="L24" s="175" t="str">
        <f>_xll.qlSwapRateHelper2(K24,$J24,$C24,Calendar,$F24,$G24,$H24,$L$4,$I24,B24,DiscountingCurve,Permanent,,ObjectOverwrite)</f>
        <v>EUR_YC3MRH_AB3E16Y#0002</v>
      </c>
      <c r="M24" s="174" t="str">
        <f>_xll.ohRangeRetrieveError(L24)</f>
        <v/>
      </c>
      <c r="N24" s="173"/>
    </row>
    <row r="25" spans="1:14" x14ac:dyDescent="0.2">
      <c r="A25" s="99"/>
      <c r="B25" s="178" t="s">
        <v>154</v>
      </c>
      <c r="C25" s="179" t="s">
        <v>28</v>
      </c>
      <c r="D25" s="178" t="str">
        <v>AB</v>
      </c>
      <c r="E25" s="178" t="str">
        <v>3E</v>
      </c>
      <c r="F25" s="178" t="str">
        <f t="shared" si="0"/>
        <v>Annual</v>
      </c>
      <c r="G25" s="157" t="s">
        <v>162</v>
      </c>
      <c r="H25" s="157" t="str">
        <f t="shared" si="1"/>
        <v>30/360 (Bond Basis)</v>
      </c>
      <c r="I25" s="177">
        <v>0</v>
      </c>
      <c r="J25" s="132" t="str">
        <f t="shared" si="2"/>
        <v>EURAB3E17Y_Quote</v>
      </c>
      <c r="K25" s="176" t="str">
        <f t="shared" si="3"/>
        <v>EUR_YC3MRH_AB3E17Y</v>
      </c>
      <c r="L25" s="175" t="str">
        <f>_xll.qlSwapRateHelper2(K25,$J25,$C25,Calendar,$F25,$G25,$H25,$L$4,$I25,B25,DiscountingCurve,Permanent,,ObjectOverwrite)</f>
        <v>EUR_YC3MRH_AB3E17Y#0002</v>
      </c>
      <c r="M25" s="174" t="str">
        <f>_xll.ohRangeRetrieveError(L25)</f>
        <v/>
      </c>
      <c r="N25" s="173"/>
    </row>
    <row r="26" spans="1:14" x14ac:dyDescent="0.2">
      <c r="A26" s="99"/>
      <c r="B26" s="178" t="s">
        <v>154</v>
      </c>
      <c r="C26" s="179" t="s">
        <v>27</v>
      </c>
      <c r="D26" s="178" t="str">
        <v>AB</v>
      </c>
      <c r="E26" s="178" t="str">
        <v>3E</v>
      </c>
      <c r="F26" s="178" t="str">
        <f t="shared" si="0"/>
        <v>Annual</v>
      </c>
      <c r="G26" s="157" t="s">
        <v>162</v>
      </c>
      <c r="H26" s="157" t="str">
        <f t="shared" si="1"/>
        <v>30/360 (Bond Basis)</v>
      </c>
      <c r="I26" s="177">
        <v>0</v>
      </c>
      <c r="J26" s="132" t="str">
        <f t="shared" si="2"/>
        <v>EURAB3E18Y_Quote</v>
      </c>
      <c r="K26" s="176" t="str">
        <f t="shared" si="3"/>
        <v>EUR_YC3MRH_AB3E18Y</v>
      </c>
      <c r="L26" s="175" t="str">
        <f>_xll.qlSwapRateHelper2(K26,$J26,$C26,Calendar,$F26,$G26,$H26,$L$4,$I26,B26,DiscountingCurve,Permanent,,ObjectOverwrite)</f>
        <v>EUR_YC3MRH_AB3E18Y#0002</v>
      </c>
      <c r="M26" s="174" t="str">
        <f>_xll.ohRangeRetrieveError(L26)</f>
        <v/>
      </c>
      <c r="N26" s="173"/>
    </row>
    <row r="27" spans="1:14" x14ac:dyDescent="0.2">
      <c r="A27" s="99"/>
      <c r="B27" s="178" t="s">
        <v>154</v>
      </c>
      <c r="C27" s="179" t="s">
        <v>26</v>
      </c>
      <c r="D27" s="178" t="str">
        <v>AB</v>
      </c>
      <c r="E27" s="178" t="str">
        <v>3E</v>
      </c>
      <c r="F27" s="178" t="str">
        <f t="shared" si="0"/>
        <v>Annual</v>
      </c>
      <c r="G27" s="157" t="s">
        <v>162</v>
      </c>
      <c r="H27" s="157" t="str">
        <f t="shared" si="1"/>
        <v>30/360 (Bond Basis)</v>
      </c>
      <c r="I27" s="177">
        <v>0</v>
      </c>
      <c r="J27" s="132" t="str">
        <f t="shared" si="2"/>
        <v>EURAB3E19Y_Quote</v>
      </c>
      <c r="K27" s="176" t="str">
        <f t="shared" si="3"/>
        <v>EUR_YC3MRH_AB3E19Y</v>
      </c>
      <c r="L27" s="175" t="str">
        <f>_xll.qlSwapRateHelper2(K27,$J27,$C27,Calendar,$F27,$G27,$H27,$L$4,$I27,B27,DiscountingCurve,Permanent,,ObjectOverwrite)</f>
        <v>EUR_YC3MRH_AB3E19Y#0002</v>
      </c>
      <c r="M27" s="174" t="str">
        <f>_xll.ohRangeRetrieveError(L27)</f>
        <v/>
      </c>
      <c r="N27" s="173"/>
    </row>
    <row r="28" spans="1:14" x14ac:dyDescent="0.2">
      <c r="A28" s="99"/>
      <c r="B28" s="178" t="s">
        <v>154</v>
      </c>
      <c r="C28" s="179" t="s">
        <v>25</v>
      </c>
      <c r="D28" s="178" t="str">
        <v>AB</v>
      </c>
      <c r="E28" s="178" t="str">
        <v>3E</v>
      </c>
      <c r="F28" s="178" t="str">
        <f t="shared" si="0"/>
        <v>Annual</v>
      </c>
      <c r="G28" s="157" t="s">
        <v>162</v>
      </c>
      <c r="H28" s="157" t="str">
        <f t="shared" si="1"/>
        <v>30/360 (Bond Basis)</v>
      </c>
      <c r="I28" s="177">
        <v>0</v>
      </c>
      <c r="J28" s="132" t="str">
        <f t="shared" si="2"/>
        <v>EURAB3E20Y_Quote</v>
      </c>
      <c r="K28" s="176" t="str">
        <f t="shared" si="3"/>
        <v>EUR_YC3MRH_AB3E20Y</v>
      </c>
      <c r="L28" s="175" t="str">
        <f>_xll.qlSwapRateHelper2(K28,$J28,$C28,Calendar,$F28,$G28,$H28,$L$4,$I28,B28,DiscountingCurve,Permanent,,ObjectOverwrite)</f>
        <v>EUR_YC3MRH_AB3E20Y#0002</v>
      </c>
      <c r="M28" s="174" t="str">
        <f>_xll.ohRangeRetrieveError(L28)</f>
        <v/>
      </c>
      <c r="N28" s="173"/>
    </row>
    <row r="29" spans="1:14" x14ac:dyDescent="0.2">
      <c r="A29" s="99"/>
      <c r="B29" s="178" t="s">
        <v>154</v>
      </c>
      <c r="C29" s="179" t="s">
        <v>24</v>
      </c>
      <c r="D29" s="178" t="str">
        <v>AB</v>
      </c>
      <c r="E29" s="178" t="str">
        <v>3E</v>
      </c>
      <c r="F29" s="178" t="str">
        <f t="shared" si="0"/>
        <v>Annual</v>
      </c>
      <c r="G29" s="157" t="s">
        <v>162</v>
      </c>
      <c r="H29" s="157" t="str">
        <f t="shared" si="1"/>
        <v>30/360 (Bond Basis)</v>
      </c>
      <c r="I29" s="177">
        <v>0</v>
      </c>
      <c r="J29" s="132" t="str">
        <f t="shared" si="2"/>
        <v>EURAB3E21Y_Quote</v>
      </c>
      <c r="K29" s="176" t="str">
        <f t="shared" si="3"/>
        <v>EUR_YC3MRH_AB3E21Y</v>
      </c>
      <c r="L29" s="175" t="str">
        <f>_xll.qlSwapRateHelper2(K29,$J29,$C29,Calendar,$F29,$G29,$H29,$L$4,$I29,B29,DiscountingCurve,Permanent,,ObjectOverwrite)</f>
        <v>EUR_YC3MRH_AB3E21Y#0002</v>
      </c>
      <c r="M29" s="174" t="str">
        <f>_xll.ohRangeRetrieveError(L29)</f>
        <v/>
      </c>
      <c r="N29" s="173"/>
    </row>
    <row r="30" spans="1:14" x14ac:dyDescent="0.2">
      <c r="A30" s="99"/>
      <c r="B30" s="178" t="s">
        <v>154</v>
      </c>
      <c r="C30" s="179" t="s">
        <v>23</v>
      </c>
      <c r="D30" s="178" t="str">
        <v>AB</v>
      </c>
      <c r="E30" s="178" t="str">
        <v>3E</v>
      </c>
      <c r="F30" s="178" t="str">
        <f t="shared" si="0"/>
        <v>Annual</v>
      </c>
      <c r="G30" s="157" t="s">
        <v>162</v>
      </c>
      <c r="H30" s="157" t="str">
        <f t="shared" si="1"/>
        <v>30/360 (Bond Basis)</v>
      </c>
      <c r="I30" s="177">
        <v>0</v>
      </c>
      <c r="J30" s="132" t="str">
        <f t="shared" si="2"/>
        <v>EURAB3E22Y_Quote</v>
      </c>
      <c r="K30" s="176" t="str">
        <f t="shared" si="3"/>
        <v>EUR_YC3MRH_AB3E22Y</v>
      </c>
      <c r="L30" s="175" t="str">
        <f>_xll.qlSwapRateHelper2(K30,$J30,$C30,Calendar,$F30,$G30,$H30,$L$4,$I30,B30,DiscountingCurve,Permanent,,ObjectOverwrite)</f>
        <v>EUR_YC3MRH_AB3E22Y#0002</v>
      </c>
      <c r="M30" s="174" t="str">
        <f>_xll.ohRangeRetrieveError(L30)</f>
        <v/>
      </c>
      <c r="N30" s="173"/>
    </row>
    <row r="31" spans="1:14" x14ac:dyDescent="0.2">
      <c r="A31" s="99"/>
      <c r="B31" s="178" t="s">
        <v>154</v>
      </c>
      <c r="C31" s="179" t="s">
        <v>22</v>
      </c>
      <c r="D31" s="178" t="str">
        <v>AB</v>
      </c>
      <c r="E31" s="178" t="str">
        <v>3E</v>
      </c>
      <c r="F31" s="178" t="str">
        <f t="shared" si="0"/>
        <v>Annual</v>
      </c>
      <c r="G31" s="157" t="s">
        <v>162</v>
      </c>
      <c r="H31" s="157" t="str">
        <f t="shared" si="1"/>
        <v>30/360 (Bond Basis)</v>
      </c>
      <c r="I31" s="177">
        <v>0</v>
      </c>
      <c r="J31" s="132" t="str">
        <f t="shared" si="2"/>
        <v>EURAB3E23Y_Quote</v>
      </c>
      <c r="K31" s="176" t="str">
        <f t="shared" si="3"/>
        <v>EUR_YC3MRH_AB3E23Y</v>
      </c>
      <c r="L31" s="175" t="str">
        <f>_xll.qlSwapRateHelper2(K31,$J31,$C31,Calendar,$F31,$G31,$H31,$L$4,$I31,B31,DiscountingCurve,Permanent,,ObjectOverwrite)</f>
        <v>EUR_YC3MRH_AB3E23Y#0002</v>
      </c>
      <c r="M31" s="174" t="str">
        <f>_xll.ohRangeRetrieveError(L31)</f>
        <v/>
      </c>
      <c r="N31" s="173"/>
    </row>
    <row r="32" spans="1:14" x14ac:dyDescent="0.2">
      <c r="A32" s="99"/>
      <c r="B32" s="178" t="s">
        <v>154</v>
      </c>
      <c r="C32" s="179" t="s">
        <v>21</v>
      </c>
      <c r="D32" s="178" t="str">
        <v>AB</v>
      </c>
      <c r="E32" s="178" t="str">
        <v>3E</v>
      </c>
      <c r="F32" s="178" t="str">
        <f t="shared" si="0"/>
        <v>Annual</v>
      </c>
      <c r="G32" s="157" t="s">
        <v>162</v>
      </c>
      <c r="H32" s="157" t="str">
        <f t="shared" si="1"/>
        <v>30/360 (Bond Basis)</v>
      </c>
      <c r="I32" s="177">
        <v>0</v>
      </c>
      <c r="J32" s="132" t="str">
        <f t="shared" si="2"/>
        <v>EURAB3E24Y_Quote</v>
      </c>
      <c r="K32" s="176" t="str">
        <f t="shared" si="3"/>
        <v>EUR_YC3MRH_AB3E24Y</v>
      </c>
      <c r="L32" s="175" t="str">
        <f>_xll.qlSwapRateHelper2(K32,$J32,$C32,Calendar,$F32,$G32,$H32,$L$4,$I32,B32,DiscountingCurve,Permanent,,ObjectOverwrite)</f>
        <v>EUR_YC3MRH_AB3E24Y#0002</v>
      </c>
      <c r="M32" s="174" t="str">
        <f>_xll.ohRangeRetrieveError(L32)</f>
        <v/>
      </c>
      <c r="N32" s="173"/>
    </row>
    <row r="33" spans="1:17" x14ac:dyDescent="0.2">
      <c r="A33" s="99"/>
      <c r="B33" s="178" t="s">
        <v>154</v>
      </c>
      <c r="C33" s="179" t="s">
        <v>20</v>
      </c>
      <c r="D33" s="178" t="str">
        <v>AB</v>
      </c>
      <c r="E33" s="178" t="str">
        <v>3E</v>
      </c>
      <c r="F33" s="178" t="str">
        <f t="shared" si="0"/>
        <v>Annual</v>
      </c>
      <c r="G33" s="157" t="s">
        <v>162</v>
      </c>
      <c r="H33" s="157" t="str">
        <f t="shared" si="1"/>
        <v>30/360 (Bond Basis)</v>
      </c>
      <c r="I33" s="177">
        <v>0</v>
      </c>
      <c r="J33" s="132" t="str">
        <f t="shared" si="2"/>
        <v>EURAB3E25Y_Quote</v>
      </c>
      <c r="K33" s="176" t="str">
        <f t="shared" si="3"/>
        <v>EUR_YC3MRH_AB3E25Y</v>
      </c>
      <c r="L33" s="175" t="str">
        <f>_xll.qlSwapRateHelper2(K33,$J33,$C33,Calendar,$F33,$G33,$H33,$L$4,$I33,B33,DiscountingCurve,Permanent,,ObjectOverwrite)</f>
        <v>EUR_YC3MRH_AB3E25Y#0002</v>
      </c>
      <c r="M33" s="174" t="str">
        <f>_xll.ohRangeRetrieveError(L33)</f>
        <v/>
      </c>
      <c r="N33" s="173"/>
    </row>
    <row r="34" spans="1:17" x14ac:dyDescent="0.2">
      <c r="A34" s="99"/>
      <c r="B34" s="178" t="s">
        <v>154</v>
      </c>
      <c r="C34" s="179" t="s">
        <v>19</v>
      </c>
      <c r="D34" s="178" t="str">
        <v>AB</v>
      </c>
      <c r="E34" s="178" t="str">
        <v>3E</v>
      </c>
      <c r="F34" s="178" t="str">
        <f t="shared" si="0"/>
        <v>Annual</v>
      </c>
      <c r="G34" s="157" t="s">
        <v>162</v>
      </c>
      <c r="H34" s="157" t="str">
        <f t="shared" si="1"/>
        <v>30/360 (Bond Basis)</v>
      </c>
      <c r="I34" s="177">
        <v>0</v>
      </c>
      <c r="J34" s="132" t="str">
        <f t="shared" si="2"/>
        <v>EURAB3E26Y_Quote</v>
      </c>
      <c r="K34" s="176" t="str">
        <f t="shared" si="3"/>
        <v>EUR_YC3MRH_AB3E26Y</v>
      </c>
      <c r="L34" s="175" t="str">
        <f>_xll.qlSwapRateHelper2(K34,$J34,$C34,Calendar,$F34,$G34,$H34,$L$4,$I34,B34,DiscountingCurve,Permanent,,ObjectOverwrite)</f>
        <v>EUR_YC3MRH_AB3E26Y#0002</v>
      </c>
      <c r="M34" s="174" t="str">
        <f>_xll.ohRangeRetrieveError(L34)</f>
        <v/>
      </c>
      <c r="N34" s="173"/>
    </row>
    <row r="35" spans="1:17" x14ac:dyDescent="0.2">
      <c r="A35" s="99"/>
      <c r="B35" s="178" t="s">
        <v>154</v>
      </c>
      <c r="C35" s="179" t="s">
        <v>18</v>
      </c>
      <c r="D35" s="178" t="str">
        <v>AB</v>
      </c>
      <c r="E35" s="178" t="str">
        <v>3E</v>
      </c>
      <c r="F35" s="178" t="str">
        <f t="shared" si="0"/>
        <v>Annual</v>
      </c>
      <c r="G35" s="157" t="s">
        <v>162</v>
      </c>
      <c r="H35" s="157" t="str">
        <f t="shared" si="1"/>
        <v>30/360 (Bond Basis)</v>
      </c>
      <c r="I35" s="177">
        <v>0</v>
      </c>
      <c r="J35" s="132" t="str">
        <f t="shared" si="2"/>
        <v>EURAB3E27Y_Quote</v>
      </c>
      <c r="K35" s="176" t="str">
        <f t="shared" si="3"/>
        <v>EUR_YC3MRH_AB3E27Y</v>
      </c>
      <c r="L35" s="175" t="str">
        <f>_xll.qlSwapRateHelper2(K35,$J35,$C35,Calendar,$F35,$G35,$H35,$L$4,$I35,B35,DiscountingCurve,Permanent,,ObjectOverwrite)</f>
        <v>EUR_YC3MRH_AB3E27Y#0002</v>
      </c>
      <c r="M35" s="174" t="str">
        <f>_xll.ohRangeRetrieveError(L35)</f>
        <v/>
      </c>
      <c r="N35" s="173"/>
    </row>
    <row r="36" spans="1:17" x14ac:dyDescent="0.2">
      <c r="A36" s="99"/>
      <c r="B36" s="178" t="s">
        <v>154</v>
      </c>
      <c r="C36" s="179" t="s">
        <v>17</v>
      </c>
      <c r="D36" s="178" t="str">
        <v>AB</v>
      </c>
      <c r="E36" s="178" t="str">
        <v>3E</v>
      </c>
      <c r="F36" s="178" t="str">
        <f t="shared" si="0"/>
        <v>Annual</v>
      </c>
      <c r="G36" s="157" t="s">
        <v>162</v>
      </c>
      <c r="H36" s="157" t="str">
        <f t="shared" si="1"/>
        <v>30/360 (Bond Basis)</v>
      </c>
      <c r="I36" s="177">
        <v>0</v>
      </c>
      <c r="J36" s="132" t="str">
        <f t="shared" si="2"/>
        <v>EURAB3E28Y_Quote</v>
      </c>
      <c r="K36" s="176" t="str">
        <f t="shared" si="3"/>
        <v>EUR_YC3MRH_AB3E28Y</v>
      </c>
      <c r="L36" s="175" t="str">
        <f>_xll.qlSwapRateHelper2(K36,$J36,$C36,Calendar,$F36,$G36,$H36,$L$4,$I36,B36,DiscountingCurve,Permanent,,ObjectOverwrite)</f>
        <v>EUR_YC3MRH_AB3E28Y#0002</v>
      </c>
      <c r="M36" s="174" t="str">
        <f>_xll.ohRangeRetrieveError(L36)</f>
        <v/>
      </c>
      <c r="N36" s="173"/>
    </row>
    <row r="37" spans="1:17" x14ac:dyDescent="0.2">
      <c r="A37" s="99"/>
      <c r="B37" s="178" t="s">
        <v>154</v>
      </c>
      <c r="C37" s="179" t="s">
        <v>16</v>
      </c>
      <c r="D37" s="178" t="str">
        <v>AB</v>
      </c>
      <c r="E37" s="178" t="str">
        <v>3E</v>
      </c>
      <c r="F37" s="178" t="str">
        <f t="shared" si="0"/>
        <v>Annual</v>
      </c>
      <c r="G37" s="157" t="s">
        <v>162</v>
      </c>
      <c r="H37" s="157" t="str">
        <f t="shared" si="1"/>
        <v>30/360 (Bond Basis)</v>
      </c>
      <c r="I37" s="177">
        <v>0</v>
      </c>
      <c r="J37" s="132" t="str">
        <f t="shared" si="2"/>
        <v>EURAB3E29Y_Quote</v>
      </c>
      <c r="K37" s="176" t="str">
        <f t="shared" si="3"/>
        <v>EUR_YC3MRH_AB3E29Y</v>
      </c>
      <c r="L37" s="175" t="str">
        <f>_xll.qlSwapRateHelper2(K37,$J37,$C37,Calendar,$F37,$G37,$H37,$L$4,$I37,B37,DiscountingCurve,Permanent,,ObjectOverwrite)</f>
        <v>EUR_YC3MRH_AB3E29Y#0002</v>
      </c>
      <c r="M37" s="174" t="str">
        <f>_xll.ohRangeRetrieveError(L37)</f>
        <v/>
      </c>
      <c r="N37" s="173"/>
    </row>
    <row r="38" spans="1:17" x14ac:dyDescent="0.2">
      <c r="A38" s="99"/>
      <c r="B38" s="178" t="s">
        <v>154</v>
      </c>
      <c r="C38" s="179" t="s">
        <v>15</v>
      </c>
      <c r="D38" s="178" t="str">
        <v>AB</v>
      </c>
      <c r="E38" s="178" t="str">
        <v>3E</v>
      </c>
      <c r="F38" s="178" t="str">
        <f t="shared" si="0"/>
        <v>Annual</v>
      </c>
      <c r="G38" s="157" t="s">
        <v>162</v>
      </c>
      <c r="H38" s="157" t="str">
        <f t="shared" si="1"/>
        <v>30/360 (Bond Basis)</v>
      </c>
      <c r="I38" s="177">
        <v>0</v>
      </c>
      <c r="J38" s="132" t="str">
        <f t="shared" si="2"/>
        <v>EURAB3E30Y_Quote</v>
      </c>
      <c r="K38" s="176" t="str">
        <f t="shared" si="3"/>
        <v>EUR_YC3MRH_AB3E30Y</v>
      </c>
      <c r="L38" s="175" t="str">
        <f>_xll.qlSwapRateHelper2(K38,$J38,$C38,Calendar,$F38,$G38,$H38,$L$4,$I38,B38,DiscountingCurve,Permanent,,ObjectOverwrite)</f>
        <v>EUR_YC3MRH_AB3E30Y#0002</v>
      </c>
      <c r="M38" s="174" t="str">
        <f>_xll.ohRangeRetrieveError(L38)</f>
        <v/>
      </c>
      <c r="N38" s="173"/>
    </row>
    <row r="39" spans="1:17" x14ac:dyDescent="0.2">
      <c r="A39" s="99"/>
      <c r="B39" s="178" t="s">
        <v>154</v>
      </c>
      <c r="C39" s="179" t="s">
        <v>14</v>
      </c>
      <c r="D39" s="178" t="str">
        <v>AB</v>
      </c>
      <c r="E39" s="178" t="str">
        <v>3E</v>
      </c>
      <c r="F39" s="178" t="str">
        <f t="shared" si="0"/>
        <v>Annual</v>
      </c>
      <c r="G39" s="157" t="s">
        <v>162</v>
      </c>
      <c r="H39" s="157" t="str">
        <f t="shared" si="1"/>
        <v>30/360 (Bond Basis)</v>
      </c>
      <c r="I39" s="177">
        <v>0</v>
      </c>
      <c r="J39" s="132" t="str">
        <f t="shared" si="2"/>
        <v>EURAB3E35Y_Quote</v>
      </c>
      <c r="K39" s="176" t="str">
        <f t="shared" si="3"/>
        <v>EUR_YC3MRH_AB3E35Y</v>
      </c>
      <c r="L39" s="175" t="str">
        <f>_xll.qlSwapRateHelper2(K39,$J39,$C39,Calendar,$F39,$G39,$H39,$L$4,$I39,B39,DiscountingCurve,Permanent,,ObjectOverwrite)</f>
        <v>EUR_YC3MRH_AB3E35Y#0002</v>
      </c>
      <c r="M39" s="174" t="str">
        <f>_xll.ohRangeRetrieveError(L39)</f>
        <v/>
      </c>
      <c r="N39" s="173"/>
    </row>
    <row r="40" spans="1:17" x14ac:dyDescent="0.2">
      <c r="A40" s="99"/>
      <c r="B40" s="178" t="s">
        <v>154</v>
      </c>
      <c r="C40" s="179" t="s">
        <v>13</v>
      </c>
      <c r="D40" s="178" t="str">
        <v>AB</v>
      </c>
      <c r="E40" s="178" t="str">
        <v>3E</v>
      </c>
      <c r="F40" s="178" t="str">
        <f t="shared" si="0"/>
        <v>Annual</v>
      </c>
      <c r="G40" s="157" t="s">
        <v>162</v>
      </c>
      <c r="H40" s="157" t="str">
        <f t="shared" si="1"/>
        <v>30/360 (Bond Basis)</v>
      </c>
      <c r="I40" s="177">
        <v>0</v>
      </c>
      <c r="J40" s="132" t="str">
        <f t="shared" si="2"/>
        <v>EURAB3E40Y_Quote</v>
      </c>
      <c r="K40" s="176" t="str">
        <f t="shared" si="3"/>
        <v>EUR_YC3MRH_AB3E40Y</v>
      </c>
      <c r="L40" s="175" t="str">
        <f>_xll.qlSwapRateHelper2(K40,$J40,$C40,Calendar,$F40,$G40,$H40,$L$4,$I40,B40,DiscountingCurve,Permanent,,ObjectOverwrite)</f>
        <v>EUR_YC3MRH_AB3E40Y#0002</v>
      </c>
      <c r="M40" s="174" t="str">
        <f>_xll.ohRangeRetrieveError(L40)</f>
        <v/>
      </c>
      <c r="N40" s="173"/>
    </row>
    <row r="41" spans="1:17" x14ac:dyDescent="0.2">
      <c r="A41" s="99"/>
      <c r="B41" s="178" t="s">
        <v>154</v>
      </c>
      <c r="C41" s="179" t="s">
        <v>12</v>
      </c>
      <c r="D41" s="178" t="str">
        <v>AB</v>
      </c>
      <c r="E41" s="178" t="str">
        <v>3E</v>
      </c>
      <c r="F41" s="178" t="str">
        <f t="shared" si="0"/>
        <v>Annual</v>
      </c>
      <c r="G41" s="157" t="s">
        <v>162</v>
      </c>
      <c r="H41" s="157" t="str">
        <f t="shared" si="1"/>
        <v>30/360 (Bond Basis)</v>
      </c>
      <c r="I41" s="177">
        <v>0</v>
      </c>
      <c r="J41" s="132" t="str">
        <f t="shared" si="2"/>
        <v>EURAB3E50Y_Quote</v>
      </c>
      <c r="K41" s="176" t="str">
        <f t="shared" si="3"/>
        <v>EUR_YC3MRH_AB3E50Y</v>
      </c>
      <c r="L41" s="175" t="str">
        <f>_xll.qlSwapRateHelper2(K41,$J41,$C41,Calendar,$F41,$G41,$H41,$L$4,$I41,B41,DiscountingCurve,Permanent,,ObjectOverwrite)</f>
        <v>EUR_YC3MRH_AB3E50Y#0002</v>
      </c>
      <c r="M41" s="174" t="str">
        <f>_xll.ohRangeRetrieveError(L41)</f>
        <v/>
      </c>
      <c r="N41" s="173"/>
    </row>
    <row r="42" spans="1:17" x14ac:dyDescent="0.2">
      <c r="A42" s="99"/>
      <c r="B42" s="178" t="s">
        <v>154</v>
      </c>
      <c r="C42" s="179" t="s">
        <v>11</v>
      </c>
      <c r="D42" s="178" t="str">
        <v>AB</v>
      </c>
      <c r="E42" s="178" t="str">
        <v>3E</v>
      </c>
      <c r="F42" s="178" t="str">
        <f t="shared" si="0"/>
        <v>Annual</v>
      </c>
      <c r="G42" s="157" t="s">
        <v>162</v>
      </c>
      <c r="H42" s="157" t="str">
        <f t="shared" si="1"/>
        <v>30/360 (Bond Basis)</v>
      </c>
      <c r="I42" s="177">
        <v>0</v>
      </c>
      <c r="J42" s="132" t="str">
        <f t="shared" si="2"/>
        <v>EURAB3E60Y_Quote</v>
      </c>
      <c r="K42" s="176" t="str">
        <f t="shared" si="3"/>
        <v>EUR_YC3MRH_AB3E60Y</v>
      </c>
      <c r="L42" s="175" t="str">
        <f>_xll.qlSwapRateHelper2(K42,$J42,$C42,Calendar,$F42,$G42,$H42,$L$4,$I42,B42,DiscountingCurve,Permanent,,ObjectOverwrite)</f>
        <v>EUR_YC3MRH_AB3E60Y#0002</v>
      </c>
      <c r="M42" s="174" t="str">
        <f>_xll.ohRangeRetrieveError(L42)</f>
        <v/>
      </c>
      <c r="N42" s="173"/>
    </row>
    <row r="43" spans="1:17" x14ac:dyDescent="0.2">
      <c r="A43" s="109"/>
      <c r="B43" s="108"/>
      <c r="C43" s="108"/>
      <c r="D43" s="108"/>
      <c r="E43" s="108"/>
      <c r="F43" s="108"/>
      <c r="G43" s="108"/>
      <c r="H43" s="108"/>
      <c r="I43" s="108"/>
      <c r="J43" s="108"/>
      <c r="K43" s="108"/>
      <c r="L43" s="108"/>
      <c r="M43" s="108"/>
      <c r="N43" s="173"/>
    </row>
    <row r="44" spans="1:17" x14ac:dyDescent="0.2">
      <c r="A44" s="99"/>
      <c r="B44" s="178" t="s">
        <v>154</v>
      </c>
      <c r="C44" s="181"/>
      <c r="D44" s="178" t="s">
        <v>48</v>
      </c>
      <c r="E44" s="178">
        <v>12</v>
      </c>
      <c r="F44" s="178" t="s">
        <v>163</v>
      </c>
      <c r="G44" s="158" t="s">
        <v>162</v>
      </c>
      <c r="H44" s="158" t="s">
        <v>161</v>
      </c>
      <c r="I44" s="177">
        <v>0</v>
      </c>
      <c r="J44" s="180" t="str">
        <f t="shared" ref="J44:J50" si="4">Currency&amp;$D44&amp;$E44&amp;QuoteSuffix</f>
        <v>EUR1S12_Quote</v>
      </c>
      <c r="K44" s="176" t="str">
        <f t="shared" ref="K44:K50" si="5">$K$2&amp;"_"&amp;$D44&amp;$E44&amp;$C44</f>
        <v>EUR_YC3MRH_1S12</v>
      </c>
      <c r="L44" s="175" t="str">
        <f>_xll.qlSwapRateHelper2(K44,$J44,$E44&amp;"M",Calendar,$F44,$G44,$H44,$L$4,$I44,B44,DiscountingCurve,Permanent,,ObjectOverwrite)</f>
        <v>EUR_YC3MRH_1S12#0002</v>
      </c>
      <c r="M44" s="174" t="str">
        <f>_xll.ohRangeRetrieveError(L44)</f>
        <v/>
      </c>
      <c r="N44" s="173"/>
      <c r="O44" s="172"/>
      <c r="P44" s="172"/>
      <c r="Q44" s="172"/>
    </row>
    <row r="45" spans="1:17" x14ac:dyDescent="0.2">
      <c r="A45" s="99"/>
      <c r="B45" s="178" t="s">
        <v>154</v>
      </c>
      <c r="C45" s="179"/>
      <c r="D45" s="178" t="s">
        <v>49</v>
      </c>
      <c r="E45" s="178">
        <v>12</v>
      </c>
      <c r="F45" s="178" t="s">
        <v>163</v>
      </c>
      <c r="G45" s="157" t="s">
        <v>162</v>
      </c>
      <c r="H45" s="157" t="s">
        <v>161</v>
      </c>
      <c r="I45" s="177">
        <v>0</v>
      </c>
      <c r="J45" s="132" t="str">
        <f t="shared" si="4"/>
        <v>EUR2S12_Quote</v>
      </c>
      <c r="K45" s="176" t="str">
        <f t="shared" si="5"/>
        <v>EUR_YC3MRH_2S12</v>
      </c>
      <c r="L45" s="175" t="str">
        <f>_xll.qlSwapRateHelper2(K45,$J45,$E45&amp;"M",Calendar,$F45,$G45,$H45,$L$4,$I45,B45,DiscountingCurve,Permanent,,ObjectOverwrite)</f>
        <v>EUR_YC3MRH_2S12#0002</v>
      </c>
      <c r="M45" s="174" t="str">
        <f>_xll.ohRangeRetrieveError(L45)</f>
        <v/>
      </c>
      <c r="N45" s="173"/>
      <c r="O45" s="172"/>
      <c r="P45" s="172"/>
      <c r="Q45" s="172"/>
    </row>
    <row r="46" spans="1:17" x14ac:dyDescent="0.2">
      <c r="A46" s="99"/>
      <c r="B46" s="178" t="s">
        <v>154</v>
      </c>
      <c r="C46" s="179"/>
      <c r="D46" s="178" t="s">
        <v>51</v>
      </c>
      <c r="E46" s="178">
        <v>12</v>
      </c>
      <c r="F46" s="178" t="s">
        <v>163</v>
      </c>
      <c r="G46" s="157" t="s">
        <v>162</v>
      </c>
      <c r="H46" s="157" t="s">
        <v>161</v>
      </c>
      <c r="I46" s="177">
        <v>0</v>
      </c>
      <c r="J46" s="132" t="str">
        <f t="shared" si="4"/>
        <v>EUR3S12_Quote</v>
      </c>
      <c r="K46" s="176" t="str">
        <f t="shared" si="5"/>
        <v>EUR_YC3MRH_3S12</v>
      </c>
      <c r="L46" s="175" t="str">
        <f>_xll.qlSwapRateHelper2(K46,$J46,$E46&amp;"M",Calendar,$F46,$G46,$H46,$L$4,$I46,B46,DiscountingCurve,Permanent,,ObjectOverwrite)</f>
        <v>EUR_YC3MRH_3S12#0002</v>
      </c>
      <c r="M46" s="174" t="str">
        <f>_xll.ohRangeRetrieveError(L46)</f>
        <v/>
      </c>
      <c r="N46" s="173"/>
      <c r="O46" s="172"/>
      <c r="P46" s="172"/>
      <c r="Q46" s="172"/>
    </row>
    <row r="47" spans="1:17" x14ac:dyDescent="0.2">
      <c r="A47" s="99"/>
      <c r="B47" s="178" t="s">
        <v>154</v>
      </c>
      <c r="C47" s="179"/>
      <c r="D47" s="178" t="s">
        <v>50</v>
      </c>
      <c r="E47" s="178">
        <v>12</v>
      </c>
      <c r="F47" s="178" t="s">
        <v>163</v>
      </c>
      <c r="G47" s="157" t="s">
        <v>162</v>
      </c>
      <c r="H47" s="157" t="s">
        <v>161</v>
      </c>
      <c r="I47" s="177">
        <v>0</v>
      </c>
      <c r="J47" s="132" t="str">
        <f t="shared" si="4"/>
        <v>EUR4S12_Quote</v>
      </c>
      <c r="K47" s="176" t="str">
        <f t="shared" si="5"/>
        <v>EUR_YC3MRH_4S12</v>
      </c>
      <c r="L47" s="175" t="str">
        <f>_xll.qlSwapRateHelper2(K47,$J47,$E47&amp;"M",Calendar,$F47,$G47,$H47,$L$4,$I47,B47,DiscountingCurve,Permanent,,ObjectOverwrite)</f>
        <v>EUR_YC3MRH_4S12#0002</v>
      </c>
      <c r="M47" s="174" t="str">
        <f>_xll.ohRangeRetrieveError(L47)</f>
        <v/>
      </c>
      <c r="N47" s="173"/>
      <c r="O47" s="172"/>
      <c r="P47" s="172"/>
      <c r="Q47" s="172"/>
    </row>
    <row r="48" spans="1:17" x14ac:dyDescent="0.2">
      <c r="A48" s="99"/>
      <c r="B48" s="178" t="s">
        <v>154</v>
      </c>
      <c r="C48" s="179"/>
      <c r="D48" s="178" t="s">
        <v>48</v>
      </c>
      <c r="E48" s="178">
        <v>24</v>
      </c>
      <c r="F48" s="178" t="s">
        <v>163</v>
      </c>
      <c r="G48" s="157" t="s">
        <v>162</v>
      </c>
      <c r="H48" s="157" t="s">
        <v>161</v>
      </c>
      <c r="I48" s="177">
        <v>0</v>
      </c>
      <c r="J48" s="132" t="str">
        <f t="shared" si="4"/>
        <v>EUR1S24_Quote</v>
      </c>
      <c r="K48" s="176" t="str">
        <f t="shared" si="5"/>
        <v>EUR_YC3MRH_1S24</v>
      </c>
      <c r="L48" s="175" t="str">
        <f>_xll.qlSwapRateHelper2(K48,$J48,$E48&amp;"M",Calendar,$F48,$G48,$H48,$L$4,$I48,B48,DiscountingCurve,Permanent,,ObjectOverwrite)</f>
        <v>EUR_YC3MRH_1S24#0002</v>
      </c>
      <c r="M48" s="174" t="str">
        <f>_xll.ohRangeRetrieveError(L48)</f>
        <v/>
      </c>
      <c r="N48" s="173"/>
      <c r="O48" s="172"/>
      <c r="P48" s="172"/>
      <c r="Q48" s="172"/>
    </row>
    <row r="49" spans="1:17" x14ac:dyDescent="0.2">
      <c r="A49" s="99"/>
      <c r="B49" s="178" t="s">
        <v>154</v>
      </c>
      <c r="C49" s="179"/>
      <c r="D49" s="178" t="s">
        <v>49</v>
      </c>
      <c r="E49" s="178">
        <v>24</v>
      </c>
      <c r="F49" s="178" t="s">
        <v>163</v>
      </c>
      <c r="G49" s="157" t="s">
        <v>162</v>
      </c>
      <c r="H49" s="157" t="s">
        <v>161</v>
      </c>
      <c r="I49" s="177">
        <v>0</v>
      </c>
      <c r="J49" s="132" t="str">
        <f t="shared" si="4"/>
        <v>EUR2S24_Quote</v>
      </c>
      <c r="K49" s="176" t="str">
        <f t="shared" si="5"/>
        <v>EUR_YC3MRH_2S24</v>
      </c>
      <c r="L49" s="175" t="str">
        <f>_xll.qlSwapRateHelper2(K49,$J49,$E49&amp;"M",Calendar,$F49,$G49,$H49,$L$4,$I49,B49,DiscountingCurve,Permanent,,ObjectOverwrite)</f>
        <v>EUR_YC3MRH_2S24#0002</v>
      </c>
      <c r="M49" s="174" t="str">
        <f>_xll.ohRangeRetrieveError(L49)</f>
        <v/>
      </c>
      <c r="N49" s="173"/>
      <c r="O49" s="172"/>
      <c r="P49" s="172"/>
      <c r="Q49" s="172"/>
    </row>
    <row r="50" spans="1:17" x14ac:dyDescent="0.2">
      <c r="A50" s="99"/>
      <c r="B50" s="178" t="s">
        <v>154</v>
      </c>
      <c r="C50" s="179"/>
      <c r="D50" s="178" t="s">
        <v>48</v>
      </c>
      <c r="E50" s="178">
        <v>36</v>
      </c>
      <c r="F50" s="178" t="s">
        <v>163</v>
      </c>
      <c r="G50" s="157" t="s">
        <v>162</v>
      </c>
      <c r="H50" s="157" t="s">
        <v>161</v>
      </c>
      <c r="I50" s="177">
        <v>0</v>
      </c>
      <c r="J50" s="132" t="str">
        <f t="shared" si="4"/>
        <v>EUR1S36_Quote</v>
      </c>
      <c r="K50" s="176" t="str">
        <f t="shared" si="5"/>
        <v>EUR_YC3MRH_1S36</v>
      </c>
      <c r="L50" s="175" t="str">
        <f>_xll.qlSwapRateHelper2(K50,$J50,$E50&amp;"M",Calendar,$F50,$G50,$H50,$L$4,$I50,B50,DiscountingCurve,Permanent,,ObjectOverwrite)</f>
        <v>EUR_YC3MRH_1S36#0002</v>
      </c>
      <c r="M50" s="174" t="str">
        <f>_xll.ohRangeRetrieveError(L50)</f>
        <v/>
      </c>
      <c r="N50" s="173"/>
      <c r="O50" s="172"/>
      <c r="P50" s="172"/>
      <c r="Q50" s="172"/>
    </row>
    <row r="51" spans="1:17" ht="12" thickBot="1" x14ac:dyDescent="0.25">
      <c r="A51" s="91"/>
      <c r="B51" s="90"/>
      <c r="C51" s="90"/>
      <c r="D51" s="90"/>
      <c r="E51" s="90"/>
      <c r="F51" s="90"/>
      <c r="G51" s="90"/>
      <c r="H51" s="90"/>
      <c r="I51" s="90"/>
      <c r="J51" s="90"/>
      <c r="K51" s="90"/>
      <c r="L51" s="90"/>
      <c r="M51" s="90"/>
      <c r="N51" s="171"/>
      <c r="O51" s="108"/>
      <c r="P51" s="108"/>
      <c r="Q51" s="108"/>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T7" sqref="T7"/>
    </sheetView>
  </sheetViews>
  <sheetFormatPr defaultRowHeight="11.25" x14ac:dyDescent="0.2"/>
  <cols>
    <col min="1" max="1" width="1.7109375" style="105" customWidth="1"/>
    <col min="2" max="2" width="4.7109375" style="105" bestFit="1" customWidth="1"/>
    <col min="3" max="3" width="3.85546875" style="105" bestFit="1" customWidth="1"/>
    <col min="4" max="4" width="3.140625" style="105" bestFit="1" customWidth="1"/>
    <col min="5" max="5" width="2.710937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20.28515625" style="105" bestFit="1" customWidth="1"/>
    <col min="11" max="11" width="27.5703125" style="105" bestFit="1" customWidth="1"/>
    <col min="12" max="12" width="30.42578125" style="128" bestFit="1" customWidth="1"/>
    <col min="13" max="13" width="16.5703125" style="105" customWidth="1"/>
    <col min="14" max="14" width="3.85546875" style="105" customWidth="1"/>
    <col min="15" max="15" width="2.5703125" style="105" customWidth="1"/>
    <col min="16" max="16" width="4" style="105" bestFit="1" customWidth="1"/>
    <col min="17" max="17" width="3.28515625" style="105" bestFit="1" customWidth="1"/>
    <col min="18" max="18" width="2.7109375" style="105" bestFit="1" customWidth="1"/>
    <col min="19" max="16384" width="9.140625" style="105"/>
  </cols>
  <sheetData>
    <row r="1" spans="1:20" x14ac:dyDescent="0.2">
      <c r="A1" s="170" t="s">
        <v>177</v>
      </c>
      <c r="B1" s="151"/>
      <c r="C1" s="151"/>
      <c r="D1" s="151"/>
      <c r="E1" s="151"/>
      <c r="F1" s="151"/>
      <c r="G1" s="151"/>
      <c r="H1" s="151"/>
      <c r="I1" s="151"/>
      <c r="J1" s="151"/>
      <c r="K1" s="150"/>
      <c r="L1" s="151"/>
      <c r="M1" s="151"/>
      <c r="N1" s="195"/>
    </row>
    <row r="2" spans="1:20" x14ac:dyDescent="0.2">
      <c r="A2" s="99"/>
      <c r="B2" s="108"/>
      <c r="C2" s="108"/>
      <c r="D2" s="108"/>
      <c r="E2" s="108"/>
      <c r="F2" s="108"/>
      <c r="G2" s="108"/>
      <c r="H2" s="108"/>
      <c r="I2" s="107"/>
      <c r="J2" s="107" t="s">
        <v>134</v>
      </c>
      <c r="K2" s="107" t="str">
        <f>Currency&amp;"_YC"&amp;$J$2&amp;"RH"</f>
        <v>EUR_YC3MRH</v>
      </c>
      <c r="L2" s="107" t="str">
        <f>Discounting</f>
        <v>EurON</v>
      </c>
      <c r="M2" s="108"/>
      <c r="N2" s="173"/>
    </row>
    <row r="3" spans="1:20" ht="22.5" x14ac:dyDescent="0.2">
      <c r="A3" s="99"/>
      <c r="B3" s="104" t="s">
        <v>171</v>
      </c>
      <c r="C3" s="104"/>
      <c r="D3" s="104"/>
      <c r="E3" s="104"/>
      <c r="F3" s="104" t="s">
        <v>170</v>
      </c>
      <c r="G3" s="104" t="s">
        <v>169</v>
      </c>
      <c r="H3" s="104" t="s">
        <v>168</v>
      </c>
      <c r="I3" s="104" t="s">
        <v>167</v>
      </c>
      <c r="J3" s="104" t="s">
        <v>141</v>
      </c>
      <c r="K3" s="194" t="str">
        <f>K2&amp;"_SwapsFromBasis.xml"</f>
        <v>EUR_YC3MRH_SwapsFromBasis.xml</v>
      </c>
      <c r="L3" s="144">
        <f ca="1">IF(Serialize,_xll.ohObjectSave(L4:L42,SerializationPath&amp;K3,FileOverwrite,Serialize),"---")</f>
        <v>38</v>
      </c>
      <c r="M3" s="174" t="str">
        <f ca="1">_xll.ohRangeRetrieveError(L3)</f>
        <v/>
      </c>
      <c r="N3" s="173"/>
    </row>
    <row r="4" spans="1:20" x14ac:dyDescent="0.2">
      <c r="A4" s="109"/>
      <c r="B4" s="108"/>
      <c r="C4" s="108"/>
      <c r="D4" s="108"/>
      <c r="E4" s="108"/>
      <c r="F4" s="108"/>
      <c r="G4" s="108"/>
      <c r="H4" s="108"/>
      <c r="I4" s="108"/>
      <c r="J4" s="108"/>
      <c r="K4" s="193" t="str">
        <f>$K$2&amp;"_"&amp;$D6&amp;$E6&amp;"BASIS_"&amp;FamilyName&amp;$J$2</f>
        <v>EUR_YC3MRH_AB3EBASIS_ibor3M</v>
      </c>
      <c r="L4" s="192" t="str">
        <f>IF(UPPER(FamilyName)="IBOR",_xll.qlEuribor($K4,$J$2,,Permanent,Trigger,ObjectOverwrite),IF(UPPER(FamilyName)="LIBOR",_xll.qlLibor($K4,Currency,$J$2,,Permanent,Trigger,ObjectOverwrite),"--"))</f>
        <v>EUR_YC3MRH_AB3EBASIS_ibor3M#0002</v>
      </c>
      <c r="M4" s="191" t="str">
        <f>_xll.ohRangeRetrieveError(L4)</f>
        <v/>
      </c>
      <c r="N4" s="173"/>
    </row>
    <row r="5" spans="1:20" x14ac:dyDescent="0.2">
      <c r="A5" s="109"/>
      <c r="B5" s="108"/>
      <c r="C5" s="108"/>
      <c r="D5" s="108"/>
      <c r="E5" s="108"/>
      <c r="F5" s="108"/>
      <c r="G5" s="108"/>
      <c r="H5" s="108"/>
      <c r="I5" s="108"/>
      <c r="J5" s="108"/>
      <c r="K5" s="108"/>
      <c r="L5" s="108"/>
      <c r="M5" s="108"/>
      <c r="N5" s="173"/>
    </row>
    <row r="6" spans="1:20" x14ac:dyDescent="0.2">
      <c r="A6" s="99"/>
      <c r="B6" s="204" t="s">
        <v>154</v>
      </c>
      <c r="C6" s="178" t="s">
        <v>47</v>
      </c>
      <c r="D6" s="204" t="str">
        <f>VLOOKUP(Currency,Swap3MConventions,2)</f>
        <v>AB</v>
      </c>
      <c r="E6" s="204" t="str">
        <f>VLOOKUP(Currency,Swap3MConventions,3)</f>
        <v>3E</v>
      </c>
      <c r="F6" s="158" t="str">
        <f t="shared" ref="F6:F42" si="0">IF(UPPER(LEFT($D6))="A","Annual",IF(UPPER(LEFT($D6))="S","Semiannual","--"))</f>
        <v>Annual</v>
      </c>
      <c r="G6" s="158" t="s">
        <v>162</v>
      </c>
      <c r="H6" s="158" t="str">
        <f t="shared" ref="H6:H42" si="1">IF(UPPER(RIGHT($D6))="B",BondBasisDayCounter,IF(UPPER(RIGHT($D6))="M",MoneyMarketDayCounter,"--"))</f>
        <v>30/360 (Bond Basis)</v>
      </c>
      <c r="I6" s="177">
        <v>0</v>
      </c>
      <c r="J6" s="176" t="str">
        <f t="shared" ref="J6:J42" si="2">Currency&amp;$D6&amp;$E6&amp;"BASIS"&amp;$C6&amp;"_Quote"</f>
        <v>EURAB3EBASIS1Y_Quote</v>
      </c>
      <c r="K6" s="176" t="str">
        <f t="shared" ref="K6:K42" si="3">$K$2&amp;"_"&amp;$D6&amp;$E6&amp;"BASIS"&amp;$C6</f>
        <v>EUR_YC3MRH_AB3EBASIS1Y</v>
      </c>
      <c r="L6" s="175" t="str">
        <f>_xll.qlSwapRateHelper2(K6,$J6,$C6,Calendar,$F6,$G6,$H6,$L$4,$I6,B6,DiscountingCurve,Permanent,,ObjectOverwrite)</f>
        <v>EUR_YC3MRH_AB3EBASIS1Y#0002</v>
      </c>
      <c r="M6" s="174" t="str">
        <f>_xll.ohRangeRetrieveError(L6)</f>
        <v/>
      </c>
      <c r="N6" s="173"/>
      <c r="T6" s="105" t="str">
        <f>_xll.ohObjectCallerAddress(J6)</f>
        <v>'[EUR_Market.xlsm]3M (4)'!R3C10</v>
      </c>
    </row>
    <row r="7" spans="1:20" x14ac:dyDescent="0.2">
      <c r="A7" s="99"/>
      <c r="B7" s="178" t="str">
        <f t="shared" ref="B7:B42" si="4">B6</f>
        <v>0D</v>
      </c>
      <c r="C7" s="178" t="s">
        <v>46</v>
      </c>
      <c r="D7" s="178" t="str">
        <f t="shared" ref="D7:D42" si="5">D6</f>
        <v>AB</v>
      </c>
      <c r="E7" s="178" t="str">
        <f t="shared" ref="E7:E42" si="6">E6</f>
        <v>3E</v>
      </c>
      <c r="F7" s="157" t="str">
        <f t="shared" si="0"/>
        <v>Annual</v>
      </c>
      <c r="G7" s="157" t="s">
        <v>162</v>
      </c>
      <c r="H7" s="157" t="str">
        <f t="shared" si="1"/>
        <v>30/360 (Bond Basis)</v>
      </c>
      <c r="I7" s="177">
        <v>0</v>
      </c>
      <c r="J7" s="176" t="str">
        <f t="shared" si="2"/>
        <v>EURAB3EBASIS15M_Quote</v>
      </c>
      <c r="K7" s="176" t="str">
        <f t="shared" si="3"/>
        <v>EUR_YC3MRH_AB3EBASIS15M</v>
      </c>
      <c r="L7" s="175" t="str">
        <f>_xll.qlSwapRateHelper2(K7,$J7,$C7,Calendar,$F7,$G7,$H7,$L$4,$I7,B7,DiscountingCurve,Permanent,,ObjectOverwrite)</f>
        <v>EUR_YC3MRH_AB3EBASIS15M#0002</v>
      </c>
      <c r="M7" s="174" t="str">
        <f>_xll.ohRangeRetrieveError(L7)</f>
        <v/>
      </c>
      <c r="N7" s="173"/>
    </row>
    <row r="8" spans="1:20" x14ac:dyDescent="0.2">
      <c r="A8" s="99"/>
      <c r="B8" s="178" t="str">
        <f t="shared" si="4"/>
        <v>0D</v>
      </c>
      <c r="C8" s="178" t="s">
        <v>45</v>
      </c>
      <c r="D8" s="178" t="str">
        <f t="shared" si="5"/>
        <v>AB</v>
      </c>
      <c r="E8" s="178" t="str">
        <f t="shared" si="6"/>
        <v>3E</v>
      </c>
      <c r="F8" s="157" t="str">
        <f t="shared" si="0"/>
        <v>Annual</v>
      </c>
      <c r="G8" s="157" t="s">
        <v>162</v>
      </c>
      <c r="H8" s="157" t="str">
        <f t="shared" si="1"/>
        <v>30/360 (Bond Basis)</v>
      </c>
      <c r="I8" s="177">
        <v>0</v>
      </c>
      <c r="J8" s="176" t="str">
        <f t="shared" si="2"/>
        <v>EURAB3EBASIS18M_Quote</v>
      </c>
      <c r="K8" s="176" t="str">
        <f t="shared" si="3"/>
        <v>EUR_YC3MRH_AB3EBASIS18M</v>
      </c>
      <c r="L8" s="175" t="str">
        <f>_xll.qlSwapRateHelper2(K8,$J8,$C8,Calendar,$F8,$G8,$H8,$L$4,$I8,B8,DiscountingCurve,Permanent,,ObjectOverwrite)</f>
        <v>EUR_YC3MRH_AB3EBASIS18M#0002</v>
      </c>
      <c r="M8" s="174" t="str">
        <f>_xll.ohRangeRetrieveError(L8)</f>
        <v/>
      </c>
      <c r="N8" s="173"/>
    </row>
    <row r="9" spans="1:20" ht="12" thickBot="1" x14ac:dyDescent="0.25">
      <c r="A9" s="99"/>
      <c r="B9" s="178" t="str">
        <f t="shared" si="4"/>
        <v>0D</v>
      </c>
      <c r="C9" s="178" t="s">
        <v>44</v>
      </c>
      <c r="D9" s="178" t="str">
        <f t="shared" si="5"/>
        <v>AB</v>
      </c>
      <c r="E9" s="178" t="str">
        <f t="shared" si="6"/>
        <v>3E</v>
      </c>
      <c r="F9" s="157" t="str">
        <f t="shared" si="0"/>
        <v>Annual</v>
      </c>
      <c r="G9" s="157" t="s">
        <v>162</v>
      </c>
      <c r="H9" s="157" t="str">
        <f t="shared" si="1"/>
        <v>30/360 (Bond Basis)</v>
      </c>
      <c r="I9" s="177">
        <v>0</v>
      </c>
      <c r="J9" s="176" t="str">
        <f t="shared" si="2"/>
        <v>EURAB3EBASIS21M_Quote</v>
      </c>
      <c r="K9" s="176" t="str">
        <f t="shared" si="3"/>
        <v>EUR_YC3MRH_AB3EBASIS21M</v>
      </c>
      <c r="L9" s="175" t="str">
        <f>_xll.qlSwapRateHelper2(K9,$J9,$C9,Calendar,$F9,$G9,$H9,$L$4,$I9,B9,DiscountingCurve,Permanent,,ObjectOverwrite)</f>
        <v>EUR_YC3MRH_AB3EBASIS21M#0002</v>
      </c>
      <c r="M9" s="174" t="str">
        <f>_xll.ohRangeRetrieveError(L9)</f>
        <v/>
      </c>
      <c r="N9" s="173"/>
    </row>
    <row r="10" spans="1:20" x14ac:dyDescent="0.2">
      <c r="A10" s="99"/>
      <c r="B10" s="178" t="str">
        <f t="shared" si="4"/>
        <v>0D</v>
      </c>
      <c r="C10" s="178" t="s">
        <v>43</v>
      </c>
      <c r="D10" s="178" t="str">
        <f t="shared" si="5"/>
        <v>AB</v>
      </c>
      <c r="E10" s="178" t="str">
        <f t="shared" si="6"/>
        <v>3E</v>
      </c>
      <c r="F10" s="157" t="str">
        <f t="shared" si="0"/>
        <v>Annual</v>
      </c>
      <c r="G10" s="157" t="s">
        <v>162</v>
      </c>
      <c r="H10" s="157" t="str">
        <f t="shared" si="1"/>
        <v>30/360 (Bond Basis)</v>
      </c>
      <c r="I10" s="177">
        <v>0</v>
      </c>
      <c r="J10" s="176" t="str">
        <f t="shared" si="2"/>
        <v>EURAB3EBASIS2Y_Quote</v>
      </c>
      <c r="K10" s="176" t="str">
        <f t="shared" si="3"/>
        <v>EUR_YC3MRH_AB3EBASIS2Y</v>
      </c>
      <c r="L10" s="175" t="str">
        <f>_xll.qlSwapRateHelper2(K10,$J10,$C10,Calendar,$F10,$G10,$H10,$L$4,$I10,B10,DiscountingCurve,Permanent,,ObjectOverwrite)</f>
        <v>EUR_YC3MRH_AB3EBASIS2Y#0002</v>
      </c>
      <c r="M10" s="174" t="str">
        <f>_xll.ohRangeRetrieveError(L10)</f>
        <v/>
      </c>
      <c r="N10" s="173"/>
      <c r="P10" s="203" t="s">
        <v>104</v>
      </c>
      <c r="Q10" s="147" t="s">
        <v>101</v>
      </c>
      <c r="R10" s="202" t="s">
        <v>164</v>
      </c>
    </row>
    <row r="11" spans="1:20" x14ac:dyDescent="0.2">
      <c r="A11" s="99"/>
      <c r="B11" s="178" t="str">
        <f t="shared" si="4"/>
        <v>0D</v>
      </c>
      <c r="C11" s="178" t="s">
        <v>42</v>
      </c>
      <c r="D11" s="178" t="str">
        <f t="shared" si="5"/>
        <v>AB</v>
      </c>
      <c r="E11" s="178" t="str">
        <f t="shared" si="6"/>
        <v>3E</v>
      </c>
      <c r="F11" s="157" t="str">
        <f t="shared" si="0"/>
        <v>Annual</v>
      </c>
      <c r="G11" s="157" t="s">
        <v>162</v>
      </c>
      <c r="H11" s="157" t="str">
        <f t="shared" si="1"/>
        <v>30/360 (Bond Basis)</v>
      </c>
      <c r="I11" s="177">
        <v>0</v>
      </c>
      <c r="J11" s="176" t="str">
        <f t="shared" si="2"/>
        <v>EURAB3EBASIS3Y_Quote</v>
      </c>
      <c r="K11" s="176" t="str">
        <f t="shared" si="3"/>
        <v>EUR_YC3MRH_AB3EBASIS3Y</v>
      </c>
      <c r="L11" s="175" t="str">
        <f>_xll.qlSwapRateHelper2(K11,$J11,$C11,Calendar,$F11,$G11,$H11,$L$4,$I11,B11,DiscountingCurve,Permanent,,ObjectOverwrite)</f>
        <v>EUR_YC3MRH_AB3EBASIS3Y#0002</v>
      </c>
      <c r="M11" s="174" t="str">
        <f>_xll.ohRangeRetrieveError(L11)</f>
        <v/>
      </c>
      <c r="N11" s="173"/>
      <c r="P11" s="201" t="s">
        <v>102</v>
      </c>
      <c r="Q11" s="172" t="s">
        <v>101</v>
      </c>
      <c r="R11" s="200" t="s">
        <v>166</v>
      </c>
    </row>
    <row r="12" spans="1:20" x14ac:dyDescent="0.2">
      <c r="A12" s="99"/>
      <c r="B12" s="178" t="str">
        <f t="shared" si="4"/>
        <v>0D</v>
      </c>
      <c r="C12" s="178" t="s">
        <v>41</v>
      </c>
      <c r="D12" s="178" t="str">
        <f t="shared" si="5"/>
        <v>AB</v>
      </c>
      <c r="E12" s="178" t="str">
        <f t="shared" si="6"/>
        <v>3E</v>
      </c>
      <c r="F12" s="157" t="str">
        <f t="shared" si="0"/>
        <v>Annual</v>
      </c>
      <c r="G12" s="157" t="s">
        <v>162</v>
      </c>
      <c r="H12" s="157" t="str">
        <f t="shared" si="1"/>
        <v>30/360 (Bond Basis)</v>
      </c>
      <c r="I12" s="177">
        <v>0</v>
      </c>
      <c r="J12" s="176" t="str">
        <f t="shared" si="2"/>
        <v>EURAB3EBASIS4Y_Quote</v>
      </c>
      <c r="K12" s="176" t="str">
        <f t="shared" si="3"/>
        <v>EUR_YC3MRH_AB3EBASIS4Y</v>
      </c>
      <c r="L12" s="175" t="str">
        <f>_xll.qlSwapRateHelper2(K12,$J12,$C12,Calendar,$F12,$G12,$H12,$L$4,$I12,B12,DiscountingCurve,Permanent,,ObjectOverwrite)</f>
        <v>EUR_YC3MRH_AB3EBASIS4Y#0002</v>
      </c>
      <c r="M12" s="174" t="str">
        <f>_xll.ohRangeRetrieveError(L12)</f>
        <v/>
      </c>
      <c r="N12" s="173"/>
      <c r="P12" s="201" t="s">
        <v>99</v>
      </c>
      <c r="Q12" s="172" t="s">
        <v>94</v>
      </c>
      <c r="R12" s="200" t="s">
        <v>164</v>
      </c>
    </row>
    <row r="13" spans="1:20" x14ac:dyDescent="0.2">
      <c r="A13" s="99"/>
      <c r="B13" s="178" t="str">
        <f t="shared" si="4"/>
        <v>0D</v>
      </c>
      <c r="C13" s="178" t="s">
        <v>40</v>
      </c>
      <c r="D13" s="178" t="str">
        <f t="shared" si="5"/>
        <v>AB</v>
      </c>
      <c r="E13" s="178" t="str">
        <f t="shared" si="6"/>
        <v>3E</v>
      </c>
      <c r="F13" s="157" t="str">
        <f t="shared" si="0"/>
        <v>Annual</v>
      </c>
      <c r="G13" s="157" t="s">
        <v>162</v>
      </c>
      <c r="H13" s="157" t="str">
        <f t="shared" si="1"/>
        <v>30/360 (Bond Basis)</v>
      </c>
      <c r="I13" s="177">
        <v>0</v>
      </c>
      <c r="J13" s="176" t="str">
        <f t="shared" si="2"/>
        <v>EURAB3EBASIS5Y_Quote</v>
      </c>
      <c r="K13" s="176" t="str">
        <f t="shared" si="3"/>
        <v>EUR_YC3MRH_AB3EBASIS5Y</v>
      </c>
      <c r="L13" s="175" t="str">
        <f>_xll.qlSwapRateHelper2(K13,$J13,$C13,Calendar,$F13,$G13,$H13,$L$4,$I13,B13,DiscountingCurve,Permanent,,ObjectOverwrite)</f>
        <v>EUR_YC3MRH_AB3EBASIS5Y#0002</v>
      </c>
      <c r="M13" s="174" t="str">
        <f>_xll.ohRangeRetrieveError(L13)</f>
        <v/>
      </c>
      <c r="N13" s="173"/>
      <c r="P13" s="201" t="s">
        <v>97</v>
      </c>
      <c r="Q13" s="172" t="s">
        <v>165</v>
      </c>
      <c r="R13" s="200" t="s">
        <v>164</v>
      </c>
    </row>
    <row r="14" spans="1:20" ht="12" thickBot="1" x14ac:dyDescent="0.25">
      <c r="A14" s="99"/>
      <c r="B14" s="178" t="str">
        <f t="shared" si="4"/>
        <v>0D</v>
      </c>
      <c r="C14" s="178" t="s">
        <v>39</v>
      </c>
      <c r="D14" s="178" t="str">
        <f t="shared" si="5"/>
        <v>AB</v>
      </c>
      <c r="E14" s="178" t="str">
        <f t="shared" si="6"/>
        <v>3E</v>
      </c>
      <c r="F14" s="157" t="str">
        <f t="shared" si="0"/>
        <v>Annual</v>
      </c>
      <c r="G14" s="157" t="s">
        <v>162</v>
      </c>
      <c r="H14" s="157" t="str">
        <f t="shared" si="1"/>
        <v>30/360 (Bond Basis)</v>
      </c>
      <c r="I14" s="177">
        <v>0</v>
      </c>
      <c r="J14" s="176" t="str">
        <f t="shared" si="2"/>
        <v>EURAB3EBASIS6Y_Quote</v>
      </c>
      <c r="K14" s="176" t="str">
        <f t="shared" si="3"/>
        <v>EUR_YC3MRH_AB3EBASIS6Y</v>
      </c>
      <c r="L14" s="175" t="str">
        <f>_xll.qlSwapRateHelper2(K14,$J14,$C14,Calendar,$F14,$G14,$H14,$L$4,$I14,B14,DiscountingCurve,Permanent,,ObjectOverwrite)</f>
        <v>EUR_YC3MRH_AB3EBASIS6Y#0002</v>
      </c>
      <c r="M14" s="174" t="str">
        <f>_xll.ohRangeRetrieveError(L14)</f>
        <v/>
      </c>
      <c r="N14" s="173"/>
      <c r="P14" s="199" t="s">
        <v>95</v>
      </c>
      <c r="Q14" s="198" t="s">
        <v>94</v>
      </c>
      <c r="R14" s="197" t="s">
        <v>164</v>
      </c>
    </row>
    <row r="15" spans="1:20" x14ac:dyDescent="0.2">
      <c r="A15" s="99"/>
      <c r="B15" s="178" t="str">
        <f t="shared" si="4"/>
        <v>0D</v>
      </c>
      <c r="C15" s="178" t="s">
        <v>38</v>
      </c>
      <c r="D15" s="178" t="str">
        <f t="shared" si="5"/>
        <v>AB</v>
      </c>
      <c r="E15" s="178" t="str">
        <f t="shared" si="6"/>
        <v>3E</v>
      </c>
      <c r="F15" s="157" t="str">
        <f t="shared" si="0"/>
        <v>Annual</v>
      </c>
      <c r="G15" s="157" t="s">
        <v>162</v>
      </c>
      <c r="H15" s="157" t="str">
        <f t="shared" si="1"/>
        <v>30/360 (Bond Basis)</v>
      </c>
      <c r="I15" s="177">
        <v>0</v>
      </c>
      <c r="J15" s="176" t="str">
        <f t="shared" si="2"/>
        <v>EURAB3EBASIS7Y_Quote</v>
      </c>
      <c r="K15" s="176" t="str">
        <f t="shared" si="3"/>
        <v>EUR_YC3MRH_AB3EBASIS7Y</v>
      </c>
      <c r="L15" s="175" t="str">
        <f>_xll.qlSwapRateHelper2(K15,$J15,$C15,Calendar,$F15,$G15,$H15,$L$4,$I15,B15,DiscountingCurve,Permanent,,ObjectOverwrite)</f>
        <v>EUR_YC3MRH_AB3EBASIS7Y#0002</v>
      </c>
      <c r="M15" s="174" t="str">
        <f>_xll.ohRangeRetrieveError(L15)</f>
        <v/>
      </c>
      <c r="N15" s="173"/>
      <c r="P15" s="172"/>
      <c r="Q15" s="172"/>
      <c r="R15" s="172"/>
    </row>
    <row r="16" spans="1:20" x14ac:dyDescent="0.2">
      <c r="A16" s="99"/>
      <c r="B16" s="178" t="str">
        <f t="shared" si="4"/>
        <v>0D</v>
      </c>
      <c r="C16" s="178" t="s">
        <v>37</v>
      </c>
      <c r="D16" s="178" t="str">
        <f t="shared" si="5"/>
        <v>AB</v>
      </c>
      <c r="E16" s="178" t="str">
        <f t="shared" si="6"/>
        <v>3E</v>
      </c>
      <c r="F16" s="157" t="str">
        <f t="shared" si="0"/>
        <v>Annual</v>
      </c>
      <c r="G16" s="157" t="s">
        <v>162</v>
      </c>
      <c r="H16" s="157" t="str">
        <f t="shared" si="1"/>
        <v>30/360 (Bond Basis)</v>
      </c>
      <c r="I16" s="177">
        <v>0</v>
      </c>
      <c r="J16" s="176" t="str">
        <f t="shared" si="2"/>
        <v>EURAB3EBASIS8Y_Quote</v>
      </c>
      <c r="K16" s="176" t="str">
        <f t="shared" si="3"/>
        <v>EUR_YC3MRH_AB3EBASIS8Y</v>
      </c>
      <c r="L16" s="175" t="str">
        <f>_xll.qlSwapRateHelper2(K16,$J16,$C16,Calendar,$F16,$G16,$H16,$L$4,$I16,B16,DiscountingCurve,Permanent,,ObjectOverwrite)</f>
        <v>EUR_YC3MRH_AB3EBASIS8Y#0002</v>
      </c>
      <c r="M16" s="174" t="str">
        <f>_xll.ohRangeRetrieveError(L16)</f>
        <v/>
      </c>
      <c r="N16" s="173"/>
    </row>
    <row r="17" spans="1:14" x14ac:dyDescent="0.2">
      <c r="A17" s="99"/>
      <c r="B17" s="178" t="str">
        <f t="shared" si="4"/>
        <v>0D</v>
      </c>
      <c r="C17" s="178" t="s">
        <v>36</v>
      </c>
      <c r="D17" s="178" t="str">
        <f t="shared" si="5"/>
        <v>AB</v>
      </c>
      <c r="E17" s="178" t="str">
        <f t="shared" si="6"/>
        <v>3E</v>
      </c>
      <c r="F17" s="157" t="str">
        <f t="shared" si="0"/>
        <v>Annual</v>
      </c>
      <c r="G17" s="157" t="s">
        <v>162</v>
      </c>
      <c r="H17" s="157" t="str">
        <f t="shared" si="1"/>
        <v>30/360 (Bond Basis)</v>
      </c>
      <c r="I17" s="177">
        <v>0</v>
      </c>
      <c r="J17" s="176" t="str">
        <f t="shared" si="2"/>
        <v>EURAB3EBASIS9Y_Quote</v>
      </c>
      <c r="K17" s="176" t="str">
        <f t="shared" si="3"/>
        <v>EUR_YC3MRH_AB3EBASIS9Y</v>
      </c>
      <c r="L17" s="175" t="str">
        <f>_xll.qlSwapRateHelper2(K17,$J17,$C17,Calendar,$F17,$G17,$H17,$L$4,$I17,B17,DiscountingCurve,Permanent,,ObjectOverwrite)</f>
        <v>EUR_YC3MRH_AB3EBASIS9Y#0002</v>
      </c>
      <c r="M17" s="174" t="str">
        <f>_xll.ohRangeRetrieveError(L17)</f>
        <v/>
      </c>
      <c r="N17" s="173"/>
    </row>
    <row r="18" spans="1:14" x14ac:dyDescent="0.2">
      <c r="A18" s="99"/>
      <c r="B18" s="178" t="str">
        <f t="shared" si="4"/>
        <v>0D</v>
      </c>
      <c r="C18" s="178" t="s">
        <v>35</v>
      </c>
      <c r="D18" s="178" t="str">
        <f t="shared" si="5"/>
        <v>AB</v>
      </c>
      <c r="E18" s="178" t="str">
        <f t="shared" si="6"/>
        <v>3E</v>
      </c>
      <c r="F18" s="157" t="str">
        <f t="shared" si="0"/>
        <v>Annual</v>
      </c>
      <c r="G18" s="157" t="s">
        <v>162</v>
      </c>
      <c r="H18" s="157" t="str">
        <f t="shared" si="1"/>
        <v>30/360 (Bond Basis)</v>
      </c>
      <c r="I18" s="177">
        <v>0</v>
      </c>
      <c r="J18" s="176" t="str">
        <f t="shared" si="2"/>
        <v>EURAB3EBASIS10Y_Quote</v>
      </c>
      <c r="K18" s="176" t="str">
        <f t="shared" si="3"/>
        <v>EUR_YC3MRH_AB3EBASIS10Y</v>
      </c>
      <c r="L18" s="175" t="str">
        <f>_xll.qlSwapRateHelper2(K18,$J18,$C18,Calendar,$F18,$G18,$H18,$L$4,$I18,B18,DiscountingCurve,Permanent,,ObjectOverwrite)</f>
        <v>EUR_YC3MRH_AB3EBASIS10Y#0002</v>
      </c>
      <c r="M18" s="174" t="str">
        <f>_xll.ohRangeRetrieveError(L18)</f>
        <v/>
      </c>
      <c r="N18" s="173"/>
    </row>
    <row r="19" spans="1:14" x14ac:dyDescent="0.2">
      <c r="A19" s="99"/>
      <c r="B19" s="178" t="str">
        <f t="shared" si="4"/>
        <v>0D</v>
      </c>
      <c r="C19" s="178" t="s">
        <v>34</v>
      </c>
      <c r="D19" s="178" t="str">
        <f t="shared" si="5"/>
        <v>AB</v>
      </c>
      <c r="E19" s="178" t="str">
        <f t="shared" si="6"/>
        <v>3E</v>
      </c>
      <c r="F19" s="157" t="str">
        <f t="shared" si="0"/>
        <v>Annual</v>
      </c>
      <c r="G19" s="157" t="s">
        <v>162</v>
      </c>
      <c r="H19" s="157" t="str">
        <f t="shared" si="1"/>
        <v>30/360 (Bond Basis)</v>
      </c>
      <c r="I19" s="177">
        <v>0</v>
      </c>
      <c r="J19" s="176" t="str">
        <f t="shared" si="2"/>
        <v>EURAB3EBASIS11Y_Quote</v>
      </c>
      <c r="K19" s="176" t="str">
        <f t="shared" si="3"/>
        <v>EUR_YC3MRH_AB3EBASIS11Y</v>
      </c>
      <c r="L19" s="175" t="str">
        <f>_xll.qlSwapRateHelper2(K19,$J19,$C19,Calendar,$F19,$G19,$H19,$L$4,$I19,B19,DiscountingCurve,Permanent,,ObjectOverwrite)</f>
        <v>EUR_YC3MRH_AB3EBASIS11Y#0002</v>
      </c>
      <c r="M19" s="174" t="str">
        <f>_xll.ohRangeRetrieveError(L19)</f>
        <v/>
      </c>
      <c r="N19" s="173"/>
    </row>
    <row r="20" spans="1:14" x14ac:dyDescent="0.2">
      <c r="A20" s="99"/>
      <c r="B20" s="178" t="str">
        <f t="shared" si="4"/>
        <v>0D</v>
      </c>
      <c r="C20" s="178" t="s">
        <v>33</v>
      </c>
      <c r="D20" s="178" t="str">
        <f t="shared" si="5"/>
        <v>AB</v>
      </c>
      <c r="E20" s="178" t="str">
        <f t="shared" si="6"/>
        <v>3E</v>
      </c>
      <c r="F20" s="157" t="str">
        <f t="shared" si="0"/>
        <v>Annual</v>
      </c>
      <c r="G20" s="157" t="s">
        <v>162</v>
      </c>
      <c r="H20" s="157" t="str">
        <f t="shared" si="1"/>
        <v>30/360 (Bond Basis)</v>
      </c>
      <c r="I20" s="177">
        <v>0</v>
      </c>
      <c r="J20" s="176" t="str">
        <f t="shared" si="2"/>
        <v>EURAB3EBASIS12Y_Quote</v>
      </c>
      <c r="K20" s="176" t="str">
        <f t="shared" si="3"/>
        <v>EUR_YC3MRH_AB3EBASIS12Y</v>
      </c>
      <c r="L20" s="175" t="str">
        <f>_xll.qlSwapRateHelper2(K20,$J20,$C20,Calendar,$F20,$G20,$H20,$L$4,$I20,B20,DiscountingCurve,Permanent,,ObjectOverwrite)</f>
        <v>EUR_YC3MRH_AB3EBASIS12Y#0002</v>
      </c>
      <c r="M20" s="174" t="str">
        <f>_xll.ohRangeRetrieveError(L20)</f>
        <v/>
      </c>
      <c r="N20" s="173"/>
    </row>
    <row r="21" spans="1:14" x14ac:dyDescent="0.2">
      <c r="A21" s="99"/>
      <c r="B21" s="178" t="str">
        <f t="shared" si="4"/>
        <v>0D</v>
      </c>
      <c r="C21" s="178" t="s">
        <v>32</v>
      </c>
      <c r="D21" s="178" t="str">
        <f t="shared" si="5"/>
        <v>AB</v>
      </c>
      <c r="E21" s="178" t="str">
        <f t="shared" si="6"/>
        <v>3E</v>
      </c>
      <c r="F21" s="157" t="str">
        <f t="shared" si="0"/>
        <v>Annual</v>
      </c>
      <c r="G21" s="157" t="s">
        <v>162</v>
      </c>
      <c r="H21" s="157" t="str">
        <f t="shared" si="1"/>
        <v>30/360 (Bond Basis)</v>
      </c>
      <c r="I21" s="177">
        <v>0</v>
      </c>
      <c r="J21" s="176" t="str">
        <f t="shared" si="2"/>
        <v>EURAB3EBASIS13Y_Quote</v>
      </c>
      <c r="K21" s="176" t="str">
        <f t="shared" si="3"/>
        <v>EUR_YC3MRH_AB3EBASIS13Y</v>
      </c>
      <c r="L21" s="175" t="str">
        <f>_xll.qlSwapRateHelper2(K21,$J21,$C21,Calendar,$F21,$G21,$H21,$L$4,$I21,B21,DiscountingCurve,Permanent,,ObjectOverwrite)</f>
        <v>EUR_YC3MRH_AB3EBASIS13Y#0002</v>
      </c>
      <c r="M21" s="174" t="str">
        <f>_xll.ohRangeRetrieveError(L21)</f>
        <v/>
      </c>
      <c r="N21" s="173"/>
    </row>
    <row r="22" spans="1:14" x14ac:dyDescent="0.2">
      <c r="A22" s="99"/>
      <c r="B22" s="178" t="str">
        <f t="shared" si="4"/>
        <v>0D</v>
      </c>
      <c r="C22" s="178" t="s">
        <v>31</v>
      </c>
      <c r="D22" s="178" t="str">
        <f t="shared" si="5"/>
        <v>AB</v>
      </c>
      <c r="E22" s="178" t="str">
        <f t="shared" si="6"/>
        <v>3E</v>
      </c>
      <c r="F22" s="157" t="str">
        <f t="shared" si="0"/>
        <v>Annual</v>
      </c>
      <c r="G22" s="157" t="s">
        <v>162</v>
      </c>
      <c r="H22" s="157" t="str">
        <f t="shared" si="1"/>
        <v>30/360 (Bond Basis)</v>
      </c>
      <c r="I22" s="177">
        <v>0</v>
      </c>
      <c r="J22" s="176" t="str">
        <f t="shared" si="2"/>
        <v>EURAB3EBASIS14Y_Quote</v>
      </c>
      <c r="K22" s="176" t="str">
        <f t="shared" si="3"/>
        <v>EUR_YC3MRH_AB3EBASIS14Y</v>
      </c>
      <c r="L22" s="175" t="str">
        <f>_xll.qlSwapRateHelper2(K22,$J22,$C22,Calendar,$F22,$G22,$H22,$L$4,$I22,B22,DiscountingCurve,Permanent,,ObjectOverwrite)</f>
        <v>EUR_YC3MRH_AB3EBASIS14Y#0002</v>
      </c>
      <c r="M22" s="174" t="str">
        <f>_xll.ohRangeRetrieveError(L22)</f>
        <v/>
      </c>
      <c r="N22" s="173"/>
    </row>
    <row r="23" spans="1:14" x14ac:dyDescent="0.2">
      <c r="A23" s="99"/>
      <c r="B23" s="178" t="str">
        <f t="shared" si="4"/>
        <v>0D</v>
      </c>
      <c r="C23" s="178" t="s">
        <v>30</v>
      </c>
      <c r="D23" s="178" t="str">
        <f t="shared" si="5"/>
        <v>AB</v>
      </c>
      <c r="E23" s="178" t="str">
        <f t="shared" si="6"/>
        <v>3E</v>
      </c>
      <c r="F23" s="157" t="str">
        <f t="shared" si="0"/>
        <v>Annual</v>
      </c>
      <c r="G23" s="157" t="s">
        <v>162</v>
      </c>
      <c r="H23" s="157" t="str">
        <f t="shared" si="1"/>
        <v>30/360 (Bond Basis)</v>
      </c>
      <c r="I23" s="177">
        <v>0</v>
      </c>
      <c r="J23" s="176" t="str">
        <f t="shared" si="2"/>
        <v>EURAB3EBASIS15Y_Quote</v>
      </c>
      <c r="K23" s="176" t="str">
        <f t="shared" si="3"/>
        <v>EUR_YC3MRH_AB3EBASIS15Y</v>
      </c>
      <c r="L23" s="175" t="str">
        <f>_xll.qlSwapRateHelper2(K23,$J23,$C23,Calendar,$F23,$G23,$H23,$L$4,$I23,B23,DiscountingCurve,Permanent,,ObjectOverwrite)</f>
        <v>EUR_YC3MRH_AB3EBASIS15Y#0002</v>
      </c>
      <c r="M23" s="174" t="str">
        <f>_xll.ohRangeRetrieveError(L23)</f>
        <v/>
      </c>
      <c r="N23" s="173"/>
    </row>
    <row r="24" spans="1:14" x14ac:dyDescent="0.2">
      <c r="A24" s="99"/>
      <c r="B24" s="178" t="str">
        <f t="shared" si="4"/>
        <v>0D</v>
      </c>
      <c r="C24" s="178" t="s">
        <v>29</v>
      </c>
      <c r="D24" s="178" t="str">
        <f t="shared" si="5"/>
        <v>AB</v>
      </c>
      <c r="E24" s="178" t="str">
        <f t="shared" si="6"/>
        <v>3E</v>
      </c>
      <c r="F24" s="157" t="str">
        <f t="shared" si="0"/>
        <v>Annual</v>
      </c>
      <c r="G24" s="157" t="s">
        <v>162</v>
      </c>
      <c r="H24" s="157" t="str">
        <f t="shared" si="1"/>
        <v>30/360 (Bond Basis)</v>
      </c>
      <c r="I24" s="177">
        <v>0</v>
      </c>
      <c r="J24" s="176" t="str">
        <f t="shared" si="2"/>
        <v>EURAB3EBASIS16Y_Quote</v>
      </c>
      <c r="K24" s="176" t="str">
        <f t="shared" si="3"/>
        <v>EUR_YC3MRH_AB3EBASIS16Y</v>
      </c>
      <c r="L24" s="175" t="str">
        <f>_xll.qlSwapRateHelper2(K24,$J24,$C24,Calendar,$F24,$G24,$H24,$L$4,$I24,B24,DiscountingCurve,Permanent,,ObjectOverwrite)</f>
        <v>EUR_YC3MRH_AB3EBASIS16Y#0002</v>
      </c>
      <c r="M24" s="174" t="str">
        <f>_xll.ohRangeRetrieveError(L24)</f>
        <v/>
      </c>
      <c r="N24" s="173"/>
    </row>
    <row r="25" spans="1:14" x14ac:dyDescent="0.2">
      <c r="A25" s="99"/>
      <c r="B25" s="178" t="str">
        <f t="shared" si="4"/>
        <v>0D</v>
      </c>
      <c r="C25" s="178" t="s">
        <v>28</v>
      </c>
      <c r="D25" s="178" t="str">
        <f t="shared" si="5"/>
        <v>AB</v>
      </c>
      <c r="E25" s="178" t="str">
        <f t="shared" si="6"/>
        <v>3E</v>
      </c>
      <c r="F25" s="157" t="str">
        <f t="shared" si="0"/>
        <v>Annual</v>
      </c>
      <c r="G25" s="157" t="s">
        <v>162</v>
      </c>
      <c r="H25" s="157" t="str">
        <f t="shared" si="1"/>
        <v>30/360 (Bond Basis)</v>
      </c>
      <c r="I25" s="177">
        <v>0</v>
      </c>
      <c r="J25" s="176" t="str">
        <f t="shared" si="2"/>
        <v>EURAB3EBASIS17Y_Quote</v>
      </c>
      <c r="K25" s="176" t="str">
        <f t="shared" si="3"/>
        <v>EUR_YC3MRH_AB3EBASIS17Y</v>
      </c>
      <c r="L25" s="175" t="str">
        <f>_xll.qlSwapRateHelper2(K25,$J25,$C25,Calendar,$F25,$G25,$H25,$L$4,$I25,B25,DiscountingCurve,Permanent,,ObjectOverwrite)</f>
        <v>EUR_YC3MRH_AB3EBASIS17Y#0002</v>
      </c>
      <c r="M25" s="174" t="str">
        <f>_xll.ohRangeRetrieveError(L25)</f>
        <v/>
      </c>
      <c r="N25" s="173"/>
    </row>
    <row r="26" spans="1:14" x14ac:dyDescent="0.2">
      <c r="A26" s="99"/>
      <c r="B26" s="178" t="str">
        <f t="shared" si="4"/>
        <v>0D</v>
      </c>
      <c r="C26" s="178" t="s">
        <v>27</v>
      </c>
      <c r="D26" s="178" t="str">
        <f t="shared" si="5"/>
        <v>AB</v>
      </c>
      <c r="E26" s="178" t="str">
        <f t="shared" si="6"/>
        <v>3E</v>
      </c>
      <c r="F26" s="157" t="str">
        <f t="shared" si="0"/>
        <v>Annual</v>
      </c>
      <c r="G26" s="157" t="s">
        <v>162</v>
      </c>
      <c r="H26" s="157" t="str">
        <f t="shared" si="1"/>
        <v>30/360 (Bond Basis)</v>
      </c>
      <c r="I26" s="177">
        <v>0</v>
      </c>
      <c r="J26" s="176" t="str">
        <f t="shared" si="2"/>
        <v>EURAB3EBASIS18Y_Quote</v>
      </c>
      <c r="K26" s="176" t="str">
        <f t="shared" si="3"/>
        <v>EUR_YC3MRH_AB3EBASIS18Y</v>
      </c>
      <c r="L26" s="175" t="str">
        <f>_xll.qlSwapRateHelper2(K26,$J26,$C26,Calendar,$F26,$G26,$H26,$L$4,$I26,B26,DiscountingCurve,Permanent,,ObjectOverwrite)</f>
        <v>EUR_YC3MRH_AB3EBASIS18Y#0002</v>
      </c>
      <c r="M26" s="174" t="str">
        <f>_xll.ohRangeRetrieveError(L26)</f>
        <v/>
      </c>
      <c r="N26" s="173"/>
    </row>
    <row r="27" spans="1:14" x14ac:dyDescent="0.2">
      <c r="A27" s="99"/>
      <c r="B27" s="178" t="str">
        <f t="shared" si="4"/>
        <v>0D</v>
      </c>
      <c r="C27" s="178" t="s">
        <v>26</v>
      </c>
      <c r="D27" s="178" t="str">
        <f t="shared" si="5"/>
        <v>AB</v>
      </c>
      <c r="E27" s="178" t="str">
        <f t="shared" si="6"/>
        <v>3E</v>
      </c>
      <c r="F27" s="157" t="str">
        <f t="shared" si="0"/>
        <v>Annual</v>
      </c>
      <c r="G27" s="157" t="s">
        <v>162</v>
      </c>
      <c r="H27" s="157" t="str">
        <f t="shared" si="1"/>
        <v>30/360 (Bond Basis)</v>
      </c>
      <c r="I27" s="177">
        <v>0</v>
      </c>
      <c r="J27" s="176" t="str">
        <f t="shared" si="2"/>
        <v>EURAB3EBASIS19Y_Quote</v>
      </c>
      <c r="K27" s="176" t="str">
        <f t="shared" si="3"/>
        <v>EUR_YC3MRH_AB3EBASIS19Y</v>
      </c>
      <c r="L27" s="175" t="str">
        <f>_xll.qlSwapRateHelper2(K27,$J27,$C27,Calendar,$F27,$G27,$H27,$L$4,$I27,B27,DiscountingCurve,Permanent,,ObjectOverwrite)</f>
        <v>EUR_YC3MRH_AB3EBASIS19Y#0002</v>
      </c>
      <c r="M27" s="174" t="str">
        <f>_xll.ohRangeRetrieveError(L27)</f>
        <v/>
      </c>
      <c r="N27" s="173"/>
    </row>
    <row r="28" spans="1:14" x14ac:dyDescent="0.2">
      <c r="A28" s="99"/>
      <c r="B28" s="178" t="str">
        <f t="shared" si="4"/>
        <v>0D</v>
      </c>
      <c r="C28" s="178" t="s">
        <v>25</v>
      </c>
      <c r="D28" s="178" t="str">
        <f t="shared" si="5"/>
        <v>AB</v>
      </c>
      <c r="E28" s="178" t="str">
        <f t="shared" si="6"/>
        <v>3E</v>
      </c>
      <c r="F28" s="157" t="str">
        <f t="shared" si="0"/>
        <v>Annual</v>
      </c>
      <c r="G28" s="157" t="s">
        <v>162</v>
      </c>
      <c r="H28" s="157" t="str">
        <f t="shared" si="1"/>
        <v>30/360 (Bond Basis)</v>
      </c>
      <c r="I28" s="177">
        <v>0</v>
      </c>
      <c r="J28" s="176" t="str">
        <f t="shared" si="2"/>
        <v>EURAB3EBASIS20Y_Quote</v>
      </c>
      <c r="K28" s="176" t="str">
        <f t="shared" si="3"/>
        <v>EUR_YC3MRH_AB3EBASIS20Y</v>
      </c>
      <c r="L28" s="175" t="str">
        <f>_xll.qlSwapRateHelper2(K28,$J28,$C28,Calendar,$F28,$G28,$H28,$L$4,$I28,B28,DiscountingCurve,Permanent,,ObjectOverwrite)</f>
        <v>EUR_YC3MRH_AB3EBASIS20Y#0002</v>
      </c>
      <c r="M28" s="174" t="str">
        <f>_xll.ohRangeRetrieveError(L28)</f>
        <v/>
      </c>
      <c r="N28" s="173"/>
    </row>
    <row r="29" spans="1:14" x14ac:dyDescent="0.2">
      <c r="A29" s="99"/>
      <c r="B29" s="178" t="str">
        <f t="shared" si="4"/>
        <v>0D</v>
      </c>
      <c r="C29" s="178" t="s">
        <v>24</v>
      </c>
      <c r="D29" s="178" t="str">
        <f t="shared" si="5"/>
        <v>AB</v>
      </c>
      <c r="E29" s="178" t="str">
        <f t="shared" si="6"/>
        <v>3E</v>
      </c>
      <c r="F29" s="157" t="str">
        <f t="shared" si="0"/>
        <v>Annual</v>
      </c>
      <c r="G29" s="157" t="s">
        <v>162</v>
      </c>
      <c r="H29" s="157" t="str">
        <f t="shared" si="1"/>
        <v>30/360 (Bond Basis)</v>
      </c>
      <c r="I29" s="177">
        <v>0</v>
      </c>
      <c r="J29" s="176" t="str">
        <f t="shared" si="2"/>
        <v>EURAB3EBASIS21Y_Quote</v>
      </c>
      <c r="K29" s="176" t="str">
        <f t="shared" si="3"/>
        <v>EUR_YC3MRH_AB3EBASIS21Y</v>
      </c>
      <c r="L29" s="175" t="str">
        <f>_xll.qlSwapRateHelper2(K29,$J29,$C29,Calendar,$F29,$G29,$H29,$L$4,$I29,B29,DiscountingCurve,Permanent,,ObjectOverwrite)</f>
        <v>EUR_YC3MRH_AB3EBASIS21Y#0002</v>
      </c>
      <c r="M29" s="174" t="str">
        <f>_xll.ohRangeRetrieveError(L29)</f>
        <v/>
      </c>
      <c r="N29" s="173"/>
    </row>
    <row r="30" spans="1:14" x14ac:dyDescent="0.2">
      <c r="A30" s="99"/>
      <c r="B30" s="178" t="str">
        <f t="shared" si="4"/>
        <v>0D</v>
      </c>
      <c r="C30" s="178" t="s">
        <v>23</v>
      </c>
      <c r="D30" s="178" t="str">
        <f t="shared" si="5"/>
        <v>AB</v>
      </c>
      <c r="E30" s="178" t="str">
        <f t="shared" si="6"/>
        <v>3E</v>
      </c>
      <c r="F30" s="157" t="str">
        <f t="shared" si="0"/>
        <v>Annual</v>
      </c>
      <c r="G30" s="157" t="s">
        <v>162</v>
      </c>
      <c r="H30" s="157" t="str">
        <f t="shared" si="1"/>
        <v>30/360 (Bond Basis)</v>
      </c>
      <c r="I30" s="177">
        <v>0</v>
      </c>
      <c r="J30" s="176" t="str">
        <f t="shared" si="2"/>
        <v>EURAB3EBASIS22Y_Quote</v>
      </c>
      <c r="K30" s="176" t="str">
        <f t="shared" si="3"/>
        <v>EUR_YC3MRH_AB3EBASIS22Y</v>
      </c>
      <c r="L30" s="175" t="str">
        <f>_xll.qlSwapRateHelper2(K30,$J30,$C30,Calendar,$F30,$G30,$H30,$L$4,$I30,B30,DiscountingCurve,Permanent,,ObjectOverwrite)</f>
        <v>EUR_YC3MRH_AB3EBASIS22Y#0002</v>
      </c>
      <c r="M30" s="174" t="str">
        <f>_xll.ohRangeRetrieveError(L30)</f>
        <v/>
      </c>
      <c r="N30" s="173"/>
    </row>
    <row r="31" spans="1:14" x14ac:dyDescent="0.2">
      <c r="A31" s="99"/>
      <c r="B31" s="178" t="str">
        <f t="shared" si="4"/>
        <v>0D</v>
      </c>
      <c r="C31" s="178" t="s">
        <v>22</v>
      </c>
      <c r="D31" s="178" t="str">
        <f t="shared" si="5"/>
        <v>AB</v>
      </c>
      <c r="E31" s="178" t="str">
        <f t="shared" si="6"/>
        <v>3E</v>
      </c>
      <c r="F31" s="157" t="str">
        <f t="shared" si="0"/>
        <v>Annual</v>
      </c>
      <c r="G31" s="157" t="s">
        <v>162</v>
      </c>
      <c r="H31" s="157" t="str">
        <f t="shared" si="1"/>
        <v>30/360 (Bond Basis)</v>
      </c>
      <c r="I31" s="177">
        <v>0</v>
      </c>
      <c r="J31" s="176" t="str">
        <f t="shared" si="2"/>
        <v>EURAB3EBASIS23Y_Quote</v>
      </c>
      <c r="K31" s="176" t="str">
        <f t="shared" si="3"/>
        <v>EUR_YC3MRH_AB3EBASIS23Y</v>
      </c>
      <c r="L31" s="175" t="str">
        <f>_xll.qlSwapRateHelper2(K31,$J31,$C31,Calendar,$F31,$G31,$H31,$L$4,$I31,B31,DiscountingCurve,Permanent,,ObjectOverwrite)</f>
        <v>EUR_YC3MRH_AB3EBASIS23Y#0002</v>
      </c>
      <c r="M31" s="174" t="str">
        <f>_xll.ohRangeRetrieveError(L31)</f>
        <v/>
      </c>
      <c r="N31" s="173"/>
    </row>
    <row r="32" spans="1:14" x14ac:dyDescent="0.2">
      <c r="A32" s="99"/>
      <c r="B32" s="178" t="str">
        <f t="shared" si="4"/>
        <v>0D</v>
      </c>
      <c r="C32" s="178" t="s">
        <v>21</v>
      </c>
      <c r="D32" s="178" t="str">
        <f t="shared" si="5"/>
        <v>AB</v>
      </c>
      <c r="E32" s="178" t="str">
        <f t="shared" si="6"/>
        <v>3E</v>
      </c>
      <c r="F32" s="157" t="str">
        <f t="shared" si="0"/>
        <v>Annual</v>
      </c>
      <c r="G32" s="157" t="s">
        <v>162</v>
      </c>
      <c r="H32" s="157" t="str">
        <f t="shared" si="1"/>
        <v>30/360 (Bond Basis)</v>
      </c>
      <c r="I32" s="177">
        <v>0</v>
      </c>
      <c r="J32" s="176" t="str">
        <f t="shared" si="2"/>
        <v>EURAB3EBASIS24Y_Quote</v>
      </c>
      <c r="K32" s="176" t="str">
        <f t="shared" si="3"/>
        <v>EUR_YC3MRH_AB3EBASIS24Y</v>
      </c>
      <c r="L32" s="175" t="str">
        <f>_xll.qlSwapRateHelper2(K32,$J32,$C32,Calendar,$F32,$G32,$H32,$L$4,$I32,B32,DiscountingCurve,Permanent,,ObjectOverwrite)</f>
        <v>EUR_YC3MRH_AB3EBASIS24Y#0002</v>
      </c>
      <c r="M32" s="174" t="str">
        <f>_xll.ohRangeRetrieveError(L32)</f>
        <v/>
      </c>
      <c r="N32" s="173"/>
    </row>
    <row r="33" spans="1:14" x14ac:dyDescent="0.2">
      <c r="A33" s="99"/>
      <c r="B33" s="178" t="str">
        <f t="shared" si="4"/>
        <v>0D</v>
      </c>
      <c r="C33" s="178" t="s">
        <v>20</v>
      </c>
      <c r="D33" s="178" t="str">
        <f t="shared" si="5"/>
        <v>AB</v>
      </c>
      <c r="E33" s="178" t="str">
        <f t="shared" si="6"/>
        <v>3E</v>
      </c>
      <c r="F33" s="157" t="str">
        <f t="shared" si="0"/>
        <v>Annual</v>
      </c>
      <c r="G33" s="157" t="s">
        <v>162</v>
      </c>
      <c r="H33" s="157" t="str">
        <f t="shared" si="1"/>
        <v>30/360 (Bond Basis)</v>
      </c>
      <c r="I33" s="177">
        <v>0</v>
      </c>
      <c r="J33" s="176" t="str">
        <f t="shared" si="2"/>
        <v>EURAB3EBASIS25Y_Quote</v>
      </c>
      <c r="K33" s="176" t="str">
        <f t="shared" si="3"/>
        <v>EUR_YC3MRH_AB3EBASIS25Y</v>
      </c>
      <c r="L33" s="175" t="str">
        <f>_xll.qlSwapRateHelper2(K33,$J33,$C33,Calendar,$F33,$G33,$H33,$L$4,$I33,B33,DiscountingCurve,Permanent,,ObjectOverwrite)</f>
        <v>EUR_YC3MRH_AB3EBASIS25Y#0002</v>
      </c>
      <c r="M33" s="174" t="str">
        <f>_xll.ohRangeRetrieveError(L33)</f>
        <v/>
      </c>
      <c r="N33" s="173"/>
    </row>
    <row r="34" spans="1:14" x14ac:dyDescent="0.2">
      <c r="A34" s="99"/>
      <c r="B34" s="178" t="str">
        <f t="shared" si="4"/>
        <v>0D</v>
      </c>
      <c r="C34" s="178" t="s">
        <v>19</v>
      </c>
      <c r="D34" s="178" t="str">
        <f t="shared" si="5"/>
        <v>AB</v>
      </c>
      <c r="E34" s="178" t="str">
        <f t="shared" si="6"/>
        <v>3E</v>
      </c>
      <c r="F34" s="157" t="str">
        <f t="shared" si="0"/>
        <v>Annual</v>
      </c>
      <c r="G34" s="157" t="s">
        <v>162</v>
      </c>
      <c r="H34" s="157" t="str">
        <f t="shared" si="1"/>
        <v>30/360 (Bond Basis)</v>
      </c>
      <c r="I34" s="177">
        <v>0</v>
      </c>
      <c r="J34" s="176" t="str">
        <f t="shared" si="2"/>
        <v>EURAB3EBASIS26Y_Quote</v>
      </c>
      <c r="K34" s="176" t="str">
        <f t="shared" si="3"/>
        <v>EUR_YC3MRH_AB3EBASIS26Y</v>
      </c>
      <c r="L34" s="175" t="str">
        <f>_xll.qlSwapRateHelper2(K34,$J34,$C34,Calendar,$F34,$G34,$H34,$L$4,$I34,B34,DiscountingCurve,Permanent,,ObjectOverwrite)</f>
        <v>EUR_YC3MRH_AB3EBASIS26Y#0002</v>
      </c>
      <c r="M34" s="174" t="str">
        <f>_xll.ohRangeRetrieveError(L34)</f>
        <v/>
      </c>
      <c r="N34" s="173"/>
    </row>
    <row r="35" spans="1:14" x14ac:dyDescent="0.2">
      <c r="A35" s="99"/>
      <c r="B35" s="178" t="str">
        <f t="shared" si="4"/>
        <v>0D</v>
      </c>
      <c r="C35" s="178" t="s">
        <v>18</v>
      </c>
      <c r="D35" s="178" t="str">
        <f t="shared" si="5"/>
        <v>AB</v>
      </c>
      <c r="E35" s="178" t="str">
        <f t="shared" si="6"/>
        <v>3E</v>
      </c>
      <c r="F35" s="157" t="str">
        <f t="shared" si="0"/>
        <v>Annual</v>
      </c>
      <c r="G35" s="157" t="s">
        <v>162</v>
      </c>
      <c r="H35" s="157" t="str">
        <f t="shared" si="1"/>
        <v>30/360 (Bond Basis)</v>
      </c>
      <c r="I35" s="177">
        <v>0</v>
      </c>
      <c r="J35" s="176" t="str">
        <f t="shared" si="2"/>
        <v>EURAB3EBASIS27Y_Quote</v>
      </c>
      <c r="K35" s="176" t="str">
        <f t="shared" si="3"/>
        <v>EUR_YC3MRH_AB3EBASIS27Y</v>
      </c>
      <c r="L35" s="175" t="str">
        <f>_xll.qlSwapRateHelper2(K35,$J35,$C35,Calendar,$F35,$G35,$H35,$L$4,$I35,B35,DiscountingCurve,Permanent,,ObjectOverwrite)</f>
        <v>EUR_YC3MRH_AB3EBASIS27Y#0002</v>
      </c>
      <c r="M35" s="174" t="str">
        <f>_xll.ohRangeRetrieveError(L35)</f>
        <v/>
      </c>
      <c r="N35" s="173"/>
    </row>
    <row r="36" spans="1:14" x14ac:dyDescent="0.2">
      <c r="A36" s="99"/>
      <c r="B36" s="178" t="str">
        <f t="shared" si="4"/>
        <v>0D</v>
      </c>
      <c r="C36" s="178" t="s">
        <v>17</v>
      </c>
      <c r="D36" s="178" t="str">
        <f t="shared" si="5"/>
        <v>AB</v>
      </c>
      <c r="E36" s="178" t="str">
        <f t="shared" si="6"/>
        <v>3E</v>
      </c>
      <c r="F36" s="157" t="str">
        <f t="shared" si="0"/>
        <v>Annual</v>
      </c>
      <c r="G36" s="157" t="s">
        <v>162</v>
      </c>
      <c r="H36" s="157" t="str">
        <f t="shared" si="1"/>
        <v>30/360 (Bond Basis)</v>
      </c>
      <c r="I36" s="177">
        <v>0</v>
      </c>
      <c r="J36" s="176" t="str">
        <f t="shared" si="2"/>
        <v>EURAB3EBASIS28Y_Quote</v>
      </c>
      <c r="K36" s="176" t="str">
        <f t="shared" si="3"/>
        <v>EUR_YC3MRH_AB3EBASIS28Y</v>
      </c>
      <c r="L36" s="175" t="str">
        <f>_xll.qlSwapRateHelper2(K36,$J36,$C36,Calendar,$F36,$G36,$H36,$L$4,$I36,B36,DiscountingCurve,Permanent,,ObjectOverwrite)</f>
        <v>EUR_YC3MRH_AB3EBASIS28Y#0002</v>
      </c>
      <c r="M36" s="174" t="str">
        <f>_xll.ohRangeRetrieveError(L36)</f>
        <v/>
      </c>
      <c r="N36" s="173"/>
    </row>
    <row r="37" spans="1:14" x14ac:dyDescent="0.2">
      <c r="A37" s="99"/>
      <c r="B37" s="178" t="str">
        <f t="shared" si="4"/>
        <v>0D</v>
      </c>
      <c r="C37" s="178" t="s">
        <v>16</v>
      </c>
      <c r="D37" s="178" t="str">
        <f t="shared" si="5"/>
        <v>AB</v>
      </c>
      <c r="E37" s="178" t="str">
        <f t="shared" si="6"/>
        <v>3E</v>
      </c>
      <c r="F37" s="157" t="str">
        <f t="shared" si="0"/>
        <v>Annual</v>
      </c>
      <c r="G37" s="157" t="s">
        <v>162</v>
      </c>
      <c r="H37" s="157" t="str">
        <f t="shared" si="1"/>
        <v>30/360 (Bond Basis)</v>
      </c>
      <c r="I37" s="177">
        <v>0</v>
      </c>
      <c r="J37" s="176" t="str">
        <f t="shared" si="2"/>
        <v>EURAB3EBASIS29Y_Quote</v>
      </c>
      <c r="K37" s="176" t="str">
        <f t="shared" si="3"/>
        <v>EUR_YC3MRH_AB3EBASIS29Y</v>
      </c>
      <c r="L37" s="175" t="str">
        <f>_xll.qlSwapRateHelper2(K37,$J37,$C37,Calendar,$F37,$G37,$H37,$L$4,$I37,B37,DiscountingCurve,Permanent,,ObjectOverwrite)</f>
        <v>EUR_YC3MRH_AB3EBASIS29Y#0002</v>
      </c>
      <c r="M37" s="174" t="str">
        <f>_xll.ohRangeRetrieveError(L37)</f>
        <v/>
      </c>
      <c r="N37" s="173"/>
    </row>
    <row r="38" spans="1:14" x14ac:dyDescent="0.2">
      <c r="A38" s="99"/>
      <c r="B38" s="178" t="str">
        <f t="shared" si="4"/>
        <v>0D</v>
      </c>
      <c r="C38" s="178" t="s">
        <v>15</v>
      </c>
      <c r="D38" s="178" t="str">
        <f t="shared" si="5"/>
        <v>AB</v>
      </c>
      <c r="E38" s="178" t="str">
        <f t="shared" si="6"/>
        <v>3E</v>
      </c>
      <c r="F38" s="157" t="str">
        <f t="shared" si="0"/>
        <v>Annual</v>
      </c>
      <c r="G38" s="157" t="s">
        <v>162</v>
      </c>
      <c r="H38" s="157" t="str">
        <f t="shared" si="1"/>
        <v>30/360 (Bond Basis)</v>
      </c>
      <c r="I38" s="177">
        <v>0</v>
      </c>
      <c r="J38" s="176" t="str">
        <f t="shared" si="2"/>
        <v>EURAB3EBASIS30Y_Quote</v>
      </c>
      <c r="K38" s="176" t="str">
        <f t="shared" si="3"/>
        <v>EUR_YC3MRH_AB3EBASIS30Y</v>
      </c>
      <c r="L38" s="175" t="str">
        <f>_xll.qlSwapRateHelper2(K38,$J38,$C38,Calendar,$F38,$G38,$H38,$L$4,$I38,B38,DiscountingCurve,Permanent,,ObjectOverwrite)</f>
        <v>EUR_YC3MRH_AB3EBASIS30Y#0002</v>
      </c>
      <c r="M38" s="174" t="str">
        <f>_xll.ohRangeRetrieveError(L38)</f>
        <v/>
      </c>
      <c r="N38" s="173"/>
    </row>
    <row r="39" spans="1:14" x14ac:dyDescent="0.2">
      <c r="A39" s="99"/>
      <c r="B39" s="178" t="str">
        <f t="shared" si="4"/>
        <v>0D</v>
      </c>
      <c r="C39" s="178" t="s">
        <v>14</v>
      </c>
      <c r="D39" s="178" t="str">
        <f t="shared" si="5"/>
        <v>AB</v>
      </c>
      <c r="E39" s="178" t="str">
        <f t="shared" si="6"/>
        <v>3E</v>
      </c>
      <c r="F39" s="157" t="str">
        <f t="shared" si="0"/>
        <v>Annual</v>
      </c>
      <c r="G39" s="157" t="s">
        <v>162</v>
      </c>
      <c r="H39" s="157" t="str">
        <f t="shared" si="1"/>
        <v>30/360 (Bond Basis)</v>
      </c>
      <c r="I39" s="177">
        <v>0</v>
      </c>
      <c r="J39" s="176" t="str">
        <f t="shared" si="2"/>
        <v>EURAB3EBASIS35Y_Quote</v>
      </c>
      <c r="K39" s="176" t="str">
        <f t="shared" si="3"/>
        <v>EUR_YC3MRH_AB3EBASIS35Y</v>
      </c>
      <c r="L39" s="175" t="str">
        <f>_xll.qlSwapRateHelper2(K39,$J39,$C39,Calendar,$F39,$G39,$H39,$L$4,$I39,B39,DiscountingCurve,Permanent,,ObjectOverwrite)</f>
        <v>EUR_YC3MRH_AB3EBASIS35Y#0002</v>
      </c>
      <c r="M39" s="174" t="str">
        <f>_xll.ohRangeRetrieveError(L39)</f>
        <v/>
      </c>
      <c r="N39" s="173"/>
    </row>
    <row r="40" spans="1:14" x14ac:dyDescent="0.2">
      <c r="A40" s="99"/>
      <c r="B40" s="178" t="str">
        <f t="shared" si="4"/>
        <v>0D</v>
      </c>
      <c r="C40" s="178" t="s">
        <v>13</v>
      </c>
      <c r="D40" s="178" t="str">
        <f t="shared" si="5"/>
        <v>AB</v>
      </c>
      <c r="E40" s="178" t="str">
        <f t="shared" si="6"/>
        <v>3E</v>
      </c>
      <c r="F40" s="157" t="str">
        <f t="shared" si="0"/>
        <v>Annual</v>
      </c>
      <c r="G40" s="157" t="s">
        <v>162</v>
      </c>
      <c r="H40" s="157" t="str">
        <f t="shared" si="1"/>
        <v>30/360 (Bond Basis)</v>
      </c>
      <c r="I40" s="177">
        <v>0</v>
      </c>
      <c r="J40" s="176" t="str">
        <f t="shared" si="2"/>
        <v>EURAB3EBASIS40Y_Quote</v>
      </c>
      <c r="K40" s="176" t="str">
        <f t="shared" si="3"/>
        <v>EUR_YC3MRH_AB3EBASIS40Y</v>
      </c>
      <c r="L40" s="175" t="str">
        <f>_xll.qlSwapRateHelper2(K40,$J40,$C40,Calendar,$F40,$G40,$H40,$L$4,$I40,B40,DiscountingCurve,Permanent,,ObjectOverwrite)</f>
        <v>EUR_YC3MRH_AB3EBASIS40Y#0002</v>
      </c>
      <c r="M40" s="174" t="str">
        <f>_xll.ohRangeRetrieveError(L40)</f>
        <v/>
      </c>
      <c r="N40" s="173"/>
    </row>
    <row r="41" spans="1:14" x14ac:dyDescent="0.2">
      <c r="A41" s="99"/>
      <c r="B41" s="178" t="str">
        <f t="shared" si="4"/>
        <v>0D</v>
      </c>
      <c r="C41" s="178" t="s">
        <v>12</v>
      </c>
      <c r="D41" s="178" t="str">
        <f t="shared" si="5"/>
        <v>AB</v>
      </c>
      <c r="E41" s="178" t="str">
        <f t="shared" si="6"/>
        <v>3E</v>
      </c>
      <c r="F41" s="157" t="str">
        <f t="shared" si="0"/>
        <v>Annual</v>
      </c>
      <c r="G41" s="157" t="s">
        <v>162</v>
      </c>
      <c r="H41" s="157" t="str">
        <f t="shared" si="1"/>
        <v>30/360 (Bond Basis)</v>
      </c>
      <c r="I41" s="177">
        <v>0</v>
      </c>
      <c r="J41" s="176" t="str">
        <f t="shared" si="2"/>
        <v>EURAB3EBASIS50Y_Quote</v>
      </c>
      <c r="K41" s="176" t="str">
        <f t="shared" si="3"/>
        <v>EUR_YC3MRH_AB3EBASIS50Y</v>
      </c>
      <c r="L41" s="175" t="str">
        <f>_xll.qlSwapRateHelper2(K41,$J41,$C41,Calendar,$F41,$G41,$H41,$L$4,$I41,B41,DiscountingCurve,Permanent,,ObjectOverwrite)</f>
        <v>EUR_YC3MRH_AB3EBASIS50Y#0002</v>
      </c>
      <c r="M41" s="174" t="str">
        <f>_xll.ohRangeRetrieveError(L41)</f>
        <v/>
      </c>
      <c r="N41" s="173"/>
    </row>
    <row r="42" spans="1:14" x14ac:dyDescent="0.2">
      <c r="A42" s="99"/>
      <c r="B42" s="178" t="str">
        <f t="shared" si="4"/>
        <v>0D</v>
      </c>
      <c r="C42" s="178" t="s">
        <v>11</v>
      </c>
      <c r="D42" s="178" t="str">
        <f t="shared" si="5"/>
        <v>AB</v>
      </c>
      <c r="E42" s="178" t="str">
        <f t="shared" si="6"/>
        <v>3E</v>
      </c>
      <c r="F42" s="157" t="str">
        <f t="shared" si="0"/>
        <v>Annual</v>
      </c>
      <c r="G42" s="157" t="s">
        <v>162</v>
      </c>
      <c r="H42" s="157" t="str">
        <f t="shared" si="1"/>
        <v>30/360 (Bond Basis)</v>
      </c>
      <c r="I42" s="177">
        <v>0</v>
      </c>
      <c r="J42" s="176" t="str">
        <f t="shared" si="2"/>
        <v>EURAB3EBASIS60Y_Quote</v>
      </c>
      <c r="K42" s="176" t="str">
        <f t="shared" si="3"/>
        <v>EUR_YC3MRH_AB3EBASIS60Y</v>
      </c>
      <c r="L42" s="175" t="str">
        <f>_xll.qlSwapRateHelper2(K42,$J42,$C42,Calendar,$F42,$G42,$H42,$L$4,$I42,B42,DiscountingCurve,Permanent,,ObjectOverwrite)</f>
        <v>EUR_YC3MRH_AB3EBASIS60Y#0002</v>
      </c>
      <c r="M42" s="174" t="str">
        <f>_xll.ohRangeRetrieveError(L42)</f>
        <v/>
      </c>
      <c r="N42" s="173"/>
    </row>
    <row r="43" spans="1:14" ht="12" thickBot="1" x14ac:dyDescent="0.25">
      <c r="A43" s="91"/>
      <c r="B43" s="90"/>
      <c r="C43" s="90"/>
      <c r="D43" s="90"/>
      <c r="E43" s="90"/>
      <c r="F43" s="90"/>
      <c r="G43" s="90"/>
      <c r="H43" s="90"/>
      <c r="I43" s="90"/>
      <c r="J43" s="90"/>
      <c r="K43" s="90"/>
      <c r="L43" s="130"/>
      <c r="M43" s="130"/>
      <c r="N43" s="19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37</vt:i4>
      </vt:variant>
    </vt:vector>
  </HeadingPairs>
  <TitlesOfParts>
    <vt:vector size="45"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2014-01-07T10:29:47Z</dcterms:created>
  <dcterms:modified xsi:type="dcterms:W3CDTF">2014-03-04T12:05:26Z</dcterms:modified>
</cp:coreProperties>
</file>