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asis3Minterpolation">'Delta 3M'!$T$1</definedName>
    <definedName name="basis6Minterpolation">'Delta 6M '!$T$1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elta3Minterpolation">'Delta 3M'!$N$1</definedName>
    <definedName name="delta6Minterpolation">'Delta 6M '!$N$1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6" i="42" l="1"/>
  <c r="D6" i="42" s="1"/>
  <c r="C5" i="42"/>
  <c r="D5" i="42" s="1"/>
  <c r="C4" i="42"/>
  <c r="D4" i="42" s="1"/>
  <c r="J13" i="49" l="1"/>
  <c r="J13" i="39"/>
  <c r="B5" i="39"/>
  <c r="B6" i="39"/>
  <c r="B7" i="39"/>
  <c r="B4" i="39"/>
  <c r="J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L4" i="39"/>
  <c r="L3" i="39"/>
  <c r="L4" i="43"/>
  <c r="L3" i="43"/>
  <c r="C4" i="43"/>
  <c r="C4" i="39"/>
  <c r="C5" i="43"/>
  <c r="C6" i="43"/>
  <c r="C7" i="43"/>
  <c r="Q3" i="45" l="1"/>
  <c r="Q4" i="47" l="1"/>
  <c r="Q3" i="47"/>
  <c r="J6" i="47"/>
  <c r="J7" i="47"/>
  <c r="J8" i="47"/>
  <c r="J9" i="47"/>
  <c r="J10" i="47"/>
  <c r="J5" i="47"/>
  <c r="J4" i="47"/>
  <c r="K1" i="47"/>
  <c r="K5" i="47"/>
  <c r="S5" i="47" s="1"/>
  <c r="K9" i="47"/>
  <c r="L1" i="47"/>
  <c r="T9" i="47"/>
  <c r="K4" i="47"/>
  <c r="S4" i="47"/>
  <c r="K6" i="47"/>
  <c r="L6" i="47" s="1"/>
  <c r="S6" i="47"/>
  <c r="K8" i="47"/>
  <c r="S8" i="47"/>
  <c r="O8" i="47"/>
  <c r="O5" i="47"/>
  <c r="L9" i="47"/>
  <c r="T5" i="47"/>
  <c r="L4" i="47"/>
  <c r="O4" i="47"/>
  <c r="J5" i="45" l="1"/>
  <c r="J6" i="45"/>
  <c r="J7" i="45"/>
  <c r="J8" i="45"/>
  <c r="J9" i="45"/>
  <c r="J4" i="45"/>
  <c r="O9" i="47"/>
  <c r="S9" i="47"/>
  <c r="K10" i="47"/>
  <c r="S10" i="47"/>
  <c r="K8" i="45"/>
  <c r="T8" i="45" s="1"/>
  <c r="T6" i="47"/>
  <c r="O10" i="47"/>
  <c r="T10" i="47"/>
  <c r="K5" i="45"/>
  <c r="O6" i="47"/>
  <c r="L5" i="45"/>
  <c r="L1" i="45"/>
  <c r="L8" i="47"/>
  <c r="S8" i="45"/>
  <c r="K4" i="45"/>
  <c r="S5" i="45"/>
  <c r="T8" i="47"/>
  <c r="K9" i="45"/>
  <c r="T9" i="45"/>
  <c r="K7" i="45"/>
  <c r="S7" i="45"/>
  <c r="S4" i="45"/>
  <c r="O9" i="45"/>
  <c r="T5" i="45"/>
  <c r="K6" i="45"/>
  <c r="K7" i="47"/>
  <c r="S6" i="45"/>
  <c r="T4" i="47"/>
  <c r="L4" i="45"/>
  <c r="L5" i="47"/>
  <c r="T4" i="45"/>
  <c r="O6" i="45"/>
  <c r="O7" i="45"/>
  <c r="T7" i="45"/>
  <c r="L6" i="45"/>
  <c r="T6" i="45"/>
  <c r="T7" i="47"/>
  <c r="S7" i="47"/>
  <c r="O7" i="47"/>
  <c r="O4" i="45"/>
  <c r="S9" i="45"/>
  <c r="L9" i="45"/>
  <c r="O8" i="45"/>
  <c r="L10" i="47"/>
  <c r="L7" i="45"/>
  <c r="L8" i="45"/>
  <c r="O5" i="45"/>
  <c r="L7" i="47"/>
  <c r="C6" i="39" l="1"/>
  <c r="C7" i="39"/>
  <c r="C5" i="39"/>
  <c r="D5" i="40" l="1"/>
  <c r="D4" i="40"/>
  <c r="A6" i="40"/>
  <c r="A7" i="40" s="1"/>
  <c r="A8" i="40" s="1"/>
  <c r="A9" i="40" l="1"/>
  <c r="D8" i="40"/>
  <c r="D7" i="40"/>
  <c r="D6" i="40"/>
  <c r="A10" i="40" l="1"/>
  <c r="D9" i="40"/>
  <c r="A11" i="40" l="1"/>
  <c r="D10" i="40"/>
  <c r="A12" i="40" l="1"/>
  <c r="D11" i="40"/>
  <c r="A13" i="40" l="1"/>
  <c r="D12" i="40"/>
  <c r="A14" i="40" l="1"/>
  <c r="D13" i="40"/>
  <c r="A15" i="40" l="1"/>
  <c r="D14" i="40"/>
  <c r="I21" i="29"/>
  <c r="I18" i="29"/>
  <c r="A16" i="40" l="1"/>
  <c r="D15" i="40"/>
  <c r="G75" i="33"/>
  <c r="G76" i="33"/>
  <c r="G77" i="33"/>
  <c r="G78" i="33"/>
  <c r="G79" i="33"/>
  <c r="G80" i="33"/>
  <c r="G81" i="33"/>
  <c r="G82" i="33"/>
  <c r="G83" i="33"/>
  <c r="G84" i="33"/>
  <c r="G74" i="33"/>
  <c r="A17" i="40" l="1"/>
  <c r="D16" i="40"/>
  <c r="C2" i="33"/>
  <c r="A9" i="33"/>
  <c r="A18" i="40" l="1"/>
  <c r="D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9" i="40" l="1"/>
  <c r="D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3" i="33"/>
  <c r="D49" i="33"/>
  <c r="D48" i="33"/>
  <c r="D66" i="33"/>
  <c r="D80" i="33"/>
  <c r="D64" i="33"/>
  <c r="D82" i="33"/>
  <c r="D73" i="33"/>
  <c r="D56" i="33"/>
  <c r="D74" i="33"/>
  <c r="D71" i="33"/>
  <c r="D60" i="33"/>
  <c r="D63" i="33"/>
  <c r="D65" i="33"/>
  <c r="D79" i="33"/>
  <c r="D57" i="33"/>
  <c r="D51" i="33"/>
  <c r="D75" i="33"/>
  <c r="D41" i="33"/>
  <c r="D61" i="33"/>
  <c r="D76" i="33"/>
  <c r="D46" i="33"/>
  <c r="D59" i="33"/>
  <c r="D70" i="33"/>
  <c r="D42" i="33"/>
  <c r="D68" i="33"/>
  <c r="D53" i="33"/>
  <c r="D58" i="33"/>
  <c r="D47" i="33"/>
  <c r="D52" i="33"/>
  <c r="D69" i="33"/>
  <c r="D44" i="33"/>
  <c r="D78" i="33"/>
  <c r="D43" i="33"/>
  <c r="D50" i="33"/>
  <c r="D55" i="33"/>
  <c r="D62" i="33"/>
  <c r="D54" i="33"/>
  <c r="D45" i="33"/>
  <c r="D72" i="33"/>
  <c r="D67" i="33"/>
  <c r="D84" i="33"/>
  <c r="D81" i="33"/>
  <c r="D77" i="33"/>
  <c r="A20" i="40" l="1"/>
  <c r="D19" i="40"/>
  <c r="C9" i="33"/>
  <c r="C12" i="33"/>
  <c r="C13" i="33"/>
  <c r="C8" i="33"/>
  <c r="C14" i="33"/>
  <c r="C11" i="33"/>
  <c r="C10" i="33"/>
  <c r="A4" i="33"/>
  <c r="A26" i="33"/>
  <c r="A16" i="33"/>
  <c r="E79" i="33"/>
  <c r="E55" i="33"/>
  <c r="E49" i="33"/>
  <c r="E64" i="33"/>
  <c r="E45" i="33"/>
  <c r="E47" i="33"/>
  <c r="E67" i="33"/>
  <c r="E65" i="33"/>
  <c r="E69" i="33"/>
  <c r="E77" i="33"/>
  <c r="E82" i="33"/>
  <c r="E59" i="33"/>
  <c r="E63" i="33"/>
  <c r="E41" i="33"/>
  <c r="E52" i="33"/>
  <c r="E51" i="33"/>
  <c r="E43" i="33"/>
  <c r="E56" i="33"/>
  <c r="E62" i="33"/>
  <c r="E42" i="33"/>
  <c r="E46" i="33"/>
  <c r="E70" i="33"/>
  <c r="E81" i="33"/>
  <c r="E50" i="33"/>
  <c r="E84" i="33"/>
  <c r="E74" i="33"/>
  <c r="E44" i="33"/>
  <c r="E57" i="33"/>
  <c r="E76" i="33"/>
  <c r="E71" i="33"/>
  <c r="E48" i="33"/>
  <c r="E75" i="33"/>
  <c r="E53" i="33"/>
  <c r="E68" i="33"/>
  <c r="E80" i="33"/>
  <c r="E73" i="33"/>
  <c r="E54" i="33"/>
  <c r="E83" i="33"/>
  <c r="E78" i="33"/>
  <c r="E66" i="33"/>
  <c r="E60" i="33"/>
  <c r="E61" i="33"/>
  <c r="E72" i="33"/>
  <c r="E58" i="33"/>
  <c r="A21" i="40" l="1"/>
  <c r="D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1" i="33"/>
  <c r="D23" i="33"/>
  <c r="D9" i="33"/>
  <c r="D27" i="33"/>
  <c r="D8" i="33"/>
  <c r="D25" i="33"/>
  <c r="D12" i="33"/>
  <c r="D5" i="33"/>
  <c r="D35" i="33"/>
  <c r="D21" i="33"/>
  <c r="D28" i="33"/>
  <c r="D13" i="33"/>
  <c r="D7" i="33"/>
  <c r="D24" i="33"/>
  <c r="D40" i="33"/>
  <c r="B1" i="29"/>
  <c r="D15" i="33"/>
  <c r="D6" i="33"/>
  <c r="D14" i="33"/>
  <c r="D38" i="33"/>
  <c r="D32" i="33"/>
  <c r="D36" i="33"/>
  <c r="D26" i="33"/>
  <c r="D34" i="33"/>
  <c r="D10" i="33"/>
  <c r="D33" i="33"/>
  <c r="D4" i="33"/>
  <c r="D37" i="33"/>
  <c r="D18" i="29"/>
  <c r="D20" i="33"/>
  <c r="D3" i="33"/>
  <c r="D22" i="33"/>
  <c r="D11" i="33"/>
  <c r="D18" i="33"/>
  <c r="D29" i="33"/>
  <c r="D16" i="33"/>
  <c r="D17" i="29"/>
  <c r="D23" i="35"/>
  <c r="D30" i="33"/>
  <c r="D17" i="33"/>
  <c r="D19" i="33"/>
  <c r="D39" i="33"/>
  <c r="D26" i="35"/>
  <c r="E30" i="49"/>
  <c r="E25" i="49"/>
  <c r="D15" i="35"/>
  <c r="D13" i="35"/>
  <c r="E19" i="39"/>
  <c r="D17" i="35"/>
  <c r="D10" i="35"/>
  <c r="E22" i="39"/>
  <c r="D5" i="35"/>
  <c r="D14" i="35"/>
  <c r="D7" i="39"/>
  <c r="E19" i="49"/>
  <c r="D34" i="35"/>
  <c r="E20" i="49"/>
  <c r="D3" i="35"/>
  <c r="D6" i="49"/>
  <c r="E23" i="39"/>
  <c r="D31" i="35"/>
  <c r="E20" i="39"/>
  <c r="E26" i="49"/>
  <c r="D20" i="35"/>
  <c r="E19" i="48"/>
  <c r="E27" i="49"/>
  <c r="C7" i="42"/>
  <c r="P36" i="47"/>
  <c r="E28" i="49"/>
  <c r="D2" i="35"/>
  <c r="E21" i="49"/>
  <c r="D6" i="39"/>
  <c r="D5" i="49"/>
  <c r="D6" i="48"/>
  <c r="D6" i="35"/>
  <c r="E16" i="39"/>
  <c r="E17" i="48"/>
  <c r="E16" i="43"/>
  <c r="D36" i="35"/>
  <c r="E20" i="43"/>
  <c r="P31" i="47"/>
  <c r="E18" i="43"/>
  <c r="D30" i="35"/>
  <c r="D46" i="35"/>
  <c r="E16" i="49"/>
  <c r="E21" i="43"/>
  <c r="D39" i="35"/>
  <c r="E24" i="49"/>
  <c r="D41" i="35"/>
  <c r="E17" i="43"/>
  <c r="D8" i="35"/>
  <c r="D7" i="35"/>
  <c r="P34" i="47"/>
  <c r="D6" i="43"/>
  <c r="D21" i="35"/>
  <c r="D50" i="35"/>
  <c r="P32" i="47"/>
  <c r="D35" i="35"/>
  <c r="D9" i="35"/>
  <c r="D49" i="35"/>
  <c r="E15" i="49"/>
  <c r="P35" i="47"/>
  <c r="D40" i="35"/>
  <c r="D47" i="35"/>
  <c r="D38" i="35"/>
  <c r="D5" i="39"/>
  <c r="D7" i="48"/>
  <c r="D27" i="35"/>
  <c r="D48" i="35"/>
  <c r="E16" i="48"/>
  <c r="D24" i="35"/>
  <c r="D43" i="35"/>
  <c r="E17" i="39"/>
  <c r="E18" i="49"/>
  <c r="D5" i="48"/>
  <c r="G5" i="48" s="1"/>
  <c r="E15" i="39"/>
  <c r="D12" i="35"/>
  <c r="D7" i="49"/>
  <c r="D4" i="35"/>
  <c r="E29" i="49"/>
  <c r="D16" i="35"/>
  <c r="D7" i="43"/>
  <c r="D33" i="35"/>
  <c r="E22" i="49"/>
  <c r="D44" i="35"/>
  <c r="P33" i="47"/>
  <c r="D45" i="35"/>
  <c r="E19" i="43"/>
  <c r="E17" i="49"/>
  <c r="D28" i="35"/>
  <c r="E15" i="48"/>
  <c r="D22" i="35"/>
  <c r="E23" i="49"/>
  <c r="D11" i="35"/>
  <c r="E21" i="39"/>
  <c r="D19" i="35"/>
  <c r="D32" i="35"/>
  <c r="E24" i="39"/>
  <c r="E18" i="39"/>
  <c r="D29" i="35"/>
  <c r="D18" i="35"/>
  <c r="E18" i="48"/>
  <c r="D42" i="35"/>
  <c r="D25" i="35"/>
  <c r="D5" i="43"/>
  <c r="G5" i="43" s="1"/>
  <c r="E15" i="43"/>
  <c r="D37" i="35"/>
  <c r="D3" i="40" l="1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E3" i="40"/>
  <c r="J3" i="45"/>
  <c r="J3" i="47"/>
  <c r="E3" i="42"/>
  <c r="AB3" i="43"/>
  <c r="D16" i="43"/>
  <c r="D20" i="43"/>
  <c r="D21" i="43"/>
  <c r="D4" i="43"/>
  <c r="D19" i="43"/>
  <c r="D15" i="43"/>
  <c r="D18" i="43"/>
  <c r="D17" i="43"/>
  <c r="D16" i="39"/>
  <c r="D4" i="39"/>
  <c r="D21" i="40"/>
  <c r="D21" i="39"/>
  <c r="D22" i="39"/>
  <c r="D23" i="39"/>
  <c r="D20" i="39"/>
  <c r="D19" i="39"/>
  <c r="D15" i="39"/>
  <c r="D24" i="39"/>
  <c r="D18" i="39"/>
  <c r="AB3" i="39"/>
  <c r="D17" i="39"/>
  <c r="G6" i="48"/>
  <c r="G7" i="49"/>
  <c r="E6" i="42"/>
  <c r="F3" i="40"/>
  <c r="G7" i="48"/>
  <c r="F3" i="42"/>
  <c r="E4" i="42"/>
  <c r="E6" i="48"/>
  <c r="G5" i="49"/>
  <c r="E5" i="42"/>
  <c r="E5" i="48"/>
  <c r="E5" i="43"/>
  <c r="G6" i="49"/>
  <c r="R3" i="42" l="1"/>
  <c r="R3" i="40"/>
  <c r="F4" i="42"/>
  <c r="F6" i="42"/>
  <c r="G6" i="42" s="1"/>
  <c r="G4" i="42"/>
  <c r="F5" i="42"/>
  <c r="G5" i="42" s="1"/>
  <c r="D2" i="33" l="1"/>
  <c r="D7" i="42" l="1"/>
  <c r="E5" i="49"/>
  <c r="E16" i="40"/>
  <c r="E7" i="40"/>
  <c r="E15" i="40"/>
  <c r="F19" i="43"/>
  <c r="AC3" i="49"/>
  <c r="E7" i="43"/>
  <c r="G4" i="43"/>
  <c r="F16" i="39"/>
  <c r="E21" i="40"/>
  <c r="AB4" i="43"/>
  <c r="F16" i="49"/>
  <c r="G6" i="43"/>
  <c r="F22" i="49"/>
  <c r="E9" i="40"/>
  <c r="F23" i="49"/>
  <c r="F19" i="49"/>
  <c r="F28" i="49"/>
  <c r="F15" i="43"/>
  <c r="E4" i="39"/>
  <c r="F21" i="49"/>
  <c r="E4" i="43"/>
  <c r="F18" i="39"/>
  <c r="E5" i="39"/>
  <c r="F17" i="49"/>
  <c r="F15" i="39"/>
  <c r="G3" i="42"/>
  <c r="K3" i="45"/>
  <c r="G4" i="39"/>
  <c r="E7" i="48"/>
  <c r="F24" i="39"/>
  <c r="E4" i="48"/>
  <c r="E17" i="40"/>
  <c r="O3" i="45"/>
  <c r="AC3" i="39"/>
  <c r="F19" i="39"/>
  <c r="E11" i="40"/>
  <c r="F17" i="48"/>
  <c r="F24" i="49"/>
  <c r="AB4" i="39"/>
  <c r="S3" i="45"/>
  <c r="F19" i="48"/>
  <c r="F29" i="49"/>
  <c r="AC3" i="43"/>
  <c r="G4" i="48"/>
  <c r="E20" i="40"/>
  <c r="E7" i="39"/>
  <c r="F20" i="39"/>
  <c r="G6" i="39"/>
  <c r="F15" i="49"/>
  <c r="F16" i="43"/>
  <c r="F20" i="43"/>
  <c r="L13" i="45" a="1"/>
  <c r="R4" i="42"/>
  <c r="F26" i="49"/>
  <c r="E5" i="40"/>
  <c r="E13" i="40"/>
  <c r="G7" i="39"/>
  <c r="F18" i="49"/>
  <c r="E4" i="40"/>
  <c r="F17" i="39"/>
  <c r="F25" i="49"/>
  <c r="G4" i="49"/>
  <c r="E7" i="49"/>
  <c r="AC3" i="48"/>
  <c r="K3" i="47"/>
  <c r="E19" i="40"/>
  <c r="E8" i="40"/>
  <c r="E6" i="43"/>
  <c r="F22" i="39"/>
  <c r="AB4" i="49"/>
  <c r="G5" i="39"/>
  <c r="G7" i="43"/>
  <c r="E6" i="40"/>
  <c r="H6" i="48"/>
  <c r="E6" i="39"/>
  <c r="F27" i="49"/>
  <c r="E12" i="40"/>
  <c r="H5" i="48"/>
  <c r="T3" i="45"/>
  <c r="E10" i="40"/>
  <c r="F15" i="48"/>
  <c r="F18" i="48"/>
  <c r="F21" i="43"/>
  <c r="F17" i="43"/>
  <c r="F23" i="39"/>
  <c r="E6" i="49"/>
  <c r="AB4" i="48"/>
  <c r="AB5" i="48" s="1"/>
  <c r="E4" i="49"/>
  <c r="E18" i="40"/>
  <c r="E14" i="40"/>
  <c r="F16" i="48"/>
  <c r="R4" i="40"/>
  <c r="S3" i="47"/>
  <c r="G3" i="40"/>
  <c r="F18" i="43"/>
  <c r="L3" i="45"/>
  <c r="F20" i="49"/>
  <c r="F30" i="49"/>
  <c r="F21" i="39"/>
  <c r="T3" i="47"/>
  <c r="L3" i="47"/>
  <c r="O3" i="47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F21" i="40"/>
  <c r="H4" i="43"/>
  <c r="R5" i="40"/>
  <c r="H6" i="49"/>
  <c r="F11" i="40"/>
  <c r="F5" i="40"/>
  <c r="AC4" i="49"/>
  <c r="H5" i="39"/>
  <c r="H4" i="49"/>
  <c r="H5" i="49"/>
  <c r="F18" i="40"/>
  <c r="F10" i="40"/>
  <c r="H7" i="49"/>
  <c r="H6" i="39"/>
  <c r="F15" i="40"/>
  <c r="R5" i="42"/>
  <c r="H7" i="48"/>
  <c r="F14" i="40"/>
  <c r="F13" i="40"/>
  <c r="F6" i="40"/>
  <c r="AC5" i="48"/>
  <c r="AC4" i="39"/>
  <c r="AB6" i="48"/>
  <c r="AC6" i="48" s="1"/>
  <c r="F9" i="40"/>
  <c r="AC4" i="43"/>
  <c r="AB5" i="49"/>
  <c r="F20" i="40"/>
  <c r="F7" i="40"/>
  <c r="AC4" i="48"/>
  <c r="F19" i="40"/>
  <c r="F16" i="40"/>
  <c r="F17" i="40"/>
  <c r="F12" i="40"/>
  <c r="H4" i="39"/>
  <c r="F4" i="40"/>
  <c r="H4" i="48"/>
  <c r="H7" i="39"/>
  <c r="F8" i="40"/>
  <c r="K4" i="48" l="1"/>
  <c r="J4" i="48"/>
  <c r="I4" i="48"/>
  <c r="K6" i="39"/>
  <c r="J6" i="39"/>
  <c r="I6" i="39"/>
  <c r="I7" i="49"/>
  <c r="J7" i="49"/>
  <c r="K7" i="49"/>
  <c r="J5" i="49"/>
  <c r="I5" i="49"/>
  <c r="K5" i="49"/>
  <c r="K7" i="39"/>
  <c r="J7" i="39"/>
  <c r="I7" i="39"/>
  <c r="J7" i="48"/>
  <c r="I7" i="48"/>
  <c r="K7" i="48"/>
  <c r="K6" i="49"/>
  <c r="J6" i="49"/>
  <c r="I6" i="49"/>
  <c r="K4" i="49"/>
  <c r="J4" i="49"/>
  <c r="I4" i="49"/>
  <c r="J4" i="39"/>
  <c r="I4" i="39"/>
  <c r="K4" i="39"/>
  <c r="K5" i="39"/>
  <c r="J5" i="39"/>
  <c r="I5" i="39"/>
  <c r="J4" i="43"/>
  <c r="K4" i="43"/>
  <c r="I4" i="43"/>
  <c r="AB6" i="49"/>
  <c r="E38" i="33"/>
  <c r="D19" i="29"/>
  <c r="G9" i="40"/>
  <c r="AB5" i="39"/>
  <c r="D20" i="29"/>
  <c r="G17" i="40"/>
  <c r="E35" i="33"/>
  <c r="E23" i="33"/>
  <c r="E34" i="33"/>
  <c r="E24" i="33"/>
  <c r="E7" i="33"/>
  <c r="G11" i="40"/>
  <c r="G6" i="40"/>
  <c r="G7" i="40"/>
  <c r="E3" i="33"/>
  <c r="E30" i="33"/>
  <c r="G21" i="40"/>
  <c r="E33" i="33"/>
  <c r="E6" i="33"/>
  <c r="R6" i="40"/>
  <c r="O14" i="47" a="1"/>
  <c r="AC5" i="49"/>
  <c r="G18" i="40"/>
  <c r="G20" i="40"/>
  <c r="E21" i="33"/>
  <c r="G14" i="40"/>
  <c r="E28" i="33"/>
  <c r="G15" i="40"/>
  <c r="E27" i="33"/>
  <c r="H7" i="43"/>
  <c r="E7" i="42"/>
  <c r="S13" i="45" a="1"/>
  <c r="AB5" i="43"/>
  <c r="E19" i="33"/>
  <c r="E31" i="33"/>
  <c r="E25" i="33"/>
  <c r="E18" i="33"/>
  <c r="R13" i="45" a="1"/>
  <c r="AC5" i="43"/>
  <c r="R6" i="42"/>
  <c r="E5" i="33"/>
  <c r="H6" i="43"/>
  <c r="E36" i="33"/>
  <c r="G19" i="40"/>
  <c r="E29" i="33"/>
  <c r="E39" i="33"/>
  <c r="E17" i="33"/>
  <c r="O13" i="45" a="1"/>
  <c r="G16" i="40"/>
  <c r="G12" i="40"/>
  <c r="S14" i="47" a="1"/>
  <c r="E26" i="33"/>
  <c r="AB7" i="48"/>
  <c r="AB8" i="48" s="1"/>
  <c r="AB9" i="48" s="1"/>
  <c r="AC7" i="48"/>
  <c r="E16" i="33"/>
  <c r="E22" i="33"/>
  <c r="E4" i="33"/>
  <c r="L14" i="47" a="1"/>
  <c r="R14" i="47" a="1"/>
  <c r="E32" i="33"/>
  <c r="I34" i="29"/>
  <c r="H37" i="29"/>
  <c r="E40" i="33"/>
  <c r="E20" i="33"/>
  <c r="H5" i="43"/>
  <c r="E15" i="33"/>
  <c r="E37" i="33"/>
  <c r="AC8" i="48"/>
  <c r="AB7" i="49"/>
  <c r="AC6" i="49"/>
  <c r="C8" i="42"/>
  <c r="F7" i="42"/>
  <c r="AC9" i="48"/>
  <c r="AB10" i="48"/>
  <c r="H38" i="29"/>
  <c r="I28" i="29"/>
  <c r="AB8" i="49"/>
  <c r="AC7" i="49"/>
  <c r="AC10" i="48"/>
  <c r="AB11" i="48"/>
  <c r="AB9" i="49"/>
  <c r="AC8" i="49"/>
  <c r="AB12" i="48"/>
  <c r="AC11" i="48"/>
  <c r="AC9" i="49"/>
  <c r="AB10" i="49"/>
  <c r="AC12" i="48"/>
  <c r="AB13" i="48"/>
  <c r="AC10" i="49"/>
  <c r="AB11" i="49"/>
  <c r="AB14" i="48"/>
  <c r="AC13" i="48"/>
  <c r="AB12" i="49"/>
  <c r="AC11" i="49"/>
  <c r="AC14" i="48"/>
  <c r="AB15" i="48"/>
  <c r="AB13" i="49"/>
  <c r="AC12" i="49"/>
  <c r="AB16" i="48"/>
  <c r="AC15" i="48"/>
  <c r="AB14" i="49"/>
  <c r="AC13" i="49"/>
  <c r="AC16" i="48"/>
  <c r="AB17" i="48"/>
  <c r="AB15" i="49"/>
  <c r="AC14" i="49"/>
  <c r="AC17" i="48"/>
  <c r="AB18" i="48"/>
  <c r="AB16" i="49"/>
  <c r="AC15" i="49"/>
  <c r="AC18" i="48"/>
  <c r="AB19" i="48"/>
  <c r="AC16" i="49"/>
  <c r="AB17" i="49"/>
  <c r="AC19" i="48"/>
  <c r="AB20" i="48"/>
  <c r="AC17" i="49"/>
  <c r="AB18" i="49"/>
  <c r="AC20" i="48"/>
  <c r="AB21" i="48"/>
  <c r="AC18" i="49"/>
  <c r="AB19" i="49"/>
  <c r="AC21" i="48"/>
  <c r="AB22" i="48"/>
  <c r="AB20" i="49"/>
  <c r="AC19" i="49"/>
  <c r="AC22" i="48"/>
  <c r="AB23" i="48"/>
  <c r="AB21" i="49"/>
  <c r="AC20" i="49"/>
  <c r="AC23" i="48"/>
  <c r="AB24" i="48"/>
  <c r="AC21" i="49"/>
  <c r="AB22" i="49"/>
  <c r="AC24" i="48"/>
  <c r="AB25" i="48"/>
  <c r="AC22" i="49"/>
  <c r="AB23" i="49"/>
  <c r="AC25" i="48"/>
  <c r="AB26" i="48"/>
  <c r="AB24" i="49"/>
  <c r="AC23" i="49"/>
  <c r="AB25" i="49"/>
  <c r="AC24" i="49"/>
  <c r="AC25" i="49"/>
  <c r="AB26" i="49"/>
  <c r="AB27" i="49"/>
  <c r="AC26" i="49"/>
  <c r="AC27" i="49"/>
  <c r="AB28" i="49"/>
  <c r="AC28" i="49"/>
  <c r="AB29" i="49"/>
  <c r="AB30" i="49"/>
  <c r="AC29" i="49"/>
  <c r="AC30" i="49"/>
  <c r="AB31" i="49"/>
  <c r="AB32" i="49"/>
  <c r="AC31" i="49"/>
  <c r="AC32" i="49"/>
  <c r="AB33" i="49"/>
  <c r="AC33" i="49"/>
  <c r="AB34" i="49"/>
  <c r="AC34" i="49"/>
  <c r="AB35" i="49"/>
  <c r="AB36" i="49"/>
  <c r="AC35" i="49"/>
  <c r="AC36" i="49"/>
  <c r="AB37" i="49"/>
  <c r="AB38" i="49"/>
  <c r="AC37" i="49"/>
  <c r="AC38" i="49"/>
  <c r="AB39" i="49"/>
  <c r="AB40" i="49"/>
  <c r="AC39" i="49"/>
  <c r="AC40" i="49"/>
  <c r="AB41" i="49"/>
  <c r="AC41" i="49"/>
  <c r="AB42" i="49"/>
  <c r="AB43" i="49"/>
  <c r="AC42" i="49"/>
  <c r="AB44" i="49"/>
  <c r="AC43" i="49"/>
  <c r="AB45" i="49"/>
  <c r="AC44" i="49"/>
  <c r="AB46" i="49"/>
  <c r="AC45" i="49"/>
  <c r="AB47" i="49"/>
  <c r="AC46" i="49"/>
  <c r="AC47" i="49"/>
  <c r="AB48" i="49"/>
  <c r="AB49" i="49"/>
  <c r="AC48" i="49"/>
  <c r="AC49" i="49"/>
  <c r="AB50" i="49"/>
  <c r="AB51" i="49"/>
  <c r="AC50" i="49"/>
  <c r="AB52" i="49"/>
  <c r="AC51" i="49"/>
  <c r="AC52" i="49"/>
  <c r="AB53" i="49"/>
  <c r="AB54" i="49"/>
  <c r="AC53" i="49"/>
  <c r="AC54" i="49"/>
  <c r="AB55" i="49"/>
  <c r="AB56" i="49"/>
  <c r="AC55" i="49"/>
  <c r="AC56" i="49"/>
  <c r="AB57" i="49"/>
  <c r="AB58" i="49"/>
  <c r="AC57" i="49"/>
  <c r="AC58" i="49"/>
  <c r="AB59" i="49"/>
  <c r="AC59" i="49"/>
  <c r="AB60" i="49"/>
  <c r="AC60" i="49"/>
  <c r="AB61" i="49"/>
  <c r="AB62" i="49"/>
  <c r="AC61" i="49"/>
  <c r="AB63" i="49"/>
  <c r="AC62" i="49"/>
  <c r="AB64" i="49"/>
  <c r="AC63" i="49"/>
  <c r="AC64" i="49"/>
  <c r="AB65" i="49"/>
  <c r="AB66" i="49"/>
  <c r="AC65" i="49"/>
  <c r="AC66" i="49"/>
  <c r="AB67" i="49"/>
  <c r="AB68" i="49"/>
  <c r="AC67" i="49"/>
  <c r="AC68" i="49"/>
  <c r="AB69" i="49"/>
  <c r="AC69" i="49"/>
  <c r="AB70" i="49"/>
  <c r="AB71" i="49"/>
  <c r="AC70" i="49"/>
  <c r="AB72" i="49"/>
  <c r="AC71" i="49"/>
  <c r="AB73" i="49"/>
  <c r="AC72" i="49"/>
  <c r="AC73" i="49"/>
  <c r="AB74" i="49"/>
  <c r="AB75" i="49"/>
  <c r="AC74" i="49"/>
  <c r="AB76" i="49"/>
  <c r="AC75" i="49"/>
  <c r="AC76" i="49"/>
  <c r="AB77" i="49"/>
  <c r="AB78" i="49"/>
  <c r="AC77" i="49"/>
  <c r="AB79" i="49"/>
  <c r="AC78" i="49"/>
  <c r="AC79" i="49"/>
  <c r="AB80" i="49"/>
  <c r="AB81" i="49"/>
  <c r="AC80" i="49"/>
  <c r="AC81" i="49"/>
  <c r="AB82" i="49"/>
  <c r="AB83" i="49"/>
  <c r="AC82" i="49"/>
  <c r="AC83" i="49"/>
  <c r="AB84" i="49"/>
  <c r="AB85" i="49"/>
  <c r="AC84" i="49"/>
  <c r="AB86" i="49"/>
  <c r="AC85" i="49"/>
  <c r="AB87" i="49"/>
  <c r="AC86" i="49"/>
  <c r="AB88" i="49"/>
  <c r="AC87" i="49"/>
  <c r="AB89" i="49"/>
  <c r="AC88" i="49"/>
  <c r="AC89" i="49"/>
  <c r="AB90" i="49"/>
  <c r="AC90" i="49"/>
  <c r="AB91" i="49"/>
  <c r="AC91" i="49"/>
  <c r="AB92" i="49"/>
  <c r="AB93" i="49"/>
  <c r="AC92" i="49"/>
  <c r="AC93" i="49"/>
  <c r="AB94" i="49"/>
  <c r="AC94" i="49"/>
  <c r="AB95" i="49"/>
  <c r="AC95" i="49"/>
  <c r="AB96" i="49"/>
  <c r="AC96" i="49"/>
  <c r="AB97" i="49"/>
  <c r="AB98" i="49"/>
  <c r="AC97" i="49"/>
  <c r="AC98" i="49"/>
  <c r="AB99" i="49"/>
  <c r="AC99" i="49"/>
  <c r="AB100" i="49"/>
  <c r="AC100" i="49"/>
  <c r="AB101" i="49"/>
  <c r="AB102" i="49"/>
  <c r="AC101" i="49"/>
  <c r="AC102" i="49"/>
  <c r="AB103" i="49"/>
  <c r="AB104" i="49"/>
  <c r="AC103" i="49"/>
  <c r="AB105" i="49"/>
  <c r="AC104" i="49"/>
  <c r="AC105" i="49"/>
  <c r="AB106" i="49"/>
  <c r="AB107" i="49"/>
  <c r="AC106" i="49"/>
  <c r="AB108" i="49"/>
  <c r="AC107" i="49"/>
  <c r="AC108" i="49"/>
  <c r="AB109" i="49"/>
  <c r="AC109" i="49"/>
  <c r="AB110" i="49"/>
  <c r="AB111" i="49"/>
  <c r="AC110" i="49"/>
  <c r="AC111" i="49"/>
  <c r="AB112" i="49"/>
  <c r="AC112" i="49"/>
  <c r="AB113" i="49"/>
  <c r="AC113" i="49"/>
  <c r="AB114" i="49"/>
  <c r="AC114" i="49"/>
  <c r="AB115" i="49"/>
  <c r="AC115" i="49"/>
  <c r="AB116" i="49"/>
  <c r="AC116" i="49"/>
  <c r="AB117" i="49"/>
  <c r="AB118" i="49"/>
  <c r="AC117" i="49"/>
  <c r="AC118" i="49"/>
  <c r="AB119" i="49"/>
  <c r="AB120" i="49"/>
  <c r="AC119" i="49"/>
  <c r="AC120" i="49"/>
  <c r="AB121" i="49"/>
  <c r="AB122" i="49"/>
  <c r="AC121" i="49"/>
  <c r="AC122" i="49"/>
  <c r="AB123" i="49"/>
  <c r="AB124" i="49"/>
  <c r="AC123" i="49"/>
  <c r="AB125" i="49"/>
  <c r="AC124" i="49"/>
  <c r="AB126" i="49"/>
  <c r="AC125" i="49"/>
  <c r="AC126" i="49"/>
  <c r="AB127" i="49"/>
  <c r="AC127" i="49"/>
  <c r="AB128" i="49"/>
  <c r="AC128" i="49"/>
  <c r="AB129" i="49"/>
  <c r="AC129" i="49"/>
  <c r="AB130" i="49"/>
  <c r="AB131" i="49"/>
  <c r="AC130" i="49"/>
  <c r="AB132" i="49"/>
  <c r="AC131" i="49"/>
  <c r="AC132" i="49"/>
  <c r="AB133" i="49"/>
  <c r="AB134" i="49"/>
  <c r="AC133" i="49"/>
  <c r="AB135" i="49"/>
  <c r="AC134" i="49"/>
  <c r="AC135" i="49"/>
  <c r="AB136" i="49"/>
  <c r="AC136" i="49"/>
  <c r="AB137" i="49"/>
  <c r="AC137" i="49"/>
  <c r="AB138" i="49"/>
  <c r="AB139" i="49"/>
  <c r="AC138" i="49"/>
  <c r="AB140" i="49"/>
  <c r="AC139" i="49"/>
  <c r="AB141" i="49"/>
  <c r="AC140" i="49"/>
  <c r="AC141" i="49"/>
  <c r="AB142" i="49"/>
  <c r="AB143" i="49"/>
  <c r="AC142" i="49"/>
  <c r="AB144" i="49"/>
  <c r="AC143" i="49"/>
  <c r="AB145" i="49"/>
  <c r="AC144" i="49"/>
  <c r="AB146" i="49"/>
  <c r="AC145" i="49"/>
  <c r="AB147" i="49"/>
  <c r="AC146" i="49"/>
  <c r="AB148" i="49"/>
  <c r="AC147" i="49"/>
  <c r="AC148" i="49"/>
  <c r="AB149" i="49"/>
  <c r="AB150" i="49"/>
  <c r="AC149" i="49"/>
  <c r="AC150" i="49"/>
  <c r="AB151" i="49"/>
  <c r="AB152" i="49"/>
  <c r="AC151" i="49"/>
  <c r="AB153" i="49"/>
  <c r="AC152" i="49"/>
  <c r="AC153" i="49"/>
  <c r="AB154" i="49"/>
  <c r="AC154" i="49"/>
  <c r="AB155" i="49"/>
  <c r="AB156" i="49"/>
  <c r="AC155" i="49"/>
  <c r="AC156" i="49"/>
  <c r="AB157" i="49"/>
  <c r="AB158" i="49"/>
  <c r="AC157" i="49"/>
  <c r="AB159" i="49"/>
  <c r="AC158" i="49"/>
  <c r="AC159" i="49"/>
  <c r="AB160" i="49"/>
  <c r="AB161" i="49"/>
  <c r="AC160" i="49"/>
  <c r="AB162" i="49"/>
  <c r="AC161" i="49"/>
  <c r="AC162" i="49"/>
  <c r="AB163" i="49"/>
  <c r="AB164" i="49"/>
  <c r="AC163" i="49"/>
  <c r="AC164" i="49"/>
  <c r="AB165" i="49"/>
  <c r="AC165" i="49"/>
  <c r="AB166" i="49"/>
  <c r="AB167" i="49"/>
  <c r="AC166" i="49"/>
  <c r="AC167" i="49"/>
  <c r="AB168" i="49"/>
  <c r="AC168" i="49"/>
  <c r="AB169" i="49"/>
  <c r="AB170" i="49"/>
  <c r="AC169" i="49"/>
  <c r="AB171" i="49"/>
  <c r="AC170" i="49"/>
  <c r="AB172" i="49"/>
  <c r="AC171" i="49"/>
  <c r="AC172" i="49"/>
  <c r="AB173" i="49"/>
  <c r="AC173" i="49"/>
  <c r="AB174" i="49"/>
  <c r="AC174" i="49"/>
  <c r="AB175" i="49"/>
  <c r="AB176" i="49"/>
  <c r="AC175" i="49"/>
  <c r="AC176" i="49"/>
  <c r="AB177" i="49"/>
  <c r="AB178" i="49"/>
  <c r="AC177" i="49"/>
  <c r="AB179" i="49"/>
  <c r="AC178" i="49"/>
  <c r="AB180" i="49"/>
  <c r="AC179" i="49"/>
  <c r="AB181" i="49"/>
  <c r="AC180" i="49"/>
  <c r="AB182" i="49"/>
  <c r="AC181" i="49"/>
  <c r="AB183" i="49"/>
  <c r="AC182" i="49"/>
  <c r="AB184" i="49"/>
  <c r="AC183" i="49"/>
  <c r="AC184" i="49"/>
  <c r="AB185" i="49"/>
  <c r="AB186" i="49"/>
  <c r="AC185" i="49"/>
  <c r="AC186" i="49"/>
  <c r="AB187" i="49"/>
  <c r="AB188" i="49"/>
  <c r="AB189" i="49" s="1"/>
  <c r="AC189" i="49" s="1"/>
  <c r="AC187" i="49"/>
  <c r="D8" i="42" l="1"/>
  <c r="I6" i="43"/>
  <c r="K6" i="43"/>
  <c r="J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K7" i="43"/>
  <c r="J7" i="43"/>
  <c r="I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J5" i="43"/>
  <c r="K5" i="43"/>
  <c r="I5" i="43"/>
  <c r="R7" i="42"/>
  <c r="AB6" i="39"/>
  <c r="AC5" i="39"/>
  <c r="R7" i="40"/>
  <c r="R8" i="42"/>
  <c r="G8" i="40"/>
  <c r="AB6" i="43"/>
  <c r="G10" i="40"/>
  <c r="I37" i="29"/>
  <c r="G4" i="40"/>
  <c r="AB7" i="43"/>
  <c r="G5" i="40"/>
  <c r="G7" i="42"/>
  <c r="E8" i="42"/>
  <c r="AC26" i="48"/>
  <c r="I38" i="29"/>
  <c r="AC188" i="49"/>
  <c r="G13" i="40"/>
  <c r="R8" i="40"/>
  <c r="Q26" i="45"/>
  <c r="AB190" i="49"/>
  <c r="F8" i="42"/>
  <c r="AC190" i="49"/>
  <c r="AB191" i="49"/>
  <c r="AC191" i="49"/>
  <c r="P27" i="45" l="1"/>
  <c r="AB192" i="49"/>
  <c r="R9" i="40"/>
  <c r="C9" i="42"/>
  <c r="AC192" i="49"/>
  <c r="AB193" i="49"/>
  <c r="AC193" i="49"/>
  <c r="AB194" i="49"/>
  <c r="AB195" i="49"/>
  <c r="AC194" i="49"/>
  <c r="AC195" i="49"/>
  <c r="AB196" i="49"/>
  <c r="AC196" i="49"/>
  <c r="AB197" i="49"/>
  <c r="AC197" i="49"/>
  <c r="AB198" i="49"/>
  <c r="AC198" i="49"/>
  <c r="AB199" i="49"/>
  <c r="AB200" i="49"/>
  <c r="AC199" i="49"/>
  <c r="AC200" i="49"/>
  <c r="AB201" i="49"/>
  <c r="AB202" i="49"/>
  <c r="AC201" i="49"/>
  <c r="AC202" i="49"/>
  <c r="AB203" i="49"/>
  <c r="AC203" i="49"/>
  <c r="AB204" i="49"/>
  <c r="AB205" i="49"/>
  <c r="AC204" i="49"/>
  <c r="AB206" i="49"/>
  <c r="AC205" i="49"/>
  <c r="AC206" i="49"/>
  <c r="AB207" i="49"/>
  <c r="AB208" i="49"/>
  <c r="AC207" i="49"/>
  <c r="AB209" i="49"/>
  <c r="AC208" i="49"/>
  <c r="AB210" i="49"/>
  <c r="AC209" i="49"/>
  <c r="AB211" i="49"/>
  <c r="AC210" i="49"/>
  <c r="AC211" i="49"/>
  <c r="AB212" i="49"/>
  <c r="AB213" i="49"/>
  <c r="AC212" i="49"/>
  <c r="AC213" i="49"/>
  <c r="AB214" i="49"/>
  <c r="AC214" i="49"/>
  <c r="AB215" i="49"/>
  <c r="AC215" i="49"/>
  <c r="AB216" i="49"/>
  <c r="AC216" i="49"/>
  <c r="AB217" i="49"/>
  <c r="AB218" i="49"/>
  <c r="AC217" i="49"/>
  <c r="AB219" i="49"/>
  <c r="AC218" i="49"/>
  <c r="AB220" i="49"/>
  <c r="AC219" i="49"/>
  <c r="AC220" i="49"/>
  <c r="AB221" i="49"/>
  <c r="AC221" i="49"/>
  <c r="AB222" i="49"/>
  <c r="AB223" i="49"/>
  <c r="AC222" i="49"/>
  <c r="AB224" i="49"/>
  <c r="AC223" i="49"/>
  <c r="AC224" i="49"/>
  <c r="AB225" i="49"/>
  <c r="AB226" i="49"/>
  <c r="AC225" i="49"/>
  <c r="AC226" i="49"/>
  <c r="AB227" i="49"/>
  <c r="AC227" i="49"/>
  <c r="AB228" i="49"/>
  <c r="AC228" i="49"/>
  <c r="AB229" i="49"/>
  <c r="AB230" i="49"/>
  <c r="AC229" i="49"/>
  <c r="AB231" i="49"/>
  <c r="AC230" i="49"/>
  <c r="AB232" i="49"/>
  <c r="AC231" i="49"/>
  <c r="AC232" i="49"/>
  <c r="AB233" i="49"/>
  <c r="AB234" i="49"/>
  <c r="AC233" i="49"/>
  <c r="AB235" i="49"/>
  <c r="AC234" i="49"/>
  <c r="AB236" i="49"/>
  <c r="AC235" i="49"/>
  <c r="AB237" i="49"/>
  <c r="AC236" i="49"/>
  <c r="AB238" i="49"/>
  <c r="AC237" i="49"/>
  <c r="AC238" i="49"/>
  <c r="AB239" i="49"/>
  <c r="AC239" i="49"/>
  <c r="AB240" i="49"/>
  <c r="AB241" i="49"/>
  <c r="AC240" i="49"/>
  <c r="AB242" i="49"/>
  <c r="AC241" i="49"/>
  <c r="AB243" i="49"/>
  <c r="AC242" i="49"/>
  <c r="AC243" i="49"/>
  <c r="AB244" i="49"/>
  <c r="AB245" i="49"/>
  <c r="AC244" i="49"/>
  <c r="AC245" i="49"/>
  <c r="AB246" i="49"/>
  <c r="AB247" i="49"/>
  <c r="AC246" i="49"/>
  <c r="AB248" i="49"/>
  <c r="AC247" i="49"/>
  <c r="AC248" i="49"/>
  <c r="AB249" i="49"/>
  <c r="AC249" i="49"/>
  <c r="AB250" i="49"/>
  <c r="AC250" i="49"/>
  <c r="AB251" i="49"/>
  <c r="AC251" i="49"/>
  <c r="AB252" i="49"/>
  <c r="AB253" i="49"/>
  <c r="AC252" i="49"/>
  <c r="AC253" i="49"/>
  <c r="AB254" i="49"/>
  <c r="AC254" i="49"/>
  <c r="AB255" i="49"/>
  <c r="AB256" i="49"/>
  <c r="AC255" i="49"/>
  <c r="AB257" i="49"/>
  <c r="AC256" i="49"/>
  <c r="D9" i="42" l="1"/>
  <c r="F4" i="49" a="1"/>
  <c r="F4" i="48" a="1"/>
  <c r="AB8" i="43"/>
  <c r="AC8" i="43" s="1"/>
  <c r="AB9" i="43"/>
  <c r="G8" i="42"/>
  <c r="D34" i="29"/>
  <c r="AC257" i="49"/>
  <c r="E9" i="42"/>
  <c r="F9" i="42" s="1"/>
  <c r="I35" i="29"/>
  <c r="C10" i="42"/>
  <c r="E10" i="42" s="1"/>
  <c r="F10" i="42"/>
  <c r="R26" i="45"/>
  <c r="AC7" i="43"/>
  <c r="C38" i="29"/>
  <c r="D35" i="29"/>
  <c r="C11" i="42"/>
  <c r="AB7" i="39"/>
  <c r="AC7" i="39" s="1"/>
  <c r="AC6" i="39"/>
  <c r="C37" i="29"/>
  <c r="D33" i="29"/>
  <c r="R10" i="40"/>
  <c r="R11" i="40" s="1"/>
  <c r="AC6" i="43"/>
  <c r="D37" i="29"/>
  <c r="AB10" i="43"/>
  <c r="E11" i="42"/>
  <c r="C12" i="42" s="1"/>
  <c r="E12" i="42" s="1"/>
  <c r="R9" i="42"/>
  <c r="R10" i="42" s="1"/>
  <c r="Q27" i="45"/>
  <c r="D38" i="29"/>
  <c r="AC9" i="43"/>
  <c r="F11" i="42"/>
  <c r="AB11" i="43"/>
  <c r="AC11" i="43" s="1"/>
  <c r="AC10" i="43"/>
  <c r="C13" i="42"/>
  <c r="E13" i="42" s="1"/>
  <c r="F12" i="42"/>
  <c r="F13" i="42"/>
  <c r="C14" i="42"/>
  <c r="D13" i="42" l="1"/>
  <c r="D12" i="42"/>
  <c r="D11" i="42"/>
  <c r="D10" i="42"/>
  <c r="P28" i="45"/>
  <c r="D14" i="42"/>
  <c r="E14" i="42"/>
  <c r="R27" i="45"/>
  <c r="R11" i="42"/>
  <c r="G12" i="42"/>
  <c r="G11" i="42"/>
  <c r="D28" i="29"/>
  <c r="R12" i="40"/>
  <c r="AB12" i="43"/>
  <c r="AB13" i="43"/>
  <c r="AC13" i="43" s="1"/>
  <c r="AB14" i="43"/>
  <c r="G10" i="42"/>
  <c r="Q28" i="45"/>
  <c r="R28" i="45" s="1"/>
  <c r="AB8" i="39"/>
  <c r="AC8" i="39"/>
  <c r="G9" i="42"/>
  <c r="G13" i="42"/>
  <c r="AC12" i="43"/>
  <c r="C15" i="42"/>
  <c r="F14" i="42"/>
  <c r="B30" i="35"/>
  <c r="E38" i="35"/>
  <c r="C38" i="35" s="1"/>
  <c r="B27" i="35"/>
  <c r="E50" i="35"/>
  <c r="C50" i="35" s="1"/>
  <c r="B10" i="35"/>
  <c r="B6" i="35"/>
  <c r="E22" i="35"/>
  <c r="E25" i="35"/>
  <c r="C25" i="35" s="1"/>
  <c r="B21" i="35"/>
  <c r="Q32" i="47"/>
  <c r="R32" i="47" s="1"/>
  <c r="E2" i="35"/>
  <c r="C2" i="35" s="1"/>
  <c r="E46" i="35"/>
  <c r="C46" i="35" s="1"/>
  <c r="E15" i="35"/>
  <c r="C15" i="35" s="1"/>
  <c r="E9" i="35"/>
  <c r="B36" i="35"/>
  <c r="B17" i="35"/>
  <c r="B47" i="35"/>
  <c r="E12" i="35"/>
  <c r="E26" i="35"/>
  <c r="E48" i="35"/>
  <c r="B34" i="35"/>
  <c r="B50" i="35"/>
  <c r="B33" i="35"/>
  <c r="E37" i="35"/>
  <c r="C37" i="35" s="1"/>
  <c r="B49" i="35"/>
  <c r="E33" i="35"/>
  <c r="E32" i="35"/>
  <c r="B25" i="35"/>
  <c r="E40" i="35"/>
  <c r="B48" i="35"/>
  <c r="B12" i="35"/>
  <c r="B22" i="35"/>
  <c r="Q35" i="47"/>
  <c r="R35" i="47" s="1"/>
  <c r="E47" i="35"/>
  <c r="C47" i="35" s="1"/>
  <c r="B11" i="35"/>
  <c r="B40" i="35"/>
  <c r="E34" i="35"/>
  <c r="B8" i="35"/>
  <c r="E39" i="35"/>
  <c r="E5" i="35"/>
  <c r="B43" i="35"/>
  <c r="E49" i="35"/>
  <c r="C49" i="35" s="1"/>
  <c r="B32" i="35"/>
  <c r="B38" i="35"/>
  <c r="E43" i="35"/>
  <c r="B3" i="35"/>
  <c r="B9" i="35"/>
  <c r="Q36" i="47"/>
  <c r="R36" i="47" s="1"/>
  <c r="E13" i="35"/>
  <c r="Q33" i="47"/>
  <c r="R33" i="47" s="1"/>
  <c r="B7" i="35"/>
  <c r="E27" i="35"/>
  <c r="B44" i="35"/>
  <c r="E16" i="35"/>
  <c r="B2" i="35"/>
  <c r="E30" i="35"/>
  <c r="E18" i="35"/>
  <c r="B39" i="35"/>
  <c r="B19" i="35"/>
  <c r="B28" i="35"/>
  <c r="E36" i="35"/>
  <c r="C36" i="35" s="1"/>
  <c r="E29" i="35"/>
  <c r="E14" i="35"/>
  <c r="E4" i="35"/>
  <c r="B23" i="35"/>
  <c r="Q34" i="47"/>
  <c r="B26" i="35"/>
  <c r="E44" i="35"/>
  <c r="B5" i="35"/>
  <c r="E17" i="35"/>
  <c r="C17" i="35" s="1"/>
  <c r="B18" i="35"/>
  <c r="E10" i="35"/>
  <c r="B42" i="35"/>
  <c r="B41" i="35"/>
  <c r="B37" i="35"/>
  <c r="E35" i="35"/>
  <c r="B4" i="35"/>
  <c r="E8" i="35"/>
  <c r="C8" i="35" s="1"/>
  <c r="E3" i="35"/>
  <c r="E23" i="35"/>
  <c r="E7" i="35"/>
  <c r="E28" i="35"/>
  <c r="C28" i="35" s="1"/>
  <c r="E6" i="35"/>
  <c r="C6" i="35" s="1"/>
  <c r="B13" i="35"/>
  <c r="E31" i="35"/>
  <c r="E20" i="35"/>
  <c r="E21" i="35"/>
  <c r="B29" i="35"/>
  <c r="B14" i="35"/>
  <c r="B24" i="35"/>
  <c r="B35" i="35"/>
  <c r="B46" i="35"/>
  <c r="E19" i="35"/>
  <c r="C19" i="35" s="1"/>
  <c r="B16" i="35"/>
  <c r="E41" i="35"/>
  <c r="B45" i="35"/>
  <c r="Q31" i="47"/>
  <c r="R31" i="47" s="1"/>
  <c r="B31" i="35"/>
  <c r="B15" i="35"/>
  <c r="E45" i="35"/>
  <c r="B20" i="35"/>
  <c r="E24" i="35"/>
  <c r="E42" i="35"/>
  <c r="C42" i="35" s="1"/>
  <c r="E11" i="35"/>
  <c r="C11" i="35" s="1"/>
  <c r="AC14" i="43"/>
  <c r="AB15" i="43"/>
  <c r="AC15" i="43"/>
  <c r="AB16" i="43"/>
  <c r="AC16" i="43"/>
  <c r="AB17" i="43"/>
  <c r="AC17" i="43"/>
  <c r="AB18" i="43"/>
  <c r="AC18" i="43"/>
  <c r="AB19" i="43"/>
  <c r="AC19" i="43"/>
  <c r="AB20" i="43"/>
  <c r="AB21" i="43"/>
  <c r="AC20" i="43"/>
  <c r="AB22" i="43"/>
  <c r="AC21" i="43"/>
  <c r="AB23" i="43"/>
  <c r="AC22" i="43"/>
  <c r="AB24" i="43"/>
  <c r="AC23" i="43"/>
  <c r="AB25" i="43"/>
  <c r="AC24" i="43"/>
  <c r="AC25" i="43"/>
  <c r="AB26" i="43"/>
  <c r="AC26" i="43"/>
  <c r="AB27" i="43"/>
  <c r="AB28" i="43"/>
  <c r="AC27" i="43"/>
  <c r="AB29" i="43"/>
  <c r="AC28" i="43"/>
  <c r="AC29" i="43"/>
  <c r="AB30" i="43"/>
  <c r="AB31" i="43"/>
  <c r="AC30" i="43"/>
  <c r="AB32" i="43"/>
  <c r="AC31" i="43"/>
  <c r="AB33" i="43"/>
  <c r="AC32" i="43"/>
  <c r="AC33" i="43"/>
  <c r="AB34" i="43"/>
  <c r="AC34" i="43"/>
  <c r="AB35" i="43"/>
  <c r="AB36" i="43"/>
  <c r="AC35" i="43"/>
  <c r="AC36" i="43"/>
  <c r="AB37" i="43"/>
  <c r="AC37" i="43"/>
  <c r="AB38" i="43"/>
  <c r="AB39" i="43"/>
  <c r="AC38" i="43"/>
  <c r="AB40" i="43"/>
  <c r="AC39" i="43"/>
  <c r="AB41" i="43"/>
  <c r="AC40" i="43"/>
  <c r="AC41" i="43"/>
  <c r="AB42" i="43"/>
  <c r="AC42" i="43"/>
  <c r="AB43" i="43"/>
  <c r="AB44" i="43"/>
  <c r="AC43" i="43"/>
  <c r="AB45" i="43"/>
  <c r="AC44" i="43"/>
  <c r="AC45" i="43"/>
  <c r="AB46" i="43"/>
  <c r="AB47" i="43"/>
  <c r="AC46" i="43"/>
  <c r="AC47" i="43"/>
  <c r="AB48" i="43"/>
  <c r="AC48" i="43"/>
  <c r="AB49" i="43"/>
  <c r="AB50" i="43"/>
  <c r="AC49" i="43"/>
  <c r="AC50" i="43"/>
  <c r="AB51" i="43"/>
  <c r="AB52" i="43" s="1"/>
  <c r="AC52" i="43"/>
  <c r="AB53" i="43"/>
  <c r="AB54" i="43"/>
  <c r="AC53" i="43"/>
  <c r="AB55" i="43"/>
  <c r="AB56" i="43" s="1"/>
  <c r="AC54" i="43"/>
  <c r="AB57" i="43"/>
  <c r="AC56" i="43"/>
  <c r="AC57" i="43"/>
  <c r="AB58" i="43"/>
  <c r="AC58" i="43" s="1"/>
  <c r="D15" i="42" l="1"/>
  <c r="P29" i="45"/>
  <c r="C24" i="35"/>
  <c r="C3" i="35"/>
  <c r="C18" i="35"/>
  <c r="C34" i="35"/>
  <c r="C22" i="35"/>
  <c r="AC51" i="43"/>
  <c r="C45" i="35"/>
  <c r="C35" i="35"/>
  <c r="C30" i="35"/>
  <c r="C40" i="35"/>
  <c r="G14" i="42"/>
  <c r="C41" i="35"/>
  <c r="C10" i="35"/>
  <c r="C16" i="35"/>
  <c r="C32" i="35"/>
  <c r="E15" i="42"/>
  <c r="AB9" i="39"/>
  <c r="AB10" i="39" s="1"/>
  <c r="C21" i="35"/>
  <c r="C44" i="35"/>
  <c r="C27" i="35"/>
  <c r="C33" i="35"/>
  <c r="AC10" i="39"/>
  <c r="C20" i="35"/>
  <c r="R34" i="47"/>
  <c r="C13" i="35"/>
  <c r="C48" i="35"/>
  <c r="R13" i="40"/>
  <c r="Q29" i="45"/>
  <c r="AB11" i="39"/>
  <c r="AC11" i="39" s="1"/>
  <c r="C31" i="35"/>
  <c r="C4" i="35"/>
  <c r="C7" i="35"/>
  <c r="C12" i="35"/>
  <c r="AC9" i="39"/>
  <c r="C23" i="35"/>
  <c r="C9" i="35"/>
  <c r="C14" i="35"/>
  <c r="R12" i="42"/>
  <c r="AB12" i="39"/>
  <c r="C43" i="35"/>
  <c r="C5" i="35"/>
  <c r="C29" i="35"/>
  <c r="AC55" i="43"/>
  <c r="C39" i="35"/>
  <c r="C26" i="35"/>
  <c r="R29" i="45"/>
  <c r="AB59" i="43"/>
  <c r="AC12" i="39"/>
  <c r="AB13" i="39"/>
  <c r="AB60" i="43"/>
  <c r="AC59" i="43"/>
  <c r="AB14" i="39"/>
  <c r="AC13" i="39"/>
  <c r="AB61" i="43"/>
  <c r="AC60" i="43"/>
  <c r="AC14" i="39"/>
  <c r="AB15" i="39"/>
  <c r="AC61" i="43"/>
  <c r="AB62" i="43"/>
  <c r="AC15" i="39"/>
  <c r="AB16" i="39"/>
  <c r="AC62" i="43"/>
  <c r="AB63" i="43"/>
  <c r="AC16" i="39"/>
  <c r="AB17" i="39"/>
  <c r="AB64" i="43"/>
  <c r="AC63" i="43"/>
  <c r="AC17" i="39"/>
  <c r="AB18" i="39"/>
  <c r="AC64" i="43"/>
  <c r="AB65" i="43"/>
  <c r="AB19" i="39"/>
  <c r="AC18" i="39"/>
  <c r="AB20" i="39"/>
  <c r="AC19" i="39"/>
  <c r="AB21" i="39"/>
  <c r="AC20" i="39"/>
  <c r="AC21" i="39"/>
  <c r="AB22" i="39"/>
  <c r="AB23" i="39"/>
  <c r="AC22" i="39"/>
  <c r="AC23" i="39"/>
  <c r="AB24" i="39"/>
  <c r="AB25" i="39"/>
  <c r="AC24" i="39"/>
  <c r="AB26" i="39"/>
  <c r="AC25" i="39"/>
  <c r="AB27" i="39"/>
  <c r="AC26" i="39"/>
  <c r="AC27" i="39"/>
  <c r="AB28" i="39"/>
  <c r="AC28" i="39"/>
  <c r="AB29" i="39"/>
  <c r="AB30" i="39"/>
  <c r="AC29" i="39"/>
  <c r="AB31" i="39"/>
  <c r="AC30" i="39"/>
  <c r="AB32" i="39"/>
  <c r="AC31" i="39"/>
  <c r="AC32" i="39"/>
  <c r="AB33" i="39"/>
  <c r="AB34" i="39"/>
  <c r="AC33" i="39"/>
  <c r="AB35" i="39"/>
  <c r="AC34" i="39"/>
  <c r="AC35" i="39"/>
  <c r="AB36" i="39"/>
  <c r="AB37" i="39"/>
  <c r="AC36" i="39"/>
  <c r="AC37" i="39"/>
  <c r="AB38" i="39"/>
  <c r="AC38" i="39"/>
  <c r="AB39" i="39"/>
  <c r="AC39" i="39"/>
  <c r="AB40" i="39"/>
  <c r="AC40" i="39"/>
  <c r="AB41" i="39"/>
  <c r="AB42" i="39"/>
  <c r="AC41" i="39"/>
  <c r="AC42" i="39"/>
  <c r="AB43" i="39"/>
  <c r="AC43" i="39"/>
  <c r="AB44" i="39"/>
  <c r="AC44" i="39"/>
  <c r="AB45" i="39"/>
  <c r="AB46" i="39"/>
  <c r="AC45" i="39"/>
  <c r="AC46" i="39"/>
  <c r="AB47" i="39"/>
  <c r="AC47" i="39"/>
  <c r="AB48" i="39"/>
  <c r="AC48" i="39"/>
  <c r="AB49" i="39"/>
  <c r="AC49" i="39"/>
  <c r="AB50" i="39"/>
  <c r="AC50" i="39"/>
  <c r="AB51" i="39"/>
  <c r="AB52" i="39"/>
  <c r="AC51" i="39"/>
  <c r="AC52" i="39"/>
  <c r="AB53" i="39"/>
  <c r="AC53" i="39"/>
  <c r="AB54" i="39"/>
  <c r="AC54" i="39"/>
  <c r="AB55" i="39"/>
  <c r="AC55" i="39"/>
  <c r="AB56" i="39"/>
  <c r="AC56" i="39"/>
  <c r="AB57" i="39"/>
  <c r="AB58" i="39"/>
  <c r="AC57" i="39"/>
  <c r="AC58" i="39"/>
  <c r="AB59" i="39"/>
  <c r="AC59" i="39"/>
  <c r="AB60" i="39"/>
  <c r="AB61" i="39"/>
  <c r="AC60" i="39"/>
  <c r="AC61" i="39"/>
  <c r="AB62" i="39"/>
  <c r="AC62" i="39"/>
  <c r="AB63" i="39"/>
  <c r="AC63" i="39"/>
  <c r="AB64" i="39"/>
  <c r="AB65" i="39"/>
  <c r="AC64" i="39"/>
  <c r="AB66" i="39"/>
  <c r="AC65" i="39"/>
  <c r="AB67" i="39"/>
  <c r="AC66" i="39"/>
  <c r="AC67" i="39"/>
  <c r="AB68" i="39"/>
  <c r="AB69" i="39"/>
  <c r="AC68" i="39"/>
  <c r="AB70" i="39"/>
  <c r="AC69" i="39"/>
  <c r="AB71" i="39"/>
  <c r="AC70" i="39"/>
  <c r="AC71" i="39"/>
  <c r="AB72" i="39"/>
  <c r="AC72" i="39"/>
  <c r="AB73" i="39"/>
  <c r="AB74" i="39"/>
  <c r="AC73" i="39"/>
  <c r="AC74" i="39"/>
  <c r="AB75" i="39"/>
  <c r="AB76" i="39"/>
  <c r="AC75" i="39"/>
  <c r="AC76" i="39"/>
  <c r="AB77" i="39"/>
  <c r="AB78" i="39"/>
  <c r="AC77" i="39"/>
  <c r="AB79" i="39"/>
  <c r="AC78" i="39"/>
  <c r="AC79" i="39"/>
  <c r="AB80" i="39"/>
  <c r="AB81" i="39"/>
  <c r="AC80" i="39"/>
  <c r="AC81" i="39"/>
  <c r="AB82" i="39"/>
  <c r="AC82" i="39"/>
  <c r="AB83" i="39"/>
  <c r="AC83" i="39"/>
  <c r="AB84" i="39"/>
  <c r="AB85" i="39"/>
  <c r="AC84" i="39"/>
  <c r="AC85" i="39"/>
  <c r="AB86" i="39"/>
  <c r="AC86" i="39"/>
  <c r="AB87" i="39"/>
  <c r="AC87" i="39"/>
  <c r="AB88" i="39"/>
  <c r="AB89" i="39"/>
  <c r="AC88" i="39"/>
  <c r="AC89" i="39"/>
  <c r="AB90" i="39"/>
  <c r="AC90" i="39"/>
  <c r="AB91" i="39"/>
  <c r="AC91" i="39"/>
  <c r="AB92" i="39"/>
  <c r="AC92" i="39"/>
  <c r="AB93" i="39"/>
  <c r="AC93" i="39"/>
  <c r="AB94" i="39"/>
  <c r="AB95" i="39"/>
  <c r="AC94" i="39"/>
  <c r="AB96" i="39"/>
  <c r="AC95" i="39"/>
  <c r="AC96" i="39"/>
  <c r="AB97" i="39"/>
  <c r="AC97" i="39"/>
  <c r="AB98" i="39"/>
  <c r="AB99" i="39"/>
  <c r="AC98" i="39"/>
  <c r="AB100" i="39"/>
  <c r="AC99" i="39"/>
  <c r="AB101" i="39"/>
  <c r="AC100" i="39"/>
  <c r="AC101" i="39"/>
  <c r="AB102" i="39"/>
  <c r="AC102" i="39"/>
  <c r="AB103" i="39"/>
  <c r="AC103" i="39"/>
  <c r="AB104" i="39"/>
  <c r="AB105" i="39"/>
  <c r="AC104" i="39"/>
  <c r="AC105" i="39"/>
  <c r="AB106" i="39"/>
  <c r="AC106" i="39"/>
  <c r="AB107" i="39"/>
  <c r="AB108" i="39"/>
  <c r="AC107" i="39"/>
  <c r="AC108" i="39"/>
  <c r="AB109" i="39"/>
  <c r="AB110" i="39"/>
  <c r="AC109" i="39"/>
  <c r="AC110" i="39"/>
  <c r="AB111" i="39"/>
  <c r="AB112" i="39"/>
  <c r="AC111" i="39"/>
  <c r="AC112" i="39"/>
  <c r="AB113" i="39"/>
  <c r="AC113" i="39"/>
  <c r="AB114" i="39"/>
  <c r="AB115" i="39"/>
  <c r="AC114" i="39"/>
  <c r="AC115" i="39"/>
  <c r="AB116" i="39"/>
  <c r="AB117" i="39"/>
  <c r="AC116" i="39"/>
  <c r="AC117" i="39"/>
  <c r="AB118" i="39"/>
  <c r="AC118" i="39"/>
  <c r="AB119" i="39"/>
  <c r="AB120" i="39"/>
  <c r="AC119" i="39"/>
  <c r="AC120" i="39"/>
  <c r="AB121" i="39"/>
  <c r="AC121" i="39"/>
  <c r="AB122" i="39"/>
  <c r="AC122" i="39"/>
  <c r="AB123" i="39"/>
  <c r="AB124" i="39"/>
  <c r="AC123" i="39"/>
  <c r="AB125" i="39"/>
  <c r="AC124" i="39"/>
  <c r="AB126" i="39"/>
  <c r="AC125" i="39"/>
  <c r="AB127" i="39"/>
  <c r="AC126" i="39"/>
  <c r="AB128" i="39"/>
  <c r="AC127" i="39"/>
  <c r="AB129" i="39"/>
  <c r="AC128" i="39"/>
  <c r="AB130" i="39"/>
  <c r="AC129" i="39"/>
  <c r="AC130" i="39"/>
  <c r="AB131" i="39"/>
  <c r="AB132" i="39"/>
  <c r="AC131" i="39"/>
  <c r="AC132" i="39"/>
  <c r="AC65" i="43"/>
  <c r="R13" i="42"/>
  <c r="R14" i="40"/>
  <c r="F15" i="42"/>
  <c r="G15" i="42" s="1"/>
  <c r="R15" i="40"/>
  <c r="R16" i="40" s="1"/>
  <c r="R14" i="42"/>
  <c r="R15" i="42"/>
  <c r="R16" i="42" s="1"/>
  <c r="R17" i="42" s="1"/>
  <c r="R17" i="40"/>
  <c r="R18" i="40"/>
  <c r="R19" i="40" s="1"/>
  <c r="R20" i="40" s="1"/>
  <c r="R21" i="40" s="1"/>
  <c r="R22" i="40" s="1"/>
  <c r="R18" i="42"/>
  <c r="R19" i="42"/>
  <c r="R23" i="40"/>
  <c r="R24" i="40" s="1"/>
  <c r="R25" i="40" s="1"/>
  <c r="R26" i="40" l="1"/>
  <c r="R20" i="42"/>
  <c r="R21" i="42" s="1"/>
  <c r="R22" i="42" s="1"/>
  <c r="R23" i="42" s="1"/>
  <c r="R24" i="42" s="1"/>
  <c r="R25" i="42" l="1"/>
  <c r="R27" i="40"/>
  <c r="R28" i="40" l="1"/>
  <c r="R26" i="42"/>
  <c r="R29" i="40"/>
  <c r="R30" i="40" l="1"/>
  <c r="R27" i="42"/>
  <c r="R28" i="42" s="1"/>
  <c r="R29" i="42" l="1"/>
  <c r="R31" i="40"/>
  <c r="R32" i="40" l="1"/>
  <c r="R30" i="42"/>
  <c r="R31" i="42" l="1"/>
  <c r="R32" i="42" s="1"/>
  <c r="R33" i="40"/>
  <c r="R34" i="40" l="1"/>
  <c r="R33" i="42"/>
  <c r="R34" i="42" l="1"/>
  <c r="R35" i="40"/>
  <c r="R36" i="40" l="1"/>
  <c r="R35" i="42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l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R37" i="40"/>
  <c r="R38" i="40" l="1"/>
  <c r="R39" i="40" l="1"/>
  <c r="R40" i="40" l="1"/>
  <c r="R41" i="40" l="1"/>
  <c r="R42" i="40" l="1"/>
  <c r="R43" i="40" l="1"/>
  <c r="R44" i="40" l="1"/>
  <c r="R45" i="40" l="1"/>
  <c r="R46" i="40" l="1"/>
  <c r="R47" i="40" l="1"/>
  <c r="R48" i="40" l="1"/>
  <c r="R49" i="40" l="1"/>
  <c r="R50" i="40" l="1"/>
  <c r="R51" i="40" l="1"/>
  <c r="R52" i="40" l="1"/>
  <c r="R53" i="40" l="1"/>
  <c r="R54" i="40" l="1"/>
  <c r="R55" i="40" l="1"/>
  <c r="R56" i="40" l="1"/>
  <c r="R57" i="40" l="1"/>
  <c r="R58" i="40" l="1"/>
  <c r="R59" i="40" l="1"/>
  <c r="R60" i="40" l="1"/>
  <c r="R61" i="40" l="1"/>
  <c r="R62" i="40" l="1"/>
  <c r="R63" i="40" l="1"/>
  <c r="R64" i="40" l="1"/>
  <c r="R65" i="40" l="1"/>
  <c r="R66" i="40" l="1"/>
  <c r="R67" i="40" l="1"/>
  <c r="R68" i="40" l="1"/>
  <c r="R69" i="40" l="1"/>
  <c r="R70" i="40" l="1"/>
  <c r="R71" i="40" l="1"/>
  <c r="R72" i="40" l="1"/>
  <c r="R73" i="40" l="1"/>
  <c r="R74" i="40" l="1"/>
  <c r="R75" i="40" l="1"/>
  <c r="R76" i="40" l="1"/>
  <c r="R77" i="40" l="1"/>
  <c r="R78" i="40" l="1"/>
  <c r="R79" i="40" l="1"/>
  <c r="R80" i="40" l="1"/>
  <c r="R81" i="40" l="1"/>
  <c r="R82" i="40" l="1"/>
  <c r="R83" i="40" l="1"/>
  <c r="R84" i="40" l="1"/>
  <c r="R85" i="40" l="1"/>
  <c r="R86" i="40" l="1"/>
  <c r="R87" i="40" l="1"/>
  <c r="R88" i="40" l="1"/>
  <c r="R89" i="40" l="1"/>
  <c r="R90" i="40" l="1"/>
  <c r="R91" i="40" l="1"/>
  <c r="R92" i="40" l="1"/>
  <c r="R93" i="40" l="1"/>
  <c r="R94" i="40" l="1"/>
  <c r="R95" i="40" l="1"/>
  <c r="R96" i="40" l="1"/>
  <c r="R97" i="40" l="1"/>
  <c r="R98" i="40" l="1"/>
  <c r="R99" i="40" l="1"/>
  <c r="R100" i="40" l="1"/>
  <c r="R101" i="40" l="1"/>
  <c r="R102" i="40" l="1"/>
  <c r="R103" i="40" l="1"/>
  <c r="R104" i="40" l="1"/>
  <c r="R105" i="40" l="1"/>
  <c r="R106" i="40" l="1"/>
  <c r="R107" i="40" l="1"/>
  <c r="R108" i="40" l="1"/>
  <c r="R109" i="40" l="1"/>
  <c r="R110" i="40" l="1"/>
  <c r="R111" i="40" l="1"/>
  <c r="R112" i="40" l="1"/>
  <c r="R113" i="40" l="1"/>
  <c r="R114" i="40" l="1"/>
  <c r="R115" i="40" l="1"/>
  <c r="R116" i="40" l="1"/>
  <c r="R117" i="40" l="1"/>
  <c r="R118" i="40" l="1"/>
  <c r="R119" i="40" l="1"/>
  <c r="R120" i="40" l="1"/>
  <c r="R121" i="40" l="1"/>
  <c r="R122" i="40" l="1"/>
  <c r="R123" i="40" l="1"/>
  <c r="R124" i="40" l="1"/>
  <c r="R125" i="40" l="1"/>
  <c r="R126" i="40" l="1"/>
  <c r="R127" i="40" l="1"/>
  <c r="R128" i="40" l="1"/>
  <c r="R129" i="40" l="1"/>
  <c r="R130" i="40" l="1"/>
  <c r="R131" i="40" l="1"/>
  <c r="R132" i="40" l="1"/>
  <c r="R133" i="40" l="1"/>
  <c r="R134" i="40" l="1"/>
  <c r="R135" i="40" l="1"/>
  <c r="R136" i="40" l="1"/>
  <c r="R137" i="40" l="1"/>
  <c r="R138" i="40" l="1"/>
  <c r="R139" i="40" l="1"/>
  <c r="R140" i="40" l="1"/>
  <c r="R141" i="40" l="1"/>
  <c r="R142" i="40" l="1"/>
  <c r="R143" i="40" l="1"/>
  <c r="R144" i="40" l="1"/>
  <c r="R145" i="40" l="1"/>
  <c r="R146" i="40" l="1"/>
  <c r="R147" i="40" l="1"/>
  <c r="R148" i="40" l="1"/>
  <c r="R149" i="40" l="1"/>
  <c r="R150" i="40" l="1"/>
  <c r="R151" i="40" l="1"/>
  <c r="R152" i="40" l="1"/>
  <c r="R153" i="40" l="1"/>
  <c r="R154" i="40" l="1"/>
  <c r="R155" i="40" l="1"/>
  <c r="R156" i="40" l="1"/>
  <c r="R157" i="40" l="1"/>
  <c r="R158" i="40" l="1"/>
  <c r="R159" i="40" l="1"/>
  <c r="R160" i="40" l="1"/>
  <c r="R161" i="40" l="1"/>
  <c r="R162" i="40" l="1"/>
  <c r="R163" i="40" l="1"/>
  <c r="R164" i="40" l="1"/>
  <c r="R165" i="40" l="1"/>
  <c r="R166" i="40" l="1"/>
  <c r="R167" i="40" l="1"/>
  <c r="R168" i="40" l="1"/>
  <c r="R169" i="40" l="1"/>
  <c r="R170" i="40" l="1"/>
  <c r="R171" i="40" l="1"/>
  <c r="R172" i="40" l="1"/>
  <c r="R173" i="40" l="1"/>
  <c r="R174" i="40" l="1"/>
  <c r="R175" i="40" l="1"/>
  <c r="R176" i="40" l="1"/>
  <c r="R177" i="40" l="1"/>
  <c r="R178" i="40" l="1"/>
  <c r="R179" i="40" l="1"/>
  <c r="R180" i="40" l="1"/>
  <c r="R181" i="40" l="1"/>
  <c r="R182" i="40" l="1"/>
  <c r="R183" i="40" l="1"/>
  <c r="R184" i="40" l="1"/>
  <c r="R185" i="40" l="1"/>
  <c r="R186" i="40" l="1"/>
  <c r="R187" i="40" l="1"/>
  <c r="R188" i="40" l="1"/>
  <c r="R189" i="40" l="1"/>
  <c r="R190" i="40" l="1"/>
  <c r="R191" i="40" l="1"/>
  <c r="R192" i="40" l="1"/>
  <c r="R193" i="40" l="1"/>
  <c r="R194" i="40" l="1"/>
  <c r="R195" i="40" l="1"/>
  <c r="R196" i="40" l="1"/>
  <c r="R197" i="40" l="1"/>
  <c r="R198" i="40" l="1"/>
  <c r="R199" i="40" l="1"/>
  <c r="R200" i="40" l="1"/>
  <c r="R201" i="40" l="1"/>
  <c r="R202" i="40" l="1"/>
  <c r="R203" i="40" l="1"/>
  <c r="R204" i="40" l="1"/>
  <c r="R205" i="40" l="1"/>
  <c r="R206" i="40" l="1"/>
  <c r="R207" i="40" l="1"/>
  <c r="R208" i="40" l="1"/>
  <c r="R209" i="40" l="1"/>
  <c r="R210" i="40" l="1"/>
  <c r="R211" i="40" l="1"/>
  <c r="R212" i="40" l="1"/>
  <c r="R213" i="40" l="1"/>
  <c r="R214" i="40" l="1"/>
  <c r="R215" i="40" l="1"/>
  <c r="R216" i="40" l="1"/>
  <c r="R217" i="40" l="1"/>
  <c r="R218" i="40" l="1"/>
  <c r="R219" i="40" l="1"/>
  <c r="R220" i="40" l="1"/>
  <c r="R221" i="40" l="1"/>
  <c r="R222" i="40" l="1"/>
  <c r="R223" i="40" l="1"/>
  <c r="R224" i="40" l="1"/>
  <c r="R225" i="40" l="1"/>
  <c r="R226" i="40" l="1"/>
  <c r="R227" i="40" l="1"/>
  <c r="R228" i="40" l="1"/>
  <c r="R229" i="40" l="1"/>
  <c r="R230" i="40" l="1"/>
  <c r="R231" i="40" l="1"/>
  <c r="R232" i="40" l="1"/>
  <c r="R233" i="40" l="1"/>
  <c r="R234" i="40" l="1"/>
  <c r="R235" i="40" l="1"/>
  <c r="R236" i="40" l="1"/>
  <c r="R237" i="40" l="1"/>
  <c r="R238" i="40" l="1"/>
  <c r="R239" i="40" l="1"/>
  <c r="R240" i="40" l="1"/>
  <c r="R241" i="40" l="1"/>
  <c r="R242" i="40" l="1"/>
  <c r="R243" i="40" l="1"/>
  <c r="R244" i="40" l="1"/>
  <c r="R245" i="40" l="1"/>
  <c r="R246" i="40" l="1"/>
  <c r="R247" i="40" l="1"/>
  <c r="R248" i="40" l="1"/>
  <c r="R249" i="40" l="1"/>
  <c r="R250" i="40" l="1"/>
  <c r="R251" i="40" l="1"/>
  <c r="R252" i="40" l="1"/>
  <c r="R253" i="40" l="1"/>
  <c r="R254" i="40" l="1"/>
  <c r="R255" i="40" l="1"/>
  <c r="R256" i="40" l="1"/>
  <c r="R257" i="40" l="1"/>
  <c r="R258" i="40" l="1"/>
  <c r="R259" i="40" l="1"/>
  <c r="R260" i="40" l="1"/>
  <c r="R261" i="40" l="1"/>
  <c r="R262" i="40" l="1"/>
  <c r="I19" i="29" l="1"/>
  <c r="I20" i="29"/>
  <c r="J17" i="40"/>
  <c r="F22" i="35"/>
  <c r="Q5" i="47"/>
  <c r="G16" i="49"/>
  <c r="J6" i="42"/>
  <c r="I21" i="40"/>
  <c r="G22" i="39"/>
  <c r="F13" i="35"/>
  <c r="F50" i="35"/>
  <c r="H5" i="42"/>
  <c r="T12" i="45" a="1"/>
  <c r="F48" i="35"/>
  <c r="Q6" i="45"/>
  <c r="J16" i="40"/>
  <c r="H4" i="42"/>
  <c r="I5" i="42"/>
  <c r="J6" i="40"/>
  <c r="G26" i="49"/>
  <c r="G29" i="49"/>
  <c r="G18" i="49"/>
  <c r="H23" i="49"/>
  <c r="Q10" i="47"/>
  <c r="P9" i="47"/>
  <c r="F40" i="35"/>
  <c r="Q7" i="47"/>
  <c r="H21" i="39"/>
  <c r="F24" i="35"/>
  <c r="S35" i="47"/>
  <c r="G21" i="43"/>
  <c r="I4" i="42"/>
  <c r="G15" i="39"/>
  <c r="G22" i="49"/>
  <c r="G25" i="49"/>
  <c r="J10" i="42"/>
  <c r="H7" i="42"/>
  <c r="U35" i="47"/>
  <c r="J12" i="40"/>
  <c r="Q5" i="45"/>
  <c r="P8" i="45"/>
  <c r="G20" i="39"/>
  <c r="H9" i="40"/>
  <c r="I17" i="40"/>
  <c r="H15" i="42"/>
  <c r="H15" i="39"/>
  <c r="H19" i="49"/>
  <c r="F44" i="35"/>
  <c r="H6" i="42"/>
  <c r="G15" i="48"/>
  <c r="H16" i="49"/>
  <c r="J14" i="42"/>
  <c r="H8" i="42"/>
  <c r="H4" i="40"/>
  <c r="H6" i="40"/>
  <c r="I8" i="40"/>
  <c r="I12" i="40"/>
  <c r="H11" i="42"/>
  <c r="J19" i="40"/>
  <c r="H17" i="40"/>
  <c r="I14" i="40"/>
  <c r="Q6" i="47"/>
  <c r="J15" i="40"/>
  <c r="F37" i="35"/>
  <c r="Q8" i="45"/>
  <c r="H20" i="49"/>
  <c r="V35" i="47"/>
  <c r="G15" i="43"/>
  <c r="G15" i="49"/>
  <c r="I13" i="42"/>
  <c r="H9" i="42"/>
  <c r="G17" i="49"/>
  <c r="F23" i="35"/>
  <c r="H5" i="40"/>
  <c r="H7" i="40"/>
  <c r="H22" i="39"/>
  <c r="I5" i="40"/>
  <c r="P7" i="45"/>
  <c r="F2" i="35"/>
  <c r="F20" i="35"/>
  <c r="P4" i="45"/>
  <c r="U28" i="45"/>
  <c r="I6" i="42"/>
  <c r="P9" i="45"/>
  <c r="H8" i="40"/>
  <c r="F26" i="35"/>
  <c r="S26" i="45"/>
  <c r="I15" i="40"/>
  <c r="G21" i="49"/>
  <c r="Q9" i="45"/>
  <c r="H27" i="49"/>
  <c r="G17" i="43"/>
  <c r="J13" i="40"/>
  <c r="I20" i="40"/>
  <c r="S36" i="47"/>
  <c r="I6" i="40"/>
  <c r="F17" i="35"/>
  <c r="F46" i="35"/>
  <c r="G21" i="39"/>
  <c r="J9" i="40"/>
  <c r="J4" i="42"/>
  <c r="F47" i="35"/>
  <c r="H15" i="48"/>
  <c r="V36" i="47"/>
  <c r="V27" i="45"/>
  <c r="H20" i="43"/>
  <c r="F34" i="35"/>
  <c r="H26" i="49"/>
  <c r="F45" i="35"/>
  <c r="F6" i="35"/>
  <c r="H21" i="43"/>
  <c r="I14" i="42"/>
  <c r="F33" i="35"/>
  <c r="I8" i="42"/>
  <c r="I10" i="40"/>
  <c r="H16" i="43"/>
  <c r="H16" i="40"/>
  <c r="F39" i="35"/>
  <c r="H12" i="40"/>
  <c r="H20" i="39"/>
  <c r="H15" i="40"/>
  <c r="S27" i="45"/>
  <c r="I7" i="40"/>
  <c r="H19" i="48"/>
  <c r="F12" i="35"/>
  <c r="G28" i="49"/>
  <c r="G27" i="49"/>
  <c r="H16" i="39"/>
  <c r="V31" i="47"/>
  <c r="F3" i="35"/>
  <c r="H18" i="49"/>
  <c r="F38" i="35"/>
  <c r="H18" i="39"/>
  <c r="I13" i="40"/>
  <c r="F7" i="35"/>
  <c r="Q9" i="47"/>
  <c r="U26" i="45"/>
  <c r="J21" i="40"/>
  <c r="U33" i="47"/>
  <c r="P6" i="45"/>
  <c r="V34" i="47"/>
  <c r="G24" i="39"/>
  <c r="G19" i="49"/>
  <c r="H30" i="49"/>
  <c r="J13" i="42"/>
  <c r="U32" i="47"/>
  <c r="F25" i="35"/>
  <c r="J10" i="40"/>
  <c r="F10" i="35"/>
  <c r="H21" i="49"/>
  <c r="I11" i="42"/>
  <c r="H23" i="39"/>
  <c r="J11" i="42"/>
  <c r="U34" i="47"/>
  <c r="I12" i="42"/>
  <c r="H17" i="48"/>
  <c r="H18" i="40"/>
  <c r="H17" i="43"/>
  <c r="J20" i="40"/>
  <c r="Q8" i="47"/>
  <c r="Q14" i="47" s="1" a="1"/>
  <c r="H22" i="49"/>
  <c r="I4" i="40"/>
  <c r="J18" i="40"/>
  <c r="G23" i="49"/>
  <c r="S29" i="45"/>
  <c r="F15" i="35"/>
  <c r="J5" i="42"/>
  <c r="J3" i="42"/>
  <c r="F35" i="35"/>
  <c r="F30" i="35"/>
  <c r="H19" i="39"/>
  <c r="S33" i="47"/>
  <c r="F14" i="35"/>
  <c r="J5" i="40"/>
  <c r="F29" i="35"/>
  <c r="P3" i="47"/>
  <c r="I10" i="42"/>
  <c r="F36" i="35"/>
  <c r="I9" i="40"/>
  <c r="J7" i="40"/>
  <c r="H29" i="49"/>
  <c r="Q7" i="45"/>
  <c r="H25" i="49"/>
  <c r="G18" i="39"/>
  <c r="H20" i="40"/>
  <c r="J8" i="42"/>
  <c r="U29" i="45"/>
  <c r="P5" i="45"/>
  <c r="F18" i="35"/>
  <c r="J12" i="42"/>
  <c r="P6" i="47"/>
  <c r="T13" i="47" a="1"/>
  <c r="G18" i="48"/>
  <c r="F8" i="35"/>
  <c r="J8" i="40"/>
  <c r="H28" i="49"/>
  <c r="F21" i="35"/>
  <c r="I3" i="42"/>
  <c r="H15" i="49"/>
  <c r="H10" i="42"/>
  <c r="P10" i="47"/>
  <c r="H18" i="43"/>
  <c r="G23" i="39"/>
  <c r="F5" i="35"/>
  <c r="V28" i="45"/>
  <c r="U36" i="47"/>
  <c r="G24" i="49"/>
  <c r="I9" i="42"/>
  <c r="H13" i="42"/>
  <c r="G16" i="43"/>
  <c r="I7" i="42"/>
  <c r="G16" i="39"/>
  <c r="J15" i="42"/>
  <c r="U31" i="47"/>
  <c r="S28" i="45"/>
  <c r="P8" i="47"/>
  <c r="U27" i="45"/>
  <c r="G16" i="48"/>
  <c r="F42" i="35"/>
  <c r="J9" i="42"/>
  <c r="G20" i="49"/>
  <c r="V32" i="47"/>
  <c r="H14" i="42"/>
  <c r="J3" i="40"/>
  <c r="G17" i="48"/>
  <c r="I16" i="40"/>
  <c r="H24" i="49"/>
  <c r="H15" i="43"/>
  <c r="F41" i="35"/>
  <c r="J4" i="40"/>
  <c r="S32" i="47"/>
  <c r="S31" i="47"/>
  <c r="I3" i="40"/>
  <c r="G19" i="43"/>
  <c r="H13" i="40"/>
  <c r="G30" i="49"/>
  <c r="G17" i="39"/>
  <c r="F27" i="35"/>
  <c r="I18" i="40"/>
  <c r="V33" i="47"/>
  <c r="H19" i="40"/>
  <c r="F31" i="35"/>
  <c r="F43" i="35"/>
  <c r="P4" i="47"/>
  <c r="H11" i="40"/>
  <c r="V26" i="45"/>
  <c r="H14" i="40"/>
  <c r="F4" i="35"/>
  <c r="G18" i="43"/>
  <c r="F9" i="35"/>
  <c r="V29" i="45"/>
  <c r="J11" i="40"/>
  <c r="G19" i="48"/>
  <c r="H17" i="39"/>
  <c r="I11" i="40"/>
  <c r="S34" i="47"/>
  <c r="F11" i="35"/>
  <c r="J14" i="40"/>
  <c r="P5" i="47"/>
  <c r="F28" i="35"/>
  <c r="F49" i="35"/>
  <c r="I15" i="42"/>
  <c r="H24" i="39"/>
  <c r="P7" i="47"/>
  <c r="H19" i="43"/>
  <c r="G20" i="43"/>
  <c r="H18" i="48"/>
  <c r="H21" i="40"/>
  <c r="G19" i="39"/>
  <c r="F32" i="35"/>
  <c r="H10" i="40"/>
  <c r="Q4" i="45"/>
  <c r="Q13" i="45" s="1" a="1"/>
  <c r="H17" i="49"/>
  <c r="P3" i="45"/>
  <c r="F19" i="35"/>
  <c r="I19" i="40"/>
  <c r="H12" i="42"/>
  <c r="H16" i="48"/>
  <c r="J7" i="42"/>
  <c r="F16" i="35"/>
  <c r="D3" i="43"/>
  <c r="D3" i="48"/>
  <c r="D3" i="39"/>
  <c r="H3" i="40"/>
  <c r="D3" i="49"/>
  <c r="H3" i="42"/>
  <c r="G3" i="43"/>
  <c r="E3" i="43"/>
  <c r="H3" i="43" s="1"/>
  <c r="E3" i="48"/>
  <c r="H3" i="48" s="1"/>
  <c r="G3" i="48"/>
  <c r="G3" i="39"/>
  <c r="E3" i="39"/>
  <c r="H3" i="39" s="1"/>
  <c r="E3" i="49"/>
  <c r="H3" i="49" s="1"/>
  <c r="G3" i="49"/>
  <c r="J3" i="49" l="1"/>
  <c r="K3" i="49"/>
  <c r="I3" i="49"/>
  <c r="J3" i="39"/>
  <c r="K3" i="39"/>
  <c r="I3" i="39"/>
  <c r="K3" i="48"/>
  <c r="J3" i="48"/>
  <c r="I3" i="48"/>
  <c r="I3" i="43"/>
  <c r="J3" i="43"/>
  <c r="K3" i="43"/>
  <c r="K19" i="40"/>
  <c r="L19" i="40" s="1"/>
  <c r="Q15" i="45"/>
  <c r="Q19" i="45"/>
  <c r="Q16" i="45"/>
  <c r="Q13" i="45"/>
  <c r="Q20" i="45"/>
  <c r="Q18" i="45"/>
  <c r="Q17" i="45"/>
  <c r="Q14" i="45"/>
  <c r="Q21" i="45"/>
  <c r="I19" i="39"/>
  <c r="I20" i="43"/>
  <c r="K15" i="42"/>
  <c r="L15" i="42" s="1"/>
  <c r="K11" i="40"/>
  <c r="L11" i="40" s="1"/>
  <c r="I19" i="48"/>
  <c r="I18" i="43"/>
  <c r="K18" i="40"/>
  <c r="L18" i="40" s="1"/>
  <c r="I17" i="39"/>
  <c r="I30" i="49"/>
  <c r="I19" i="43"/>
  <c r="K3" i="40"/>
  <c r="L3" i="40" s="1"/>
  <c r="K16" i="40"/>
  <c r="L16" i="40" s="1"/>
  <c r="I17" i="48"/>
  <c r="I20" i="49"/>
  <c r="I16" i="48"/>
  <c r="T27" i="45"/>
  <c r="W27" i="45" s="1"/>
  <c r="F5" i="48" s="1"/>
  <c r="T31" i="47"/>
  <c r="X31" i="47" s="1"/>
  <c r="I16" i="39"/>
  <c r="K7" i="42"/>
  <c r="L7" i="42" s="1"/>
  <c r="I16" i="43"/>
  <c r="K9" i="42"/>
  <c r="L9" i="42" s="1"/>
  <c r="I24" i="49"/>
  <c r="T36" i="47"/>
  <c r="X36" i="47" s="1"/>
  <c r="I23" i="39"/>
  <c r="K3" i="42"/>
  <c r="L3" i="42" s="1"/>
  <c r="I18" i="48"/>
  <c r="T16" i="47"/>
  <c r="T24" i="47"/>
  <c r="T20" i="47"/>
  <c r="T21" i="47"/>
  <c r="T13" i="47"/>
  <c r="T14" i="47"/>
  <c r="T15" i="47"/>
  <c r="T23" i="47"/>
  <c r="T22" i="47"/>
  <c r="T27" i="47"/>
  <c r="T18" i="47"/>
  <c r="T17" i="47"/>
  <c r="T19" i="47"/>
  <c r="T25" i="47"/>
  <c r="T26" i="47"/>
  <c r="T29" i="45"/>
  <c r="W29" i="45" s="1"/>
  <c r="F7" i="48" s="1"/>
  <c r="I18" i="39"/>
  <c r="K9" i="40"/>
  <c r="L9" i="40" s="1"/>
  <c r="K10" i="42"/>
  <c r="L10" i="42" s="1"/>
  <c r="I23" i="49"/>
  <c r="K4" i="40"/>
  <c r="L4" i="40" s="1"/>
  <c r="Q20" i="47"/>
  <c r="Q14" i="47"/>
  <c r="Q19" i="47"/>
  <c r="Q22" i="47"/>
  <c r="Q24" i="47"/>
  <c r="Q23" i="47"/>
  <c r="Q15" i="47"/>
  <c r="Q25" i="47"/>
  <c r="Q18" i="47"/>
  <c r="Q26" i="47"/>
  <c r="Q17" i="47"/>
  <c r="Q27" i="47"/>
  <c r="Q16" i="47"/>
  <c r="Q21" i="47"/>
  <c r="K12" i="42"/>
  <c r="L12" i="42" s="1"/>
  <c r="T34" i="47"/>
  <c r="X34" i="47" s="1"/>
  <c r="K11" i="42"/>
  <c r="L11" i="42" s="1"/>
  <c r="T32" i="47"/>
  <c r="X32" i="47" s="1"/>
  <c r="I19" i="49"/>
  <c r="I24" i="39"/>
  <c r="T33" i="47"/>
  <c r="W33" i="47" s="1"/>
  <c r="F6" i="49" s="1"/>
  <c r="T26" i="45"/>
  <c r="W26" i="45" s="1"/>
  <c r="K13" i="40"/>
  <c r="L13" i="40" s="1"/>
  <c r="I27" i="49"/>
  <c r="I28" i="49"/>
  <c r="K7" i="40"/>
  <c r="L7" i="40" s="1"/>
  <c r="K10" i="40"/>
  <c r="L10" i="40" s="1"/>
  <c r="K8" i="42"/>
  <c r="L8" i="42" s="1"/>
  <c r="K14" i="42"/>
  <c r="L14" i="42" s="1"/>
  <c r="I21" i="39"/>
  <c r="K6" i="40"/>
  <c r="L6" i="40" s="1"/>
  <c r="K20" i="40"/>
  <c r="L20" i="40" s="1"/>
  <c r="I17" i="43"/>
  <c r="I21" i="49"/>
  <c r="K15" i="40"/>
  <c r="L15" i="40" s="1"/>
  <c r="K6" i="42"/>
  <c r="P6" i="42" s="1"/>
  <c r="T28" i="45"/>
  <c r="W28" i="45" s="1"/>
  <c r="F6" i="48" s="1"/>
  <c r="K5" i="40"/>
  <c r="L5" i="40" s="1"/>
  <c r="I17" i="49"/>
  <c r="K13" i="42"/>
  <c r="L13" i="42" s="1"/>
  <c r="I15" i="49"/>
  <c r="I15" i="43"/>
  <c r="K14" i="40"/>
  <c r="L14" i="40" s="1"/>
  <c r="K12" i="40"/>
  <c r="L12" i="40" s="1"/>
  <c r="K8" i="40"/>
  <c r="L8" i="40" s="1"/>
  <c r="I15" i="48"/>
  <c r="K17" i="40"/>
  <c r="L17" i="40" s="1"/>
  <c r="I20" i="39"/>
  <c r="T35" i="47"/>
  <c r="W35" i="47" s="1"/>
  <c r="I25" i="49"/>
  <c r="I22" i="49"/>
  <c r="I15" i="39"/>
  <c r="K4" i="42"/>
  <c r="L4" i="42" s="1"/>
  <c r="I21" i="43"/>
  <c r="I18" i="49"/>
  <c r="I29" i="49"/>
  <c r="I26" i="49"/>
  <c r="K5" i="42"/>
  <c r="P5" i="42" s="1"/>
  <c r="T20" i="45"/>
  <c r="T16" i="45"/>
  <c r="T19" i="45"/>
  <c r="T12" i="45"/>
  <c r="T18" i="45"/>
  <c r="T21" i="45"/>
  <c r="T17" i="45"/>
  <c r="T14" i="45"/>
  <c r="T15" i="45"/>
  <c r="T13" i="45"/>
  <c r="I22" i="39"/>
  <c r="K21" i="40"/>
  <c r="L21" i="40" s="1"/>
  <c r="I16" i="49"/>
  <c r="P9" i="49" a="1"/>
  <c r="P3" i="49" a="1"/>
  <c r="Q9" i="48" a="1"/>
  <c r="Q3" i="48" a="1"/>
  <c r="Q13" i="48" a="1"/>
  <c r="O3" i="49" a="1"/>
  <c r="Q3" i="43" a="1"/>
  <c r="Q9" i="43" a="1"/>
  <c r="Q13" i="43" a="1"/>
  <c r="Q9" i="49" a="1"/>
  <c r="Q3" i="49" a="1"/>
  <c r="Q13" i="49" a="1"/>
  <c r="P3" i="43" a="1"/>
  <c r="P9" i="43" a="1"/>
  <c r="P9" i="39" a="1"/>
  <c r="P3" i="39" a="1"/>
  <c r="O3" i="43" a="1"/>
  <c r="O3" i="39" a="1"/>
  <c r="Q3" i="39" a="1"/>
  <c r="Q9" i="39" a="1"/>
  <c r="Q13" i="39" a="1"/>
  <c r="O3" i="48" a="1"/>
  <c r="P3" i="48" a="1"/>
  <c r="P9" i="48" a="1"/>
  <c r="P9" i="40" l="1"/>
  <c r="P10" i="40"/>
  <c r="X33" i="47"/>
  <c r="P3" i="40"/>
  <c r="P4" i="40"/>
  <c r="P16" i="40"/>
  <c r="P6" i="40"/>
  <c r="P3" i="42"/>
  <c r="X35" i="47"/>
  <c r="P12" i="40"/>
  <c r="P4" i="42"/>
  <c r="P12" i="42"/>
  <c r="P15" i="40"/>
  <c r="P7" i="42"/>
  <c r="P9" i="42"/>
  <c r="P20" i="40"/>
  <c r="P10" i="48"/>
  <c r="P9" i="48"/>
  <c r="P4" i="48"/>
  <c r="P3" i="48"/>
  <c r="P5" i="48"/>
  <c r="O4" i="48"/>
  <c r="O5" i="48"/>
  <c r="O3" i="48"/>
  <c r="Q13" i="39"/>
  <c r="W13" i="39" s="1"/>
  <c r="Q9" i="39"/>
  <c r="Q10" i="39"/>
  <c r="Q5" i="39"/>
  <c r="Q4" i="39"/>
  <c r="Q3" i="39"/>
  <c r="O5" i="39"/>
  <c r="O3" i="39"/>
  <c r="W3" i="39" s="1" a="1"/>
  <c r="O4" i="39"/>
  <c r="O4" i="43"/>
  <c r="O5" i="43"/>
  <c r="O3" i="43"/>
  <c r="P5" i="39"/>
  <c r="P4" i="39"/>
  <c r="P3" i="39"/>
  <c r="P10" i="39"/>
  <c r="P9" i="39"/>
  <c r="P10" i="43"/>
  <c r="P9" i="43"/>
  <c r="P3" i="43"/>
  <c r="P4" i="43"/>
  <c r="P5" i="43"/>
  <c r="Q13" i="49"/>
  <c r="W13" i="49" s="1"/>
  <c r="Q4" i="49"/>
  <c r="Q5" i="49"/>
  <c r="Q3" i="49"/>
  <c r="Q10" i="49"/>
  <c r="Q9" i="49"/>
  <c r="Q13" i="43"/>
  <c r="W13" i="43" s="1"/>
  <c r="Q9" i="43"/>
  <c r="Q10" i="43"/>
  <c r="Q3" i="43"/>
  <c r="Q4" i="43"/>
  <c r="Q5" i="43"/>
  <c r="O3" i="49"/>
  <c r="O5" i="49"/>
  <c r="O4" i="49"/>
  <c r="Q13" i="48"/>
  <c r="W13" i="48" s="1"/>
  <c r="Q3" i="48"/>
  <c r="Q5" i="48"/>
  <c r="Q4" i="48"/>
  <c r="Q9" i="48"/>
  <c r="Q10" i="48"/>
  <c r="P5" i="49"/>
  <c r="P4" i="49"/>
  <c r="P3" i="49"/>
  <c r="P10" i="49"/>
  <c r="P9" i="49"/>
  <c r="W9" i="49" s="1" a="1"/>
  <c r="W32" i="47"/>
  <c r="F5" i="49" s="1"/>
  <c r="P15" i="42"/>
  <c r="W36" i="47"/>
  <c r="W31" i="47"/>
  <c r="P19" i="40"/>
  <c r="P21" i="40"/>
  <c r="P11" i="42"/>
  <c r="F3" i="48"/>
  <c r="F4" i="48"/>
  <c r="F3" i="39"/>
  <c r="L5" i="42"/>
  <c r="L6" i="42"/>
  <c r="P17" i="40"/>
  <c r="P8" i="40"/>
  <c r="P13" i="42"/>
  <c r="W34" i="47"/>
  <c r="F7" i="49" s="1"/>
  <c r="P5" i="40"/>
  <c r="P18" i="40"/>
  <c r="F3" i="43"/>
  <c r="P14" i="42"/>
  <c r="P13" i="40"/>
  <c r="P11" i="40"/>
  <c r="P8" i="42"/>
  <c r="P7" i="40"/>
  <c r="P10" i="42"/>
  <c r="P14" i="40"/>
  <c r="W9" i="49" l="1"/>
  <c r="X10" i="49"/>
  <c r="X9" i="49"/>
  <c r="W10" i="49"/>
  <c r="W4" i="39"/>
  <c r="X3" i="39"/>
  <c r="X5" i="39"/>
  <c r="Y4" i="39"/>
  <c r="X4" i="39"/>
  <c r="W3" i="39"/>
  <c r="Y3" i="39"/>
  <c r="Y5" i="39"/>
  <c r="W5" i="39"/>
  <c r="W3" i="48" a="1"/>
  <c r="F3" i="49"/>
  <c r="F4" i="49"/>
  <c r="W3" i="43" a="1"/>
  <c r="W3" i="49" a="1"/>
  <c r="W9" i="43" a="1"/>
  <c r="W9" i="39" a="1"/>
  <c r="W9" i="48" a="1"/>
  <c r="X5" i="43" l="1"/>
  <c r="X4" i="43"/>
  <c r="W5" i="43"/>
  <c r="Y3" i="43"/>
  <c r="X3" i="43"/>
  <c r="Y5" i="43"/>
  <c r="W4" i="43"/>
  <c r="W3" i="43"/>
  <c r="Y4" i="43"/>
  <c r="X5" i="48"/>
  <c r="X3" i="48"/>
  <c r="X4" i="48"/>
  <c r="W4" i="48"/>
  <c r="Y4" i="48"/>
  <c r="Y3" i="48"/>
  <c r="W5" i="48"/>
  <c r="Y5" i="48"/>
  <c r="W3" i="48"/>
  <c r="W10" i="48"/>
  <c r="W9" i="48"/>
  <c r="X10" i="48"/>
  <c r="X9" i="48"/>
  <c r="X9" i="39"/>
  <c r="W10" i="39"/>
  <c r="X10" i="39"/>
  <c r="W9" i="39"/>
  <c r="X9" i="43"/>
  <c r="X10" i="43"/>
  <c r="W9" i="43"/>
  <c r="W10" i="43"/>
  <c r="Y3" i="49"/>
  <c r="W3" i="49"/>
  <c r="W5" i="49"/>
  <c r="X3" i="49"/>
  <c r="X5" i="49"/>
  <c r="Y4" i="49"/>
  <c r="W4" i="49"/>
  <c r="Y5" i="49"/>
  <c r="X4" i="49"/>
  <c r="U3" i="49" a="1"/>
  <c r="T1" i="42"/>
  <c r="T118" i="42"/>
  <c r="T146" i="42"/>
  <c r="T201" i="42"/>
  <c r="T100" i="42"/>
  <c r="T60" i="42"/>
  <c r="T77" i="42"/>
  <c r="T7" i="42"/>
  <c r="T172" i="42"/>
  <c r="T232" i="42"/>
  <c r="T237" i="42"/>
  <c r="T250" i="42"/>
  <c r="T121" i="42"/>
  <c r="T176" i="42"/>
  <c r="T245" i="42"/>
  <c r="T17" i="42"/>
  <c r="T174" i="42"/>
  <c r="T97" i="42"/>
  <c r="T107" i="42"/>
  <c r="T21" i="42"/>
  <c r="T99" i="42"/>
  <c r="T40" i="42"/>
  <c r="T169" i="42"/>
  <c r="T66" i="42"/>
  <c r="T64" i="42"/>
  <c r="T122" i="42"/>
  <c r="T153" i="42"/>
  <c r="T168" i="42"/>
  <c r="T226" i="42"/>
  <c r="T22" i="42"/>
  <c r="T53" i="42"/>
  <c r="T124" i="42"/>
  <c r="T73" i="42"/>
  <c r="T90" i="42"/>
  <c r="T28" i="42"/>
  <c r="T47" i="42"/>
  <c r="T225" i="42"/>
  <c r="T129" i="42"/>
  <c r="T114" i="42"/>
  <c r="T157" i="42"/>
  <c r="T69" i="42"/>
  <c r="T228" i="42"/>
  <c r="T45" i="42"/>
  <c r="T133" i="42"/>
  <c r="T44" i="42"/>
  <c r="T186" i="42"/>
  <c r="T162" i="42"/>
  <c r="T74" i="42"/>
  <c r="T48" i="42"/>
  <c r="T171" i="42"/>
  <c r="T238" i="42"/>
  <c r="T198" i="42"/>
  <c r="T23" i="42"/>
  <c r="T10" i="42"/>
  <c r="T27" i="42"/>
  <c r="T229" i="42"/>
  <c r="T4" i="42"/>
  <c r="T83" i="42"/>
  <c r="T241" i="42"/>
  <c r="T223" i="42"/>
  <c r="U13" i="48" a="1"/>
  <c r="T255" i="42"/>
  <c r="T117" i="42"/>
  <c r="T54" i="42"/>
  <c r="T145" i="42"/>
  <c r="T259" i="42"/>
  <c r="T142" i="42"/>
  <c r="T82" i="42"/>
  <c r="T20" i="42"/>
  <c r="T63" i="42"/>
  <c r="T105" i="42"/>
  <c r="T195" i="42"/>
  <c r="T216" i="42"/>
  <c r="T6" i="42"/>
  <c r="T85" i="42"/>
  <c r="T193" i="42"/>
  <c r="T95" i="42"/>
  <c r="T43" i="42"/>
  <c r="T84" i="42"/>
  <c r="T115" i="42"/>
  <c r="T62" i="42"/>
  <c r="T33" i="42"/>
  <c r="T196" i="42"/>
  <c r="T218" i="42"/>
  <c r="T86" i="42"/>
  <c r="T1" i="40"/>
  <c r="T19" i="40"/>
  <c r="T34" i="42"/>
  <c r="T127" i="42"/>
  <c r="T78" i="42"/>
  <c r="T197" i="42"/>
  <c r="T247" i="42"/>
  <c r="T164" i="42"/>
  <c r="T111" i="42"/>
  <c r="T134" i="42"/>
  <c r="T52" i="42"/>
  <c r="T166" i="42"/>
  <c r="T175" i="42"/>
  <c r="T120" i="42"/>
  <c r="T200" i="42"/>
  <c r="T123" i="42"/>
  <c r="T151" i="42"/>
  <c r="T177" i="42"/>
  <c r="T213" i="42"/>
  <c r="T108" i="42"/>
  <c r="P14" i="47" a="1"/>
  <c r="T102" i="42"/>
  <c r="T192" i="42"/>
  <c r="T67" i="42"/>
  <c r="T80" i="42"/>
  <c r="T106" i="42"/>
  <c r="T212" i="42"/>
  <c r="T109" i="42"/>
  <c r="T170" i="42"/>
  <c r="T32" i="42"/>
  <c r="T110" i="42"/>
  <c r="T7" i="40"/>
  <c r="T81" i="42"/>
  <c r="T87" i="42"/>
  <c r="T252" i="42"/>
  <c r="T185" i="42"/>
  <c r="T194" i="42"/>
  <c r="T183" i="42"/>
  <c r="T13" i="42"/>
  <c r="T243" i="42"/>
  <c r="T65" i="42"/>
  <c r="T190" i="42"/>
  <c r="T173" i="42"/>
  <c r="T143" i="42"/>
  <c r="T221" i="42"/>
  <c r="T137" i="42"/>
  <c r="T159" i="42"/>
  <c r="T9" i="42"/>
  <c r="T144" i="42"/>
  <c r="T184" i="42"/>
  <c r="T156" i="42"/>
  <c r="U9" i="48" a="1"/>
  <c r="T26" i="42"/>
  <c r="T199" i="42"/>
  <c r="T234" i="42"/>
  <c r="T15" i="42"/>
  <c r="T178" i="42"/>
  <c r="T75" i="42"/>
  <c r="T139" i="42"/>
  <c r="T260" i="42"/>
  <c r="T30" i="42"/>
  <c r="T61" i="42"/>
  <c r="T220" i="42"/>
  <c r="T26" i="40"/>
  <c r="T116" i="42"/>
  <c r="T5" i="42"/>
  <c r="T204" i="42"/>
  <c r="T188" i="42"/>
  <c r="T158" i="42"/>
  <c r="T189" i="42"/>
  <c r="T130" i="42"/>
  <c r="T236" i="42"/>
  <c r="T113" i="42"/>
  <c r="T131" i="42"/>
  <c r="T89" i="42"/>
  <c r="T207" i="42"/>
  <c r="T141" i="42"/>
  <c r="T138" i="42"/>
  <c r="T91" i="42"/>
  <c r="T161" i="42"/>
  <c r="T155" i="42"/>
  <c r="T181" i="42"/>
  <c r="T59" i="42"/>
  <c r="T72" i="42"/>
  <c r="T18" i="42"/>
  <c r="T79" i="42"/>
  <c r="T25" i="42"/>
  <c r="T211" i="42"/>
  <c r="T209" i="42"/>
  <c r="T101" i="42"/>
  <c r="T38" i="42"/>
  <c r="T3" i="40"/>
  <c r="T132" i="42"/>
  <c r="T205" i="42"/>
  <c r="T180" i="42"/>
  <c r="T239" i="42"/>
  <c r="D41" i="29"/>
  <c r="T210" i="42"/>
  <c r="T24" i="42"/>
  <c r="T126" i="42"/>
  <c r="N1" i="40"/>
  <c r="S18" i="40"/>
  <c r="T14" i="42"/>
  <c r="T251" i="42"/>
  <c r="T41" i="42"/>
  <c r="T167" i="42"/>
  <c r="T148" i="42"/>
  <c r="T50" i="42"/>
  <c r="T24" i="40"/>
  <c r="T248" i="42"/>
  <c r="G33" i="35"/>
  <c r="T179" i="42"/>
  <c r="T14" i="40"/>
  <c r="G3" i="35"/>
  <c r="T187" i="42"/>
  <c r="T12" i="42"/>
  <c r="T230" i="42"/>
  <c r="U3" i="48" a="1"/>
  <c r="G41" i="35"/>
  <c r="T20" i="40"/>
  <c r="T104" i="42"/>
  <c r="U13" i="49" a="1"/>
  <c r="G47" i="35"/>
  <c r="T11" i="40"/>
  <c r="T150" i="42"/>
  <c r="T51" i="42"/>
  <c r="T46" i="42"/>
  <c r="T9" i="40"/>
  <c r="T5" i="40"/>
  <c r="T136" i="42"/>
  <c r="T49" i="42"/>
  <c r="T23" i="40"/>
  <c r="T76" i="42"/>
  <c r="G40" i="35"/>
  <c r="G4" i="35"/>
  <c r="N7" i="40"/>
  <c r="T256" i="42"/>
  <c r="T249" i="42"/>
  <c r="T42" i="42"/>
  <c r="T125" i="42"/>
  <c r="T246" i="42"/>
  <c r="N10" i="40"/>
  <c r="S4" i="40"/>
  <c r="T56" i="42"/>
  <c r="T165" i="42"/>
  <c r="T206" i="42"/>
  <c r="T96" i="42"/>
  <c r="T215" i="42"/>
  <c r="G44" i="35"/>
  <c r="T219" i="42"/>
  <c r="S22" i="40"/>
  <c r="S7" i="40"/>
  <c r="T160" i="42"/>
  <c r="T254" i="42"/>
  <c r="G42" i="35"/>
  <c r="G29" i="35"/>
  <c r="T244" i="42"/>
  <c r="G28" i="35"/>
  <c r="T261" i="42"/>
  <c r="S24" i="40"/>
  <c r="T154" i="42"/>
  <c r="T140" i="42"/>
  <c r="T103" i="42"/>
  <c r="T227" i="42"/>
  <c r="T182" i="42"/>
  <c r="T231" i="42"/>
  <c r="G7" i="35"/>
  <c r="T31" i="42"/>
  <c r="T203" i="42"/>
  <c r="G19" i="35"/>
  <c r="T208" i="42"/>
  <c r="T233" i="42"/>
  <c r="T22" i="40"/>
  <c r="N1" i="42"/>
  <c r="T112" i="42"/>
  <c r="T55" i="42"/>
  <c r="T3" i="42"/>
  <c r="S251" i="42"/>
  <c r="S148" i="42"/>
  <c r="S131" i="42"/>
  <c r="S109" i="42"/>
  <c r="S195" i="42"/>
  <c r="T8" i="42"/>
  <c r="T19" i="42"/>
  <c r="T35" i="42"/>
  <c r="U9" i="49" a="1"/>
  <c r="N12" i="42"/>
  <c r="S202" i="42"/>
  <c r="S149" i="42"/>
  <c r="S72" i="42"/>
  <c r="S154" i="42"/>
  <c r="S124" i="42"/>
  <c r="N13" i="42"/>
  <c r="S214" i="42"/>
  <c r="S249" i="42"/>
  <c r="S194" i="42"/>
  <c r="S119" i="42"/>
  <c r="T10" i="40"/>
  <c r="F4" i="43"/>
  <c r="G11" i="35"/>
  <c r="G13" i="35"/>
  <c r="G9" i="35"/>
  <c r="N18" i="40"/>
  <c r="N8" i="40"/>
  <c r="N9" i="40"/>
  <c r="N3" i="40"/>
  <c r="N6" i="42"/>
  <c r="S155" i="42"/>
  <c r="S71" i="42"/>
  <c r="S6" i="42"/>
  <c r="T18" i="40"/>
  <c r="G5" i="35"/>
  <c r="G35" i="35"/>
  <c r="G10" i="35"/>
  <c r="S5" i="40"/>
  <c r="S10" i="40"/>
  <c r="N16" i="40"/>
  <c r="S91" i="42"/>
  <c r="S58" i="42"/>
  <c r="N20" i="40"/>
  <c r="S189" i="42"/>
  <c r="S36" i="42"/>
  <c r="G39" i="35"/>
  <c r="G22" i="35"/>
  <c r="N21" i="40"/>
  <c r="N13" i="40"/>
  <c r="S12" i="40"/>
  <c r="S177" i="42"/>
  <c r="N4" i="42"/>
  <c r="S9" i="42"/>
  <c r="G16" i="35"/>
  <c r="S110" i="42"/>
  <c r="S187" i="42"/>
  <c r="S136" i="42"/>
  <c r="T16" i="40"/>
  <c r="T15" i="40"/>
  <c r="G48" i="35"/>
  <c r="G2" i="35"/>
  <c r="S11" i="40"/>
  <c r="N5" i="40"/>
  <c r="S4" i="42"/>
  <c r="S133" i="42"/>
  <c r="T119" i="42"/>
  <c r="S100" i="42"/>
  <c r="S122" i="42"/>
  <c r="S11" i="42"/>
  <c r="S259" i="42"/>
  <c r="S96" i="42"/>
  <c r="S208" i="42"/>
  <c r="S44" i="42"/>
  <c r="S126" i="42"/>
  <c r="S180" i="42"/>
  <c r="S158" i="42"/>
  <c r="S102" i="42"/>
  <c r="S31" i="42"/>
  <c r="S103" i="42"/>
  <c r="G26" i="35"/>
  <c r="S8" i="40"/>
  <c r="S123" i="42"/>
  <c r="G50" i="35"/>
  <c r="G6" i="35"/>
  <c r="S6" i="40"/>
  <c r="F4" i="39"/>
  <c r="T13" i="40"/>
  <c r="G49" i="35"/>
  <c r="N6" i="40"/>
  <c r="F6" i="39"/>
  <c r="S87" i="42"/>
  <c r="G32" i="35"/>
  <c r="N4" i="40"/>
  <c r="G27" i="35"/>
  <c r="T12" i="40"/>
  <c r="S166" i="42"/>
  <c r="S8" i="42"/>
  <c r="S174" i="42"/>
  <c r="G36" i="35"/>
  <c r="G38" i="35"/>
  <c r="S20" i="40"/>
  <c r="S21" i="40"/>
  <c r="S19" i="40"/>
  <c r="N10" i="42"/>
  <c r="S24" i="42"/>
  <c r="S221" i="42"/>
  <c r="S192" i="42"/>
  <c r="T17" i="40"/>
  <c r="G31" i="35"/>
  <c r="G37" i="35"/>
  <c r="S13" i="40"/>
  <c r="S26" i="40"/>
  <c r="N12" i="40"/>
  <c r="S146" i="42"/>
  <c r="G24" i="35"/>
  <c r="G15" i="35"/>
  <c r="S9" i="40"/>
  <c r="F5" i="39"/>
  <c r="N14" i="40"/>
  <c r="G46" i="35"/>
  <c r="T29" i="42"/>
  <c r="S82" i="42"/>
  <c r="S203" i="42"/>
  <c r="G23" i="35"/>
  <c r="G30" i="35"/>
  <c r="S17" i="40"/>
  <c r="N19" i="40"/>
  <c r="T240" i="42"/>
  <c r="N15" i="42"/>
  <c r="G43" i="35"/>
  <c r="N11" i="40"/>
  <c r="P13" i="45" a="1"/>
  <c r="S157" i="42"/>
  <c r="S167" i="42"/>
  <c r="S218" i="42"/>
  <c r="G20" i="35"/>
  <c r="S23" i="40"/>
  <c r="S130" i="42"/>
  <c r="T25" i="40"/>
  <c r="S25" i="40"/>
  <c r="S15" i="40"/>
  <c r="S97" i="42"/>
  <c r="G14" i="35"/>
  <c r="F7" i="39"/>
  <c r="G18" i="35"/>
  <c r="S16" i="40"/>
  <c r="S54" i="42"/>
  <c r="G21" i="35"/>
  <c r="N15" i="40"/>
  <c r="U3" i="39" a="1"/>
  <c r="N17" i="40"/>
  <c r="G8" i="35"/>
  <c r="S3" i="40"/>
  <c r="S127" i="42"/>
  <c r="G12" i="35"/>
  <c r="S14" i="40"/>
  <c r="T16" i="42"/>
  <c r="T58" i="42"/>
  <c r="T98" i="42"/>
  <c r="T57" i="42"/>
  <c r="T94" i="42"/>
  <c r="T71" i="42"/>
  <c r="T202" i="42"/>
  <c r="T191" i="42"/>
  <c r="T147" i="42"/>
  <c r="T36" i="42"/>
  <c r="T224" i="42"/>
  <c r="T253" i="42"/>
  <c r="T11" i="42"/>
  <c r="T235" i="42"/>
  <c r="T128" i="42"/>
  <c r="T222" i="42"/>
  <c r="T68" i="42"/>
  <c r="T217" i="42"/>
  <c r="T152" i="42"/>
  <c r="T135" i="42"/>
  <c r="T214" i="42"/>
  <c r="T163" i="42"/>
  <c r="T88" i="42"/>
  <c r="T149" i="42"/>
  <c r="T70" i="42"/>
  <c r="T37" i="42"/>
  <c r="T39" i="42"/>
  <c r="T257" i="42"/>
  <c r="T92" i="42"/>
  <c r="T93" i="42"/>
  <c r="T242" i="42"/>
  <c r="T258" i="42"/>
  <c r="T6" i="40"/>
  <c r="T21" i="40"/>
  <c r="T4" i="40"/>
  <c r="T8" i="40"/>
  <c r="G25" i="35"/>
  <c r="G45" i="35"/>
  <c r="G17" i="35"/>
  <c r="G34" i="35"/>
  <c r="S25" i="42"/>
  <c r="S176" i="42"/>
  <c r="S129" i="42"/>
  <c r="S106" i="42"/>
  <c r="S172" i="42"/>
  <c r="F7" i="43"/>
  <c r="S35" i="42"/>
  <c r="S142" i="42"/>
  <c r="S65" i="42"/>
  <c r="S43" i="42"/>
  <c r="S181" i="42"/>
  <c r="S185" i="42"/>
  <c r="S47" i="42"/>
  <c r="S81" i="42"/>
  <c r="S45" i="42"/>
  <c r="S67" i="42"/>
  <c r="S168" i="42"/>
  <c r="S164" i="42"/>
  <c r="S60" i="42"/>
  <c r="S64" i="42"/>
  <c r="S14" i="42"/>
  <c r="F5" i="43"/>
  <c r="S95" i="42"/>
  <c r="S182" i="42"/>
  <c r="S231" i="42"/>
  <c r="S46" i="42"/>
  <c r="S121" i="42"/>
  <c r="S255" i="42"/>
  <c r="S247" i="42"/>
  <c r="S137" i="42"/>
  <c r="S219" i="42"/>
  <c r="S245" i="42"/>
  <c r="S83" i="42"/>
  <c r="S156" i="42"/>
  <c r="S170" i="42"/>
  <c r="S56" i="42"/>
  <c r="S66" i="42"/>
  <c r="S200" i="42"/>
  <c r="S242" i="42"/>
  <c r="S51" i="42"/>
  <c r="S207" i="42"/>
  <c r="N7" i="42"/>
  <c r="S215" i="42"/>
  <c r="S98" i="42"/>
  <c r="S3" i="42"/>
  <c r="S108" i="42"/>
  <c r="S49" i="42"/>
  <c r="S222" i="42"/>
  <c r="S232" i="42"/>
  <c r="S52" i="42"/>
  <c r="S41" i="42"/>
  <c r="S253" i="42"/>
  <c r="S250" i="42"/>
  <c r="S193" i="42"/>
  <c r="S7" i="42"/>
  <c r="S199" i="42"/>
  <c r="S233" i="42"/>
  <c r="S5" i="42"/>
  <c r="S89" i="42"/>
  <c r="S206" i="42"/>
  <c r="S236" i="42"/>
  <c r="S135" i="42"/>
  <c r="S19" i="42"/>
  <c r="S141" i="42"/>
  <c r="S240" i="42"/>
  <c r="S201" i="42"/>
  <c r="F6" i="43"/>
  <c r="S224" i="42"/>
  <c r="S211" i="42"/>
  <c r="S261" i="42"/>
  <c r="S144" i="42"/>
  <c r="S225" i="42"/>
  <c r="S212" i="42"/>
  <c r="S30" i="42"/>
  <c r="S128" i="42"/>
  <c r="S16" i="42"/>
  <c r="S226" i="42"/>
  <c r="S21" i="42"/>
  <c r="S223" i="42"/>
  <c r="N11" i="42"/>
  <c r="S111" i="42"/>
  <c r="S90" i="42"/>
  <c r="S39" i="42"/>
  <c r="S254" i="42"/>
  <c r="S92" i="42"/>
  <c r="S186" i="42"/>
  <c r="S53" i="42"/>
  <c r="S140" i="42"/>
  <c r="N9" i="42"/>
  <c r="S217" i="42"/>
  <c r="S107" i="42"/>
  <c r="S73" i="42"/>
  <c r="S105" i="42"/>
  <c r="S40" i="42"/>
  <c r="S256" i="42"/>
  <c r="S204" i="42"/>
  <c r="S197" i="42"/>
  <c r="S34" i="42"/>
  <c r="S37" i="42"/>
  <c r="S74" i="42"/>
  <c r="S85" i="42"/>
  <c r="S178" i="42"/>
  <c r="S171" i="42"/>
  <c r="S252" i="42"/>
  <c r="S198" i="42"/>
  <c r="S101" i="42"/>
  <c r="S196" i="42"/>
  <c r="S152" i="42"/>
  <c r="S179" i="42"/>
  <c r="S15" i="42"/>
  <c r="S173" i="42"/>
  <c r="S145" i="42"/>
  <c r="S228" i="42"/>
  <c r="S220" i="42"/>
  <c r="S162" i="42"/>
  <c r="S42" i="42"/>
  <c r="S205" i="42"/>
  <c r="S75" i="42"/>
  <c r="S143" i="42"/>
  <c r="S118" i="42"/>
  <c r="S150" i="42"/>
  <c r="N3" i="42"/>
  <c r="S59" i="42"/>
  <c r="S190" i="42"/>
  <c r="S86" i="42"/>
  <c r="S248" i="42"/>
  <c r="S258" i="42"/>
  <c r="S183" i="42"/>
  <c r="S229" i="42"/>
  <c r="S257" i="42"/>
  <c r="S138" i="42"/>
  <c r="S23" i="42"/>
  <c r="S239" i="42"/>
  <c r="S61" i="42"/>
  <c r="S210" i="42"/>
  <c r="S80" i="42"/>
  <c r="S241" i="42"/>
  <c r="S26" i="42"/>
  <c r="S27" i="42"/>
  <c r="S234" i="42"/>
  <c r="S48" i="42"/>
  <c r="S160" i="42"/>
  <c r="S209" i="42"/>
  <c r="S235" i="42"/>
  <c r="S159" i="42"/>
  <c r="S28" i="42"/>
  <c r="S50" i="42"/>
  <c r="S63" i="42"/>
  <c r="S88" i="42"/>
  <c r="S13" i="42"/>
  <c r="S79" i="42"/>
  <c r="N14" i="42"/>
  <c r="S112" i="42"/>
  <c r="S22" i="42"/>
  <c r="S117" i="42"/>
  <c r="S125" i="42"/>
  <c r="S32" i="42"/>
  <c r="S99" i="42"/>
  <c r="S104" i="42"/>
  <c r="S68" i="42"/>
  <c r="S213" i="42"/>
  <c r="S246" i="42"/>
  <c r="S165" i="42"/>
  <c r="S227" i="42"/>
  <c r="S191" i="42"/>
  <c r="S216" i="42"/>
  <c r="S120" i="42"/>
  <c r="S55" i="42"/>
  <c r="S10" i="42"/>
  <c r="S132" i="42"/>
  <c r="S12" i="42"/>
  <c r="S161" i="42"/>
  <c r="S151" i="42"/>
  <c r="S184" i="42"/>
  <c r="S20" i="42"/>
  <c r="S238" i="42"/>
  <c r="S78" i="42"/>
  <c r="S94" i="42"/>
  <c r="S147" i="42"/>
  <c r="S70" i="42"/>
  <c r="S113" i="42"/>
  <c r="S93" i="42"/>
  <c r="S29" i="42"/>
  <c r="S33" i="42"/>
  <c r="S18" i="42"/>
  <c r="S62" i="42"/>
  <c r="S38" i="42"/>
  <c r="S134" i="42"/>
  <c r="S243" i="42"/>
  <c r="N5" i="42"/>
  <c r="S230" i="42"/>
  <c r="S17" i="42"/>
  <c r="S69" i="42"/>
  <c r="S114" i="42"/>
  <c r="S188" i="42"/>
  <c r="S169" i="42"/>
  <c r="S153" i="42"/>
  <c r="S260" i="42"/>
  <c r="S76" i="42"/>
  <c r="S84" i="42"/>
  <c r="S116" i="42"/>
  <c r="S237" i="42"/>
  <c r="S115" i="42"/>
  <c r="S57" i="42"/>
  <c r="S163" i="42"/>
  <c r="S175" i="42"/>
  <c r="S244" i="42"/>
  <c r="S139" i="42"/>
  <c r="S77" i="42"/>
  <c r="N8" i="42"/>
  <c r="U9" i="39" a="1"/>
  <c r="U13" i="39" a="1"/>
  <c r="U3" i="43" a="1"/>
  <c r="U13" i="43" a="1"/>
  <c r="U9" i="43" a="1"/>
  <c r="U9" i="43"/>
  <c r="U10" i="43"/>
  <c r="U10" i="39"/>
  <c r="U4" i="39"/>
  <c r="P15" i="45"/>
  <c r="O11" i="40"/>
  <c r="O5" i="40"/>
  <c r="O9" i="40"/>
  <c r="U10" i="49"/>
  <c r="O10" i="40"/>
  <c r="U3" i="48"/>
  <c r="P24" i="47"/>
  <c r="P22" i="47"/>
  <c r="P20" i="47"/>
  <c r="U3" i="39"/>
  <c r="P17" i="45"/>
  <c r="O4" i="40"/>
  <c r="O20" i="40"/>
  <c r="O8" i="40"/>
  <c r="U9" i="49"/>
  <c r="O7" i="40"/>
  <c r="U5" i="48"/>
  <c r="P27" i="47"/>
  <c r="P25" i="47"/>
  <c r="U9" i="48"/>
  <c r="U4" i="43"/>
  <c r="U4" i="49"/>
  <c r="U13" i="43"/>
  <c r="S13" i="43" s="1"/>
  <c r="O15" i="40"/>
  <c r="P20" i="45"/>
  <c r="O12" i="40"/>
  <c r="O16" i="40"/>
  <c r="O18" i="40"/>
  <c r="P16" i="47"/>
  <c r="P17" i="47"/>
  <c r="O6" i="40"/>
  <c r="P26" i="47"/>
  <c r="P18" i="47"/>
  <c r="P13" i="45"/>
  <c r="U13" i="49"/>
  <c r="S13" i="49" s="1"/>
  <c r="U5" i="49"/>
  <c r="U3" i="43"/>
  <c r="U5" i="43"/>
  <c r="P16" i="45"/>
  <c r="O19" i="40"/>
  <c r="P23" i="47"/>
  <c r="P21" i="45"/>
  <c r="U13" i="39"/>
  <c r="S13" i="39" s="1"/>
  <c r="O17" i="40"/>
  <c r="P18" i="45"/>
  <c r="O21" i="40"/>
  <c r="P14" i="47"/>
  <c r="P21" i="47"/>
  <c r="U9" i="39"/>
  <c r="U5" i="39"/>
  <c r="P19" i="45"/>
  <c r="P14" i="45"/>
  <c r="O14" i="40"/>
  <c r="U4" i="48"/>
  <c r="P15" i="47"/>
  <c r="P19" i="47"/>
  <c r="U3" i="49"/>
  <c r="U13" i="48"/>
  <c r="S13" i="48" s="1"/>
  <c r="O13" i="40"/>
  <c r="U10" i="48"/>
  <c r="S27" i="40"/>
  <c r="T27" i="40"/>
  <c r="S9" i="49" l="1" a="1"/>
  <c r="S9" i="49" s="1"/>
  <c r="S9" i="43" a="1"/>
  <c r="S10" i="43" s="1"/>
  <c r="S3" i="43" a="1"/>
  <c r="S3" i="43" s="1"/>
  <c r="AD204" i="49"/>
  <c r="AD148" i="49"/>
  <c r="AD14" i="49"/>
  <c r="AD23" i="49"/>
  <c r="AD77" i="49"/>
  <c r="AD140" i="49"/>
  <c r="AD32" i="49"/>
  <c r="AD146" i="49"/>
  <c r="AD54" i="49"/>
  <c r="AD231" i="49"/>
  <c r="AD100" i="49"/>
  <c r="AD102" i="49"/>
  <c r="AD156" i="49"/>
  <c r="AD15" i="49"/>
  <c r="AD225" i="49"/>
  <c r="AD134" i="49"/>
  <c r="AD251" i="49"/>
  <c r="AD139" i="49"/>
  <c r="AD59" i="49"/>
  <c r="AD138" i="49"/>
  <c r="AD228" i="49"/>
  <c r="AD119" i="49"/>
  <c r="AD120" i="49"/>
  <c r="AD192" i="49"/>
  <c r="AD103" i="49"/>
  <c r="AD178" i="49"/>
  <c r="AD22" i="49"/>
  <c r="AD27" i="49"/>
  <c r="AD219" i="49"/>
  <c r="AD124" i="49"/>
  <c r="AD170" i="49"/>
  <c r="AD50" i="49"/>
  <c r="AD85" i="39"/>
  <c r="AD104" i="39"/>
  <c r="AD32" i="39"/>
  <c r="AD48" i="39"/>
  <c r="AD88" i="39"/>
  <c r="AD92" i="39"/>
  <c r="AD56" i="39"/>
  <c r="AD103" i="39"/>
  <c r="AD95" i="39"/>
  <c r="AD22" i="39"/>
  <c r="AD69" i="39"/>
  <c r="AD74" i="39"/>
  <c r="AD86" i="39"/>
  <c r="AD122" i="39"/>
  <c r="AD60" i="39"/>
  <c r="AD3" i="39"/>
  <c r="AD16" i="48"/>
  <c r="AD17" i="48"/>
  <c r="AD4" i="48"/>
  <c r="AD3" i="43"/>
  <c r="AD51" i="43"/>
  <c r="AD41" i="43"/>
  <c r="AD16" i="43"/>
  <c r="AD57" i="43"/>
  <c r="AD34" i="43"/>
  <c r="AD25" i="43"/>
  <c r="AD15" i="43"/>
  <c r="AD26" i="39"/>
  <c r="AD31" i="39"/>
  <c r="AD80" i="39"/>
  <c r="AD132" i="39"/>
  <c r="AD10" i="39"/>
  <c r="AD131" i="39"/>
  <c r="AD102" i="39"/>
  <c r="AD12" i="48"/>
  <c r="AD9" i="43"/>
  <c r="AD35" i="49"/>
  <c r="AD65" i="49"/>
  <c r="AD132" i="49"/>
  <c r="AD227" i="49"/>
  <c r="AD38" i="49"/>
  <c r="AD173" i="49"/>
  <c r="AD87" i="49"/>
  <c r="AD165" i="49"/>
  <c r="AD167" i="49"/>
  <c r="AD18" i="49"/>
  <c r="AD43" i="49"/>
  <c r="AD135" i="49"/>
  <c r="AD117" i="49"/>
  <c r="AD174" i="49"/>
  <c r="AD4" i="49"/>
  <c r="AD62" i="49"/>
  <c r="AD114" i="49"/>
  <c r="AD30" i="49"/>
  <c r="AD238" i="49"/>
  <c r="AD105" i="49"/>
  <c r="AD128" i="49"/>
  <c r="AD123" i="49"/>
  <c r="AD216" i="49"/>
  <c r="AD181" i="49"/>
  <c r="AD78" i="49"/>
  <c r="AD94" i="49"/>
  <c r="AD222" i="49"/>
  <c r="AD147" i="49"/>
  <c r="AD69" i="49"/>
  <c r="AD33" i="49"/>
  <c r="AD96" i="49"/>
  <c r="AD108" i="49"/>
  <c r="AD198" i="49"/>
  <c r="AD245" i="49"/>
  <c r="AD74" i="49"/>
  <c r="AD113" i="49"/>
  <c r="AD45" i="49"/>
  <c r="AD211" i="49"/>
  <c r="AD159" i="49"/>
  <c r="AD215" i="49"/>
  <c r="AD239" i="49"/>
  <c r="AD20" i="39"/>
  <c r="AD90" i="39"/>
  <c r="AD42" i="39"/>
  <c r="AD67" i="39"/>
  <c r="AD120" i="39"/>
  <c r="AD79" i="39"/>
  <c r="AD70" i="39"/>
  <c r="AD124" i="39"/>
  <c r="AD45" i="39"/>
  <c r="AD51" i="39"/>
  <c r="AD105" i="39"/>
  <c r="AD82" i="39"/>
  <c r="AD121" i="39"/>
  <c r="AD50" i="39"/>
  <c r="AD83" i="39"/>
  <c r="AD99" i="39"/>
  <c r="AD15" i="48"/>
  <c r="AD5" i="48"/>
  <c r="AD7" i="48"/>
  <c r="AD21" i="43"/>
  <c r="AD49" i="43"/>
  <c r="AD18" i="43"/>
  <c r="AD33" i="43"/>
  <c r="AD6" i="43"/>
  <c r="AD47" i="43"/>
  <c r="AD64" i="43"/>
  <c r="AD50" i="43"/>
  <c r="AD37" i="39"/>
  <c r="AD35" i="39"/>
  <c r="AD111" i="39"/>
  <c r="AD21" i="48"/>
  <c r="AD5" i="43"/>
  <c r="AD23" i="43"/>
  <c r="AD7" i="43"/>
  <c r="AD44" i="43"/>
  <c r="AD217" i="49"/>
  <c r="AD164" i="49"/>
  <c r="AD122" i="49"/>
  <c r="AD221" i="49"/>
  <c r="AD237" i="49"/>
  <c r="AD106" i="49"/>
  <c r="AD71" i="49"/>
  <c r="AD240" i="49"/>
  <c r="AD52" i="49"/>
  <c r="AD126" i="49"/>
  <c r="AD68" i="49"/>
  <c r="AD91" i="49"/>
  <c r="AD107" i="49"/>
  <c r="AD21" i="49"/>
  <c r="AD118" i="49"/>
  <c r="AD252" i="49"/>
  <c r="AD51" i="49"/>
  <c r="AD58" i="49"/>
  <c r="AD39" i="49"/>
  <c r="AD180" i="49"/>
  <c r="AD81" i="49"/>
  <c r="AD70" i="49"/>
  <c r="AD187" i="49"/>
  <c r="AD235" i="49"/>
  <c r="AD152" i="49"/>
  <c r="AD196" i="49"/>
  <c r="AD255" i="49"/>
  <c r="AD48" i="49"/>
  <c r="AD11" i="49"/>
  <c r="AD226" i="49"/>
  <c r="AD115" i="49"/>
  <c r="AD168" i="49"/>
  <c r="AD7" i="49"/>
  <c r="AD157" i="49"/>
  <c r="AD205" i="49"/>
  <c r="AD24" i="49"/>
  <c r="AD121" i="49"/>
  <c r="AD99" i="49"/>
  <c r="AD67" i="49"/>
  <c r="AD66" i="39"/>
  <c r="AD130" i="39"/>
  <c r="AD101" i="39"/>
  <c r="AD47" i="39"/>
  <c r="AD7" i="39"/>
  <c r="AD125" i="39"/>
  <c r="AD127" i="39"/>
  <c r="AD28" i="39"/>
  <c r="AD114" i="39"/>
  <c r="AD93" i="39"/>
  <c r="AD49" i="39"/>
  <c r="AD77" i="39"/>
  <c r="AD52" i="39"/>
  <c r="AD107" i="39"/>
  <c r="AD113" i="39"/>
  <c r="AD55" i="39"/>
  <c r="AD10" i="48"/>
  <c r="AD14" i="48"/>
  <c r="AD26" i="48"/>
  <c r="AD13" i="43"/>
  <c r="AD61" i="43"/>
  <c r="AD11" i="43"/>
  <c r="AD29" i="43"/>
  <c r="AD37" i="43"/>
  <c r="AD39" i="43"/>
  <c r="AD27" i="43"/>
  <c r="S10" i="49"/>
  <c r="AD76" i="39"/>
  <c r="AD30" i="39"/>
  <c r="AD126" i="39"/>
  <c r="AD11" i="39"/>
  <c r="AD34" i="39"/>
  <c r="AD6" i="48"/>
  <c r="AD28" i="43"/>
  <c r="AD38" i="43"/>
  <c r="AD85" i="49"/>
  <c r="AD101" i="49"/>
  <c r="AD169" i="49"/>
  <c r="AD26" i="49"/>
  <c r="AD190" i="49"/>
  <c r="AD42" i="49"/>
  <c r="AD247" i="49"/>
  <c r="AD109" i="49"/>
  <c r="AD153" i="49"/>
  <c r="AD193" i="49"/>
  <c r="AD234" i="49"/>
  <c r="AD253" i="49"/>
  <c r="AD41" i="49"/>
  <c r="AD201" i="49"/>
  <c r="AD145" i="49"/>
  <c r="AD112" i="49"/>
  <c r="AD40" i="49"/>
  <c r="AD17" i="49"/>
  <c r="AD176" i="49"/>
  <c r="AD143" i="49"/>
  <c r="AD9" i="49"/>
  <c r="AD172" i="49"/>
  <c r="AD257" i="49"/>
  <c r="AD186" i="49"/>
  <c r="AD86" i="49"/>
  <c r="AD49" i="49"/>
  <c r="AD31" i="49"/>
  <c r="AD116" i="49"/>
  <c r="AD125" i="49"/>
  <c r="AD57" i="49"/>
  <c r="AD249" i="49"/>
  <c r="AD220" i="49"/>
  <c r="AD230" i="49"/>
  <c r="AD79" i="49"/>
  <c r="AD16" i="49"/>
  <c r="AD224" i="49"/>
  <c r="AD8" i="49"/>
  <c r="AD162" i="49"/>
  <c r="AD97" i="49"/>
  <c r="AD154" i="49"/>
  <c r="AD33" i="39"/>
  <c r="AD98" i="49"/>
  <c r="AD5" i="49"/>
  <c r="AD233" i="49"/>
  <c r="AD61" i="49"/>
  <c r="AD184" i="49"/>
  <c r="AD206" i="49"/>
  <c r="AD182" i="49"/>
  <c r="AD155" i="49"/>
  <c r="AD13" i="49"/>
  <c r="AD163" i="49"/>
  <c r="AD25" i="49"/>
  <c r="AD82" i="49"/>
  <c r="AD12" i="39"/>
  <c r="AD9" i="39"/>
  <c r="AD57" i="39"/>
  <c r="AD15" i="39"/>
  <c r="AD118" i="39"/>
  <c r="AD5" i="39"/>
  <c r="AD23" i="39"/>
  <c r="AD27" i="39"/>
  <c r="AD84" i="39"/>
  <c r="AD23" i="48"/>
  <c r="AD24" i="48"/>
  <c r="AD19" i="43"/>
  <c r="AD65" i="43"/>
  <c r="AD36" i="43"/>
  <c r="AD30" i="43"/>
  <c r="AD75" i="49"/>
  <c r="AD44" i="49"/>
  <c r="AD158" i="49"/>
  <c r="AD20" i="49"/>
  <c r="AD117" i="39"/>
  <c r="AD71" i="39"/>
  <c r="AD100" i="39"/>
  <c r="AD62" i="39"/>
  <c r="AD91" i="39"/>
  <c r="AD98" i="39"/>
  <c r="AD64" i="39"/>
  <c r="AD8" i="48"/>
  <c r="AD11" i="48"/>
  <c r="AD54" i="43"/>
  <c r="AD63" i="43"/>
  <c r="AD42" i="43"/>
  <c r="AD232" i="49"/>
  <c r="AD248" i="49"/>
  <c r="AD160" i="49"/>
  <c r="AD110" i="49"/>
  <c r="AD36" i="49"/>
  <c r="AD75" i="39"/>
  <c r="AD97" i="39"/>
  <c r="AD115" i="39"/>
  <c r="AD20" i="48"/>
  <c r="AD56" i="43"/>
  <c r="AD137" i="49"/>
  <c r="AD131" i="49"/>
  <c r="AD84" i="49"/>
  <c r="AD175" i="49"/>
  <c r="AD96" i="39"/>
  <c r="AD39" i="39"/>
  <c r="AD13" i="39"/>
  <c r="AD17" i="43"/>
  <c r="AD8" i="43"/>
  <c r="AD208" i="49"/>
  <c r="AD66" i="49"/>
  <c r="AD244" i="49"/>
  <c r="AD246" i="49"/>
  <c r="AD4" i="39"/>
  <c r="AD17" i="39"/>
  <c r="AD19" i="48"/>
  <c r="AD62" i="43"/>
  <c r="AD55" i="49"/>
  <c r="AD209" i="49"/>
  <c r="AD171" i="49"/>
  <c r="AD73" i="49"/>
  <c r="AD72" i="39"/>
  <c r="AD128" i="39"/>
  <c r="AD3" i="48"/>
  <c r="AD250" i="49"/>
  <c r="AD111" i="49"/>
  <c r="AD89" i="49"/>
  <c r="AD60" i="49"/>
  <c r="AD28" i="49"/>
  <c r="AD6" i="49"/>
  <c r="AD149" i="49"/>
  <c r="AD207" i="49"/>
  <c r="AD144" i="49"/>
  <c r="AD108" i="39"/>
  <c r="AD110" i="39"/>
  <c r="AD60" i="43"/>
  <c r="AD104" i="49"/>
  <c r="AD53" i="49"/>
  <c r="AD195" i="49"/>
  <c r="AD64" i="49"/>
  <c r="AD199" i="49"/>
  <c r="AD229" i="49"/>
  <c r="AD6" i="39"/>
  <c r="AD87" i="39"/>
  <c r="AD14" i="39"/>
  <c r="AD10" i="43"/>
  <c r="AD72" i="49"/>
  <c r="AD210" i="49"/>
  <c r="AD179" i="49"/>
  <c r="AD95" i="49"/>
  <c r="AD94" i="39"/>
  <c r="AD59" i="39"/>
  <c r="AD22" i="48"/>
  <c r="AD53" i="43"/>
  <c r="AD177" i="49"/>
  <c r="AD166" i="49"/>
  <c r="AD37" i="49"/>
  <c r="AD223" i="49"/>
  <c r="AD203" i="49"/>
  <c r="AD78" i="39"/>
  <c r="AD129" i="39"/>
  <c r="AD89" i="39"/>
  <c r="AD31" i="43"/>
  <c r="AD161" i="49"/>
  <c r="AD130" i="49"/>
  <c r="AD47" i="49"/>
  <c r="AD214" i="49"/>
  <c r="AD36" i="39"/>
  <c r="AD14" i="43"/>
  <c r="AD29" i="49"/>
  <c r="AD19" i="49"/>
  <c r="AD185" i="49"/>
  <c r="AD34" i="49"/>
  <c r="AD218" i="49"/>
  <c r="AD90" i="49"/>
  <c r="AD127" i="49"/>
  <c r="AD194" i="49"/>
  <c r="AD80" i="49"/>
  <c r="AD3" i="49"/>
  <c r="AD10" i="49"/>
  <c r="AD151" i="49"/>
  <c r="AD88" i="49"/>
  <c r="AD40" i="39"/>
  <c r="AD106" i="39"/>
  <c r="AD81" i="39"/>
  <c r="AD19" i="39"/>
  <c r="AD38" i="39"/>
  <c r="AD41" i="39"/>
  <c r="AD112" i="39"/>
  <c r="AD54" i="39"/>
  <c r="AD13" i="48"/>
  <c r="AD25" i="48"/>
  <c r="AD58" i="43"/>
  <c r="AD4" i="43"/>
  <c r="AD48" i="43"/>
  <c r="AD59" i="43"/>
  <c r="AD93" i="49"/>
  <c r="AD189" i="49"/>
  <c r="AD191" i="49"/>
  <c r="AD119" i="39"/>
  <c r="AD63" i="39"/>
  <c r="AD116" i="39"/>
  <c r="AD8" i="39"/>
  <c r="AD18" i="39"/>
  <c r="AD68" i="39"/>
  <c r="AD25" i="39"/>
  <c r="AD18" i="48"/>
  <c r="AD24" i="43"/>
  <c r="AD35" i="43"/>
  <c r="AD55" i="43"/>
  <c r="AD45" i="43"/>
  <c r="AD254" i="49"/>
  <c r="AD242" i="49"/>
  <c r="AD61" i="39"/>
  <c r="AD109" i="39"/>
  <c r="AD52" i="43"/>
  <c r="AD43" i="43"/>
  <c r="AD92" i="49"/>
  <c r="AD212" i="49"/>
  <c r="AD136" i="49"/>
  <c r="AD213" i="49"/>
  <c r="AD58" i="39"/>
  <c r="AD123" i="39"/>
  <c r="AD29" i="39"/>
  <c r="AD183" i="49"/>
  <c r="AD141" i="49"/>
  <c r="AD202" i="49"/>
  <c r="AD46" i="39"/>
  <c r="AD65" i="39"/>
  <c r="AD20" i="43"/>
  <c r="AD63" i="49"/>
  <c r="AD133" i="49"/>
  <c r="AD241" i="49"/>
  <c r="AD243" i="49"/>
  <c r="AD73" i="39"/>
  <c r="AD43" i="39"/>
  <c r="AD44" i="39"/>
  <c r="AD21" i="39"/>
  <c r="AD129" i="49"/>
  <c r="AD46" i="49"/>
  <c r="AD236" i="49"/>
  <c r="AD188" i="49"/>
  <c r="AD150" i="49"/>
  <c r="AD56" i="49"/>
  <c r="AD76" i="49"/>
  <c r="AD142" i="49"/>
  <c r="AD200" i="49"/>
  <c r="AD197" i="49"/>
  <c r="AD53" i="39"/>
  <c r="AD256" i="49"/>
  <c r="AD32" i="43"/>
  <c r="AD12" i="49"/>
  <c r="AD16" i="39"/>
  <c r="AD40" i="43"/>
  <c r="AD83" i="49"/>
  <c r="AD24" i="39"/>
  <c r="AD9" i="48"/>
  <c r="AD46" i="43"/>
  <c r="AD26" i="43"/>
  <c r="AD22" i="43"/>
  <c r="AD12" i="43"/>
  <c r="S28" i="40"/>
  <c r="T28" i="40"/>
  <c r="S29" i="40"/>
  <c r="T29" i="40"/>
  <c r="S9" i="43" l="1"/>
  <c r="AE65" i="43" s="1"/>
  <c r="S5" i="43"/>
  <c r="S4" i="43"/>
  <c r="AE224" i="49"/>
  <c r="AE167" i="49"/>
  <c r="AE249" i="49"/>
  <c r="AE68" i="49"/>
  <c r="AE8" i="49"/>
  <c r="AE181" i="49"/>
  <c r="AE148" i="49"/>
  <c r="AE112" i="49"/>
  <c r="AE90" i="49"/>
  <c r="AE172" i="49"/>
  <c r="AE190" i="49"/>
  <c r="AE137" i="49"/>
  <c r="AE230" i="49"/>
  <c r="AE173" i="49"/>
  <c r="AE154" i="49"/>
  <c r="AE227" i="49"/>
  <c r="AE246" i="49"/>
  <c r="AE65" i="49"/>
  <c r="AE129" i="49"/>
  <c r="AE175" i="49"/>
  <c r="AE217" i="49"/>
  <c r="AE91" i="49"/>
  <c r="AE143" i="49"/>
  <c r="AE109" i="49"/>
  <c r="AE232" i="49"/>
  <c r="AE203" i="49"/>
  <c r="AE189" i="49"/>
  <c r="AE76" i="49"/>
  <c r="AE34" i="49"/>
  <c r="AE93" i="49"/>
  <c r="AE138" i="49"/>
  <c r="AE54" i="49"/>
  <c r="AE162" i="49"/>
  <c r="AE149" i="49"/>
  <c r="AE122" i="49"/>
  <c r="AE155" i="49"/>
  <c r="AE182" i="49"/>
  <c r="AE40" i="49"/>
  <c r="AE243" i="49"/>
  <c r="AE26" i="49"/>
  <c r="AE240" i="49"/>
  <c r="AE156" i="49"/>
  <c r="AE64" i="49"/>
  <c r="AE56" i="49"/>
  <c r="AE86" i="49"/>
  <c r="AE206" i="49"/>
  <c r="AE255" i="49"/>
  <c r="AE158" i="49"/>
  <c r="AE245" i="49"/>
  <c r="AE13" i="49"/>
  <c r="AE32" i="49"/>
  <c r="AE180" i="49"/>
  <c r="AE171" i="49"/>
  <c r="AE97" i="49"/>
  <c r="AE29" i="49"/>
  <c r="AE24" i="49"/>
  <c r="AE53" i="49"/>
  <c r="AE115" i="49"/>
  <c r="AE7" i="49"/>
  <c r="AE145" i="49"/>
  <c r="AE111" i="49"/>
  <c r="AE200" i="49"/>
  <c r="AE142" i="49"/>
  <c r="AE216" i="49"/>
  <c r="AE81" i="49"/>
  <c r="AE242" i="49"/>
  <c r="AE219" i="49"/>
  <c r="AE192" i="49"/>
  <c r="AE39" i="49"/>
  <c r="AE22" i="49"/>
  <c r="AE79" i="49"/>
  <c r="AE231" i="49"/>
  <c r="AE191" i="49"/>
  <c r="AE3" i="49"/>
  <c r="AE119" i="49"/>
  <c r="AE50" i="49"/>
  <c r="AE6" i="49"/>
  <c r="AE201" i="49"/>
  <c r="AE84" i="49"/>
  <c r="AE96" i="49"/>
  <c r="AE9" i="49"/>
  <c r="AE178" i="49"/>
  <c r="AE35" i="49"/>
  <c r="AE98" i="49"/>
  <c r="AE252" i="49"/>
  <c r="AE102" i="49"/>
  <c r="AE74" i="49"/>
  <c r="AE15" i="49"/>
  <c r="AE120" i="49"/>
  <c r="AE207" i="49"/>
  <c r="AE25" i="49"/>
  <c r="AE225" i="49"/>
  <c r="AE214" i="49"/>
  <c r="AE85" i="49"/>
  <c r="AE209" i="49"/>
  <c r="AE33" i="49"/>
  <c r="AE101" i="49"/>
  <c r="AE147" i="49"/>
  <c r="AE179" i="49"/>
  <c r="AE46" i="49"/>
  <c r="AE30" i="49"/>
  <c r="AE188" i="49"/>
  <c r="AE213" i="49"/>
  <c r="AE210" i="49"/>
  <c r="AE104" i="49"/>
  <c r="AE83" i="49"/>
  <c r="AE241" i="49"/>
  <c r="AE152" i="49"/>
  <c r="AE51" i="49"/>
  <c r="AE49" i="49"/>
  <c r="AE89" i="49"/>
  <c r="AE72" i="49"/>
  <c r="AE165" i="49"/>
  <c r="AE234" i="49"/>
  <c r="AE82" i="49"/>
  <c r="AE14" i="49"/>
  <c r="AE17" i="49"/>
  <c r="AE247" i="49"/>
  <c r="AE237" i="49"/>
  <c r="AE20" i="49"/>
  <c r="AE220" i="49"/>
  <c r="AE244" i="49"/>
  <c r="AE124" i="49"/>
  <c r="AE186" i="49"/>
  <c r="AE60" i="49"/>
  <c r="AE38" i="49"/>
  <c r="AE16" i="49"/>
  <c r="AE215" i="49"/>
  <c r="AE80" i="49"/>
  <c r="AE107" i="49"/>
  <c r="AE128" i="49"/>
  <c r="AE19" i="49"/>
  <c r="AE71" i="49"/>
  <c r="AE223" i="49"/>
  <c r="AE222" i="49"/>
  <c r="AE233" i="49"/>
  <c r="AE67" i="49"/>
  <c r="AE239" i="49"/>
  <c r="AE238" i="49"/>
  <c r="AE18" i="49"/>
  <c r="AE12" i="49"/>
  <c r="AE185" i="49"/>
  <c r="AE94" i="49"/>
  <c r="AE139" i="49"/>
  <c r="AE28" i="49"/>
  <c r="AE78" i="49"/>
  <c r="AE161" i="49"/>
  <c r="AE126" i="49"/>
  <c r="AE118" i="49"/>
  <c r="AE23" i="49"/>
  <c r="AE141" i="49"/>
  <c r="AE196" i="49"/>
  <c r="AE69" i="49"/>
  <c r="AE132" i="49"/>
  <c r="AE205" i="49"/>
  <c r="AE174" i="49"/>
  <c r="AE44" i="49"/>
  <c r="AE95" i="49"/>
  <c r="AE52" i="49"/>
  <c r="AE254" i="49"/>
  <c r="AE212" i="49"/>
  <c r="AE194" i="49"/>
  <c r="AE55" i="49"/>
  <c r="AE136" i="49"/>
  <c r="AE47" i="49"/>
  <c r="AE57" i="49"/>
  <c r="AE62" i="49"/>
  <c r="AE4" i="49"/>
  <c r="AE43" i="49"/>
  <c r="AE75" i="49"/>
  <c r="AE127" i="49"/>
  <c r="AE211" i="49"/>
  <c r="AE183" i="49"/>
  <c r="AE151" i="49"/>
  <c r="AE187" i="49"/>
  <c r="AE87" i="49"/>
  <c r="AE123" i="49"/>
  <c r="AE77" i="49"/>
  <c r="AE257" i="49"/>
  <c r="AE157" i="49"/>
  <c r="AE202" i="49"/>
  <c r="AE113" i="49"/>
  <c r="AE163" i="49"/>
  <c r="AE100" i="49"/>
  <c r="AE146" i="49"/>
  <c r="AE253" i="49"/>
  <c r="AE135" i="49"/>
  <c r="AE226" i="49"/>
  <c r="AE176" i="49"/>
  <c r="AE228" i="49"/>
  <c r="AE160" i="49"/>
  <c r="AE92" i="49"/>
  <c r="AE134" i="49"/>
  <c r="AE193" i="49"/>
  <c r="AE195" i="49"/>
  <c r="AE63" i="49"/>
  <c r="AE133" i="49"/>
  <c r="AE88" i="49"/>
  <c r="AE99" i="49"/>
  <c r="AE159" i="49"/>
  <c r="AE70" i="49"/>
  <c r="AE108" i="49"/>
  <c r="AE21" i="49"/>
  <c r="AE41" i="49"/>
  <c r="AE251" i="49"/>
  <c r="AE208" i="49"/>
  <c r="AE250" i="49"/>
  <c r="AE236" i="49"/>
  <c r="AE36" i="49"/>
  <c r="AE106" i="49"/>
  <c r="AE248" i="49"/>
  <c r="AE45" i="49"/>
  <c r="AE105" i="49"/>
  <c r="AE218" i="49"/>
  <c r="AE184" i="49"/>
  <c r="AE48" i="49"/>
  <c r="AE164" i="49"/>
  <c r="AE11" i="49"/>
  <c r="AE116" i="49"/>
  <c r="AE229" i="49"/>
  <c r="AE153" i="49"/>
  <c r="AE144" i="49"/>
  <c r="AE221" i="49"/>
  <c r="AE73" i="49"/>
  <c r="AE59" i="49"/>
  <c r="AE166" i="49"/>
  <c r="AE37" i="49"/>
  <c r="AE58" i="49"/>
  <c r="AE10" i="49"/>
  <c r="AE131" i="49"/>
  <c r="AE31" i="49"/>
  <c r="AE199" i="49"/>
  <c r="AE140" i="49"/>
  <c r="AE170" i="49"/>
  <c r="AE150" i="49"/>
  <c r="AE169" i="49"/>
  <c r="AE121" i="49"/>
  <c r="AE110" i="49"/>
  <c r="AE125" i="49"/>
  <c r="AE168" i="49"/>
  <c r="AE5" i="49"/>
  <c r="AE177" i="49"/>
  <c r="AE235" i="49"/>
  <c r="AE42" i="49"/>
  <c r="AE117" i="49"/>
  <c r="AE61" i="49"/>
  <c r="AE256" i="49"/>
  <c r="AE114" i="49"/>
  <c r="AE27" i="49"/>
  <c r="AE204" i="49"/>
  <c r="AE197" i="49"/>
  <c r="AE103" i="49"/>
  <c r="AE130" i="49"/>
  <c r="AE66" i="49"/>
  <c r="AE198" i="49"/>
  <c r="S30" i="40"/>
  <c r="T30" i="40"/>
  <c r="T31" i="40"/>
  <c r="S31" i="40"/>
  <c r="T32" i="40"/>
  <c r="S32" i="40"/>
  <c r="T33" i="40"/>
  <c r="S33" i="40"/>
  <c r="T34" i="40"/>
  <c r="S34" i="40"/>
  <c r="T35" i="40"/>
  <c r="S35" i="40"/>
  <c r="S36" i="40"/>
  <c r="T36" i="40"/>
  <c r="T37" i="40"/>
  <c r="S37" i="40"/>
  <c r="T38" i="40"/>
  <c r="S38" i="40"/>
  <c r="T39" i="40"/>
  <c r="S39" i="40"/>
  <c r="T40" i="40"/>
  <c r="S40" i="40"/>
  <c r="S41" i="40"/>
  <c r="T41" i="40"/>
  <c r="T42" i="40"/>
  <c r="S42" i="40"/>
  <c r="T43" i="40"/>
  <c r="S43" i="40"/>
  <c r="S44" i="40"/>
  <c r="T44" i="40"/>
  <c r="T45" i="40"/>
  <c r="S45" i="40"/>
  <c r="T46" i="40"/>
  <c r="S46" i="40"/>
  <c r="S47" i="40"/>
  <c r="T47" i="40"/>
  <c r="T48" i="40"/>
  <c r="S48" i="40"/>
  <c r="T49" i="40"/>
  <c r="S49" i="40"/>
  <c r="S50" i="40"/>
  <c r="T50" i="40"/>
  <c r="T51" i="40"/>
  <c r="S51" i="40"/>
  <c r="T52" i="40"/>
  <c r="S52" i="40"/>
  <c r="S53" i="40"/>
  <c r="T53" i="40"/>
  <c r="S54" i="40"/>
  <c r="T54" i="40"/>
  <c r="T55" i="40"/>
  <c r="S55" i="40"/>
  <c r="S56" i="40"/>
  <c r="T56" i="40"/>
  <c r="T57" i="40"/>
  <c r="S57" i="40"/>
  <c r="S58" i="40"/>
  <c r="T58" i="40"/>
  <c r="T59" i="40"/>
  <c r="S59" i="40"/>
  <c r="T60" i="40"/>
  <c r="S60" i="40"/>
  <c r="T61" i="40"/>
  <c r="S61" i="40"/>
  <c r="T62" i="40"/>
  <c r="S62" i="40"/>
  <c r="T63" i="40"/>
  <c r="S63" i="40"/>
  <c r="S64" i="40"/>
  <c r="T64" i="40"/>
  <c r="S65" i="40"/>
  <c r="T65" i="40"/>
  <c r="T66" i="40"/>
  <c r="S66" i="40"/>
  <c r="S67" i="40"/>
  <c r="T67" i="40"/>
  <c r="T68" i="40"/>
  <c r="S68" i="40"/>
  <c r="S69" i="40"/>
  <c r="T69" i="40"/>
  <c r="S70" i="40"/>
  <c r="T70" i="40"/>
  <c r="T71" i="40"/>
  <c r="S71" i="40"/>
  <c r="S72" i="40"/>
  <c r="T72" i="40"/>
  <c r="S73" i="40"/>
  <c r="T73" i="40"/>
  <c r="T74" i="40"/>
  <c r="S74" i="40"/>
  <c r="T75" i="40"/>
  <c r="S75" i="40"/>
  <c r="T76" i="40"/>
  <c r="S76" i="40"/>
  <c r="T77" i="40"/>
  <c r="S77" i="40"/>
  <c r="T78" i="40"/>
  <c r="S78" i="40"/>
  <c r="T79" i="40"/>
  <c r="S79" i="40"/>
  <c r="T80" i="40"/>
  <c r="S80" i="40"/>
  <c r="S81" i="40"/>
  <c r="T81" i="40"/>
  <c r="S82" i="40"/>
  <c r="T82" i="40"/>
  <c r="S83" i="40"/>
  <c r="T83" i="40"/>
  <c r="T84" i="40"/>
  <c r="S84" i="40"/>
  <c r="T85" i="40"/>
  <c r="S85" i="40"/>
  <c r="T86" i="40"/>
  <c r="S86" i="40"/>
  <c r="T87" i="40"/>
  <c r="S87" i="40"/>
  <c r="S88" i="40"/>
  <c r="T88" i="40"/>
  <c r="T89" i="40"/>
  <c r="S89" i="40"/>
  <c r="S90" i="40"/>
  <c r="T90" i="40"/>
  <c r="T91" i="40"/>
  <c r="S91" i="40"/>
  <c r="T92" i="40"/>
  <c r="S92" i="40"/>
  <c r="T93" i="40"/>
  <c r="S93" i="40"/>
  <c r="T94" i="40"/>
  <c r="S94" i="40"/>
  <c r="T95" i="40"/>
  <c r="S95" i="40"/>
  <c r="S96" i="40"/>
  <c r="T96" i="40"/>
  <c r="T97" i="40"/>
  <c r="S97" i="40"/>
  <c r="T98" i="40"/>
  <c r="S98" i="40"/>
  <c r="S99" i="40"/>
  <c r="T99" i="40"/>
  <c r="AF29" i="43" l="1"/>
  <c r="AE52" i="43"/>
  <c r="AE60" i="43"/>
  <c r="AE5" i="43"/>
  <c r="AE56" i="43"/>
  <c r="AE19" i="43"/>
  <c r="AE49" i="43"/>
  <c r="AE48" i="43"/>
  <c r="AF7" i="43"/>
  <c r="AE16" i="43"/>
  <c r="AE11" i="43"/>
  <c r="AE38" i="43"/>
  <c r="AE31" i="43"/>
  <c r="AE34" i="43"/>
  <c r="AE43" i="43"/>
  <c r="AE44" i="43"/>
  <c r="AE30" i="43"/>
  <c r="AE23" i="43"/>
  <c r="AE8" i="43"/>
  <c r="AE47" i="43"/>
  <c r="AE58" i="43"/>
  <c r="AE4" i="43"/>
  <c r="AE63" i="43"/>
  <c r="AE28" i="43"/>
  <c r="AE46" i="43"/>
  <c r="AE37" i="43"/>
  <c r="AE57" i="43"/>
  <c r="AE51" i="43"/>
  <c r="AE22" i="43"/>
  <c r="AE41" i="43"/>
  <c r="AE29" i="43"/>
  <c r="AE53" i="43"/>
  <c r="AE36" i="43"/>
  <c r="AE10" i="43"/>
  <c r="AE7" i="43"/>
  <c r="AF39" i="43"/>
  <c r="AF57" i="43"/>
  <c r="AE26" i="43"/>
  <c r="AE55" i="43"/>
  <c r="AE3" i="43"/>
  <c r="AE59" i="43"/>
  <c r="AE39" i="43"/>
  <c r="AE20" i="43"/>
  <c r="AE61" i="43"/>
  <c r="AE21" i="43"/>
  <c r="AE32" i="43"/>
  <c r="AE12" i="43"/>
  <c r="AE40" i="43"/>
  <c r="AE9" i="43"/>
  <c r="AF44" i="43"/>
  <c r="AF58" i="43"/>
  <c r="AF56" i="43"/>
  <c r="AF53" i="43"/>
  <c r="AF52" i="43"/>
  <c r="AE14" i="43"/>
  <c r="AE24" i="43"/>
  <c r="AE50" i="43"/>
  <c r="AE27" i="43"/>
  <c r="AE42" i="43"/>
  <c r="AE15" i="43"/>
  <c r="AE35" i="43"/>
  <c r="AE45" i="43"/>
  <c r="AE54" i="43"/>
  <c r="AE62" i="43"/>
  <c r="AE18" i="43"/>
  <c r="AE64" i="43"/>
  <c r="AE13" i="43"/>
  <c r="AE33" i="43"/>
  <c r="AE25" i="43"/>
  <c r="AE17" i="43"/>
  <c r="AE6" i="43"/>
  <c r="AF61" i="43"/>
  <c r="AF32" i="43"/>
  <c r="AF38" i="43"/>
  <c r="AF43" i="43"/>
  <c r="AF21" i="43"/>
  <c r="AF4" i="43"/>
  <c r="AF36" i="43"/>
  <c r="AF46" i="43"/>
  <c r="AF34" i="43"/>
  <c r="AF33" i="43"/>
  <c r="AF26" i="43"/>
  <c r="AF40" i="43"/>
  <c r="AF28" i="43"/>
  <c r="AF45" i="43"/>
  <c r="AF47" i="43"/>
  <c r="AF65" i="43"/>
  <c r="AF30" i="43"/>
  <c r="AF18" i="43"/>
  <c r="AF23" i="43"/>
  <c r="AF13" i="43"/>
  <c r="AF3" i="43"/>
  <c r="AF55" i="43"/>
  <c r="AF51" i="43"/>
  <c r="AF42" i="43"/>
  <c r="AF24" i="43"/>
  <c r="AF60" i="43"/>
  <c r="AF35" i="43"/>
  <c r="AF16" i="43"/>
  <c r="AF27" i="43"/>
  <c r="AF12" i="43"/>
  <c r="AF41" i="43"/>
  <c r="AF8" i="43"/>
  <c r="AF25" i="43"/>
  <c r="AF6" i="43"/>
  <c r="AF20" i="43"/>
  <c r="AF17" i="43"/>
  <c r="AF63" i="43"/>
  <c r="AF50" i="43"/>
  <c r="AF11" i="43"/>
  <c r="AF64" i="43"/>
  <c r="AF14" i="43"/>
  <c r="AF19" i="43"/>
  <c r="AF37" i="43"/>
  <c r="AF9" i="43"/>
  <c r="AF10" i="43"/>
  <c r="AF15" i="43"/>
  <c r="AF49" i="43"/>
  <c r="AF48" i="43"/>
  <c r="AF5" i="43"/>
  <c r="AF54" i="43"/>
  <c r="AF62" i="43"/>
  <c r="AF31" i="43"/>
  <c r="AF59" i="43"/>
  <c r="AF22" i="43"/>
  <c r="S100" i="40"/>
  <c r="T100" i="40"/>
  <c r="S101" i="40" l="1"/>
  <c r="T101" i="40"/>
  <c r="S102" i="40"/>
  <c r="T102" i="40"/>
  <c r="T103" i="40"/>
  <c r="S103" i="40"/>
  <c r="S104" i="40"/>
  <c r="T104" i="40"/>
  <c r="T105" i="40"/>
  <c r="S105" i="40"/>
  <c r="T106" i="40"/>
  <c r="S106" i="40"/>
  <c r="S107" i="40"/>
  <c r="T107" i="40"/>
  <c r="S108" i="40"/>
  <c r="T108" i="40"/>
  <c r="T109" i="40"/>
  <c r="S109" i="40"/>
  <c r="T110" i="40"/>
  <c r="S110" i="40"/>
  <c r="S111" i="40"/>
  <c r="T111" i="40"/>
  <c r="S112" i="40"/>
  <c r="T112" i="40"/>
  <c r="T113" i="40"/>
  <c r="S113" i="40"/>
  <c r="T114" i="40"/>
  <c r="S114" i="40"/>
  <c r="T115" i="40"/>
  <c r="S115" i="40"/>
  <c r="T116" i="40"/>
  <c r="S116" i="40"/>
  <c r="T117" i="40"/>
  <c r="S117" i="40"/>
  <c r="S118" i="40"/>
  <c r="T118" i="40"/>
  <c r="S119" i="40"/>
  <c r="T119" i="40"/>
  <c r="T120" i="40"/>
  <c r="S120" i="40"/>
  <c r="T121" i="40"/>
  <c r="S121" i="40"/>
  <c r="T122" i="40"/>
  <c r="S122" i="40"/>
  <c r="T123" i="40"/>
  <c r="S123" i="40"/>
  <c r="S124" i="40"/>
  <c r="T124" i="40"/>
  <c r="S125" i="40"/>
  <c r="T125" i="40"/>
  <c r="S126" i="40"/>
  <c r="T126" i="40"/>
  <c r="S127" i="40"/>
  <c r="T127" i="40"/>
  <c r="S128" i="40"/>
  <c r="T128" i="40"/>
  <c r="T129" i="40"/>
  <c r="S129" i="40"/>
  <c r="T130" i="40"/>
  <c r="S130" i="40"/>
  <c r="S131" i="40"/>
  <c r="T131" i="40"/>
  <c r="S132" i="40"/>
  <c r="T132" i="40"/>
  <c r="T133" i="40"/>
  <c r="S133" i="40"/>
  <c r="S134" i="40"/>
  <c r="T134" i="40"/>
  <c r="T135" i="40"/>
  <c r="S135" i="40"/>
  <c r="T136" i="40"/>
  <c r="S136" i="40"/>
  <c r="T137" i="40"/>
  <c r="S137" i="40"/>
  <c r="S138" i="40"/>
  <c r="T138" i="40"/>
  <c r="S139" i="40"/>
  <c r="T139" i="40"/>
  <c r="S140" i="40"/>
  <c r="T140" i="40"/>
  <c r="T141" i="40"/>
  <c r="S141" i="40"/>
  <c r="S142" i="40"/>
  <c r="T142" i="40"/>
  <c r="T143" i="40"/>
  <c r="S143" i="40"/>
  <c r="T144" i="40"/>
  <c r="S144" i="40"/>
  <c r="S145" i="40"/>
  <c r="T145" i="40"/>
  <c r="S146" i="40"/>
  <c r="T146" i="40"/>
  <c r="S147" i="40"/>
  <c r="T147" i="40"/>
  <c r="T148" i="40"/>
  <c r="S148" i="40"/>
  <c r="S149" i="40"/>
  <c r="T149" i="40"/>
  <c r="T150" i="40"/>
  <c r="S150" i="40"/>
  <c r="T151" i="40"/>
  <c r="S151" i="40"/>
  <c r="T152" i="40"/>
  <c r="S152" i="40"/>
  <c r="T153" i="40"/>
  <c r="S153" i="40"/>
  <c r="S154" i="40"/>
  <c r="T154" i="40"/>
  <c r="S155" i="40"/>
  <c r="T155" i="40"/>
  <c r="T156" i="40"/>
  <c r="S156" i="40"/>
  <c r="T157" i="40"/>
  <c r="S157" i="40"/>
  <c r="T158" i="40"/>
  <c r="S158" i="40"/>
  <c r="S159" i="40"/>
  <c r="T159" i="40"/>
  <c r="T160" i="40"/>
  <c r="S160" i="40"/>
  <c r="T161" i="40"/>
  <c r="S161" i="40"/>
  <c r="S162" i="40"/>
  <c r="T162" i="40"/>
  <c r="T163" i="40"/>
  <c r="S163" i="40"/>
  <c r="T164" i="40"/>
  <c r="S164" i="40"/>
  <c r="T165" i="40"/>
  <c r="S165" i="40"/>
  <c r="S166" i="40"/>
  <c r="T166" i="40"/>
  <c r="T167" i="40"/>
  <c r="S167" i="40"/>
  <c r="S168" i="40"/>
  <c r="T168" i="40"/>
  <c r="T169" i="40"/>
  <c r="S169" i="40"/>
  <c r="S170" i="40"/>
  <c r="T170" i="40"/>
  <c r="T171" i="40"/>
  <c r="S171" i="40"/>
  <c r="T172" i="40"/>
  <c r="S172" i="40"/>
  <c r="T173" i="40"/>
  <c r="S173" i="40"/>
  <c r="T174" i="40"/>
  <c r="S174" i="40"/>
  <c r="T175" i="40"/>
  <c r="S175" i="40"/>
  <c r="S176" i="40"/>
  <c r="T176" i="40"/>
  <c r="T177" i="40"/>
  <c r="S177" i="40"/>
  <c r="T178" i="40"/>
  <c r="S178" i="40"/>
  <c r="T179" i="40"/>
  <c r="S179" i="40"/>
  <c r="T180" i="40"/>
  <c r="S180" i="40"/>
  <c r="S181" i="40"/>
  <c r="T181" i="40"/>
  <c r="S182" i="40"/>
  <c r="T182" i="40"/>
  <c r="S183" i="40"/>
  <c r="T183" i="40"/>
  <c r="T184" i="40"/>
  <c r="S184" i="40"/>
  <c r="T185" i="40"/>
  <c r="S185" i="40"/>
  <c r="T186" i="40"/>
  <c r="S186" i="40"/>
  <c r="T187" i="40"/>
  <c r="S187" i="40"/>
  <c r="S188" i="40"/>
  <c r="T188" i="40"/>
  <c r="T189" i="40"/>
  <c r="S189" i="40"/>
  <c r="S190" i="40"/>
  <c r="T190" i="40"/>
  <c r="S191" i="40"/>
  <c r="T191" i="40"/>
  <c r="S192" i="40"/>
  <c r="T192" i="40"/>
  <c r="S193" i="40"/>
  <c r="T193" i="40"/>
  <c r="T194" i="40"/>
  <c r="S194" i="40"/>
  <c r="T195" i="40"/>
  <c r="S195" i="40"/>
  <c r="S196" i="40"/>
  <c r="T196" i="40"/>
  <c r="S197" i="40"/>
  <c r="T197" i="40"/>
  <c r="T198" i="40"/>
  <c r="S198" i="40"/>
  <c r="T199" i="40"/>
  <c r="S199" i="40"/>
  <c r="S200" i="40"/>
  <c r="T200" i="40"/>
  <c r="S201" i="40"/>
  <c r="T201" i="40"/>
  <c r="T202" i="40"/>
  <c r="S202" i="40"/>
  <c r="T203" i="40"/>
  <c r="S203" i="40"/>
  <c r="S204" i="40"/>
  <c r="T204" i="40"/>
  <c r="S205" i="40"/>
  <c r="T205" i="40"/>
  <c r="S206" i="40"/>
  <c r="T206" i="40"/>
  <c r="T207" i="40"/>
  <c r="S207" i="40"/>
  <c r="T208" i="40"/>
  <c r="S208" i="40"/>
  <c r="T209" i="40"/>
  <c r="S209" i="40"/>
  <c r="T210" i="40"/>
  <c r="S210" i="40"/>
  <c r="T211" i="40"/>
  <c r="S211" i="40"/>
  <c r="T212" i="40"/>
  <c r="S212" i="40"/>
  <c r="S213" i="40"/>
  <c r="T213" i="40"/>
  <c r="T214" i="40"/>
  <c r="S214" i="40"/>
  <c r="S215" i="40"/>
  <c r="T215" i="40"/>
  <c r="T216" i="40"/>
  <c r="S216" i="40"/>
  <c r="S217" i="40"/>
  <c r="T217" i="40"/>
  <c r="T218" i="40"/>
  <c r="S218" i="40"/>
  <c r="S219" i="40"/>
  <c r="T219" i="40"/>
  <c r="T220" i="40"/>
  <c r="S220" i="40"/>
  <c r="T221" i="40"/>
  <c r="S221" i="40"/>
  <c r="T222" i="40"/>
  <c r="S222" i="40"/>
  <c r="T223" i="40"/>
  <c r="S223" i="40"/>
  <c r="T224" i="40"/>
  <c r="S224" i="40"/>
  <c r="S225" i="40"/>
  <c r="T225" i="40"/>
  <c r="S226" i="40"/>
  <c r="T226" i="40"/>
  <c r="T227" i="40"/>
  <c r="S227" i="40"/>
  <c r="S228" i="40"/>
  <c r="T228" i="40"/>
  <c r="T229" i="40"/>
  <c r="S229" i="40"/>
  <c r="T230" i="40"/>
  <c r="S230" i="40"/>
  <c r="T231" i="40"/>
  <c r="S231" i="40"/>
  <c r="T232" i="40"/>
  <c r="S232" i="40"/>
  <c r="S233" i="40"/>
  <c r="T233" i="40"/>
  <c r="S234" i="40"/>
  <c r="T234" i="40"/>
  <c r="S235" i="40"/>
  <c r="T235" i="40"/>
  <c r="S236" i="40"/>
  <c r="T236" i="40"/>
  <c r="S237" i="40"/>
  <c r="T237" i="40"/>
  <c r="T238" i="40"/>
  <c r="S238" i="40"/>
  <c r="T239" i="40"/>
  <c r="S239" i="40"/>
  <c r="S240" i="40"/>
  <c r="T240" i="40"/>
  <c r="T241" i="40"/>
  <c r="S241" i="40"/>
  <c r="T242" i="40"/>
  <c r="S242" i="40"/>
  <c r="S243" i="40"/>
  <c r="T243" i="40"/>
  <c r="T244" i="40"/>
  <c r="S244" i="40"/>
  <c r="T245" i="40"/>
  <c r="S245" i="40"/>
  <c r="S246" i="40"/>
  <c r="T246" i="40"/>
  <c r="T247" i="40"/>
  <c r="S247" i="40"/>
  <c r="T248" i="40"/>
  <c r="S248" i="40"/>
  <c r="T249" i="40"/>
  <c r="S249" i="40"/>
  <c r="T250" i="40"/>
  <c r="S250" i="40"/>
  <c r="T251" i="40"/>
  <c r="S251" i="40"/>
  <c r="T252" i="40"/>
  <c r="S252" i="40"/>
  <c r="T253" i="40"/>
  <c r="S253" i="40"/>
  <c r="T254" i="40"/>
  <c r="S254" i="40"/>
  <c r="S255" i="40"/>
  <c r="T255" i="40"/>
  <c r="T256" i="40"/>
  <c r="S256" i="40"/>
  <c r="S257" i="40"/>
  <c r="T257" i="40"/>
  <c r="S258" i="40"/>
  <c r="T258" i="40"/>
  <c r="T259" i="40"/>
  <c r="S259" i="40"/>
  <c r="S260" i="40"/>
  <c r="T260" i="40"/>
  <c r="S261" i="40"/>
  <c r="T261" i="40"/>
  <c r="S262" i="40"/>
  <c r="T262" i="40"/>
  <c r="H28" i="35"/>
  <c r="H64" i="33" s="1"/>
  <c r="L64" i="33" s="1"/>
  <c r="M64" i="33"/>
  <c r="O7" i="42"/>
  <c r="H15" i="35"/>
  <c r="H52" i="33" s="1"/>
  <c r="L52" i="33" s="1"/>
  <c r="M52" i="33"/>
  <c r="H37" i="35"/>
  <c r="H73" i="33" s="1"/>
  <c r="L73" i="33" s="1"/>
  <c r="M73" i="33"/>
  <c r="H24" i="35"/>
  <c r="H61" i="33" s="1"/>
  <c r="L61" i="33" s="1"/>
  <c r="M61" i="33"/>
  <c r="H22" i="35"/>
  <c r="H59" i="33" s="1"/>
  <c r="L59" i="33" s="1"/>
  <c r="M59" i="33"/>
  <c r="H11" i="35"/>
  <c r="H49" i="33" s="1"/>
  <c r="L49" i="33" s="1"/>
  <c r="M49" i="33"/>
  <c r="H36" i="35"/>
  <c r="H72" i="33" s="1"/>
  <c r="L72" i="33" s="1"/>
  <c r="M72" i="33"/>
  <c r="O8" i="42"/>
  <c r="H46" i="35"/>
  <c r="H81" i="33" s="1"/>
  <c r="L81" i="33" s="1"/>
  <c r="M81" i="33"/>
  <c r="H26" i="35"/>
  <c r="H40" i="35"/>
  <c r="H75" i="33" s="1"/>
  <c r="L75" i="33" s="1"/>
  <c r="M75" i="33"/>
  <c r="H32" i="35"/>
  <c r="H68" i="33" s="1"/>
  <c r="L68" i="33" s="1"/>
  <c r="M68" i="33"/>
  <c r="H43" i="35"/>
  <c r="H78" i="33" s="1"/>
  <c r="L78" i="33" s="1"/>
  <c r="M78" i="33"/>
  <c r="H21" i="35"/>
  <c r="H58" i="33" s="1"/>
  <c r="L58" i="33" s="1"/>
  <c r="M58" i="33"/>
  <c r="O10" i="42"/>
  <c r="O12" i="42"/>
  <c r="H12" i="35"/>
  <c r="H50" i="33" s="1"/>
  <c r="L50" i="33" s="1"/>
  <c r="M50" i="33"/>
  <c r="H33" i="35"/>
  <c r="H69" i="33" s="1"/>
  <c r="L69" i="33" s="1"/>
  <c r="M69" i="33"/>
  <c r="H17" i="35"/>
  <c r="H54" i="33" s="1"/>
  <c r="L54" i="33" s="1"/>
  <c r="M54" i="33"/>
  <c r="H23" i="35"/>
  <c r="H60" i="33" s="1"/>
  <c r="L60" i="33" s="1"/>
  <c r="M60" i="33"/>
  <c r="H31" i="35"/>
  <c r="H67" i="33" s="1"/>
  <c r="L67" i="33" s="1"/>
  <c r="M67" i="33"/>
  <c r="H42" i="35"/>
  <c r="H77" i="33" s="1"/>
  <c r="L77" i="33" s="1"/>
  <c r="M77" i="33"/>
  <c r="O9" i="42"/>
  <c r="H8" i="35"/>
  <c r="H46" i="33" s="1"/>
  <c r="L46" i="33" s="1"/>
  <c r="M46" i="33"/>
  <c r="H29" i="35"/>
  <c r="H65" i="33" s="1"/>
  <c r="L65" i="33" s="1"/>
  <c r="M65" i="33"/>
  <c r="O14" i="42"/>
  <c r="H44" i="35"/>
  <c r="H79" i="33" s="1"/>
  <c r="L79" i="33" s="1"/>
  <c r="M79" i="33"/>
  <c r="H50" i="35"/>
  <c r="H16" i="35"/>
  <c r="H53" i="33" s="1"/>
  <c r="L53" i="33" s="1"/>
  <c r="M53" i="33"/>
  <c r="H18" i="35"/>
  <c r="H55" i="33" s="1"/>
  <c r="L55" i="33" s="1"/>
  <c r="M55" i="33"/>
  <c r="H14" i="35"/>
  <c r="O11" i="42"/>
  <c r="H7" i="35"/>
  <c r="H45" i="33" s="1"/>
  <c r="L45" i="33" s="1"/>
  <c r="M45" i="33"/>
  <c r="H6" i="35"/>
  <c r="H44" i="33" s="1"/>
  <c r="L44" i="33" s="1"/>
  <c r="M44" i="33"/>
  <c r="H13" i="35"/>
  <c r="H51" i="33" s="1"/>
  <c r="L51" i="33" s="1"/>
  <c r="M51" i="33"/>
  <c r="H10" i="35"/>
  <c r="H48" i="33" s="1"/>
  <c r="L48" i="33" s="1"/>
  <c r="M48" i="33"/>
  <c r="H45" i="35"/>
  <c r="H80" i="33" s="1"/>
  <c r="L80" i="33" s="1"/>
  <c r="M80" i="33"/>
  <c r="O13" i="42"/>
  <c r="O15" i="42"/>
  <c r="H41" i="35"/>
  <c r="H76" i="33" s="1"/>
  <c r="L76" i="33" s="1"/>
  <c r="M76" i="33"/>
  <c r="H38" i="35"/>
  <c r="H34" i="35"/>
  <c r="H70" i="33" s="1"/>
  <c r="L70" i="33" s="1"/>
  <c r="M70" i="33"/>
  <c r="H2" i="35"/>
  <c r="H19" i="35"/>
  <c r="H56" i="33" s="1"/>
  <c r="L56" i="33" s="1"/>
  <c r="M56" i="33"/>
  <c r="H49" i="35"/>
  <c r="H84" i="33" s="1"/>
  <c r="L84" i="33" s="1"/>
  <c r="M84" i="33"/>
  <c r="H4" i="35"/>
  <c r="H42" i="33" s="1"/>
  <c r="L42" i="33" s="1"/>
  <c r="M42" i="33"/>
  <c r="H35" i="35"/>
  <c r="H71" i="33" s="1"/>
  <c r="L71" i="33" s="1"/>
  <c r="M71" i="33"/>
  <c r="H47" i="35"/>
  <c r="H82" i="33" s="1"/>
  <c r="L82" i="33" s="1"/>
  <c r="M82" i="33"/>
  <c r="H48" i="35"/>
  <c r="H83" i="33" s="1"/>
  <c r="L83" i="33" s="1"/>
  <c r="M83" i="33"/>
  <c r="H9" i="35"/>
  <c r="H47" i="33" s="1"/>
  <c r="L47" i="33" s="1"/>
  <c r="M47" i="33"/>
  <c r="H20" i="35"/>
  <c r="H57" i="33" s="1"/>
  <c r="L57" i="33" s="1"/>
  <c r="M57" i="33"/>
  <c r="O4" i="42"/>
  <c r="H27" i="35"/>
  <c r="H63" i="33" s="1"/>
  <c r="L63" i="33" s="1"/>
  <c r="M63" i="33"/>
  <c r="H5" i="35"/>
  <c r="H43" i="33" s="1"/>
  <c r="L43" i="33" s="1"/>
  <c r="M43" i="33"/>
  <c r="H30" i="35"/>
  <c r="H66" i="33" s="1"/>
  <c r="L66" i="33" s="1"/>
  <c r="M66" i="33"/>
  <c r="H25" i="35"/>
  <c r="H62" i="33" s="1"/>
  <c r="L62" i="33" s="1"/>
  <c r="M62" i="33"/>
  <c r="H39" i="35"/>
  <c r="H74" i="33" s="1"/>
  <c r="L74" i="33" s="1"/>
  <c r="M74" i="33"/>
  <c r="H3" i="35"/>
  <c r="H41" i="33" s="1"/>
  <c r="L41" i="33" s="1"/>
  <c r="M41" i="33"/>
  <c r="J21" i="43"/>
  <c r="K16" i="49"/>
  <c r="J16" i="39"/>
  <c r="J20" i="43"/>
  <c r="J16" i="48"/>
  <c r="J17" i="49"/>
  <c r="J19" i="43"/>
  <c r="J28" i="49"/>
  <c r="K23" i="49"/>
  <c r="K27" i="49"/>
  <c r="L21" i="43"/>
  <c r="C31" i="43" s="1"/>
  <c r="H14" i="33" s="1"/>
  <c r="L14" i="33" s="1"/>
  <c r="M14" i="33"/>
  <c r="J20" i="39"/>
  <c r="K21" i="49"/>
  <c r="J18" i="43"/>
  <c r="K20" i="43"/>
  <c r="J29" i="49"/>
  <c r="K17" i="49"/>
  <c r="O6" i="42"/>
  <c r="K19" i="43"/>
  <c r="J30" i="49"/>
  <c r="K21" i="43"/>
  <c r="J18" i="39"/>
  <c r="L18" i="43"/>
  <c r="C28" i="43" s="1"/>
  <c r="H11" i="33" s="1"/>
  <c r="L11" i="33" s="1"/>
  <c r="M11" i="33"/>
  <c r="L20" i="43"/>
  <c r="C30" i="43" s="1"/>
  <c r="H13" i="33" s="1"/>
  <c r="L13" i="33" s="1"/>
  <c r="M13" i="33"/>
  <c r="K29" i="49"/>
  <c r="O5" i="42"/>
  <c r="L19" i="43"/>
  <c r="C29" i="43" s="1"/>
  <c r="H12" i="33" s="1"/>
  <c r="L12" i="33" s="1"/>
  <c r="M12" i="33"/>
  <c r="K28" i="49"/>
  <c r="J19" i="49"/>
  <c r="J17" i="43"/>
  <c r="J17" i="39"/>
  <c r="K18" i="43"/>
  <c r="J26" i="49"/>
  <c r="J18" i="48"/>
  <c r="J18" i="49"/>
  <c r="J24" i="39"/>
  <c r="O3" i="42"/>
  <c r="K19" i="49"/>
  <c r="J15" i="43"/>
  <c r="J22" i="39"/>
  <c r="K26" i="49"/>
  <c r="J22" i="49"/>
  <c r="K18" i="49"/>
  <c r="J15" i="48"/>
  <c r="J16" i="43"/>
  <c r="J21" i="39"/>
  <c r="J23" i="39"/>
  <c r="J19" i="48"/>
  <c r="J20" i="49"/>
  <c r="L16" i="43"/>
  <c r="C26" i="43" s="1"/>
  <c r="H9" i="33" s="1"/>
  <c r="L9" i="33" s="1"/>
  <c r="M9" i="33"/>
  <c r="J16" i="49"/>
  <c r="K24" i="49"/>
  <c r="O3" i="40"/>
  <c r="K20" i="49"/>
  <c r="J21" i="49"/>
  <c r="K15" i="49"/>
  <c r="J19" i="39"/>
  <c r="K25" i="49"/>
  <c r="J23" i="49"/>
  <c r="K30" i="49"/>
  <c r="L17" i="43"/>
  <c r="C27" i="43" s="1"/>
  <c r="H10" i="33" s="1"/>
  <c r="L10" i="33" s="1"/>
  <c r="M10" i="33"/>
  <c r="K17" i="43"/>
  <c r="L15" i="43"/>
  <c r="C25" i="43" s="1"/>
  <c r="H8" i="33" s="1"/>
  <c r="L8" i="33" s="1"/>
  <c r="M8" i="33"/>
  <c r="J24" i="49"/>
  <c r="K22" i="49"/>
  <c r="K15" i="43"/>
  <c r="J15" i="49"/>
  <c r="J15" i="39"/>
  <c r="J25" i="49"/>
  <c r="K16" i="43"/>
  <c r="J17" i="48"/>
  <c r="J27" i="49"/>
  <c r="S3" i="39" a="1"/>
  <c r="S5" i="39" s="1"/>
  <c r="S3" i="39" l="1"/>
  <c r="S4" i="39"/>
  <c r="L23" i="39" l="1"/>
  <c r="C36" i="39" s="1"/>
  <c r="H23" i="33" s="1"/>
  <c r="L23" i="33" s="1"/>
  <c r="L17" i="39"/>
  <c r="C30" i="39" s="1"/>
  <c r="H17" i="33" s="1"/>
  <c r="L17" i="33" s="1"/>
  <c r="L21" i="39"/>
  <c r="C34" i="39" s="1"/>
  <c r="H21" i="33" s="1"/>
  <c r="L21" i="33" s="1"/>
  <c r="M23" i="33"/>
  <c r="M17" i="33"/>
  <c r="M21" i="33"/>
  <c r="L22" i="39"/>
  <c r="C35" i="39" s="1"/>
  <c r="H22" i="33" s="1"/>
  <c r="L22" i="33" s="1"/>
  <c r="M22" i="33"/>
  <c r="L24" i="39"/>
  <c r="C37" i="39" s="1"/>
  <c r="H24" i="33" s="1"/>
  <c r="L24" i="33" s="1"/>
  <c r="M24" i="33"/>
  <c r="L18" i="39"/>
  <c r="C31" i="39" s="1"/>
  <c r="H18" i="33" s="1"/>
  <c r="L18" i="33" s="1"/>
  <c r="M18" i="33"/>
  <c r="L20" i="39"/>
  <c r="C33" i="39" s="1"/>
  <c r="H20" i="33" s="1"/>
  <c r="L20" i="33" s="1"/>
  <c r="M20" i="33"/>
  <c r="L16" i="39"/>
  <c r="C29" i="39" s="1"/>
  <c r="H16" i="33" s="1"/>
  <c r="L16" i="33" s="1"/>
  <c r="M16" i="33"/>
  <c r="L19" i="39"/>
  <c r="C32" i="39" s="1"/>
  <c r="H19" i="33" s="1"/>
  <c r="L19" i="33" s="1"/>
  <c r="M19" i="33"/>
  <c r="L15" i="39"/>
  <c r="C28" i="39" s="1"/>
  <c r="H15" i="33" s="1"/>
  <c r="L15" i="33" s="1"/>
  <c r="M15" i="33"/>
  <c r="AF3" i="39"/>
  <c r="AF17" i="39"/>
  <c r="AF61" i="39"/>
  <c r="AF65" i="39"/>
  <c r="AF100" i="39"/>
  <c r="AF107" i="39"/>
  <c r="AF71" i="39"/>
  <c r="AF88" i="39"/>
  <c r="AF57" i="39"/>
  <c r="AF53" i="39"/>
  <c r="AF16" i="39"/>
  <c r="AF117" i="39"/>
  <c r="AF79" i="39"/>
  <c r="AF67" i="39"/>
  <c r="AF51" i="39"/>
  <c r="AF80" i="39"/>
  <c r="AF10" i="39"/>
  <c r="AF64" i="39"/>
  <c r="AF119" i="39"/>
  <c r="AF131" i="39"/>
  <c r="AF118" i="39"/>
  <c r="AF6" i="39"/>
  <c r="AF24" i="39"/>
  <c r="AF81" i="39"/>
  <c r="AF41" i="39"/>
  <c r="AF49" i="39"/>
  <c r="AF26" i="39"/>
  <c r="AF8" i="39"/>
  <c r="AF84" i="39"/>
  <c r="AF101" i="39"/>
  <c r="AF45" i="39"/>
  <c r="AF59" i="39"/>
  <c r="AF95" i="39"/>
  <c r="AF50" i="39"/>
  <c r="AF92" i="39"/>
  <c r="AF103" i="39"/>
  <c r="AF20" i="39"/>
  <c r="AF76" i="39"/>
  <c r="AF102" i="39"/>
  <c r="AF72" i="39"/>
  <c r="AF77" i="39"/>
  <c r="AF123" i="39"/>
  <c r="AF112" i="39"/>
  <c r="AF11" i="39"/>
  <c r="AF105" i="39"/>
  <c r="AF43" i="39"/>
  <c r="AF85" i="39"/>
  <c r="AF120" i="39"/>
  <c r="AF21" i="39"/>
  <c r="AF114" i="39"/>
  <c r="AF128" i="39"/>
  <c r="AF4" i="39"/>
  <c r="AF106" i="39"/>
  <c r="AF130" i="39"/>
  <c r="AF111" i="39"/>
  <c r="AF29" i="39"/>
  <c r="AF55" i="39"/>
  <c r="AF70" i="39"/>
  <c r="AF46" i="39"/>
  <c r="AF13" i="39"/>
  <c r="AF73" i="39"/>
  <c r="AF14" i="39"/>
  <c r="AF63" i="39"/>
  <c r="AF108" i="39"/>
  <c r="AF124" i="39"/>
  <c r="AF96" i="39"/>
  <c r="AF110" i="39"/>
  <c r="AF115" i="39"/>
  <c r="AF78" i="39"/>
  <c r="AF56" i="39"/>
  <c r="AF60" i="39"/>
  <c r="AF52" i="39"/>
  <c r="AF23" i="39"/>
  <c r="AF34" i="39"/>
  <c r="AF47" i="39"/>
  <c r="AF30" i="39"/>
  <c r="AF129" i="39"/>
  <c r="AF83" i="39"/>
  <c r="AF62" i="39"/>
  <c r="AF28" i="39"/>
  <c r="AF93" i="39"/>
  <c r="AF121" i="39"/>
  <c r="AF91" i="39"/>
  <c r="AF87" i="39"/>
  <c r="AF75" i="39"/>
  <c r="AF98" i="39"/>
  <c r="AF116" i="39"/>
  <c r="AF32" i="39"/>
  <c r="AF89" i="39"/>
  <c r="AF90" i="39"/>
  <c r="AF22" i="39"/>
  <c r="AF9" i="39"/>
  <c r="AF35" i="39"/>
  <c r="AF44" i="39"/>
  <c r="AF19" i="39"/>
  <c r="AF97" i="39"/>
  <c r="AF109" i="39"/>
  <c r="AF33" i="39"/>
  <c r="AF7" i="39"/>
  <c r="AF125" i="39"/>
  <c r="AF82" i="39"/>
  <c r="AF99" i="39"/>
  <c r="AF69" i="39"/>
  <c r="AF40" i="39"/>
  <c r="AF37" i="39"/>
  <c r="AF104" i="39"/>
  <c r="AF68" i="39"/>
  <c r="AF132" i="39"/>
  <c r="AF18" i="39"/>
  <c r="AF113" i="39"/>
  <c r="AF126" i="39"/>
  <c r="AF74" i="39"/>
  <c r="AF48" i="39"/>
  <c r="AF122" i="39"/>
  <c r="AF27" i="39"/>
  <c r="AF42" i="39"/>
  <c r="AF58" i="39"/>
  <c r="AF12" i="39"/>
  <c r="AF94" i="39"/>
  <c r="AF31" i="39"/>
  <c r="AF127" i="39"/>
  <c r="AF39" i="39"/>
  <c r="AF25" i="39"/>
  <c r="AF54" i="39"/>
  <c r="AF36" i="39"/>
  <c r="AF86" i="39"/>
  <c r="AF66" i="39"/>
  <c r="AF15" i="39"/>
  <c r="AF38" i="39"/>
  <c r="AF5" i="39"/>
  <c r="S3" i="48" l="1" a="1"/>
  <c r="S4" i="48" s="1"/>
  <c r="S3" i="48" l="1"/>
  <c r="S5" i="48"/>
  <c r="L19" i="48" l="1"/>
  <c r="C27" i="48" s="1"/>
  <c r="H7" i="33" s="1"/>
  <c r="L7" i="33" s="1"/>
  <c r="L18" i="48"/>
  <c r="C26" i="48" s="1"/>
  <c r="H6" i="33" s="1"/>
  <c r="L6" i="33" s="1"/>
  <c r="L15" i="48"/>
  <c r="C23" i="48" s="1"/>
  <c r="H3" i="33" s="1"/>
  <c r="L3" i="33" s="1"/>
  <c r="M7" i="33"/>
  <c r="M6" i="33"/>
  <c r="M3" i="33"/>
  <c r="L17" i="48"/>
  <c r="C25" i="48" s="1"/>
  <c r="H5" i="33" s="1"/>
  <c r="L5" i="33" s="1"/>
  <c r="M5" i="33"/>
  <c r="L16" i="48"/>
  <c r="C24" i="48" s="1"/>
  <c r="H4" i="33" s="1"/>
  <c r="L4" i="33" s="1"/>
  <c r="M4" i="33"/>
  <c r="AF17" i="48"/>
  <c r="AF10" i="48"/>
  <c r="AF9" i="48"/>
  <c r="AF11" i="48"/>
  <c r="AF16" i="48"/>
  <c r="AF15" i="48"/>
  <c r="AF19" i="48"/>
  <c r="AF8" i="48"/>
  <c r="AF21" i="48"/>
  <c r="AF5" i="48"/>
  <c r="AF3" i="48"/>
  <c r="AF12" i="48"/>
  <c r="AF26" i="48"/>
  <c r="AF25" i="48"/>
  <c r="AF22" i="48"/>
  <c r="AF18" i="48"/>
  <c r="AF23" i="48"/>
  <c r="AF14" i="48"/>
  <c r="AF13" i="48"/>
  <c r="AF6" i="48"/>
  <c r="AF4" i="48"/>
  <c r="AF20" i="48"/>
  <c r="AF7" i="48"/>
  <c r="AF24" i="48"/>
  <c r="S9" i="39" a="1"/>
  <c r="S9" i="39" s="1"/>
  <c r="S9" i="48" a="1"/>
  <c r="S9" i="48" s="1"/>
  <c r="S3" i="49" a="1"/>
  <c r="S3" i="49" s="1"/>
  <c r="S10" i="39" l="1"/>
  <c r="AE128" i="39" s="1"/>
  <c r="S5" i="49"/>
  <c r="S4" i="49"/>
  <c r="S10" i="48"/>
  <c r="AE70" i="39" l="1"/>
  <c r="AE127" i="39"/>
  <c r="K20" i="39"/>
  <c r="AE129" i="39"/>
  <c r="K16" i="39"/>
  <c r="AE106" i="39"/>
  <c r="AE95" i="39"/>
  <c r="AE73" i="39"/>
  <c r="AE49" i="39"/>
  <c r="K15" i="39"/>
  <c r="AE23" i="39"/>
  <c r="AE84" i="39"/>
  <c r="AE80" i="39"/>
  <c r="AE108" i="39"/>
  <c r="AE76" i="39"/>
  <c r="AE91" i="39"/>
  <c r="AE90" i="39"/>
  <c r="AE130" i="39"/>
  <c r="AE103" i="39"/>
  <c r="AE69" i="39"/>
  <c r="AE115" i="39"/>
  <c r="AE56" i="39"/>
  <c r="AE93" i="39"/>
  <c r="AE9" i="39"/>
  <c r="AE92" i="39"/>
  <c r="AE31" i="39"/>
  <c r="AE13" i="39"/>
  <c r="AE4" i="39"/>
  <c r="AE34" i="39"/>
  <c r="AE8" i="39"/>
  <c r="AE71" i="39"/>
  <c r="AE85" i="39"/>
  <c r="AE114" i="39"/>
  <c r="AE100" i="39"/>
  <c r="AE55" i="39"/>
  <c r="AE102" i="39"/>
  <c r="AE48" i="39"/>
  <c r="AE82" i="39"/>
  <c r="AE122" i="39"/>
  <c r="AE111" i="39"/>
  <c r="AE15" i="39"/>
  <c r="AE125" i="39"/>
  <c r="AE44" i="39"/>
  <c r="AE99" i="39"/>
  <c r="AE67" i="39"/>
  <c r="K24" i="39"/>
  <c r="AE109" i="39"/>
  <c r="AE51" i="39"/>
  <c r="AE78" i="39"/>
  <c r="AE18" i="39"/>
  <c r="AE53" i="39"/>
  <c r="AE36" i="39"/>
  <c r="AE20" i="39"/>
  <c r="K21" i="39"/>
  <c r="AE41" i="39"/>
  <c r="AE113" i="39"/>
  <c r="AE47" i="39"/>
  <c r="AE131" i="39"/>
  <c r="AE52" i="39"/>
  <c r="AE40" i="39"/>
  <c r="AE37" i="39"/>
  <c r="AE105" i="39"/>
  <c r="AE12" i="39"/>
  <c r="AE16" i="39"/>
  <c r="AE32" i="39"/>
  <c r="AE22" i="39"/>
  <c r="AE63" i="39"/>
  <c r="AE68" i="39"/>
  <c r="AE89" i="39"/>
  <c r="K18" i="39"/>
  <c r="AE96" i="39"/>
  <c r="AE57" i="39"/>
  <c r="AE62" i="39"/>
  <c r="K22" i="39"/>
  <c r="AE25" i="39"/>
  <c r="AE33" i="39"/>
  <c r="AE46" i="39"/>
  <c r="AE24" i="39"/>
  <c r="AE5" i="39"/>
  <c r="AE66" i="39"/>
  <c r="AE72" i="39"/>
  <c r="AE27" i="39"/>
  <c r="AE123" i="39"/>
  <c r="AE116" i="39"/>
  <c r="K19" i="39"/>
  <c r="AE101" i="39"/>
  <c r="AE38" i="39"/>
  <c r="AE26" i="39"/>
  <c r="AE6" i="39"/>
  <c r="AE19" i="39"/>
  <c r="AE45" i="39"/>
  <c r="AE39" i="39"/>
  <c r="AE81" i="39"/>
  <c r="AE21" i="39"/>
  <c r="AE14" i="39"/>
  <c r="AE104" i="39"/>
  <c r="AE60" i="39"/>
  <c r="AE117" i="39"/>
  <c r="AE97" i="39"/>
  <c r="K17" i="39"/>
  <c r="AE50" i="39"/>
  <c r="AE59" i="39"/>
  <c r="AE30" i="39"/>
  <c r="AE10" i="39"/>
  <c r="K23" i="39"/>
  <c r="AE118" i="39"/>
  <c r="AE86" i="39"/>
  <c r="AE61" i="39"/>
  <c r="AE77" i="39"/>
  <c r="AE124" i="39"/>
  <c r="AE65" i="39"/>
  <c r="AE75" i="39"/>
  <c r="AE11" i="39"/>
  <c r="AE126" i="39"/>
  <c r="AE83" i="39"/>
  <c r="AE132" i="39"/>
  <c r="AE79" i="39"/>
  <c r="AE3" i="39"/>
  <c r="AE29" i="39"/>
  <c r="AE28" i="39"/>
  <c r="AE42" i="39"/>
  <c r="AE58" i="39"/>
  <c r="AE74" i="39"/>
  <c r="AE119" i="39"/>
  <c r="AE112" i="39"/>
  <c r="AE88" i="39"/>
  <c r="AE64" i="39"/>
  <c r="AE120" i="39"/>
  <c r="AE17" i="39"/>
  <c r="AE110" i="39"/>
  <c r="AE121" i="39"/>
  <c r="AE35" i="39"/>
  <c r="AE7" i="39"/>
  <c r="AE107" i="39"/>
  <c r="AE94" i="39"/>
  <c r="AE87" i="39"/>
  <c r="AE54" i="39"/>
  <c r="AE98" i="39"/>
  <c r="AE43" i="39"/>
  <c r="L18" i="49"/>
  <c r="C37" i="49" s="1"/>
  <c r="H28" i="33" s="1"/>
  <c r="L28" i="33" s="1"/>
  <c r="AE9" i="48"/>
  <c r="AE26" i="48"/>
  <c r="AE8" i="48"/>
  <c r="AE19" i="48"/>
  <c r="AE5" i="48"/>
  <c r="AE3" i="48"/>
  <c r="K15" i="48"/>
  <c r="AE25" i="48"/>
  <c r="AE15" i="48"/>
  <c r="AE10" i="48"/>
  <c r="K18" i="48"/>
  <c r="AE16" i="48"/>
  <c r="AE11" i="48"/>
  <c r="AE6" i="48"/>
  <c r="AE23" i="48"/>
  <c r="AE14" i="48"/>
  <c r="AE13" i="48"/>
  <c r="K16" i="48"/>
  <c r="AE18" i="48"/>
  <c r="K17" i="48"/>
  <c r="AE24" i="48"/>
  <c r="AE17" i="48"/>
  <c r="AE20" i="48"/>
  <c r="AE21" i="48"/>
  <c r="K19" i="48"/>
  <c r="AE7" i="48"/>
  <c r="AE12" i="48"/>
  <c r="AE22" i="48"/>
  <c r="AE4" i="48"/>
  <c r="L20" i="49"/>
  <c r="C39" i="49" s="1"/>
  <c r="H30" i="33" s="1"/>
  <c r="L30" i="33" s="1"/>
  <c r="L24" i="49"/>
  <c r="C43" i="49" s="1"/>
  <c r="H34" i="33" s="1"/>
  <c r="L34" i="33" s="1"/>
  <c r="M28" i="33"/>
  <c r="M30" i="33"/>
  <c r="M34" i="33"/>
  <c r="L16" i="49"/>
  <c r="C35" i="49" s="1"/>
  <c r="H26" i="33" s="1"/>
  <c r="L26" i="33" s="1"/>
  <c r="M26" i="33"/>
  <c r="L22" i="49"/>
  <c r="C41" i="49" s="1"/>
  <c r="H32" i="33" s="1"/>
  <c r="L32" i="33" s="1"/>
  <c r="M32" i="33"/>
  <c r="L26" i="49"/>
  <c r="C45" i="49" s="1"/>
  <c r="H36" i="33" s="1"/>
  <c r="L36" i="33" s="1"/>
  <c r="M36" i="33"/>
  <c r="L19" i="49"/>
  <c r="C38" i="49" s="1"/>
  <c r="H29" i="33" s="1"/>
  <c r="L29" i="33" s="1"/>
  <c r="M29" i="33"/>
  <c r="L29" i="49"/>
  <c r="C48" i="49" s="1"/>
  <c r="H39" i="33" s="1"/>
  <c r="L39" i="33" s="1"/>
  <c r="M39" i="33"/>
  <c r="L30" i="49"/>
  <c r="C49" i="49" s="1"/>
  <c r="H40" i="33" s="1"/>
  <c r="L40" i="33" s="1"/>
  <c r="M40" i="33"/>
  <c r="L17" i="49"/>
  <c r="C36" i="49" s="1"/>
  <c r="H27" i="33" s="1"/>
  <c r="L27" i="33" s="1"/>
  <c r="M27" i="33"/>
  <c r="L27" i="49"/>
  <c r="C46" i="49" s="1"/>
  <c r="H37" i="33" s="1"/>
  <c r="L37" i="33" s="1"/>
  <c r="M37" i="33"/>
  <c r="L23" i="49"/>
  <c r="C42" i="49" s="1"/>
  <c r="H33" i="33" s="1"/>
  <c r="L33" i="33" s="1"/>
  <c r="M33" i="33"/>
  <c r="L28" i="49"/>
  <c r="C47" i="49" s="1"/>
  <c r="H38" i="33" s="1"/>
  <c r="L38" i="33" s="1"/>
  <c r="M38" i="33"/>
  <c r="L25" i="49"/>
  <c r="C44" i="49" s="1"/>
  <c r="H35" i="33" s="1"/>
  <c r="L35" i="33" s="1"/>
  <c r="M35" i="33"/>
  <c r="L15" i="49"/>
  <c r="C34" i="49" s="1"/>
  <c r="H25" i="33" s="1"/>
  <c r="L25" i="33" s="1"/>
  <c r="M25" i="33"/>
  <c r="L21" i="49"/>
  <c r="C40" i="49" s="1"/>
  <c r="H31" i="33" s="1"/>
  <c r="L31" i="33" s="1"/>
  <c r="M31" i="33"/>
  <c r="AF154" i="49"/>
  <c r="AF205" i="49"/>
  <c r="AF6" i="49"/>
  <c r="AF102" i="49"/>
  <c r="AF227" i="49"/>
  <c r="AF5" i="49"/>
  <c r="AF245" i="49"/>
  <c r="AF256" i="49"/>
  <c r="AF62" i="49"/>
  <c r="AF117" i="49"/>
  <c r="AF207" i="49"/>
  <c r="AF125" i="49"/>
  <c r="AF182" i="49"/>
  <c r="AF221" i="49"/>
  <c r="AF63" i="49"/>
  <c r="AF38" i="49"/>
  <c r="AF77" i="49"/>
  <c r="AF195" i="49"/>
  <c r="AF121" i="49"/>
  <c r="AF151" i="49"/>
  <c r="AF218" i="49"/>
  <c r="AF244" i="49"/>
  <c r="AF106" i="49"/>
  <c r="AF28" i="49"/>
  <c r="AF166" i="49"/>
  <c r="AF162" i="49"/>
  <c r="AF115" i="49"/>
  <c r="AF95" i="49"/>
  <c r="AF167" i="49"/>
  <c r="AF69" i="49"/>
  <c r="AF232" i="49"/>
  <c r="AF233" i="49"/>
  <c r="AF49" i="49"/>
  <c r="AF143" i="49"/>
  <c r="AF109" i="49"/>
  <c r="AF60" i="49"/>
  <c r="AF113" i="49"/>
  <c r="AF21" i="49"/>
  <c r="AF29" i="49"/>
  <c r="AF41" i="49"/>
  <c r="AF76" i="49"/>
  <c r="AF14" i="49"/>
  <c r="AF26" i="49"/>
  <c r="AF8" i="49"/>
  <c r="AF137" i="49"/>
  <c r="AF235" i="49"/>
  <c r="AF133" i="49"/>
  <c r="AF54" i="49"/>
  <c r="AF18" i="49"/>
  <c r="AF180" i="49"/>
  <c r="AF223" i="49"/>
  <c r="AF57" i="49"/>
  <c r="AF123" i="49"/>
  <c r="AF234" i="49"/>
  <c r="AF252" i="49"/>
  <c r="AF156" i="49"/>
  <c r="AF10" i="49"/>
  <c r="AF255" i="49"/>
  <c r="AF71" i="49"/>
  <c r="AF105" i="49"/>
  <c r="AF204" i="49"/>
  <c r="AF39" i="49"/>
  <c r="AF145" i="49"/>
  <c r="AF159" i="49"/>
  <c r="AF153" i="49"/>
  <c r="AF228" i="49"/>
  <c r="AF158" i="49"/>
  <c r="AF237" i="49"/>
  <c r="AF70" i="49"/>
  <c r="AF46" i="49"/>
  <c r="AF169" i="49"/>
  <c r="AF61" i="49"/>
  <c r="AF171" i="49"/>
  <c r="AF183" i="49"/>
  <c r="AF72" i="49"/>
  <c r="AF114" i="49"/>
  <c r="AF200" i="49"/>
  <c r="AF199" i="49"/>
  <c r="AF23" i="49"/>
  <c r="AF212" i="49"/>
  <c r="AF82" i="49"/>
  <c r="AF116" i="49"/>
  <c r="AF231" i="49"/>
  <c r="AF135" i="49"/>
  <c r="AF225" i="49"/>
  <c r="AF91" i="49"/>
  <c r="AF224" i="49"/>
  <c r="AF161" i="49"/>
  <c r="AF214" i="49"/>
  <c r="AF56" i="49"/>
  <c r="AF196" i="49"/>
  <c r="AF152" i="49"/>
  <c r="AF67" i="49"/>
  <c r="AF73" i="49"/>
  <c r="AF31" i="49"/>
  <c r="AF112" i="49"/>
  <c r="AF239" i="49"/>
  <c r="AF17" i="49"/>
  <c r="AF241" i="49"/>
  <c r="AF226" i="49"/>
  <c r="AF184" i="49"/>
  <c r="AF80" i="49"/>
  <c r="AF68" i="49"/>
  <c r="AF164" i="49"/>
  <c r="AF44" i="49"/>
  <c r="AF89" i="49"/>
  <c r="AF163" i="49"/>
  <c r="AF108" i="49"/>
  <c r="AF129" i="49"/>
  <c r="AF55" i="49"/>
  <c r="AF74" i="49"/>
  <c r="AF120" i="49"/>
  <c r="AF92" i="49"/>
  <c r="AF42" i="49"/>
  <c r="AF19" i="49"/>
  <c r="AF216" i="49"/>
  <c r="AF157" i="49"/>
  <c r="AF141" i="49"/>
  <c r="AF58" i="49"/>
  <c r="AF32" i="49"/>
  <c r="AF45" i="49"/>
  <c r="AF155" i="49"/>
  <c r="AF172" i="49"/>
  <c r="AF20" i="49"/>
  <c r="AF208" i="49"/>
  <c r="AF24" i="49"/>
  <c r="AF230" i="49"/>
  <c r="AF51" i="49"/>
  <c r="AF16" i="49"/>
  <c r="AF181" i="49"/>
  <c r="AF206" i="49"/>
  <c r="AF27" i="49"/>
  <c r="AF25" i="49"/>
  <c r="AF86" i="49"/>
  <c r="AF242" i="49"/>
  <c r="AF64" i="49"/>
  <c r="AF185" i="49"/>
  <c r="AF36" i="49"/>
  <c r="AF81" i="49"/>
  <c r="AF170" i="49"/>
  <c r="AF253" i="49"/>
  <c r="AF103" i="49"/>
  <c r="AF78" i="49"/>
  <c r="AF176" i="49"/>
  <c r="AF22" i="49"/>
  <c r="AF149" i="49"/>
  <c r="AF97" i="49"/>
  <c r="AF177" i="49"/>
  <c r="AF219" i="49"/>
  <c r="AF104" i="49"/>
  <c r="AF130" i="49"/>
  <c r="AF191" i="49"/>
  <c r="AF15" i="49"/>
  <c r="AF215" i="49"/>
  <c r="AF65" i="49"/>
  <c r="AF33" i="49"/>
  <c r="AF50" i="49"/>
  <c r="AF96" i="49"/>
  <c r="AF211" i="49"/>
  <c r="AF122" i="49"/>
  <c r="AF88" i="49"/>
  <c r="AF99" i="49"/>
  <c r="AF194" i="49"/>
  <c r="AF173" i="49"/>
  <c r="AF13" i="49"/>
  <c r="AF132" i="49"/>
  <c r="AF193" i="49"/>
  <c r="AF4" i="49"/>
  <c r="AF174" i="49"/>
  <c r="AF251" i="49"/>
  <c r="AF229" i="49"/>
  <c r="AF179" i="49"/>
  <c r="AF238" i="49"/>
  <c r="AF220" i="49"/>
  <c r="AF79" i="49"/>
  <c r="AF40" i="49"/>
  <c r="AF30" i="49"/>
  <c r="AF134" i="49"/>
  <c r="AF236" i="49"/>
  <c r="AF83" i="49"/>
  <c r="AF178" i="49"/>
  <c r="AF209" i="49"/>
  <c r="AF7" i="49"/>
  <c r="AF203" i="49"/>
  <c r="AF136" i="49"/>
  <c r="AF43" i="49"/>
  <c r="AF52" i="49"/>
  <c r="AF148" i="49"/>
  <c r="AF87" i="49"/>
  <c r="AF94" i="49"/>
  <c r="AF165" i="49"/>
  <c r="AF85" i="49"/>
  <c r="AF197" i="49"/>
  <c r="AF100" i="49"/>
  <c r="AF118" i="49"/>
  <c r="AF189" i="49"/>
  <c r="AF75" i="49"/>
  <c r="AF243" i="49"/>
  <c r="AF198" i="49"/>
  <c r="AF119" i="49"/>
  <c r="AF66" i="49"/>
  <c r="AF187" i="49"/>
  <c r="AF213" i="49"/>
  <c r="AF101" i="49"/>
  <c r="AF142" i="49"/>
  <c r="AF35" i="49"/>
  <c r="AF150" i="49"/>
  <c r="AF127" i="49"/>
  <c r="AF248" i="49"/>
  <c r="AF144" i="49"/>
  <c r="AF124" i="49"/>
  <c r="AF186" i="49"/>
  <c r="AF138" i="49"/>
  <c r="AF160" i="49"/>
  <c r="AF246" i="49"/>
  <c r="AF131" i="49"/>
  <c r="AF9" i="49"/>
  <c r="AF84" i="49"/>
  <c r="AF140" i="49"/>
  <c r="AF37" i="49"/>
  <c r="AF90" i="49"/>
  <c r="AF128" i="49"/>
  <c r="AF98" i="49"/>
  <c r="AF247" i="49"/>
  <c r="AF249" i="49"/>
  <c r="AF11" i="49"/>
  <c r="AF257" i="49"/>
  <c r="AF111" i="49"/>
  <c r="AF107" i="49"/>
  <c r="AF175" i="49"/>
  <c r="AF12" i="49"/>
  <c r="AF59" i="49"/>
  <c r="AF210" i="49"/>
  <c r="AF240" i="49"/>
  <c r="AF93" i="49"/>
  <c r="AF139" i="49"/>
  <c r="AF147" i="49"/>
  <c r="AF192" i="49"/>
  <c r="AF168" i="49"/>
  <c r="AF250" i="49"/>
  <c r="AF126" i="49"/>
  <c r="AF34" i="49"/>
  <c r="AF188" i="49"/>
  <c r="AF146" i="49"/>
  <c r="AF47" i="49"/>
  <c r="AF3" i="49"/>
  <c r="AF222" i="49"/>
  <c r="AF110" i="49"/>
  <c r="AF190" i="49"/>
  <c r="AF217" i="49"/>
  <c r="AF48" i="49"/>
  <c r="AF202" i="49"/>
  <c r="AF201" i="49"/>
  <c r="AF254" i="49"/>
  <c r="AF53" i="49"/>
  <c r="N2" i="33" l="1"/>
  <c r="N41" i="33"/>
  <c r="N8" i="33"/>
  <c r="N15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<sst xmlns="http://schemas.openxmlformats.org/spreadsheetml/2006/main" count="573" uniqueCount="164">
  <si>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</si>
  <si>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</si>
  <si>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</si>
  <si>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</si>
  <si>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</si>
  <si>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</si>
  <si>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</si>
  <si>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</si>
  <si>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</si>
  <si>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</si>
  <si>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</si>
  <si>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</si>
  <si>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</si>
  <si>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</si>
  <si>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</si>
  <si>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</si>
  <si>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</si>
  <si>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</si>
  <si>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</si>
  <si>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</si>
  <si>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</si>
  <si>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</si>
  <si>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</si>
  <si>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</si>
  <si>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</si>
  <si>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</si>
  <si>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</si>
  <si>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</si>
  <si>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</si>
  <si>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</si>
  <si>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</si>
  <si>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</si>
  <si>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</si>
  <si>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</si>
  <si>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</si>
  <si>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</si>
  <si>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</si>
  <si>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</si>
  <si>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</si>
  <si>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</si>
  <si>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</si>
  <si>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</si>
  <si>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</si>
  <si>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</si>
  <si>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</si>
  <si>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</si>
  <si>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</si>
  <si>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</si>
  <si>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</si>
  <si>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</si>
  <si>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</si>
  <si>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</si>
  <si>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</si>
  <si>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</si>
  <si>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</si>
  <si>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</si>
  <si>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</si>
  <si>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</si>
  <si>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</si>
  <si>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</si>
  <si>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</si>
  <si>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</si>
  <si>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</si>
  <si>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</si>
  <si>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</si>
  <si>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</si>
  <si>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</si>
  <si>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</si>
  <si>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</si>
  <si>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</si>
  <si>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</si>
  <si>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</si>
  <si>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</si>
  <si>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</si>
  <si>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</si>
  <si>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</si>
  <si>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</si>
  <si>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</si>
  <si>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</si>
  <si>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</si>
  <si>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</si>
  <si>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</si>
  <si>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</si>
  <si>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</si>
  <si>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</si>
  <si>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</si>
  <si>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</si>
  <si>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</si>
  <si>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</si>
  <si>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</si>
  <si>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</si>
  <si>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</si>
  <si>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</si>
  <si>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</si>
  <si>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</si>
  <si>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</si>
  <si>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</si>
  <si>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</si>
  <si>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</si>
  <si>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</si>
  <si>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</si>
  <si>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</si>
  <si>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</si>
  <si>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</si>
  <si>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</si>
  <si>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</si>
  <si>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</si>
  <si>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</si>
  <si>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</si>
  <si>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</si>
  <si>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</si>
  <si>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</si>
  <si>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</si>
  <si>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</si>
  <si>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</si>
  <si>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</si>
  <si>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</si>
  <si>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</si>
  <si>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</si>
  <si>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</si>
  <si>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</si>
  <si>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</si>
  <si>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</si>
  <si>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diff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</si>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</sst>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3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2" fontId="11" fillId="0" borderId="13" xfId="0" applyNumberFormat="1" applyFont="1" applyBorder="1"/>
    <xf numFmtId="172" fontId="11" fillId="0" borderId="54" xfId="0" applyNumberFormat="1" applyFont="1" applyBorder="1"/>
    <xf numFmtId="0" fontId="11" fillId="0" borderId="54" xfId="0" applyFont="1" applyBorder="1"/>
    <xf numFmtId="172" fontId="22" fillId="0" borderId="14" xfId="0" applyNumberFormat="1" applyFont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72" fontId="11" fillId="0" borderId="53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79" fontId="11" fillId="0" borderId="52" xfId="0" applyNumberFormat="1" applyFont="1" applyBorder="1"/>
    <xf numFmtId="179" fontId="11" fillId="0" borderId="8" xfId="0" applyNumberFormat="1" applyFont="1" applyBorder="1"/>
    <xf numFmtId="179" fontId="11" fillId="0" borderId="31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179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2" fontId="11" fillId="0" borderId="66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6.2000284206198614E-4</c:v>
                </c:pt>
                <c:pt idx="1">
                  <c:v>6.2000284206198614E-4</c:v>
                </c:pt>
                <c:pt idx="2">
                  <c:v>6.2000284206198614E-4</c:v>
                </c:pt>
                <c:pt idx="3">
                  <c:v>6.2000284206198614E-4</c:v>
                </c:pt>
                <c:pt idx="4">
                  <c:v>6.2000284206198614E-4</c:v>
                </c:pt>
                <c:pt idx="5">
                  <c:v>6.2000284206198614E-4</c:v>
                </c:pt>
                <c:pt idx="6">
                  <c:v>6.2000284206198614E-4</c:v>
                </c:pt>
                <c:pt idx="7">
                  <c:v>6.2000284206198614E-4</c:v>
                </c:pt>
                <c:pt idx="8">
                  <c:v>6.2000284206198614E-4</c:v>
                </c:pt>
                <c:pt idx="9">
                  <c:v>6.2000284206198614E-4</c:v>
                </c:pt>
                <c:pt idx="10">
                  <c:v>6.2000284206198614E-4</c:v>
                </c:pt>
                <c:pt idx="11">
                  <c:v>6.2000284206198614E-4</c:v>
                </c:pt>
                <c:pt idx="12">
                  <c:v>6.2000284206198614E-4</c:v>
                </c:pt>
                <c:pt idx="13">
                  <c:v>6.2000284206198614E-4</c:v>
                </c:pt>
                <c:pt idx="14">
                  <c:v>6.2000284206198614E-4</c:v>
                </c:pt>
                <c:pt idx="15">
                  <c:v>6.2000284206198614E-4</c:v>
                </c:pt>
                <c:pt idx="16">
                  <c:v>6.2000284206198614E-4</c:v>
                </c:pt>
                <c:pt idx="17">
                  <c:v>6.2000284206198614E-4</c:v>
                </c:pt>
                <c:pt idx="18">
                  <c:v>6.2000284206198614E-4</c:v>
                </c:pt>
                <c:pt idx="19">
                  <c:v>6.2000284206198614E-4</c:v>
                </c:pt>
                <c:pt idx="20">
                  <c:v>6.2000284206198614E-4</c:v>
                </c:pt>
                <c:pt idx="21">
                  <c:v>6.2000284206198614E-4</c:v>
                </c:pt>
                <c:pt idx="22">
                  <c:v>6.2000284206198614E-4</c:v>
                </c:pt>
                <c:pt idx="23">
                  <c:v>6.2000284206198614E-4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7.5114534239619174E-4</c:v>
                </c:pt>
                <c:pt idx="1">
                  <c:v>7.1140519077976582E-4</c:v>
                </c:pt>
                <c:pt idx="2">
                  <c:v>7.0345716045648056E-4</c:v>
                </c:pt>
                <c:pt idx="3">
                  <c:v>6.9550913013319542E-4</c:v>
                </c:pt>
                <c:pt idx="4">
                  <c:v>6.7961306948662503E-4</c:v>
                </c:pt>
                <c:pt idx="5">
                  <c:v>6.557689785167695E-4</c:v>
                </c:pt>
                <c:pt idx="6">
                  <c:v>6.4782094819348436E-4</c:v>
                </c:pt>
                <c:pt idx="7">
                  <c:v>6.3987291787019911E-4</c:v>
                </c:pt>
                <c:pt idx="8">
                  <c:v>6.3192488754691396E-4</c:v>
                </c:pt>
                <c:pt idx="9">
                  <c:v>6.2397685722362871E-4</c:v>
                </c:pt>
                <c:pt idx="10">
                  <c:v>6.0013276625377318E-4</c:v>
                </c:pt>
                <c:pt idx="11">
                  <c:v>5.9218473593048804E-4</c:v>
                </c:pt>
                <c:pt idx="12">
                  <c:v>5.8423670560720279E-4</c:v>
                </c:pt>
                <c:pt idx="13">
                  <c:v>5.7628867528391765E-4</c:v>
                </c:pt>
                <c:pt idx="14">
                  <c:v>5.683406449606325E-4</c:v>
                </c:pt>
                <c:pt idx="15">
                  <c:v>5.4449655399077686E-4</c:v>
                </c:pt>
                <c:pt idx="16">
                  <c:v>5.3654852366749172E-4</c:v>
                </c:pt>
                <c:pt idx="17">
                  <c:v>5.2860049334420647E-4</c:v>
                </c:pt>
                <c:pt idx="18">
                  <c:v>5.2065246302092122E-4</c:v>
                </c:pt>
                <c:pt idx="19">
                  <c:v>5.1270443269763608E-4</c:v>
                </c:pt>
                <c:pt idx="20">
                  <c:v>4.8886034172778055E-4</c:v>
                </c:pt>
                <c:pt idx="21">
                  <c:v>4.8091231140449535E-4</c:v>
                </c:pt>
                <c:pt idx="22">
                  <c:v>4.7296428108121015E-4</c:v>
                </c:pt>
                <c:pt idx="23">
                  <c:v>4.6501625075792496E-4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7.8095678382237492E-4</c:v>
                </c:pt>
                <c:pt idx="1">
                  <c:v>7.2858346929097076E-4</c:v>
                </c:pt>
                <c:pt idx="2">
                  <c:v>7.1836288116957226E-4</c:v>
                </c:pt>
                <c:pt idx="3">
                  <c:v>7.0822698464313445E-4</c:v>
                </c:pt>
                <c:pt idx="4">
                  <c:v>6.8820926637514087E-4</c:v>
                </c:pt>
                <c:pt idx="5">
                  <c:v>6.5881787593535638E-4</c:v>
                </c:pt>
                <c:pt idx="6">
                  <c:v>6.49190128978683E-4</c:v>
                </c:pt>
                <c:pt idx="7">
                  <c:v>6.3964707361697051E-4</c:v>
                </c:pt>
                <c:pt idx="8">
                  <c:v>6.301887098502187E-4</c:v>
                </c:pt>
                <c:pt idx="9">
                  <c:v>6.2081503767842758E-4</c:v>
                </c:pt>
                <c:pt idx="10">
                  <c:v>5.9320217073281876E-4</c:v>
                </c:pt>
                <c:pt idx="11">
                  <c:v>5.8416726494087059E-4</c:v>
                </c:pt>
                <c:pt idx="12">
                  <c:v>5.7521705074388321E-4</c:v>
                </c:pt>
                <c:pt idx="13">
                  <c:v>5.6635152814185662E-4</c:v>
                </c:pt>
                <c:pt idx="14">
                  <c:v>5.5757069713479083E-4</c:v>
                </c:pt>
                <c:pt idx="15">
                  <c:v>5.3173635368335755E-4</c:v>
                </c:pt>
                <c:pt idx="16">
                  <c:v>5.2329428905613482E-4</c:v>
                </c:pt>
                <c:pt idx="17">
                  <c:v>5.1493691602387255E-4</c:v>
                </c:pt>
                <c:pt idx="18">
                  <c:v>5.0666423458657118E-4</c:v>
                </c:pt>
                <c:pt idx="19">
                  <c:v>4.9847624474423061E-4</c:v>
                </c:pt>
                <c:pt idx="20">
                  <c:v>4.7442042478697309E-4</c:v>
                </c:pt>
                <c:pt idx="21">
                  <c:v>4.6657120132447547E-4</c:v>
                </c:pt>
                <c:pt idx="22">
                  <c:v>4.5880666945693859E-4</c:v>
                </c:pt>
                <c:pt idx="23">
                  <c:v>4.5112682918436244E-4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46208"/>
        <c:axId val="614447744"/>
      </c:lineChart>
      <c:dateAx>
        <c:axId val="6144462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4447744"/>
        <c:crosses val="autoZero"/>
        <c:auto val="1"/>
        <c:lblOffset val="100"/>
        <c:baseTimeUnit val="days"/>
      </c:dateAx>
      <c:valAx>
        <c:axId val="6144477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4446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8.6385535800713605E-4</c:v>
                </c:pt>
                <c:pt idx="1">
                  <c:v>8.6385535800713605E-4</c:v>
                </c:pt>
                <c:pt idx="2">
                  <c:v>8.6385535800713605E-4</c:v>
                </c:pt>
                <c:pt idx="3">
                  <c:v>8.6385535800713605E-4</c:v>
                </c:pt>
                <c:pt idx="4">
                  <c:v>8.6385535800713605E-4</c:v>
                </c:pt>
                <c:pt idx="5">
                  <c:v>8.6385535800713605E-4</c:v>
                </c:pt>
                <c:pt idx="6">
                  <c:v>8.6385535800713605E-4</c:v>
                </c:pt>
                <c:pt idx="7">
                  <c:v>8.6385535800713605E-4</c:v>
                </c:pt>
                <c:pt idx="8">
                  <c:v>8.6385535800713605E-4</c:v>
                </c:pt>
                <c:pt idx="9">
                  <c:v>8.6385535800713605E-4</c:v>
                </c:pt>
                <c:pt idx="10">
                  <c:v>8.6385535800713605E-4</c:v>
                </c:pt>
                <c:pt idx="11">
                  <c:v>8.6385535800713605E-4</c:v>
                </c:pt>
                <c:pt idx="12">
                  <c:v>8.6385535800713605E-4</c:v>
                </c:pt>
                <c:pt idx="13">
                  <c:v>8.6385535800713605E-4</c:v>
                </c:pt>
                <c:pt idx="14">
                  <c:v>8.6385535800713605E-4</c:v>
                </c:pt>
                <c:pt idx="15">
                  <c:v>8.6385535800713605E-4</c:v>
                </c:pt>
                <c:pt idx="16">
                  <c:v>8.6385535800713605E-4</c:v>
                </c:pt>
                <c:pt idx="17">
                  <c:v>8.6385535800713605E-4</c:v>
                </c:pt>
                <c:pt idx="18">
                  <c:v>8.6385535800713605E-4</c:v>
                </c:pt>
                <c:pt idx="19">
                  <c:v>8.6385535800713605E-4</c:v>
                </c:pt>
                <c:pt idx="20">
                  <c:v>8.6385535800713605E-4</c:v>
                </c:pt>
                <c:pt idx="21">
                  <c:v>8.6385535800713605E-4</c:v>
                </c:pt>
                <c:pt idx="22">
                  <c:v>8.6385535800713605E-4</c:v>
                </c:pt>
                <c:pt idx="23">
                  <c:v>8.6385535800713605E-4</c:v>
                </c:pt>
                <c:pt idx="24">
                  <c:v>8.6385535800713605E-4</c:v>
                </c:pt>
                <c:pt idx="25">
                  <c:v>8.6385535800713605E-4</c:v>
                </c:pt>
                <c:pt idx="26">
                  <c:v>8.6385535800713605E-4</c:v>
                </c:pt>
                <c:pt idx="27">
                  <c:v>8.6385535800713605E-4</c:v>
                </c:pt>
                <c:pt idx="28">
                  <c:v>8.6385535800713605E-4</c:v>
                </c:pt>
                <c:pt idx="29">
                  <c:v>8.6385535800713605E-4</c:v>
                </c:pt>
                <c:pt idx="30">
                  <c:v>8.6385535800713605E-4</c:v>
                </c:pt>
                <c:pt idx="31">
                  <c:v>8.6385535800713605E-4</c:v>
                </c:pt>
                <c:pt idx="32">
                  <c:v>8.6385535800713605E-4</c:v>
                </c:pt>
                <c:pt idx="33">
                  <c:v>8.6385535800713605E-4</c:v>
                </c:pt>
                <c:pt idx="34">
                  <c:v>8.6385535800713605E-4</c:v>
                </c:pt>
                <c:pt idx="35">
                  <c:v>8.6385535800713605E-4</c:v>
                </c:pt>
                <c:pt idx="36">
                  <c:v>8.6385535800713605E-4</c:v>
                </c:pt>
                <c:pt idx="37">
                  <c:v>8.6385535800713605E-4</c:v>
                </c:pt>
                <c:pt idx="38">
                  <c:v>8.6385535800713605E-4</c:v>
                </c:pt>
                <c:pt idx="39">
                  <c:v>8.6385535800713605E-4</c:v>
                </c:pt>
                <c:pt idx="40">
                  <c:v>8.6385535800713605E-4</c:v>
                </c:pt>
                <c:pt idx="41">
                  <c:v>8.6385535800713605E-4</c:v>
                </c:pt>
                <c:pt idx="42">
                  <c:v>8.6385535800713605E-4</c:v>
                </c:pt>
                <c:pt idx="43">
                  <c:v>8.6385535800713605E-4</c:v>
                </c:pt>
                <c:pt idx="44">
                  <c:v>8.6385535800713605E-4</c:v>
                </c:pt>
                <c:pt idx="45">
                  <c:v>8.6385535800713605E-4</c:v>
                </c:pt>
                <c:pt idx="46">
                  <c:v>8.6385535800713605E-4</c:v>
                </c:pt>
                <c:pt idx="47">
                  <c:v>8.6385535800713605E-4</c:v>
                </c:pt>
                <c:pt idx="48">
                  <c:v>8.6385535800713605E-4</c:v>
                </c:pt>
                <c:pt idx="49">
                  <c:v>8.6385535800713605E-4</c:v>
                </c:pt>
                <c:pt idx="50">
                  <c:v>8.6385535800713605E-4</c:v>
                </c:pt>
                <c:pt idx="51">
                  <c:v>8.6385535800713605E-4</c:v>
                </c:pt>
                <c:pt idx="52">
                  <c:v>8.6385535800713605E-4</c:v>
                </c:pt>
                <c:pt idx="53">
                  <c:v>8.6385535800713605E-4</c:v>
                </c:pt>
                <c:pt idx="54">
                  <c:v>8.6385535800713605E-4</c:v>
                </c:pt>
                <c:pt idx="55">
                  <c:v>8.6385535800713605E-4</c:v>
                </c:pt>
                <c:pt idx="56">
                  <c:v>8.6385535800713605E-4</c:v>
                </c:pt>
                <c:pt idx="57">
                  <c:v>8.6385535800713605E-4</c:v>
                </c:pt>
                <c:pt idx="58">
                  <c:v>8.6385535800713605E-4</c:v>
                </c:pt>
                <c:pt idx="59">
                  <c:v>8.6385535800713605E-4</c:v>
                </c:pt>
                <c:pt idx="60">
                  <c:v>8.6385535800713605E-4</c:v>
                </c:pt>
                <c:pt idx="61">
                  <c:v>8.6385535800713605E-4</c:v>
                </c:pt>
                <c:pt idx="62">
                  <c:v>8.6385535800713605E-4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5.8348570453862982E-4</c:v>
                </c:pt>
                <c:pt idx="1">
                  <c:v>6.1463788825735278E-4</c:v>
                </c:pt>
                <c:pt idx="2">
                  <c:v>6.2086832500109733E-4</c:v>
                </c:pt>
                <c:pt idx="3">
                  <c:v>6.2709876174484188E-4</c:v>
                </c:pt>
                <c:pt idx="4">
                  <c:v>6.3955963523233109E-4</c:v>
                </c:pt>
                <c:pt idx="5">
                  <c:v>6.5825094546356484E-4</c:v>
                </c:pt>
                <c:pt idx="6">
                  <c:v>6.6448138220730939E-4</c:v>
                </c:pt>
                <c:pt idx="7">
                  <c:v>6.7071181895105405E-4</c:v>
                </c:pt>
                <c:pt idx="8">
                  <c:v>6.769422556947986E-4</c:v>
                </c:pt>
                <c:pt idx="9">
                  <c:v>6.8317269243854326E-4</c:v>
                </c:pt>
                <c:pt idx="10">
                  <c:v>7.0186400266977701E-4</c:v>
                </c:pt>
                <c:pt idx="11">
                  <c:v>7.0809443941352156E-4</c:v>
                </c:pt>
                <c:pt idx="12">
                  <c:v>7.1432487615726622E-4</c:v>
                </c:pt>
                <c:pt idx="13">
                  <c:v>7.2055531290101077E-4</c:v>
                </c:pt>
                <c:pt idx="14">
                  <c:v>7.2678574964475532E-4</c:v>
                </c:pt>
                <c:pt idx="15">
                  <c:v>7.4547705987598907E-4</c:v>
                </c:pt>
                <c:pt idx="16">
                  <c:v>7.5170749661973373E-4</c:v>
                </c:pt>
                <c:pt idx="17">
                  <c:v>7.5793793336347828E-4</c:v>
                </c:pt>
                <c:pt idx="18">
                  <c:v>7.6416837010722283E-4</c:v>
                </c:pt>
                <c:pt idx="19">
                  <c:v>7.7039880685096738E-4</c:v>
                </c:pt>
                <c:pt idx="20">
                  <c:v>7.8909011708220124E-4</c:v>
                </c:pt>
                <c:pt idx="21">
                  <c:v>7.9532055382594579E-4</c:v>
                </c:pt>
                <c:pt idx="22">
                  <c:v>8.0155099056969034E-4</c:v>
                </c:pt>
                <c:pt idx="23">
                  <c:v>8.07781427313435E-4</c:v>
                </c:pt>
                <c:pt idx="24">
                  <c:v>8.1401186405717955E-4</c:v>
                </c:pt>
                <c:pt idx="25">
                  <c:v>8.327031742884133E-4</c:v>
                </c:pt>
                <c:pt idx="26">
                  <c:v>8.3893361103215785E-4</c:v>
                </c:pt>
                <c:pt idx="27">
                  <c:v>8.4516404777590251E-4</c:v>
                </c:pt>
                <c:pt idx="28">
                  <c:v>8.5139448451964717E-4</c:v>
                </c:pt>
                <c:pt idx="29">
                  <c:v>8.5762492126339172E-4</c:v>
                </c:pt>
                <c:pt idx="30">
                  <c:v>8.7631623149462547E-4</c:v>
                </c:pt>
                <c:pt idx="31">
                  <c:v>8.8254666823837002E-4</c:v>
                </c:pt>
                <c:pt idx="32">
                  <c:v>8.8877710498211457E-4</c:v>
                </c:pt>
                <c:pt idx="33">
                  <c:v>8.9500754172585923E-4</c:v>
                </c:pt>
                <c:pt idx="34">
                  <c:v>9.0123797846960378E-4</c:v>
                </c:pt>
                <c:pt idx="35">
                  <c:v>9.1992928870083754E-4</c:v>
                </c:pt>
                <c:pt idx="36">
                  <c:v>9.2615972544458219E-4</c:v>
                </c:pt>
                <c:pt idx="37">
                  <c:v>9.3239016218832674E-4</c:v>
                </c:pt>
                <c:pt idx="38">
                  <c:v>9.3862059893207129E-4</c:v>
                </c:pt>
                <c:pt idx="39">
                  <c:v>9.4485103567581595E-4</c:v>
                </c:pt>
                <c:pt idx="40">
                  <c:v>9.6354234590704971E-4</c:v>
                </c:pt>
                <c:pt idx="41">
                  <c:v>9.6977278265079426E-4</c:v>
                </c:pt>
                <c:pt idx="42">
                  <c:v>9.760032193945388E-4</c:v>
                </c:pt>
                <c:pt idx="43">
                  <c:v>9.8223365613828335E-4</c:v>
                </c:pt>
                <c:pt idx="44">
                  <c:v>9.8846409288202812E-4</c:v>
                </c:pt>
                <c:pt idx="45">
                  <c:v>1.0071554031132618E-3</c:v>
                </c:pt>
                <c:pt idx="46">
                  <c:v>1.0133858398570063E-3</c:v>
                </c:pt>
                <c:pt idx="47">
                  <c:v>1.0196162766007511E-3</c:v>
                </c:pt>
                <c:pt idx="48">
                  <c:v>1.0258467133444954E-3</c:v>
                </c:pt>
                <c:pt idx="49">
                  <c:v>1.0320771500882402E-3</c:v>
                </c:pt>
                <c:pt idx="50">
                  <c:v>1.050768460319474E-3</c:v>
                </c:pt>
                <c:pt idx="51">
                  <c:v>1.0569988970632184E-3</c:v>
                </c:pt>
                <c:pt idx="52">
                  <c:v>1.0632293338069631E-3</c:v>
                </c:pt>
                <c:pt idx="53">
                  <c:v>1.0694597705507077E-3</c:v>
                </c:pt>
                <c:pt idx="54">
                  <c:v>1.0756902072944522E-3</c:v>
                </c:pt>
                <c:pt idx="55">
                  <c:v>1.0943815175256861E-3</c:v>
                </c:pt>
                <c:pt idx="56">
                  <c:v>1.1006119542694307E-3</c:v>
                </c:pt>
                <c:pt idx="57">
                  <c:v>1.1068423910131752E-3</c:v>
                </c:pt>
                <c:pt idx="58">
                  <c:v>1.1130728277569198E-3</c:v>
                </c:pt>
                <c:pt idx="59">
                  <c:v>1.1193032645006643E-3</c:v>
                </c:pt>
                <c:pt idx="60">
                  <c:v>1.1379945747318982E-3</c:v>
                </c:pt>
                <c:pt idx="61">
                  <c:v>1.1442250114756427E-3</c:v>
                </c:pt>
                <c:pt idx="62">
                  <c:v>1.1504554482193873E-3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7.68040808352874E-4</c:v>
                </c:pt>
                <c:pt idx="1">
                  <c:v>7.61050710576042E-4</c:v>
                </c:pt>
                <c:pt idx="2">
                  <c:v>7.6003747994102895E-4</c:v>
                </c:pt>
                <c:pt idx="3">
                  <c:v>7.5915251227946692E-4</c:v>
                </c:pt>
                <c:pt idx="4">
                  <c:v>7.5776736587669646E-4</c:v>
                </c:pt>
                <c:pt idx="5">
                  <c:v>7.5665161857342393E-4</c:v>
                </c:pt>
                <c:pt idx="6">
                  <c:v>7.5653622875256857E-4</c:v>
                </c:pt>
                <c:pt idx="7">
                  <c:v>7.5654910190516445E-4</c:v>
                </c:pt>
                <c:pt idx="8">
                  <c:v>7.5669023803121135E-4</c:v>
                </c:pt>
                <c:pt idx="9">
                  <c:v>7.5695963713070938E-4</c:v>
                </c:pt>
                <c:pt idx="10">
                  <c:v>7.5853741226991015E-4</c:v>
                </c:pt>
                <c:pt idx="11">
                  <c:v>7.5931986326321281E-4</c:v>
                </c:pt>
                <c:pt idx="12">
                  <c:v>7.6023057722996628E-4</c:v>
                </c:pt>
                <c:pt idx="13">
                  <c:v>7.6126955417017098E-4</c:v>
                </c:pt>
                <c:pt idx="14">
                  <c:v>7.6243679408382692E-4</c:v>
                </c:pt>
                <c:pt idx="15">
                  <c:v>7.667080916655011E-4</c:v>
                </c:pt>
                <c:pt idx="16">
                  <c:v>7.6838838347296134E-4</c:v>
                </c:pt>
                <c:pt idx="17">
                  <c:v>7.7019693825387261E-4</c:v>
                </c:pt>
                <c:pt idx="18">
                  <c:v>7.7213375600823522E-4</c:v>
                </c:pt>
                <c:pt idx="19">
                  <c:v>7.7419883673604875E-4</c:v>
                </c:pt>
                <c:pt idx="20">
                  <c:v>7.8116365676019622E-4</c:v>
                </c:pt>
                <c:pt idx="21">
                  <c:v>7.8374178938181427E-4</c:v>
                </c:pt>
                <c:pt idx="22">
                  <c:v>7.8644818497688356E-4</c:v>
                </c:pt>
                <c:pt idx="23">
                  <c:v>7.8928284354540376E-4</c:v>
                </c:pt>
                <c:pt idx="24">
                  <c:v>7.922457650873752E-4</c:v>
                </c:pt>
                <c:pt idx="25">
                  <c:v>8.0190410755399597E-4</c:v>
                </c:pt>
                <c:pt idx="26">
                  <c:v>8.0538008098977193E-4</c:v>
                </c:pt>
                <c:pt idx="27">
                  <c:v>8.089843173989988E-4</c:v>
                </c:pt>
                <c:pt idx="28">
                  <c:v>8.127168167816768E-4</c:v>
                </c:pt>
                <c:pt idx="29">
                  <c:v>8.1657757913780604E-4</c:v>
                </c:pt>
                <c:pt idx="30">
                  <c:v>8.2892944404690022E-4</c:v>
                </c:pt>
                <c:pt idx="31">
                  <c:v>8.3330325829683387E-4</c:v>
                </c:pt>
                <c:pt idx="32">
                  <c:v>8.3780533552021844E-4</c:v>
                </c:pt>
                <c:pt idx="33">
                  <c:v>8.4243567571705446E-4</c:v>
                </c:pt>
                <c:pt idx="34">
                  <c:v>8.4719427888734129E-4</c:v>
                </c:pt>
                <c:pt idx="35">
                  <c:v>8.6223966623890887E-4</c:v>
                </c:pt>
                <c:pt idx="36">
                  <c:v>8.6751132130300022E-4</c:v>
                </c:pt>
                <c:pt idx="37">
                  <c:v>8.7291123934054281E-4</c:v>
                </c:pt>
                <c:pt idx="38">
                  <c:v>8.784394203515363E-4</c:v>
                </c:pt>
                <c:pt idx="39">
                  <c:v>8.8409586433598115E-4</c:v>
                </c:pt>
                <c:pt idx="40">
                  <c:v>9.0183477413002193E-4</c:v>
                </c:pt>
                <c:pt idx="41">
                  <c:v>9.0800427000827118E-4</c:v>
                </c:pt>
                <c:pt idx="42">
                  <c:v>9.1430202885997135E-4</c:v>
                </c:pt>
                <c:pt idx="43">
                  <c:v>9.2072805068512276E-4</c:v>
                </c:pt>
                <c:pt idx="44">
                  <c:v>9.2728233548372541E-4</c:v>
                </c:pt>
                <c:pt idx="45">
                  <c:v>9.4771476772023949E-4</c:v>
                </c:pt>
                <c:pt idx="46">
                  <c:v>9.5478210441264644E-4</c:v>
                </c:pt>
                <c:pt idx="47">
                  <c:v>9.6197770407850452E-4</c:v>
                </c:pt>
                <c:pt idx="48">
                  <c:v>9.6930156671781373E-4</c:v>
                </c:pt>
                <c:pt idx="49">
                  <c:v>9.7675369233057407E-4</c:v>
                </c:pt>
                <c:pt idx="50">
                  <c:v>9.9987964700956155E-4</c:v>
                </c:pt>
                <c:pt idx="51">
                  <c:v>1.0078448245161263E-3</c:v>
                </c:pt>
                <c:pt idx="52">
                  <c:v>1.0159382649961421E-3</c:v>
                </c:pt>
                <c:pt idx="53">
                  <c:v>1.0241599684496091E-3</c:v>
                </c:pt>
                <c:pt idx="54">
                  <c:v>1.0325099348765271E-3</c:v>
                </c:pt>
                <c:pt idx="55">
                  <c:v>1.058329411997988E-3</c:v>
                </c:pt>
                <c:pt idx="56">
                  <c:v>1.0671924303187106E-3</c:v>
                </c:pt>
                <c:pt idx="57">
                  <c:v>1.0761837116128842E-3</c:v>
                </c:pt>
                <c:pt idx="58">
                  <c:v>1.0853032558805088E-3</c:v>
                </c:pt>
                <c:pt idx="59">
                  <c:v>1.0945510631215848E-3</c:v>
                </c:pt>
                <c:pt idx="60">
                  <c:v>1.1230640626855189E-3</c:v>
                </c:pt>
                <c:pt idx="61">
                  <c:v>1.1328249218203993E-3</c:v>
                </c:pt>
                <c:pt idx="62">
                  <c:v>1.1427140439287306E-3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503168"/>
        <c:axId val="614504704"/>
      </c:lineChart>
      <c:dateAx>
        <c:axId val="6145031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4504704"/>
        <c:crosses val="autoZero"/>
        <c:auto val="1"/>
        <c:lblOffset val="100"/>
        <c:baseTimeUnit val="days"/>
      </c:dateAx>
      <c:valAx>
        <c:axId val="6145047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4503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2.0998465363713192E-3</c:v>
                </c:pt>
                <c:pt idx="1">
                  <c:v>2.0998465363713192E-3</c:v>
                </c:pt>
                <c:pt idx="2">
                  <c:v>2.0998465363713192E-3</c:v>
                </c:pt>
                <c:pt idx="3">
                  <c:v>2.0998465363713192E-3</c:v>
                </c:pt>
                <c:pt idx="4">
                  <c:v>2.0998465363713192E-3</c:v>
                </c:pt>
                <c:pt idx="5">
                  <c:v>2.0998465363713192E-3</c:v>
                </c:pt>
                <c:pt idx="6">
                  <c:v>2.0998465363713192E-3</c:v>
                </c:pt>
                <c:pt idx="7">
                  <c:v>2.0998465363713192E-3</c:v>
                </c:pt>
                <c:pt idx="8">
                  <c:v>2.0998465363713192E-3</c:v>
                </c:pt>
                <c:pt idx="9">
                  <c:v>2.0998465363713192E-3</c:v>
                </c:pt>
                <c:pt idx="10">
                  <c:v>2.0998465363713192E-3</c:v>
                </c:pt>
                <c:pt idx="11">
                  <c:v>2.0998465363713192E-3</c:v>
                </c:pt>
                <c:pt idx="12">
                  <c:v>2.0998465363713192E-3</c:v>
                </c:pt>
                <c:pt idx="13">
                  <c:v>2.0998465363713192E-3</c:v>
                </c:pt>
                <c:pt idx="14">
                  <c:v>2.0998465363713192E-3</c:v>
                </c:pt>
                <c:pt idx="15">
                  <c:v>2.0998465363713192E-3</c:v>
                </c:pt>
                <c:pt idx="16">
                  <c:v>2.0998465363713192E-3</c:v>
                </c:pt>
                <c:pt idx="17">
                  <c:v>2.0998465363713192E-3</c:v>
                </c:pt>
                <c:pt idx="18">
                  <c:v>2.0998465363713192E-3</c:v>
                </c:pt>
                <c:pt idx="19">
                  <c:v>2.0998465363713192E-3</c:v>
                </c:pt>
                <c:pt idx="20">
                  <c:v>2.0998465363713192E-3</c:v>
                </c:pt>
                <c:pt idx="21">
                  <c:v>2.0998465363713192E-3</c:v>
                </c:pt>
                <c:pt idx="22">
                  <c:v>2.0998465363713192E-3</c:v>
                </c:pt>
                <c:pt idx="23">
                  <c:v>2.0998465363713192E-3</c:v>
                </c:pt>
                <c:pt idx="24">
                  <c:v>2.0998465363713192E-3</c:v>
                </c:pt>
                <c:pt idx="25">
                  <c:v>2.0998465363713192E-3</c:v>
                </c:pt>
                <c:pt idx="26">
                  <c:v>2.0998465363713192E-3</c:v>
                </c:pt>
                <c:pt idx="27">
                  <c:v>2.0998465363713192E-3</c:v>
                </c:pt>
                <c:pt idx="28">
                  <c:v>2.0998465363713192E-3</c:v>
                </c:pt>
                <c:pt idx="29">
                  <c:v>2.0998465363713192E-3</c:v>
                </c:pt>
                <c:pt idx="30">
                  <c:v>2.0998465363713192E-3</c:v>
                </c:pt>
                <c:pt idx="31">
                  <c:v>2.0998465363713192E-3</c:v>
                </c:pt>
                <c:pt idx="32">
                  <c:v>2.0998465363713192E-3</c:v>
                </c:pt>
                <c:pt idx="33">
                  <c:v>2.0998465363713192E-3</c:v>
                </c:pt>
                <c:pt idx="34">
                  <c:v>2.0998465363713192E-3</c:v>
                </c:pt>
                <c:pt idx="35">
                  <c:v>2.0998465363713192E-3</c:v>
                </c:pt>
                <c:pt idx="36">
                  <c:v>2.0998465363713192E-3</c:v>
                </c:pt>
                <c:pt idx="37">
                  <c:v>2.0998465363713192E-3</c:v>
                </c:pt>
                <c:pt idx="38">
                  <c:v>2.0998465363713192E-3</c:v>
                </c:pt>
                <c:pt idx="39">
                  <c:v>2.0998465363713192E-3</c:v>
                </c:pt>
                <c:pt idx="40">
                  <c:v>2.0998465363713192E-3</c:v>
                </c:pt>
                <c:pt idx="41">
                  <c:v>2.0998465363713192E-3</c:v>
                </c:pt>
                <c:pt idx="42">
                  <c:v>2.0998465363713192E-3</c:v>
                </c:pt>
                <c:pt idx="43">
                  <c:v>2.0998465363713192E-3</c:v>
                </c:pt>
                <c:pt idx="44">
                  <c:v>2.0998465363713192E-3</c:v>
                </c:pt>
                <c:pt idx="45">
                  <c:v>2.0998465363713192E-3</c:v>
                </c:pt>
                <c:pt idx="46">
                  <c:v>2.0998465363713192E-3</c:v>
                </c:pt>
                <c:pt idx="47">
                  <c:v>2.0998465363713192E-3</c:v>
                </c:pt>
                <c:pt idx="48">
                  <c:v>2.0998465363713192E-3</c:v>
                </c:pt>
                <c:pt idx="49">
                  <c:v>2.0998465363713192E-3</c:v>
                </c:pt>
                <c:pt idx="50">
                  <c:v>2.0998465363713192E-3</c:v>
                </c:pt>
                <c:pt idx="51">
                  <c:v>2.0998465363713192E-3</c:v>
                </c:pt>
                <c:pt idx="52">
                  <c:v>2.0998465363713192E-3</c:v>
                </c:pt>
                <c:pt idx="53">
                  <c:v>2.0998465363713192E-3</c:v>
                </c:pt>
                <c:pt idx="54">
                  <c:v>2.0998465363713192E-3</c:v>
                </c:pt>
                <c:pt idx="55">
                  <c:v>2.0998465363713192E-3</c:v>
                </c:pt>
                <c:pt idx="56">
                  <c:v>2.0998465363713192E-3</c:v>
                </c:pt>
                <c:pt idx="57">
                  <c:v>2.0998465363713192E-3</c:v>
                </c:pt>
                <c:pt idx="58">
                  <c:v>2.0998465363713192E-3</c:v>
                </c:pt>
                <c:pt idx="59">
                  <c:v>2.0998465363713192E-3</c:v>
                </c:pt>
                <c:pt idx="60">
                  <c:v>2.0998465363713192E-3</c:v>
                </c:pt>
                <c:pt idx="61">
                  <c:v>2.0998465363713192E-3</c:v>
                </c:pt>
                <c:pt idx="62">
                  <c:v>2.0998465363713192E-3</c:v>
                </c:pt>
                <c:pt idx="63">
                  <c:v>2.0998465363713192E-3</c:v>
                </c:pt>
                <c:pt idx="64">
                  <c:v>2.0998465363713192E-3</c:v>
                </c:pt>
                <c:pt idx="65">
                  <c:v>2.0998465363713192E-3</c:v>
                </c:pt>
                <c:pt idx="66">
                  <c:v>2.0998465363713192E-3</c:v>
                </c:pt>
                <c:pt idx="67">
                  <c:v>2.0998465363713192E-3</c:v>
                </c:pt>
                <c:pt idx="68">
                  <c:v>2.0998465363713192E-3</c:v>
                </c:pt>
                <c:pt idx="69">
                  <c:v>2.0998465363713192E-3</c:v>
                </c:pt>
                <c:pt idx="70">
                  <c:v>2.0998465363713192E-3</c:v>
                </c:pt>
                <c:pt idx="71">
                  <c:v>2.0998465363713192E-3</c:v>
                </c:pt>
                <c:pt idx="72">
                  <c:v>2.0998465363713192E-3</c:v>
                </c:pt>
                <c:pt idx="73">
                  <c:v>2.0998465363713192E-3</c:v>
                </c:pt>
                <c:pt idx="74">
                  <c:v>2.0998465363713192E-3</c:v>
                </c:pt>
                <c:pt idx="75">
                  <c:v>2.0998465363713192E-3</c:v>
                </c:pt>
                <c:pt idx="76">
                  <c:v>2.0998465363713192E-3</c:v>
                </c:pt>
                <c:pt idx="77">
                  <c:v>2.0998465363713192E-3</c:v>
                </c:pt>
                <c:pt idx="78">
                  <c:v>2.0998465363713192E-3</c:v>
                </c:pt>
                <c:pt idx="79">
                  <c:v>2.0998465363713192E-3</c:v>
                </c:pt>
                <c:pt idx="80">
                  <c:v>2.0998465363713192E-3</c:v>
                </c:pt>
                <c:pt idx="81">
                  <c:v>2.0998465363713192E-3</c:v>
                </c:pt>
                <c:pt idx="82">
                  <c:v>2.0998465363713192E-3</c:v>
                </c:pt>
                <c:pt idx="83">
                  <c:v>2.0998465363713192E-3</c:v>
                </c:pt>
                <c:pt idx="84">
                  <c:v>2.0998465363713192E-3</c:v>
                </c:pt>
                <c:pt idx="85">
                  <c:v>2.0998465363713192E-3</c:v>
                </c:pt>
                <c:pt idx="86">
                  <c:v>2.0998465363713192E-3</c:v>
                </c:pt>
                <c:pt idx="87">
                  <c:v>2.0998465363713192E-3</c:v>
                </c:pt>
                <c:pt idx="88">
                  <c:v>2.0998465363713192E-3</c:v>
                </c:pt>
                <c:pt idx="89">
                  <c:v>2.0998465363713192E-3</c:v>
                </c:pt>
                <c:pt idx="90">
                  <c:v>2.0998465363713192E-3</c:v>
                </c:pt>
                <c:pt idx="91">
                  <c:v>2.0998465363713192E-3</c:v>
                </c:pt>
                <c:pt idx="92">
                  <c:v>2.0998465363713192E-3</c:v>
                </c:pt>
                <c:pt idx="93">
                  <c:v>2.0998465363713192E-3</c:v>
                </c:pt>
                <c:pt idx="94">
                  <c:v>2.0998465363713192E-3</c:v>
                </c:pt>
                <c:pt idx="95">
                  <c:v>2.0998465363713192E-3</c:v>
                </c:pt>
                <c:pt idx="96">
                  <c:v>2.0998465363713192E-3</c:v>
                </c:pt>
                <c:pt idx="97">
                  <c:v>2.0998465363713192E-3</c:v>
                </c:pt>
                <c:pt idx="98">
                  <c:v>2.0998465363713192E-3</c:v>
                </c:pt>
                <c:pt idx="99">
                  <c:v>2.0998465363713192E-3</c:v>
                </c:pt>
                <c:pt idx="100">
                  <c:v>2.0998465363713192E-3</c:v>
                </c:pt>
                <c:pt idx="101">
                  <c:v>2.0998465363713192E-3</c:v>
                </c:pt>
                <c:pt idx="102">
                  <c:v>2.0998465363713192E-3</c:v>
                </c:pt>
                <c:pt idx="103">
                  <c:v>2.0998465363713192E-3</c:v>
                </c:pt>
                <c:pt idx="104">
                  <c:v>2.0998465363713192E-3</c:v>
                </c:pt>
                <c:pt idx="105">
                  <c:v>2.0998465363713192E-3</c:v>
                </c:pt>
                <c:pt idx="106">
                  <c:v>2.0998465363713192E-3</c:v>
                </c:pt>
                <c:pt idx="107">
                  <c:v>2.0998465363713192E-3</c:v>
                </c:pt>
                <c:pt idx="108">
                  <c:v>2.0998465363713192E-3</c:v>
                </c:pt>
                <c:pt idx="109">
                  <c:v>2.0998465363713192E-3</c:v>
                </c:pt>
                <c:pt idx="110">
                  <c:v>2.0998465363713192E-3</c:v>
                </c:pt>
                <c:pt idx="111">
                  <c:v>2.0998465363713192E-3</c:v>
                </c:pt>
                <c:pt idx="112">
                  <c:v>2.0998465363713192E-3</c:v>
                </c:pt>
                <c:pt idx="113">
                  <c:v>2.0998465363713192E-3</c:v>
                </c:pt>
                <c:pt idx="114">
                  <c:v>2.0998465363713192E-3</c:v>
                </c:pt>
                <c:pt idx="115">
                  <c:v>2.0998465363713192E-3</c:v>
                </c:pt>
                <c:pt idx="116">
                  <c:v>2.0998465363713192E-3</c:v>
                </c:pt>
                <c:pt idx="117">
                  <c:v>2.0998465363713192E-3</c:v>
                </c:pt>
                <c:pt idx="118">
                  <c:v>2.0998465363713192E-3</c:v>
                </c:pt>
                <c:pt idx="119">
                  <c:v>2.0998465363713192E-3</c:v>
                </c:pt>
                <c:pt idx="120">
                  <c:v>2.0998465363713192E-3</c:v>
                </c:pt>
                <c:pt idx="121">
                  <c:v>2.0998465363713192E-3</c:v>
                </c:pt>
                <c:pt idx="122">
                  <c:v>2.0998465363713192E-3</c:v>
                </c:pt>
                <c:pt idx="123">
                  <c:v>2.0998465363713192E-3</c:v>
                </c:pt>
                <c:pt idx="124">
                  <c:v>2.0998465363713192E-3</c:v>
                </c:pt>
                <c:pt idx="125">
                  <c:v>2.0998465363713192E-3</c:v>
                </c:pt>
                <c:pt idx="126">
                  <c:v>2.0998465363713192E-3</c:v>
                </c:pt>
                <c:pt idx="127">
                  <c:v>2.0998465363713192E-3</c:v>
                </c:pt>
                <c:pt idx="128">
                  <c:v>2.0998465363713192E-3</c:v>
                </c:pt>
                <c:pt idx="129">
                  <c:v>2.0998465363713192E-3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1.7991338480315916E-3</c:v>
                </c:pt>
                <c:pt idx="1">
                  <c:v>1.8156565232150931E-3</c:v>
                </c:pt>
                <c:pt idx="2">
                  <c:v>1.8189610582517934E-3</c:v>
                </c:pt>
                <c:pt idx="3">
                  <c:v>1.8222655932884938E-3</c:v>
                </c:pt>
                <c:pt idx="4">
                  <c:v>1.8288746633618944E-3</c:v>
                </c:pt>
                <c:pt idx="5">
                  <c:v>1.8387882684719953E-3</c:v>
                </c:pt>
                <c:pt idx="6">
                  <c:v>1.8420928035086956E-3</c:v>
                </c:pt>
                <c:pt idx="7">
                  <c:v>1.8453973385453958E-3</c:v>
                </c:pt>
                <c:pt idx="8">
                  <c:v>1.8487018735820961E-3</c:v>
                </c:pt>
                <c:pt idx="9">
                  <c:v>1.8520064086187966E-3</c:v>
                </c:pt>
                <c:pt idx="10">
                  <c:v>1.8619200137288973E-3</c:v>
                </c:pt>
                <c:pt idx="11">
                  <c:v>1.8652245487655976E-3</c:v>
                </c:pt>
                <c:pt idx="12">
                  <c:v>1.8685290838022981E-3</c:v>
                </c:pt>
                <c:pt idx="13">
                  <c:v>1.8718336188389983E-3</c:v>
                </c:pt>
                <c:pt idx="14">
                  <c:v>1.8751381538756986E-3</c:v>
                </c:pt>
                <c:pt idx="15">
                  <c:v>1.8850517589857996E-3</c:v>
                </c:pt>
                <c:pt idx="16">
                  <c:v>1.8883562940224998E-3</c:v>
                </c:pt>
                <c:pt idx="17">
                  <c:v>1.8916608290592001E-3</c:v>
                </c:pt>
                <c:pt idx="18">
                  <c:v>1.8949653640959003E-3</c:v>
                </c:pt>
                <c:pt idx="19">
                  <c:v>1.8982698991326008E-3</c:v>
                </c:pt>
                <c:pt idx="20">
                  <c:v>1.9081835042427016E-3</c:v>
                </c:pt>
                <c:pt idx="21">
                  <c:v>1.911488039279402E-3</c:v>
                </c:pt>
                <c:pt idx="22">
                  <c:v>1.9147925743161023E-3</c:v>
                </c:pt>
                <c:pt idx="23">
                  <c:v>1.9180971093528025E-3</c:v>
                </c:pt>
                <c:pt idx="24">
                  <c:v>1.9214016443895028E-3</c:v>
                </c:pt>
                <c:pt idx="25">
                  <c:v>1.9313152494996038E-3</c:v>
                </c:pt>
                <c:pt idx="26">
                  <c:v>1.934619784536304E-3</c:v>
                </c:pt>
                <c:pt idx="27">
                  <c:v>1.9379243195730043E-3</c:v>
                </c:pt>
                <c:pt idx="28">
                  <c:v>1.9412288546097048E-3</c:v>
                </c:pt>
                <c:pt idx="29">
                  <c:v>1.944533389646405E-3</c:v>
                </c:pt>
                <c:pt idx="30">
                  <c:v>1.9544469947565058E-3</c:v>
                </c:pt>
                <c:pt idx="31">
                  <c:v>1.957751529793206E-3</c:v>
                </c:pt>
                <c:pt idx="32">
                  <c:v>1.9610560648299063E-3</c:v>
                </c:pt>
                <c:pt idx="33">
                  <c:v>1.964360599866607E-3</c:v>
                </c:pt>
                <c:pt idx="34">
                  <c:v>1.9676651349033072E-3</c:v>
                </c:pt>
                <c:pt idx="35">
                  <c:v>1.977578740013408E-3</c:v>
                </c:pt>
                <c:pt idx="36">
                  <c:v>1.9808832750501082E-3</c:v>
                </c:pt>
                <c:pt idx="37">
                  <c:v>1.9841878100868085E-3</c:v>
                </c:pt>
                <c:pt idx="38">
                  <c:v>1.9874923451235088E-3</c:v>
                </c:pt>
                <c:pt idx="39">
                  <c:v>1.990796880160209E-3</c:v>
                </c:pt>
                <c:pt idx="40">
                  <c:v>2.0007104852703102E-3</c:v>
                </c:pt>
                <c:pt idx="41">
                  <c:v>2.0040150203070105E-3</c:v>
                </c:pt>
                <c:pt idx="42">
                  <c:v>2.0073195553437107E-3</c:v>
                </c:pt>
                <c:pt idx="43">
                  <c:v>2.010624090380411E-3</c:v>
                </c:pt>
                <c:pt idx="44">
                  <c:v>2.0139286254171112E-3</c:v>
                </c:pt>
                <c:pt idx="45">
                  <c:v>2.0238422305272124E-3</c:v>
                </c:pt>
                <c:pt idx="46">
                  <c:v>2.0271467655639127E-3</c:v>
                </c:pt>
                <c:pt idx="47">
                  <c:v>2.0304513006006129E-3</c:v>
                </c:pt>
                <c:pt idx="48">
                  <c:v>2.0337558356373132E-3</c:v>
                </c:pt>
                <c:pt idx="49">
                  <c:v>2.0370603706740134E-3</c:v>
                </c:pt>
                <c:pt idx="50">
                  <c:v>2.0469739757841142E-3</c:v>
                </c:pt>
                <c:pt idx="51">
                  <c:v>2.0502785108208145E-3</c:v>
                </c:pt>
                <c:pt idx="52">
                  <c:v>2.0535830458575152E-3</c:v>
                </c:pt>
                <c:pt idx="53">
                  <c:v>2.0568875808942154E-3</c:v>
                </c:pt>
                <c:pt idx="54">
                  <c:v>2.0601921159309157E-3</c:v>
                </c:pt>
                <c:pt idx="55">
                  <c:v>2.0701057210410164E-3</c:v>
                </c:pt>
                <c:pt idx="56">
                  <c:v>2.0734102560777167E-3</c:v>
                </c:pt>
                <c:pt idx="57">
                  <c:v>2.0767147911144169E-3</c:v>
                </c:pt>
                <c:pt idx="58">
                  <c:v>2.0800193261511172E-3</c:v>
                </c:pt>
                <c:pt idx="59">
                  <c:v>2.0833238611878179E-3</c:v>
                </c:pt>
                <c:pt idx="60">
                  <c:v>2.0932374662979186E-3</c:v>
                </c:pt>
                <c:pt idx="61">
                  <c:v>2.0965420013346189E-3</c:v>
                </c:pt>
                <c:pt idx="62">
                  <c:v>2.0998465363713192E-3</c:v>
                </c:pt>
                <c:pt idx="63">
                  <c:v>2.1031510714080194E-3</c:v>
                </c:pt>
                <c:pt idx="64">
                  <c:v>2.1064556064447197E-3</c:v>
                </c:pt>
                <c:pt idx="65">
                  <c:v>2.1163692115548209E-3</c:v>
                </c:pt>
                <c:pt idx="66">
                  <c:v>2.1196737465915211E-3</c:v>
                </c:pt>
                <c:pt idx="67">
                  <c:v>2.1229782816282214E-3</c:v>
                </c:pt>
                <c:pt idx="68">
                  <c:v>2.1262828166649216E-3</c:v>
                </c:pt>
                <c:pt idx="69">
                  <c:v>2.1428054918484233E-3</c:v>
                </c:pt>
                <c:pt idx="70">
                  <c:v>2.1461100268851236E-3</c:v>
                </c:pt>
                <c:pt idx="71">
                  <c:v>2.1494145619218238E-3</c:v>
                </c:pt>
                <c:pt idx="72">
                  <c:v>2.1527190969585241E-3</c:v>
                </c:pt>
                <c:pt idx="73">
                  <c:v>2.1626327020686249E-3</c:v>
                </c:pt>
                <c:pt idx="74">
                  <c:v>2.1659372371053251E-3</c:v>
                </c:pt>
                <c:pt idx="75">
                  <c:v>2.1692417721420254E-3</c:v>
                </c:pt>
                <c:pt idx="76">
                  <c:v>2.1725463071787261E-3</c:v>
                </c:pt>
                <c:pt idx="77">
                  <c:v>2.1758508422154263E-3</c:v>
                </c:pt>
                <c:pt idx="78">
                  <c:v>2.1857644473255271E-3</c:v>
                </c:pt>
                <c:pt idx="79">
                  <c:v>2.1890689823622273E-3</c:v>
                </c:pt>
                <c:pt idx="80">
                  <c:v>2.1923735173989276E-3</c:v>
                </c:pt>
                <c:pt idx="81">
                  <c:v>2.1956780524356278E-3</c:v>
                </c:pt>
                <c:pt idx="82">
                  <c:v>2.1989825874723281E-3</c:v>
                </c:pt>
                <c:pt idx="83">
                  <c:v>2.2088961925824293E-3</c:v>
                </c:pt>
                <c:pt idx="84">
                  <c:v>2.2122007276191295E-3</c:v>
                </c:pt>
                <c:pt idx="85">
                  <c:v>2.2155052626558298E-3</c:v>
                </c:pt>
                <c:pt idx="86">
                  <c:v>2.2188097976925301E-3</c:v>
                </c:pt>
                <c:pt idx="87">
                  <c:v>2.2320279378393315E-3</c:v>
                </c:pt>
                <c:pt idx="88">
                  <c:v>2.2353324728760318E-3</c:v>
                </c:pt>
                <c:pt idx="89">
                  <c:v>2.238637007912732E-3</c:v>
                </c:pt>
                <c:pt idx="90">
                  <c:v>2.2419415429494323E-3</c:v>
                </c:pt>
                <c:pt idx="91">
                  <c:v>2.2452460779861325E-3</c:v>
                </c:pt>
                <c:pt idx="92">
                  <c:v>2.2551596830962333E-3</c:v>
                </c:pt>
                <c:pt idx="93">
                  <c:v>2.2584642181329335E-3</c:v>
                </c:pt>
                <c:pt idx="94">
                  <c:v>2.2617687531696342E-3</c:v>
                </c:pt>
                <c:pt idx="95">
                  <c:v>2.2650732882063345E-3</c:v>
                </c:pt>
                <c:pt idx="96">
                  <c:v>2.2683778232430347E-3</c:v>
                </c:pt>
                <c:pt idx="97">
                  <c:v>2.2782914283531355E-3</c:v>
                </c:pt>
                <c:pt idx="98">
                  <c:v>2.2815959633898358E-3</c:v>
                </c:pt>
                <c:pt idx="99">
                  <c:v>2.284900498426536E-3</c:v>
                </c:pt>
                <c:pt idx="100">
                  <c:v>2.2882050334632363E-3</c:v>
                </c:pt>
                <c:pt idx="101">
                  <c:v>2.291509568499937E-3</c:v>
                </c:pt>
                <c:pt idx="102">
                  <c:v>2.3014231736100377E-3</c:v>
                </c:pt>
                <c:pt idx="103">
                  <c:v>2.304727708646738E-3</c:v>
                </c:pt>
                <c:pt idx="104">
                  <c:v>2.3080322436834382E-3</c:v>
                </c:pt>
                <c:pt idx="105">
                  <c:v>2.3113367787201385E-3</c:v>
                </c:pt>
                <c:pt idx="106">
                  <c:v>2.3146413137568387E-3</c:v>
                </c:pt>
                <c:pt idx="107">
                  <c:v>2.3245549188669399E-3</c:v>
                </c:pt>
                <c:pt idx="108">
                  <c:v>2.3278594539036402E-3</c:v>
                </c:pt>
                <c:pt idx="109">
                  <c:v>2.3311639889403405E-3</c:v>
                </c:pt>
                <c:pt idx="110">
                  <c:v>2.3344685239770407E-3</c:v>
                </c:pt>
                <c:pt idx="111">
                  <c:v>2.337773059013741E-3</c:v>
                </c:pt>
                <c:pt idx="112">
                  <c:v>2.3476866641238417E-3</c:v>
                </c:pt>
                <c:pt idx="113">
                  <c:v>2.3509911991605424E-3</c:v>
                </c:pt>
                <c:pt idx="114">
                  <c:v>2.3542957341972427E-3</c:v>
                </c:pt>
                <c:pt idx="115">
                  <c:v>2.3576002692339429E-3</c:v>
                </c:pt>
                <c:pt idx="116">
                  <c:v>2.3609048042706432E-3</c:v>
                </c:pt>
                <c:pt idx="117">
                  <c:v>2.3708184093807439E-3</c:v>
                </c:pt>
                <c:pt idx="118">
                  <c:v>2.3741229444174442E-3</c:v>
                </c:pt>
                <c:pt idx="119">
                  <c:v>2.3774274794541445E-3</c:v>
                </c:pt>
                <c:pt idx="120">
                  <c:v>2.3807320144908451E-3</c:v>
                </c:pt>
                <c:pt idx="121">
                  <c:v>2.384036549527545E-3</c:v>
                </c:pt>
                <c:pt idx="122">
                  <c:v>2.3939501546376462E-3</c:v>
                </c:pt>
                <c:pt idx="123">
                  <c:v>2.3972546896743464E-3</c:v>
                </c:pt>
                <c:pt idx="124">
                  <c:v>2.4005592247110467E-3</c:v>
                </c:pt>
                <c:pt idx="125">
                  <c:v>2.4038637597477469E-3</c:v>
                </c:pt>
                <c:pt idx="126">
                  <c:v>2.4071682947844472E-3</c:v>
                </c:pt>
                <c:pt idx="127">
                  <c:v>2.4170818998945484E-3</c:v>
                </c:pt>
                <c:pt idx="128">
                  <c:v>2.4203864349312486E-3</c:v>
                </c:pt>
                <c:pt idx="129">
                  <c:v>2.4236909699679489E-3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1.8223518972306837E-3</c:v>
                </c:pt>
                <c:pt idx="1">
                  <c:v>1.8360144240047707E-3</c:v>
                </c:pt>
                <c:pt idx="2">
                  <c:v>1.8387632730647847E-3</c:v>
                </c:pt>
                <c:pt idx="3">
                  <c:v>1.8415175700265312E-3</c:v>
                </c:pt>
                <c:pt idx="4">
                  <c:v>1.8470425076552201E-3</c:v>
                </c:pt>
                <c:pt idx="5">
                  <c:v>1.8553707733612458E-3</c:v>
                </c:pt>
                <c:pt idx="6">
                  <c:v>1.8581577577333852E-3</c:v>
                </c:pt>
                <c:pt idx="7">
                  <c:v>1.860950190007257E-3</c:v>
                </c:pt>
                <c:pt idx="8">
                  <c:v>1.863748070182861E-3</c:v>
                </c:pt>
                <c:pt idx="9">
                  <c:v>1.8665513982601973E-3</c:v>
                </c:pt>
                <c:pt idx="10">
                  <c:v>1.8749940699025992E-3</c:v>
                </c:pt>
                <c:pt idx="11">
                  <c:v>1.8778191895868644E-3</c:v>
                </c:pt>
                <c:pt idx="12">
                  <c:v>1.8806497571728616E-3</c:v>
                </c:pt>
                <c:pt idx="13">
                  <c:v>1.8834857726605912E-3</c:v>
                </c:pt>
                <c:pt idx="14">
                  <c:v>1.8863272360500529E-3</c:v>
                </c:pt>
                <c:pt idx="15">
                  <c:v>1.8948843136288316E-3</c:v>
                </c:pt>
                <c:pt idx="16">
                  <c:v>1.8977475686252222E-3</c:v>
                </c:pt>
                <c:pt idx="17">
                  <c:v>1.9006162715233448E-3</c:v>
                </c:pt>
                <c:pt idx="18">
                  <c:v>1.9034904223231999E-3</c:v>
                </c:pt>
                <c:pt idx="19">
                  <c:v>1.9063700210247873E-3</c:v>
                </c:pt>
                <c:pt idx="20">
                  <c:v>1.9150415045399423E-3</c:v>
                </c:pt>
                <c:pt idx="21">
                  <c:v>1.9179428948484585E-3</c:v>
                </c:pt>
                <c:pt idx="22">
                  <c:v>1.9208497330587069E-3</c:v>
                </c:pt>
                <c:pt idx="23">
                  <c:v>1.9237620191706875E-3</c:v>
                </c:pt>
                <c:pt idx="24">
                  <c:v>1.9266797531844004E-3</c:v>
                </c:pt>
                <c:pt idx="25">
                  <c:v>1.9354656426359318E-3</c:v>
                </c:pt>
                <c:pt idx="26">
                  <c:v>1.9384051682565736E-3</c:v>
                </c:pt>
                <c:pt idx="27">
                  <c:v>1.9413501417789476E-3</c:v>
                </c:pt>
                <c:pt idx="28">
                  <c:v>1.9443005632030534E-3</c:v>
                </c:pt>
                <c:pt idx="29">
                  <c:v>1.9472564325288919E-3</c:v>
                </c:pt>
                <c:pt idx="30">
                  <c:v>1.9561567279168003E-3</c:v>
                </c:pt>
                <c:pt idx="31">
                  <c:v>1.9591343888495671E-3</c:v>
                </c:pt>
                <c:pt idx="32">
                  <c:v>1.9621174976840669E-3</c:v>
                </c:pt>
                <c:pt idx="33">
                  <c:v>1.9651060544202984E-3</c:v>
                </c:pt>
                <c:pt idx="34">
                  <c:v>1.9681000590582622E-3</c:v>
                </c:pt>
                <c:pt idx="35">
                  <c:v>1.9771147603825472E-3</c:v>
                </c:pt>
                <c:pt idx="36">
                  <c:v>1.9801305566274395E-3</c:v>
                </c:pt>
                <c:pt idx="37">
                  <c:v>1.9831518007740645E-3</c:v>
                </c:pt>
                <c:pt idx="38">
                  <c:v>1.9861784928224217E-3</c:v>
                </c:pt>
                <c:pt idx="39">
                  <c:v>1.989210632772511E-3</c:v>
                </c:pt>
                <c:pt idx="40">
                  <c:v>1.9983397400331723E-3</c:v>
                </c:pt>
                <c:pt idx="41">
                  <c:v>2.0013936715901908E-3</c:v>
                </c:pt>
                <c:pt idx="42">
                  <c:v>2.0044530510489409E-3</c:v>
                </c:pt>
                <c:pt idx="43">
                  <c:v>2.0075178784094241E-3</c:v>
                </c:pt>
                <c:pt idx="44">
                  <c:v>2.0105881536716386E-3</c:v>
                </c:pt>
                <c:pt idx="45">
                  <c:v>2.0198316668686763E-3</c:v>
                </c:pt>
                <c:pt idx="46">
                  <c:v>2.0229237337378203E-3</c:v>
                </c:pt>
                <c:pt idx="47">
                  <c:v>2.0260212485086965E-3</c:v>
                </c:pt>
                <c:pt idx="48">
                  <c:v>2.0291242111813044E-3</c:v>
                </c:pt>
                <c:pt idx="49">
                  <c:v>2.0322326217556449E-3</c:v>
                </c:pt>
                <c:pt idx="50">
                  <c:v>2.0415905408890595E-3</c:v>
                </c:pt>
                <c:pt idx="51">
                  <c:v>2.0447207430703287E-3</c:v>
                </c:pt>
                <c:pt idx="52">
                  <c:v>2.04785639315333E-3</c:v>
                </c:pt>
                <c:pt idx="53">
                  <c:v>2.050997491138064E-3</c:v>
                </c:pt>
                <c:pt idx="54">
                  <c:v>2.0541440370245301E-3</c:v>
                </c:pt>
                <c:pt idx="55">
                  <c:v>2.063616362094321E-3</c:v>
                </c:pt>
                <c:pt idx="56">
                  <c:v>2.0667846995877153E-3</c:v>
                </c:pt>
                <c:pt idx="57">
                  <c:v>2.0699584849828427E-3</c:v>
                </c:pt>
                <c:pt idx="58">
                  <c:v>2.0731377182797018E-3</c:v>
                </c:pt>
                <c:pt idx="59">
                  <c:v>2.0763223994782931E-3</c:v>
                </c:pt>
                <c:pt idx="60">
                  <c:v>2.0859091304844613E-3</c:v>
                </c:pt>
                <c:pt idx="61">
                  <c:v>2.0891156032899812E-3</c:v>
                </c:pt>
                <c:pt idx="62">
                  <c:v>2.0923275239972338E-3</c:v>
                </c:pt>
                <c:pt idx="63">
                  <c:v>2.0955448926062185E-3</c:v>
                </c:pt>
                <c:pt idx="64">
                  <c:v>2.0987677091169354E-3</c:v>
                </c:pt>
                <c:pt idx="65">
                  <c:v>2.1084688460594795E-3</c:v>
                </c:pt>
                <c:pt idx="66">
                  <c:v>2.1117134541771255E-3</c:v>
                </c:pt>
                <c:pt idx="67">
                  <c:v>2.1149635101965036E-3</c:v>
                </c:pt>
                <c:pt idx="68">
                  <c:v>2.1182190141176139E-3</c:v>
                </c:pt>
                <c:pt idx="69">
                  <c:v>2.1345782522491485E-3</c:v>
                </c:pt>
                <c:pt idx="70">
                  <c:v>2.1378664435806518E-3</c:v>
                </c:pt>
                <c:pt idx="71">
                  <c:v>2.1411600828138877E-3</c:v>
                </c:pt>
                <c:pt idx="72">
                  <c:v>2.1444591699488558E-3</c:v>
                </c:pt>
                <c:pt idx="73">
                  <c:v>2.1543891187641531E-3</c:v>
                </c:pt>
                <c:pt idx="74">
                  <c:v>2.1577099975060498E-3</c:v>
                </c:pt>
                <c:pt idx="75">
                  <c:v>2.1610363241496792E-3</c:v>
                </c:pt>
                <c:pt idx="76">
                  <c:v>2.1643680986950403E-3</c:v>
                </c:pt>
                <c:pt idx="77">
                  <c:v>2.167705321142134E-3</c:v>
                </c:pt>
                <c:pt idx="78">
                  <c:v>2.177749675893808E-3</c:v>
                </c:pt>
                <c:pt idx="79">
                  <c:v>2.1811086899478299E-3</c:v>
                </c:pt>
                <c:pt idx="80">
                  <c:v>2.1844731519035849E-3</c:v>
                </c:pt>
                <c:pt idx="81">
                  <c:v>2.1878430617610716E-3</c:v>
                </c:pt>
                <c:pt idx="82">
                  <c:v>2.1912184195202905E-3</c:v>
                </c:pt>
                <c:pt idx="83">
                  <c:v>2.2013771802083413E-3</c:v>
                </c:pt>
                <c:pt idx="84">
                  <c:v>2.2047743295744889E-3</c:v>
                </c:pt>
                <c:pt idx="85">
                  <c:v>2.208176926842369E-3</c:v>
                </c:pt>
                <c:pt idx="86">
                  <c:v>2.2115849720119817E-3</c:v>
                </c:pt>
                <c:pt idx="87">
                  <c:v>2.225271631707753E-3</c:v>
                </c:pt>
                <c:pt idx="88">
                  <c:v>2.2287069163860265E-3</c:v>
                </c:pt>
                <c:pt idx="89">
                  <c:v>2.2321476489660323E-3</c:v>
                </c:pt>
                <c:pt idx="90">
                  <c:v>2.2355938294477701E-3</c:v>
                </c:pt>
                <c:pt idx="91">
                  <c:v>2.2390454578312402E-3</c:v>
                </c:pt>
                <c:pt idx="92">
                  <c:v>2.2494330303920438E-3</c:v>
                </c:pt>
                <c:pt idx="93">
                  <c:v>2.252906450382443E-3</c:v>
                </c:pt>
                <c:pt idx="94">
                  <c:v>2.2563853182745739E-3</c:v>
                </c:pt>
                <c:pt idx="95">
                  <c:v>2.2598696340684369E-3</c:v>
                </c:pt>
                <c:pt idx="96">
                  <c:v>2.263359397764033E-3</c:v>
                </c:pt>
                <c:pt idx="97">
                  <c:v>2.273861376261213E-3</c:v>
                </c:pt>
                <c:pt idx="98">
                  <c:v>2.2773729315637373E-3</c:v>
                </c:pt>
                <c:pt idx="99">
                  <c:v>2.2808899347679943E-3</c:v>
                </c:pt>
                <c:pt idx="100">
                  <c:v>2.2844123858739829E-3</c:v>
                </c:pt>
                <c:pt idx="101">
                  <c:v>2.2879402848817046E-3</c:v>
                </c:pt>
                <c:pt idx="102">
                  <c:v>2.298556669315261E-3</c:v>
                </c:pt>
                <c:pt idx="103">
                  <c:v>2.3021063599299109E-3</c:v>
                </c:pt>
                <c:pt idx="104">
                  <c:v>2.3056614984462934E-3</c:v>
                </c:pt>
                <c:pt idx="105">
                  <c:v>2.3092220848644077E-3</c:v>
                </c:pt>
                <c:pt idx="106">
                  <c:v>2.3127881191842541E-3</c:v>
                </c:pt>
                <c:pt idx="107">
                  <c:v>2.3235189095541877E-3</c:v>
                </c:pt>
                <c:pt idx="108">
                  <c:v>2.3271067354809633E-3</c:v>
                </c:pt>
                <c:pt idx="109">
                  <c:v>2.3307000093094705E-3</c:v>
                </c:pt>
                <c:pt idx="110">
                  <c:v>2.3342987310397108E-3</c:v>
                </c:pt>
                <c:pt idx="111">
                  <c:v>2.3379029006716828E-3</c:v>
                </c:pt>
                <c:pt idx="112">
                  <c:v>2.3487480969779928E-3</c:v>
                </c:pt>
                <c:pt idx="113">
                  <c:v>2.3523740582168939E-3</c:v>
                </c:pt>
                <c:pt idx="114">
                  <c:v>2.3560054673575272E-3</c:v>
                </c:pt>
                <c:pt idx="115">
                  <c:v>2.3596423243998927E-3</c:v>
                </c:pt>
                <c:pt idx="116">
                  <c:v>2.3632846293439903E-3</c:v>
                </c:pt>
                <c:pt idx="117">
                  <c:v>2.3742442315866767E-3</c:v>
                </c:pt>
                <c:pt idx="118">
                  <c:v>2.3779083281377034E-3</c:v>
                </c:pt>
                <c:pt idx="119">
                  <c:v>2.3815778725904623E-3</c:v>
                </c:pt>
                <c:pt idx="120">
                  <c:v>2.3852528649449529E-3</c:v>
                </c:pt>
                <c:pt idx="121">
                  <c:v>2.3889333052011766E-3</c:v>
                </c:pt>
                <c:pt idx="122">
                  <c:v>2.4000073133802393E-3</c:v>
                </c:pt>
                <c:pt idx="123">
                  <c:v>2.4037095452433912E-3</c:v>
                </c:pt>
                <c:pt idx="124">
                  <c:v>2.4074172250082757E-3</c:v>
                </c:pt>
                <c:pt idx="125">
                  <c:v>2.4111303526748919E-3</c:v>
                </c:pt>
                <c:pt idx="126">
                  <c:v>2.4148489282432412E-3</c:v>
                </c:pt>
                <c:pt idx="127">
                  <c:v>2.4260373423586807E-3</c:v>
                </c:pt>
                <c:pt idx="128">
                  <c:v>2.4297777095339582E-3</c:v>
                </c:pt>
                <c:pt idx="129">
                  <c:v>2.4335235246109683E-3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605184"/>
        <c:axId val="614606720"/>
      </c:lineChart>
      <c:dateAx>
        <c:axId val="6146051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4606720"/>
        <c:crosses val="autoZero"/>
        <c:auto val="1"/>
        <c:lblOffset val="100"/>
        <c:baseTimeUnit val="days"/>
      </c:dateAx>
      <c:valAx>
        <c:axId val="6146067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4605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3.8546897243813298E-3</c:v>
                </c:pt>
                <c:pt idx="1">
                  <c:v>3.8546897243813298E-3</c:v>
                </c:pt>
                <c:pt idx="2">
                  <c:v>3.8546897243813298E-3</c:v>
                </c:pt>
                <c:pt idx="3">
                  <c:v>3.8546897243813298E-3</c:v>
                </c:pt>
                <c:pt idx="4">
                  <c:v>3.8546897243813298E-3</c:v>
                </c:pt>
                <c:pt idx="5">
                  <c:v>3.8546897243813298E-3</c:v>
                </c:pt>
                <c:pt idx="6">
                  <c:v>3.8546897243813298E-3</c:v>
                </c:pt>
                <c:pt idx="7">
                  <c:v>3.8546897243813298E-3</c:v>
                </c:pt>
                <c:pt idx="8">
                  <c:v>3.8546897243813298E-3</c:v>
                </c:pt>
                <c:pt idx="9">
                  <c:v>3.8546897243813298E-3</c:v>
                </c:pt>
                <c:pt idx="10">
                  <c:v>3.8546897243813298E-3</c:v>
                </c:pt>
                <c:pt idx="11">
                  <c:v>3.8546897243813298E-3</c:v>
                </c:pt>
                <c:pt idx="12">
                  <c:v>3.8546897243813298E-3</c:v>
                </c:pt>
                <c:pt idx="13">
                  <c:v>3.8546897243813298E-3</c:v>
                </c:pt>
                <c:pt idx="14">
                  <c:v>3.8546897243813298E-3</c:v>
                </c:pt>
                <c:pt idx="15">
                  <c:v>3.8546897243813298E-3</c:v>
                </c:pt>
                <c:pt idx="16">
                  <c:v>3.8546897243813298E-3</c:v>
                </c:pt>
                <c:pt idx="17">
                  <c:v>3.8546897243813298E-3</c:v>
                </c:pt>
                <c:pt idx="18">
                  <c:v>3.8546897243813298E-3</c:v>
                </c:pt>
                <c:pt idx="19">
                  <c:v>3.8546897243813298E-3</c:v>
                </c:pt>
                <c:pt idx="20">
                  <c:v>3.8546897243813298E-3</c:v>
                </c:pt>
                <c:pt idx="21">
                  <c:v>3.8546897243813298E-3</c:v>
                </c:pt>
                <c:pt idx="22">
                  <c:v>3.8546897243813298E-3</c:v>
                </c:pt>
                <c:pt idx="23">
                  <c:v>3.8546897243813298E-3</c:v>
                </c:pt>
                <c:pt idx="24">
                  <c:v>3.8546897243813298E-3</c:v>
                </c:pt>
                <c:pt idx="25">
                  <c:v>3.8546897243813298E-3</c:v>
                </c:pt>
                <c:pt idx="26">
                  <c:v>3.8546897243813298E-3</c:v>
                </c:pt>
                <c:pt idx="27">
                  <c:v>3.8546897243813298E-3</c:v>
                </c:pt>
                <c:pt idx="28">
                  <c:v>3.8546897243813298E-3</c:v>
                </c:pt>
                <c:pt idx="29">
                  <c:v>3.8546897243813298E-3</c:v>
                </c:pt>
                <c:pt idx="30">
                  <c:v>3.8546897243813298E-3</c:v>
                </c:pt>
                <c:pt idx="31">
                  <c:v>3.8546897243813298E-3</c:v>
                </c:pt>
                <c:pt idx="32">
                  <c:v>3.8546897243813298E-3</c:v>
                </c:pt>
                <c:pt idx="33">
                  <c:v>3.8546897243813298E-3</c:v>
                </c:pt>
                <c:pt idx="34">
                  <c:v>3.8546897243813298E-3</c:v>
                </c:pt>
                <c:pt idx="35">
                  <c:v>3.8546897243813298E-3</c:v>
                </c:pt>
                <c:pt idx="36">
                  <c:v>3.8546897243813298E-3</c:v>
                </c:pt>
                <c:pt idx="37">
                  <c:v>3.8546897243813298E-3</c:v>
                </c:pt>
                <c:pt idx="38">
                  <c:v>3.8546897243813298E-3</c:v>
                </c:pt>
                <c:pt idx="39">
                  <c:v>3.8546897243813298E-3</c:v>
                </c:pt>
                <c:pt idx="40">
                  <c:v>3.8546897243813298E-3</c:v>
                </c:pt>
                <c:pt idx="41">
                  <c:v>3.8546897243813298E-3</c:v>
                </c:pt>
                <c:pt idx="42">
                  <c:v>3.8546897243813298E-3</c:v>
                </c:pt>
                <c:pt idx="43">
                  <c:v>3.8546897243813298E-3</c:v>
                </c:pt>
                <c:pt idx="44">
                  <c:v>3.8546897243813298E-3</c:v>
                </c:pt>
                <c:pt idx="45">
                  <c:v>3.8546897243813298E-3</c:v>
                </c:pt>
                <c:pt idx="46">
                  <c:v>3.8546897243813298E-3</c:v>
                </c:pt>
                <c:pt idx="47">
                  <c:v>3.8546897243813298E-3</c:v>
                </c:pt>
                <c:pt idx="48">
                  <c:v>3.8546897243813298E-3</c:v>
                </c:pt>
                <c:pt idx="49">
                  <c:v>3.8546897243813298E-3</c:v>
                </c:pt>
                <c:pt idx="50">
                  <c:v>3.8546897243813298E-3</c:v>
                </c:pt>
                <c:pt idx="51">
                  <c:v>3.8546897243813298E-3</c:v>
                </c:pt>
                <c:pt idx="52">
                  <c:v>3.8546897243813298E-3</c:v>
                </c:pt>
                <c:pt idx="53">
                  <c:v>3.8546897243813298E-3</c:v>
                </c:pt>
                <c:pt idx="54">
                  <c:v>3.8546897243813298E-3</c:v>
                </c:pt>
                <c:pt idx="55">
                  <c:v>3.8546897243813298E-3</c:v>
                </c:pt>
                <c:pt idx="56">
                  <c:v>3.8546897243813298E-3</c:v>
                </c:pt>
                <c:pt idx="57">
                  <c:v>3.8546897243813298E-3</c:v>
                </c:pt>
                <c:pt idx="58">
                  <c:v>3.8546897243813298E-3</c:v>
                </c:pt>
                <c:pt idx="59">
                  <c:v>3.8546897243813298E-3</c:v>
                </c:pt>
                <c:pt idx="60">
                  <c:v>3.8546897243813298E-3</c:v>
                </c:pt>
                <c:pt idx="61">
                  <c:v>3.8546897243813298E-3</c:v>
                </c:pt>
                <c:pt idx="62">
                  <c:v>3.8546897243813298E-3</c:v>
                </c:pt>
                <c:pt idx="63">
                  <c:v>3.8546897243813298E-3</c:v>
                </c:pt>
                <c:pt idx="64">
                  <c:v>3.8546897243813298E-3</c:v>
                </c:pt>
                <c:pt idx="65">
                  <c:v>3.8546897243813298E-3</c:v>
                </c:pt>
                <c:pt idx="66">
                  <c:v>3.8546897243813298E-3</c:v>
                </c:pt>
                <c:pt idx="67">
                  <c:v>3.8546897243813298E-3</c:v>
                </c:pt>
                <c:pt idx="68">
                  <c:v>3.8546897243813298E-3</c:v>
                </c:pt>
                <c:pt idx="69">
                  <c:v>3.8546897243813298E-3</c:v>
                </c:pt>
                <c:pt idx="70">
                  <c:v>3.8546897243813298E-3</c:v>
                </c:pt>
                <c:pt idx="71">
                  <c:v>3.8546897243813298E-3</c:v>
                </c:pt>
                <c:pt idx="72">
                  <c:v>3.8546897243813298E-3</c:v>
                </c:pt>
                <c:pt idx="73">
                  <c:v>3.8546897243813298E-3</c:v>
                </c:pt>
                <c:pt idx="74">
                  <c:v>3.8546897243813298E-3</c:v>
                </c:pt>
                <c:pt idx="75">
                  <c:v>3.8546897243813298E-3</c:v>
                </c:pt>
                <c:pt idx="76">
                  <c:v>3.8546897243813298E-3</c:v>
                </c:pt>
                <c:pt idx="77">
                  <c:v>3.8546897243813298E-3</c:v>
                </c:pt>
                <c:pt idx="78">
                  <c:v>3.8546897243813298E-3</c:v>
                </c:pt>
                <c:pt idx="79">
                  <c:v>3.8546897243813298E-3</c:v>
                </c:pt>
                <c:pt idx="80">
                  <c:v>3.8546897243813298E-3</c:v>
                </c:pt>
                <c:pt idx="81">
                  <c:v>3.8546897243813298E-3</c:v>
                </c:pt>
                <c:pt idx="82">
                  <c:v>3.8546897243813298E-3</c:v>
                </c:pt>
                <c:pt idx="83">
                  <c:v>3.8546897243813298E-3</c:v>
                </c:pt>
                <c:pt idx="84">
                  <c:v>3.8546897243813298E-3</c:v>
                </c:pt>
                <c:pt idx="85">
                  <c:v>3.8546897243813298E-3</c:v>
                </c:pt>
                <c:pt idx="86">
                  <c:v>3.8546897243813298E-3</c:v>
                </c:pt>
                <c:pt idx="87">
                  <c:v>3.8546897243813298E-3</c:v>
                </c:pt>
                <c:pt idx="88">
                  <c:v>3.8546897243813298E-3</c:v>
                </c:pt>
                <c:pt idx="89">
                  <c:v>3.8546897243813298E-3</c:v>
                </c:pt>
                <c:pt idx="90">
                  <c:v>3.8546897243813298E-3</c:v>
                </c:pt>
                <c:pt idx="91">
                  <c:v>3.8546897243813298E-3</c:v>
                </c:pt>
                <c:pt idx="92">
                  <c:v>3.8546897243813298E-3</c:v>
                </c:pt>
                <c:pt idx="93">
                  <c:v>3.8546897243813298E-3</c:v>
                </c:pt>
                <c:pt idx="94">
                  <c:v>3.8546897243813298E-3</c:v>
                </c:pt>
                <c:pt idx="95">
                  <c:v>3.8546897243813298E-3</c:v>
                </c:pt>
                <c:pt idx="96">
                  <c:v>3.8546897243813298E-3</c:v>
                </c:pt>
                <c:pt idx="97">
                  <c:v>3.8546897243813298E-3</c:v>
                </c:pt>
                <c:pt idx="98">
                  <c:v>3.8546897243813298E-3</c:v>
                </c:pt>
                <c:pt idx="99">
                  <c:v>3.8546897243813298E-3</c:v>
                </c:pt>
                <c:pt idx="100">
                  <c:v>3.8546897243813298E-3</c:v>
                </c:pt>
                <c:pt idx="101">
                  <c:v>3.8546897243813298E-3</c:v>
                </c:pt>
                <c:pt idx="102">
                  <c:v>3.8546897243813298E-3</c:v>
                </c:pt>
                <c:pt idx="103">
                  <c:v>3.8546897243813298E-3</c:v>
                </c:pt>
                <c:pt idx="104">
                  <c:v>3.8546897243813298E-3</c:v>
                </c:pt>
                <c:pt idx="105">
                  <c:v>3.8546897243813298E-3</c:v>
                </c:pt>
                <c:pt idx="106">
                  <c:v>3.8546897243813298E-3</c:v>
                </c:pt>
                <c:pt idx="107">
                  <c:v>3.8546897243813298E-3</c:v>
                </c:pt>
                <c:pt idx="108">
                  <c:v>3.8546897243813298E-3</c:v>
                </c:pt>
                <c:pt idx="109">
                  <c:v>3.8546897243813298E-3</c:v>
                </c:pt>
                <c:pt idx="110">
                  <c:v>3.8546897243813298E-3</c:v>
                </c:pt>
                <c:pt idx="111">
                  <c:v>3.8546897243813298E-3</c:v>
                </c:pt>
                <c:pt idx="112">
                  <c:v>3.8546897243813298E-3</c:v>
                </c:pt>
                <c:pt idx="113">
                  <c:v>3.8546897243813298E-3</c:v>
                </c:pt>
                <c:pt idx="114">
                  <c:v>3.8546897243813298E-3</c:v>
                </c:pt>
                <c:pt idx="115">
                  <c:v>3.8546897243813298E-3</c:v>
                </c:pt>
                <c:pt idx="116">
                  <c:v>3.8546897243813298E-3</c:v>
                </c:pt>
                <c:pt idx="117">
                  <c:v>3.8546897243813298E-3</c:v>
                </c:pt>
                <c:pt idx="118">
                  <c:v>3.8546897243813298E-3</c:v>
                </c:pt>
                <c:pt idx="119">
                  <c:v>3.8546897243813298E-3</c:v>
                </c:pt>
                <c:pt idx="120">
                  <c:v>3.8546897243813298E-3</c:v>
                </c:pt>
                <c:pt idx="121">
                  <c:v>3.8546897243813298E-3</c:v>
                </c:pt>
                <c:pt idx="122">
                  <c:v>3.8546897243813298E-3</c:v>
                </c:pt>
                <c:pt idx="123">
                  <c:v>3.8546897243813298E-3</c:v>
                </c:pt>
                <c:pt idx="124">
                  <c:v>3.8546897243813298E-3</c:v>
                </c:pt>
                <c:pt idx="125">
                  <c:v>3.8546897243813298E-3</c:v>
                </c:pt>
                <c:pt idx="126">
                  <c:v>3.8546897243813298E-3</c:v>
                </c:pt>
                <c:pt idx="127">
                  <c:v>3.8546897243813298E-3</c:v>
                </c:pt>
                <c:pt idx="128">
                  <c:v>3.8546897243813298E-3</c:v>
                </c:pt>
                <c:pt idx="129">
                  <c:v>3.8546897243813298E-3</c:v>
                </c:pt>
                <c:pt idx="130">
                  <c:v>3.8546897243813298E-3</c:v>
                </c:pt>
                <c:pt idx="131">
                  <c:v>3.8546897243813298E-3</c:v>
                </c:pt>
                <c:pt idx="132">
                  <c:v>3.8546897243813298E-3</c:v>
                </c:pt>
                <c:pt idx="133">
                  <c:v>3.8546897243813298E-3</c:v>
                </c:pt>
                <c:pt idx="134">
                  <c:v>3.8546897243813298E-3</c:v>
                </c:pt>
                <c:pt idx="135">
                  <c:v>3.8546897243813298E-3</c:v>
                </c:pt>
                <c:pt idx="136">
                  <c:v>3.8546897243813298E-3</c:v>
                </c:pt>
                <c:pt idx="137">
                  <c:v>3.8546897243813298E-3</c:v>
                </c:pt>
                <c:pt idx="138">
                  <c:v>3.8546897243813298E-3</c:v>
                </c:pt>
                <c:pt idx="139">
                  <c:v>3.8546897243813298E-3</c:v>
                </c:pt>
                <c:pt idx="140">
                  <c:v>3.8546897243813298E-3</c:v>
                </c:pt>
                <c:pt idx="141">
                  <c:v>3.8546897243813298E-3</c:v>
                </c:pt>
                <c:pt idx="142">
                  <c:v>3.8546897243813298E-3</c:v>
                </c:pt>
                <c:pt idx="143">
                  <c:v>3.8546897243813298E-3</c:v>
                </c:pt>
                <c:pt idx="144">
                  <c:v>3.8546897243813298E-3</c:v>
                </c:pt>
                <c:pt idx="145">
                  <c:v>3.8546897243813298E-3</c:v>
                </c:pt>
                <c:pt idx="146">
                  <c:v>3.8546897243813298E-3</c:v>
                </c:pt>
                <c:pt idx="147">
                  <c:v>3.8546897243813298E-3</c:v>
                </c:pt>
                <c:pt idx="148">
                  <c:v>3.8546897243813298E-3</c:v>
                </c:pt>
                <c:pt idx="149">
                  <c:v>3.8546897243813298E-3</c:v>
                </c:pt>
                <c:pt idx="150">
                  <c:v>3.8546897243813298E-3</c:v>
                </c:pt>
                <c:pt idx="151">
                  <c:v>3.8546897243813298E-3</c:v>
                </c:pt>
                <c:pt idx="152">
                  <c:v>3.8546897243813298E-3</c:v>
                </c:pt>
                <c:pt idx="153">
                  <c:v>3.8546897243813298E-3</c:v>
                </c:pt>
                <c:pt idx="154">
                  <c:v>3.8546897243813298E-3</c:v>
                </c:pt>
                <c:pt idx="155">
                  <c:v>3.8546897243813298E-3</c:v>
                </c:pt>
                <c:pt idx="156">
                  <c:v>3.8546897243813298E-3</c:v>
                </c:pt>
                <c:pt idx="157">
                  <c:v>3.8546897243813298E-3</c:v>
                </c:pt>
                <c:pt idx="158">
                  <c:v>3.8546897243813298E-3</c:v>
                </c:pt>
                <c:pt idx="159">
                  <c:v>3.8546897243813298E-3</c:v>
                </c:pt>
                <c:pt idx="160">
                  <c:v>3.8546897243813298E-3</c:v>
                </c:pt>
                <c:pt idx="161">
                  <c:v>3.8546897243813298E-3</c:v>
                </c:pt>
                <c:pt idx="162">
                  <c:v>3.8546897243813298E-3</c:v>
                </c:pt>
                <c:pt idx="163">
                  <c:v>3.8546897243813298E-3</c:v>
                </c:pt>
                <c:pt idx="164">
                  <c:v>3.8546897243813298E-3</c:v>
                </c:pt>
                <c:pt idx="165">
                  <c:v>3.8546897243813298E-3</c:v>
                </c:pt>
                <c:pt idx="166">
                  <c:v>3.8546897243813298E-3</c:v>
                </c:pt>
                <c:pt idx="167">
                  <c:v>3.8546897243813298E-3</c:v>
                </c:pt>
                <c:pt idx="168">
                  <c:v>3.8546897243813298E-3</c:v>
                </c:pt>
                <c:pt idx="169">
                  <c:v>3.8546897243813298E-3</c:v>
                </c:pt>
                <c:pt idx="170">
                  <c:v>3.8546897243813298E-3</c:v>
                </c:pt>
                <c:pt idx="171">
                  <c:v>3.8546897243813298E-3</c:v>
                </c:pt>
                <c:pt idx="172">
                  <c:v>3.8546897243813298E-3</c:v>
                </c:pt>
                <c:pt idx="173">
                  <c:v>3.8546897243813298E-3</c:v>
                </c:pt>
                <c:pt idx="174">
                  <c:v>3.8546897243813298E-3</c:v>
                </c:pt>
                <c:pt idx="175">
                  <c:v>3.8546897243813298E-3</c:v>
                </c:pt>
                <c:pt idx="176">
                  <c:v>3.8546897243813298E-3</c:v>
                </c:pt>
                <c:pt idx="177">
                  <c:v>3.8546897243813298E-3</c:v>
                </c:pt>
                <c:pt idx="178">
                  <c:v>3.8546897243813298E-3</c:v>
                </c:pt>
                <c:pt idx="179">
                  <c:v>3.8546897243813298E-3</c:v>
                </c:pt>
                <c:pt idx="180">
                  <c:v>3.8546897243813298E-3</c:v>
                </c:pt>
                <c:pt idx="181">
                  <c:v>3.8546897243813298E-3</c:v>
                </c:pt>
                <c:pt idx="182">
                  <c:v>3.8546897243813298E-3</c:v>
                </c:pt>
                <c:pt idx="183">
                  <c:v>3.8546897243813298E-3</c:v>
                </c:pt>
                <c:pt idx="184">
                  <c:v>3.8546897243813298E-3</c:v>
                </c:pt>
                <c:pt idx="185">
                  <c:v>3.8546897243813298E-3</c:v>
                </c:pt>
                <c:pt idx="186">
                  <c:v>3.8546897243813298E-3</c:v>
                </c:pt>
                <c:pt idx="187">
                  <c:v>3.8546897243813298E-3</c:v>
                </c:pt>
                <c:pt idx="188">
                  <c:v>3.8546897243813298E-3</c:v>
                </c:pt>
                <c:pt idx="189">
                  <c:v>3.8546897243813298E-3</c:v>
                </c:pt>
                <c:pt idx="190">
                  <c:v>3.8546897243813298E-3</c:v>
                </c:pt>
                <c:pt idx="191">
                  <c:v>3.8546897243813298E-3</c:v>
                </c:pt>
                <c:pt idx="192">
                  <c:v>3.8546897243813298E-3</c:v>
                </c:pt>
                <c:pt idx="193">
                  <c:v>3.8546897243813298E-3</c:v>
                </c:pt>
                <c:pt idx="194">
                  <c:v>3.8546897243813298E-3</c:v>
                </c:pt>
                <c:pt idx="195">
                  <c:v>3.8546897243813298E-3</c:v>
                </c:pt>
                <c:pt idx="196">
                  <c:v>3.8546897243813298E-3</c:v>
                </c:pt>
                <c:pt idx="197">
                  <c:v>3.8546897243813298E-3</c:v>
                </c:pt>
                <c:pt idx="198">
                  <c:v>3.8546897243813298E-3</c:v>
                </c:pt>
                <c:pt idx="199">
                  <c:v>3.8546897243813298E-3</c:v>
                </c:pt>
                <c:pt idx="200">
                  <c:v>3.8546897243813298E-3</c:v>
                </c:pt>
                <c:pt idx="201">
                  <c:v>3.8546897243813298E-3</c:v>
                </c:pt>
                <c:pt idx="202">
                  <c:v>3.8546897243813298E-3</c:v>
                </c:pt>
                <c:pt idx="203">
                  <c:v>3.8546897243813298E-3</c:v>
                </c:pt>
                <c:pt idx="204">
                  <c:v>3.8546897243813298E-3</c:v>
                </c:pt>
                <c:pt idx="205">
                  <c:v>3.8546897243813298E-3</c:v>
                </c:pt>
                <c:pt idx="206">
                  <c:v>3.8546897243813298E-3</c:v>
                </c:pt>
                <c:pt idx="207">
                  <c:v>3.8546897243813298E-3</c:v>
                </c:pt>
                <c:pt idx="208">
                  <c:v>3.8546897243813298E-3</c:v>
                </c:pt>
                <c:pt idx="209">
                  <c:v>3.8546897243813298E-3</c:v>
                </c:pt>
                <c:pt idx="210">
                  <c:v>3.8546897243813298E-3</c:v>
                </c:pt>
                <c:pt idx="211">
                  <c:v>3.8546897243813298E-3</c:v>
                </c:pt>
                <c:pt idx="212">
                  <c:v>3.8546897243813298E-3</c:v>
                </c:pt>
                <c:pt idx="213">
                  <c:v>3.8546897243813298E-3</c:v>
                </c:pt>
                <c:pt idx="214">
                  <c:v>3.8546897243813298E-3</c:v>
                </c:pt>
                <c:pt idx="215">
                  <c:v>3.8546897243813298E-3</c:v>
                </c:pt>
                <c:pt idx="216">
                  <c:v>3.8546897243813298E-3</c:v>
                </c:pt>
                <c:pt idx="217">
                  <c:v>3.8546897243813298E-3</c:v>
                </c:pt>
                <c:pt idx="218">
                  <c:v>3.8546897243813298E-3</c:v>
                </c:pt>
                <c:pt idx="219">
                  <c:v>3.8546897243813298E-3</c:v>
                </c:pt>
                <c:pt idx="220">
                  <c:v>3.8546897243813298E-3</c:v>
                </c:pt>
                <c:pt idx="221">
                  <c:v>3.8546897243813298E-3</c:v>
                </c:pt>
                <c:pt idx="222">
                  <c:v>3.8546897243813298E-3</c:v>
                </c:pt>
                <c:pt idx="223">
                  <c:v>3.8546897243813298E-3</c:v>
                </c:pt>
                <c:pt idx="224">
                  <c:v>3.8546897243813298E-3</c:v>
                </c:pt>
                <c:pt idx="225">
                  <c:v>3.8546897243813298E-3</c:v>
                </c:pt>
                <c:pt idx="226">
                  <c:v>3.8546897243813298E-3</c:v>
                </c:pt>
                <c:pt idx="227">
                  <c:v>3.8546897243813298E-3</c:v>
                </c:pt>
                <c:pt idx="228">
                  <c:v>3.8546897243813298E-3</c:v>
                </c:pt>
                <c:pt idx="229">
                  <c:v>3.8546897243813298E-3</c:v>
                </c:pt>
                <c:pt idx="230">
                  <c:v>3.8546897243813298E-3</c:v>
                </c:pt>
                <c:pt idx="231">
                  <c:v>3.8546897243813298E-3</c:v>
                </c:pt>
                <c:pt idx="232">
                  <c:v>3.8546897243813298E-3</c:v>
                </c:pt>
                <c:pt idx="233">
                  <c:v>3.8546897243813298E-3</c:v>
                </c:pt>
                <c:pt idx="234">
                  <c:v>3.8546897243813298E-3</c:v>
                </c:pt>
                <c:pt idx="235">
                  <c:v>3.8546897243813298E-3</c:v>
                </c:pt>
                <c:pt idx="236">
                  <c:v>3.8546897243813298E-3</c:v>
                </c:pt>
                <c:pt idx="237">
                  <c:v>3.8546897243813298E-3</c:v>
                </c:pt>
                <c:pt idx="238">
                  <c:v>3.8546897243813298E-3</c:v>
                </c:pt>
                <c:pt idx="239">
                  <c:v>3.8546897243813298E-3</c:v>
                </c:pt>
                <c:pt idx="240">
                  <c:v>3.8546897243813298E-3</c:v>
                </c:pt>
                <c:pt idx="241">
                  <c:v>3.8546897243813298E-3</c:v>
                </c:pt>
                <c:pt idx="242">
                  <c:v>3.8546897243813298E-3</c:v>
                </c:pt>
                <c:pt idx="243">
                  <c:v>3.8546897243813298E-3</c:v>
                </c:pt>
                <c:pt idx="244">
                  <c:v>3.8546897243813298E-3</c:v>
                </c:pt>
                <c:pt idx="245">
                  <c:v>3.8546897243813298E-3</c:v>
                </c:pt>
                <c:pt idx="246">
                  <c:v>3.8546897243813298E-3</c:v>
                </c:pt>
                <c:pt idx="247">
                  <c:v>3.8546897243813298E-3</c:v>
                </c:pt>
                <c:pt idx="248">
                  <c:v>3.8546897243813298E-3</c:v>
                </c:pt>
                <c:pt idx="249">
                  <c:v>3.8546897243813298E-3</c:v>
                </c:pt>
                <c:pt idx="250">
                  <c:v>3.8546897243813298E-3</c:v>
                </c:pt>
                <c:pt idx="251">
                  <c:v>3.8546897243813298E-3</c:v>
                </c:pt>
                <c:pt idx="252">
                  <c:v>3.8546897243813298E-3</c:v>
                </c:pt>
                <c:pt idx="253">
                  <c:v>3.8546897243813298E-3</c:v>
                </c:pt>
                <c:pt idx="254">
                  <c:v>3.8546897243813298E-3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3.4669156085642278E-3</c:v>
                </c:pt>
                <c:pt idx="1">
                  <c:v>3.4775395569427783E-3</c:v>
                </c:pt>
                <c:pt idx="2">
                  <c:v>3.4796643466184886E-3</c:v>
                </c:pt>
                <c:pt idx="3">
                  <c:v>3.4817891362941989E-3</c:v>
                </c:pt>
                <c:pt idx="4">
                  <c:v>3.4860387156456191E-3</c:v>
                </c:pt>
                <c:pt idx="5">
                  <c:v>3.4924130846727495E-3</c:v>
                </c:pt>
                <c:pt idx="6">
                  <c:v>3.4945378743484598E-3</c:v>
                </c:pt>
                <c:pt idx="7">
                  <c:v>3.4966626640241696E-3</c:v>
                </c:pt>
                <c:pt idx="8">
                  <c:v>3.4987874536998799E-3</c:v>
                </c:pt>
                <c:pt idx="9">
                  <c:v>3.5009122433755902E-3</c:v>
                </c:pt>
                <c:pt idx="10">
                  <c:v>3.5072866124027206E-3</c:v>
                </c:pt>
                <c:pt idx="11">
                  <c:v>3.5094114020784305E-3</c:v>
                </c:pt>
                <c:pt idx="12">
                  <c:v>3.5115361917541408E-3</c:v>
                </c:pt>
                <c:pt idx="13">
                  <c:v>3.5136609814298511E-3</c:v>
                </c:pt>
                <c:pt idx="14">
                  <c:v>3.5157857711055609E-3</c:v>
                </c:pt>
                <c:pt idx="15">
                  <c:v>3.5221601401326913E-3</c:v>
                </c:pt>
                <c:pt idx="16">
                  <c:v>3.5242849298084016E-3</c:v>
                </c:pt>
                <c:pt idx="17">
                  <c:v>3.5264097194841119E-3</c:v>
                </c:pt>
                <c:pt idx="18">
                  <c:v>3.5285345091598218E-3</c:v>
                </c:pt>
                <c:pt idx="19">
                  <c:v>3.5306592988355321E-3</c:v>
                </c:pt>
                <c:pt idx="20">
                  <c:v>3.5370336678626625E-3</c:v>
                </c:pt>
                <c:pt idx="21">
                  <c:v>3.5391584575383728E-3</c:v>
                </c:pt>
                <c:pt idx="22">
                  <c:v>3.5412832472140826E-3</c:v>
                </c:pt>
                <c:pt idx="23">
                  <c:v>3.5434080368897929E-3</c:v>
                </c:pt>
                <c:pt idx="24">
                  <c:v>3.5455328265655032E-3</c:v>
                </c:pt>
                <c:pt idx="25">
                  <c:v>3.5519071955926337E-3</c:v>
                </c:pt>
                <c:pt idx="26">
                  <c:v>3.5540319852683435E-3</c:v>
                </c:pt>
                <c:pt idx="27">
                  <c:v>3.5561567749440538E-3</c:v>
                </c:pt>
                <c:pt idx="28">
                  <c:v>3.5582815646197641E-3</c:v>
                </c:pt>
                <c:pt idx="29">
                  <c:v>3.5604063542954739E-3</c:v>
                </c:pt>
                <c:pt idx="30">
                  <c:v>3.5667807233226044E-3</c:v>
                </c:pt>
                <c:pt idx="31">
                  <c:v>3.5689055129983147E-3</c:v>
                </c:pt>
                <c:pt idx="32">
                  <c:v>3.5710303026740249E-3</c:v>
                </c:pt>
                <c:pt idx="33">
                  <c:v>3.5731550923497348E-3</c:v>
                </c:pt>
                <c:pt idx="34">
                  <c:v>3.5752798820254451E-3</c:v>
                </c:pt>
                <c:pt idx="35">
                  <c:v>3.5816542510525755E-3</c:v>
                </c:pt>
                <c:pt idx="36">
                  <c:v>3.5837790407282858E-3</c:v>
                </c:pt>
                <c:pt idx="37">
                  <c:v>3.5859038304039957E-3</c:v>
                </c:pt>
                <c:pt idx="38">
                  <c:v>3.5880286200797059E-3</c:v>
                </c:pt>
                <c:pt idx="39">
                  <c:v>3.5901534097554162E-3</c:v>
                </c:pt>
                <c:pt idx="40">
                  <c:v>3.5965277787825467E-3</c:v>
                </c:pt>
                <c:pt idx="41">
                  <c:v>3.5986525684582565E-3</c:v>
                </c:pt>
                <c:pt idx="42">
                  <c:v>3.6007773581339668E-3</c:v>
                </c:pt>
                <c:pt idx="43">
                  <c:v>3.6029021478096771E-3</c:v>
                </c:pt>
                <c:pt idx="44">
                  <c:v>3.605026937485387E-3</c:v>
                </c:pt>
                <c:pt idx="45">
                  <c:v>3.6114013065125174E-3</c:v>
                </c:pt>
                <c:pt idx="46">
                  <c:v>3.6135260961882277E-3</c:v>
                </c:pt>
                <c:pt idx="47">
                  <c:v>3.615650885863938E-3</c:v>
                </c:pt>
                <c:pt idx="48">
                  <c:v>3.6177756755396478E-3</c:v>
                </c:pt>
                <c:pt idx="49">
                  <c:v>3.6199004652153581E-3</c:v>
                </c:pt>
                <c:pt idx="50">
                  <c:v>3.6262748342424885E-3</c:v>
                </c:pt>
                <c:pt idx="51">
                  <c:v>3.6283996239181988E-3</c:v>
                </c:pt>
                <c:pt idx="52">
                  <c:v>3.6305244135939087E-3</c:v>
                </c:pt>
                <c:pt idx="53">
                  <c:v>3.632649203269619E-3</c:v>
                </c:pt>
                <c:pt idx="54">
                  <c:v>3.6347739929453293E-3</c:v>
                </c:pt>
                <c:pt idx="55">
                  <c:v>3.6411483619724597E-3</c:v>
                </c:pt>
                <c:pt idx="56">
                  <c:v>3.6432731516481695E-3</c:v>
                </c:pt>
                <c:pt idx="57">
                  <c:v>3.6453979413238798E-3</c:v>
                </c:pt>
                <c:pt idx="58">
                  <c:v>3.6475227309995901E-3</c:v>
                </c:pt>
                <c:pt idx="59">
                  <c:v>3.6496475206753E-3</c:v>
                </c:pt>
                <c:pt idx="60">
                  <c:v>3.6560218897024304E-3</c:v>
                </c:pt>
                <c:pt idx="61">
                  <c:v>3.6581466793781407E-3</c:v>
                </c:pt>
                <c:pt idx="62">
                  <c:v>3.660271469053851E-3</c:v>
                </c:pt>
                <c:pt idx="63">
                  <c:v>3.6623962587295608E-3</c:v>
                </c:pt>
                <c:pt idx="64">
                  <c:v>3.6645210484052711E-3</c:v>
                </c:pt>
                <c:pt idx="65">
                  <c:v>3.6708954174324016E-3</c:v>
                </c:pt>
                <c:pt idx="66">
                  <c:v>3.6730202071081118E-3</c:v>
                </c:pt>
                <c:pt idx="67">
                  <c:v>3.6751449967838217E-3</c:v>
                </c:pt>
                <c:pt idx="68">
                  <c:v>3.677269786459532E-3</c:v>
                </c:pt>
                <c:pt idx="69">
                  <c:v>3.6878937348380826E-3</c:v>
                </c:pt>
                <c:pt idx="70">
                  <c:v>3.6900185245137928E-3</c:v>
                </c:pt>
                <c:pt idx="71">
                  <c:v>3.6921433141895031E-3</c:v>
                </c:pt>
                <c:pt idx="72">
                  <c:v>3.694268103865213E-3</c:v>
                </c:pt>
                <c:pt idx="73">
                  <c:v>3.7006424728923434E-3</c:v>
                </c:pt>
                <c:pt idx="74">
                  <c:v>3.7027672625680537E-3</c:v>
                </c:pt>
                <c:pt idx="75">
                  <c:v>3.704892052243764E-3</c:v>
                </c:pt>
                <c:pt idx="76">
                  <c:v>3.7070168419194739E-3</c:v>
                </c:pt>
                <c:pt idx="77">
                  <c:v>3.7091416315951841E-3</c:v>
                </c:pt>
                <c:pt idx="78">
                  <c:v>3.7155160006223146E-3</c:v>
                </c:pt>
                <c:pt idx="79">
                  <c:v>3.7176407902980249E-3</c:v>
                </c:pt>
                <c:pt idx="80">
                  <c:v>3.7197655799737347E-3</c:v>
                </c:pt>
                <c:pt idx="81">
                  <c:v>3.721890369649445E-3</c:v>
                </c:pt>
                <c:pt idx="82">
                  <c:v>3.7240151593251553E-3</c:v>
                </c:pt>
                <c:pt idx="83">
                  <c:v>3.7303895283522857E-3</c:v>
                </c:pt>
                <c:pt idx="84">
                  <c:v>3.7325143180279956E-3</c:v>
                </c:pt>
                <c:pt idx="85">
                  <c:v>3.7346391077037059E-3</c:v>
                </c:pt>
                <c:pt idx="86">
                  <c:v>3.7367638973794162E-3</c:v>
                </c:pt>
                <c:pt idx="87">
                  <c:v>3.7452630560822564E-3</c:v>
                </c:pt>
                <c:pt idx="88">
                  <c:v>3.7473878457579667E-3</c:v>
                </c:pt>
                <c:pt idx="89">
                  <c:v>3.749512635433677E-3</c:v>
                </c:pt>
                <c:pt idx="90">
                  <c:v>3.7516374251093869E-3</c:v>
                </c:pt>
                <c:pt idx="91">
                  <c:v>3.7537622147850972E-3</c:v>
                </c:pt>
                <c:pt idx="92">
                  <c:v>3.7601365838122276E-3</c:v>
                </c:pt>
                <c:pt idx="93">
                  <c:v>3.7622613734879379E-3</c:v>
                </c:pt>
                <c:pt idx="94">
                  <c:v>3.7643861631636477E-3</c:v>
                </c:pt>
                <c:pt idx="95">
                  <c:v>3.766510952839358E-3</c:v>
                </c:pt>
                <c:pt idx="96">
                  <c:v>3.7686357425150683E-3</c:v>
                </c:pt>
                <c:pt idx="97">
                  <c:v>3.7750101115421987E-3</c:v>
                </c:pt>
                <c:pt idx="98">
                  <c:v>3.7771349012179086E-3</c:v>
                </c:pt>
                <c:pt idx="99">
                  <c:v>3.7792596908936189E-3</c:v>
                </c:pt>
                <c:pt idx="100">
                  <c:v>3.7813844805693292E-3</c:v>
                </c:pt>
                <c:pt idx="101">
                  <c:v>3.783509270245039E-3</c:v>
                </c:pt>
                <c:pt idx="102">
                  <c:v>3.7898836392721695E-3</c:v>
                </c:pt>
                <c:pt idx="103">
                  <c:v>3.7920084289478797E-3</c:v>
                </c:pt>
                <c:pt idx="104">
                  <c:v>3.79413321862359E-3</c:v>
                </c:pt>
                <c:pt idx="105">
                  <c:v>3.7962580082992999E-3</c:v>
                </c:pt>
                <c:pt idx="106">
                  <c:v>3.7983827979750102E-3</c:v>
                </c:pt>
                <c:pt idx="107">
                  <c:v>3.8047571670021406E-3</c:v>
                </c:pt>
                <c:pt idx="108">
                  <c:v>3.8068819566778509E-3</c:v>
                </c:pt>
                <c:pt idx="109">
                  <c:v>3.8090067463535607E-3</c:v>
                </c:pt>
                <c:pt idx="110">
                  <c:v>3.811131536029271E-3</c:v>
                </c:pt>
                <c:pt idx="111">
                  <c:v>3.8132563257049813E-3</c:v>
                </c:pt>
                <c:pt idx="112">
                  <c:v>3.8196306947321118E-3</c:v>
                </c:pt>
                <c:pt idx="113">
                  <c:v>3.8217554844078216E-3</c:v>
                </c:pt>
                <c:pt idx="114">
                  <c:v>3.8238802740835319E-3</c:v>
                </c:pt>
                <c:pt idx="115">
                  <c:v>3.8260050637592422E-3</c:v>
                </c:pt>
                <c:pt idx="116">
                  <c:v>3.828129853434952E-3</c:v>
                </c:pt>
                <c:pt idx="117">
                  <c:v>3.8345042224620825E-3</c:v>
                </c:pt>
                <c:pt idx="118">
                  <c:v>3.8366290121377928E-3</c:v>
                </c:pt>
                <c:pt idx="119">
                  <c:v>3.838753801813503E-3</c:v>
                </c:pt>
                <c:pt idx="120">
                  <c:v>3.8408785914892129E-3</c:v>
                </c:pt>
                <c:pt idx="121">
                  <c:v>3.8430033811649232E-3</c:v>
                </c:pt>
                <c:pt idx="122">
                  <c:v>3.8493777501920536E-3</c:v>
                </c:pt>
                <c:pt idx="123">
                  <c:v>3.8515025398677639E-3</c:v>
                </c:pt>
                <c:pt idx="124">
                  <c:v>3.8536273295434738E-3</c:v>
                </c:pt>
                <c:pt idx="125">
                  <c:v>3.8557521192191841E-3</c:v>
                </c:pt>
                <c:pt idx="126">
                  <c:v>3.8578769088948943E-3</c:v>
                </c:pt>
                <c:pt idx="127">
                  <c:v>3.8642512779220248E-3</c:v>
                </c:pt>
                <c:pt idx="128">
                  <c:v>3.8663760675977346E-3</c:v>
                </c:pt>
                <c:pt idx="129">
                  <c:v>3.8685008572734449E-3</c:v>
                </c:pt>
                <c:pt idx="130">
                  <c:v>3.8706256469491552E-3</c:v>
                </c:pt>
                <c:pt idx="131">
                  <c:v>3.8727504366248651E-3</c:v>
                </c:pt>
                <c:pt idx="132">
                  <c:v>3.8791248056519955E-3</c:v>
                </c:pt>
                <c:pt idx="133">
                  <c:v>3.8812495953277058E-3</c:v>
                </c:pt>
                <c:pt idx="134">
                  <c:v>3.8833743850034161E-3</c:v>
                </c:pt>
                <c:pt idx="135">
                  <c:v>3.8854991746791259E-3</c:v>
                </c:pt>
                <c:pt idx="136">
                  <c:v>3.8876239643548362E-3</c:v>
                </c:pt>
                <c:pt idx="137">
                  <c:v>3.8939983333819666E-3</c:v>
                </c:pt>
                <c:pt idx="138">
                  <c:v>3.8961231230576769E-3</c:v>
                </c:pt>
                <c:pt idx="139">
                  <c:v>3.8982479127333868E-3</c:v>
                </c:pt>
                <c:pt idx="140">
                  <c:v>3.9003727024090971E-3</c:v>
                </c:pt>
                <c:pt idx="141">
                  <c:v>3.9024974920848074E-3</c:v>
                </c:pt>
                <c:pt idx="142">
                  <c:v>3.9088718611119374E-3</c:v>
                </c:pt>
                <c:pt idx="143">
                  <c:v>3.9109966507876476E-3</c:v>
                </c:pt>
                <c:pt idx="144">
                  <c:v>3.9131214404633579E-3</c:v>
                </c:pt>
                <c:pt idx="145">
                  <c:v>3.9152462301390682E-3</c:v>
                </c:pt>
                <c:pt idx="146">
                  <c:v>3.9173710198147785E-3</c:v>
                </c:pt>
                <c:pt idx="147">
                  <c:v>3.9237453888419085E-3</c:v>
                </c:pt>
                <c:pt idx="148">
                  <c:v>3.9258701785176188E-3</c:v>
                </c:pt>
                <c:pt idx="149">
                  <c:v>3.9279949681933291E-3</c:v>
                </c:pt>
                <c:pt idx="150">
                  <c:v>3.9301197578690394E-3</c:v>
                </c:pt>
                <c:pt idx="151">
                  <c:v>3.9322445475447488E-3</c:v>
                </c:pt>
                <c:pt idx="152">
                  <c:v>3.9386189165718797E-3</c:v>
                </c:pt>
                <c:pt idx="153">
                  <c:v>3.9407437062475899E-3</c:v>
                </c:pt>
                <c:pt idx="154">
                  <c:v>3.9428684959233002E-3</c:v>
                </c:pt>
                <c:pt idx="155">
                  <c:v>3.9449932855990105E-3</c:v>
                </c:pt>
                <c:pt idx="156">
                  <c:v>3.9471180752747199E-3</c:v>
                </c:pt>
                <c:pt idx="157">
                  <c:v>3.9534924443018508E-3</c:v>
                </c:pt>
                <c:pt idx="158">
                  <c:v>3.9556172339775611E-3</c:v>
                </c:pt>
                <c:pt idx="159">
                  <c:v>3.9577420236532705E-3</c:v>
                </c:pt>
                <c:pt idx="160">
                  <c:v>3.9598668133289808E-3</c:v>
                </c:pt>
                <c:pt idx="161">
                  <c:v>3.9619916030046911E-3</c:v>
                </c:pt>
                <c:pt idx="162">
                  <c:v>3.968365972031822E-3</c:v>
                </c:pt>
                <c:pt idx="163">
                  <c:v>3.9704907617075322E-3</c:v>
                </c:pt>
                <c:pt idx="164">
                  <c:v>3.9726155513832417E-3</c:v>
                </c:pt>
                <c:pt idx="165">
                  <c:v>3.974740341058952E-3</c:v>
                </c:pt>
                <c:pt idx="166">
                  <c:v>3.9768651307346622E-3</c:v>
                </c:pt>
                <c:pt idx="167">
                  <c:v>3.9832394997617922E-3</c:v>
                </c:pt>
                <c:pt idx="168">
                  <c:v>3.9853642894375025E-3</c:v>
                </c:pt>
                <c:pt idx="169">
                  <c:v>3.9874890791132128E-3</c:v>
                </c:pt>
                <c:pt idx="170">
                  <c:v>3.9896138687889231E-3</c:v>
                </c:pt>
                <c:pt idx="171">
                  <c:v>3.9917386584646334E-3</c:v>
                </c:pt>
                <c:pt idx="172">
                  <c:v>3.9981130274917634E-3</c:v>
                </c:pt>
                <c:pt idx="173">
                  <c:v>4.0002378171674737E-3</c:v>
                </c:pt>
                <c:pt idx="174">
                  <c:v>4.002362606843184E-3</c:v>
                </c:pt>
                <c:pt idx="175">
                  <c:v>4.0044873965188943E-3</c:v>
                </c:pt>
                <c:pt idx="176">
                  <c:v>4.0066121861946045E-3</c:v>
                </c:pt>
                <c:pt idx="177">
                  <c:v>4.0129865552217345E-3</c:v>
                </c:pt>
                <c:pt idx="178">
                  <c:v>4.0151113448974448E-3</c:v>
                </c:pt>
                <c:pt idx="179">
                  <c:v>4.0172361345731551E-3</c:v>
                </c:pt>
                <c:pt idx="180">
                  <c:v>4.0193609242488654E-3</c:v>
                </c:pt>
                <c:pt idx="181">
                  <c:v>4.0214857139245757E-3</c:v>
                </c:pt>
                <c:pt idx="182">
                  <c:v>4.0278600829517057E-3</c:v>
                </c:pt>
                <c:pt idx="183">
                  <c:v>4.029984872627416E-3</c:v>
                </c:pt>
                <c:pt idx="184">
                  <c:v>4.0321096623031263E-3</c:v>
                </c:pt>
                <c:pt idx="185">
                  <c:v>4.0342344519788357E-3</c:v>
                </c:pt>
                <c:pt idx="186">
                  <c:v>4.036359241654546E-3</c:v>
                </c:pt>
                <c:pt idx="187">
                  <c:v>4.0427336106816768E-3</c:v>
                </c:pt>
                <c:pt idx="188">
                  <c:v>4.0448584003573871E-3</c:v>
                </c:pt>
                <c:pt idx="189">
                  <c:v>4.0469831900330974E-3</c:v>
                </c:pt>
                <c:pt idx="190">
                  <c:v>4.0491079797088068E-3</c:v>
                </c:pt>
                <c:pt idx="191">
                  <c:v>4.0512327693845171E-3</c:v>
                </c:pt>
                <c:pt idx="192">
                  <c:v>4.057607138411648E-3</c:v>
                </c:pt>
                <c:pt idx="193">
                  <c:v>4.0597319280873574E-3</c:v>
                </c:pt>
                <c:pt idx="194">
                  <c:v>4.0618567177630677E-3</c:v>
                </c:pt>
                <c:pt idx="195">
                  <c:v>4.063981507438778E-3</c:v>
                </c:pt>
                <c:pt idx="196">
                  <c:v>4.0661062971144883E-3</c:v>
                </c:pt>
                <c:pt idx="197">
                  <c:v>4.0724806661416191E-3</c:v>
                </c:pt>
                <c:pt idx="198">
                  <c:v>4.0746054558173286E-3</c:v>
                </c:pt>
                <c:pt idx="199">
                  <c:v>4.0767302454930389E-3</c:v>
                </c:pt>
                <c:pt idx="200">
                  <c:v>4.0788550351687491E-3</c:v>
                </c:pt>
                <c:pt idx="201">
                  <c:v>4.0809798248444594E-3</c:v>
                </c:pt>
                <c:pt idx="202">
                  <c:v>4.0873541938715894E-3</c:v>
                </c:pt>
                <c:pt idx="203">
                  <c:v>4.0894789835472997E-3</c:v>
                </c:pt>
                <c:pt idx="204">
                  <c:v>4.09160377322301E-3</c:v>
                </c:pt>
                <c:pt idx="205">
                  <c:v>4.0937285628987203E-3</c:v>
                </c:pt>
                <c:pt idx="206">
                  <c:v>4.0958533525744306E-3</c:v>
                </c:pt>
                <c:pt idx="207">
                  <c:v>4.1022277216015606E-3</c:v>
                </c:pt>
                <c:pt idx="208">
                  <c:v>4.1043525112772709E-3</c:v>
                </c:pt>
                <c:pt idx="209">
                  <c:v>4.1064773009529812E-3</c:v>
                </c:pt>
                <c:pt idx="210">
                  <c:v>4.1086020906286914E-3</c:v>
                </c:pt>
                <c:pt idx="211">
                  <c:v>4.1107268803044009E-3</c:v>
                </c:pt>
                <c:pt idx="212">
                  <c:v>4.1171012493315317E-3</c:v>
                </c:pt>
                <c:pt idx="213">
                  <c:v>4.119226039007242E-3</c:v>
                </c:pt>
                <c:pt idx="214">
                  <c:v>4.1213508286829523E-3</c:v>
                </c:pt>
                <c:pt idx="215">
                  <c:v>4.1234756183586626E-3</c:v>
                </c:pt>
                <c:pt idx="216">
                  <c:v>4.125600408034372E-3</c:v>
                </c:pt>
                <c:pt idx="217">
                  <c:v>4.1319747770615029E-3</c:v>
                </c:pt>
                <c:pt idx="218">
                  <c:v>4.1340995667372132E-3</c:v>
                </c:pt>
                <c:pt idx="219">
                  <c:v>4.1362243564129226E-3</c:v>
                </c:pt>
                <c:pt idx="220">
                  <c:v>4.1383491460886329E-3</c:v>
                </c:pt>
                <c:pt idx="221">
                  <c:v>4.1404739357643432E-3</c:v>
                </c:pt>
                <c:pt idx="222">
                  <c:v>4.146848304791474E-3</c:v>
                </c:pt>
                <c:pt idx="223">
                  <c:v>4.1489730944671843E-3</c:v>
                </c:pt>
                <c:pt idx="224">
                  <c:v>4.1510978841428937E-3</c:v>
                </c:pt>
                <c:pt idx="225">
                  <c:v>4.153222673818604E-3</c:v>
                </c:pt>
                <c:pt idx="226">
                  <c:v>4.1553474634943143E-3</c:v>
                </c:pt>
                <c:pt idx="227">
                  <c:v>4.1617218325214443E-3</c:v>
                </c:pt>
                <c:pt idx="228">
                  <c:v>4.1638466221971546E-3</c:v>
                </c:pt>
                <c:pt idx="229">
                  <c:v>4.1659714118728649E-3</c:v>
                </c:pt>
                <c:pt idx="230">
                  <c:v>4.1680962015485752E-3</c:v>
                </c:pt>
                <c:pt idx="231">
                  <c:v>4.1702209912242855E-3</c:v>
                </c:pt>
                <c:pt idx="232">
                  <c:v>4.1765953602514155E-3</c:v>
                </c:pt>
                <c:pt idx="233">
                  <c:v>4.1787201499271258E-3</c:v>
                </c:pt>
                <c:pt idx="234">
                  <c:v>4.180844939602836E-3</c:v>
                </c:pt>
                <c:pt idx="235">
                  <c:v>4.1829697292785463E-3</c:v>
                </c:pt>
                <c:pt idx="236">
                  <c:v>4.1850945189542566E-3</c:v>
                </c:pt>
                <c:pt idx="237">
                  <c:v>4.1914688879813866E-3</c:v>
                </c:pt>
                <c:pt idx="238">
                  <c:v>4.1935936776570969E-3</c:v>
                </c:pt>
                <c:pt idx="239">
                  <c:v>4.1957184673328072E-3</c:v>
                </c:pt>
                <c:pt idx="240">
                  <c:v>4.1978432570085175E-3</c:v>
                </c:pt>
                <c:pt idx="241">
                  <c:v>4.1999680466842278E-3</c:v>
                </c:pt>
                <c:pt idx="242">
                  <c:v>4.2063424157113578E-3</c:v>
                </c:pt>
                <c:pt idx="243">
                  <c:v>4.2084672053870681E-3</c:v>
                </c:pt>
                <c:pt idx="244">
                  <c:v>4.2105919950627783E-3</c:v>
                </c:pt>
                <c:pt idx="245">
                  <c:v>4.2127167847384878E-3</c:v>
                </c:pt>
                <c:pt idx="246">
                  <c:v>4.2148415744141981E-3</c:v>
                </c:pt>
                <c:pt idx="247">
                  <c:v>4.2212159434413289E-3</c:v>
                </c:pt>
                <c:pt idx="248">
                  <c:v>4.2233407331170392E-3</c:v>
                </c:pt>
                <c:pt idx="249">
                  <c:v>4.2254655227927495E-3</c:v>
                </c:pt>
                <c:pt idx="250">
                  <c:v>4.2275903124684589E-3</c:v>
                </c:pt>
                <c:pt idx="251">
                  <c:v>4.2297151021441692E-3</c:v>
                </c:pt>
                <c:pt idx="252">
                  <c:v>4.2360894711713001E-3</c:v>
                </c:pt>
                <c:pt idx="253">
                  <c:v>4.2382142608470095E-3</c:v>
                </c:pt>
                <c:pt idx="254">
                  <c:v>4.2403390505227198E-3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4.0552482591385049E-3</c:v>
                </c:pt>
                <c:pt idx="1">
                  <c:v>4.0317041336587521E-3</c:v>
                </c:pt>
                <c:pt idx="2">
                  <c:v>4.0270861865152087E-3</c:v>
                </c:pt>
                <c:pt idx="3">
                  <c:v>4.0224985320224654E-3</c:v>
                </c:pt>
                <c:pt idx="4">
                  <c:v>4.013414100989386E-3</c:v>
                </c:pt>
                <c:pt idx="5">
                  <c:v>4.0000146493207826E-3</c:v>
                </c:pt>
                <c:pt idx="6">
                  <c:v>3.9956087507328521E-3</c:v>
                </c:pt>
                <c:pt idx="7">
                  <c:v>3.9912331447957234E-3</c:v>
                </c:pt>
                <c:pt idx="8">
                  <c:v>3.9868878315093966E-3</c:v>
                </c:pt>
                <c:pt idx="9">
                  <c:v>3.9825728108738708E-3</c:v>
                </c:pt>
                <c:pt idx="10">
                  <c:v>3.9698095048721089E-3</c:v>
                </c:pt>
                <c:pt idx="11">
                  <c:v>3.9656156548397922E-3</c:v>
                </c:pt>
                <c:pt idx="12">
                  <c:v>3.9614520974582774E-3</c:v>
                </c:pt>
                <c:pt idx="13">
                  <c:v>3.9573188327275645E-3</c:v>
                </c:pt>
                <c:pt idx="14">
                  <c:v>3.9532158606476533E-3</c:v>
                </c:pt>
                <c:pt idx="15">
                  <c:v>3.941088700312732E-3</c:v>
                </c:pt>
                <c:pt idx="16">
                  <c:v>3.9371068988360292E-3</c:v>
                </c:pt>
                <c:pt idx="17">
                  <c:v>3.9331553900101282E-3</c:v>
                </c:pt>
                <c:pt idx="18">
                  <c:v>3.929234173835029E-3</c:v>
                </c:pt>
                <c:pt idx="19">
                  <c:v>3.9253432503107318E-3</c:v>
                </c:pt>
                <c:pt idx="20">
                  <c:v>3.9138522356426527E-3</c:v>
                </c:pt>
                <c:pt idx="21">
                  <c:v>3.9100824827215629E-3</c:v>
                </c:pt>
                <c:pt idx="22">
                  <c:v>3.9063430224512757E-3</c:v>
                </c:pt>
                <c:pt idx="23">
                  <c:v>3.9026338548317908E-3</c:v>
                </c:pt>
                <c:pt idx="24">
                  <c:v>3.8989549798631074E-3</c:v>
                </c:pt>
                <c:pt idx="25">
                  <c:v>3.888100110861869E-3</c:v>
                </c:pt>
                <c:pt idx="26">
                  <c:v>3.8845424064963938E-3</c:v>
                </c:pt>
                <c:pt idx="27">
                  <c:v>3.8810149947817204E-3</c:v>
                </c:pt>
                <c:pt idx="28">
                  <c:v>3.877517875717849E-3</c:v>
                </c:pt>
                <c:pt idx="29">
                  <c:v>3.8740510493047793E-3</c:v>
                </c:pt>
                <c:pt idx="30">
                  <c:v>3.8638323259703828E-3</c:v>
                </c:pt>
                <c:pt idx="31">
                  <c:v>3.8604866701605215E-3</c:v>
                </c:pt>
                <c:pt idx="32">
                  <c:v>3.8571713070014615E-3</c:v>
                </c:pt>
                <c:pt idx="33">
                  <c:v>3.8538862364932043E-3</c:v>
                </c:pt>
                <c:pt idx="34">
                  <c:v>3.8506314586357485E-3</c:v>
                </c:pt>
                <c:pt idx="35">
                  <c:v>3.841048880968193E-3</c:v>
                </c:pt>
                <c:pt idx="36">
                  <c:v>3.8379152737139451E-3</c:v>
                </c:pt>
                <c:pt idx="37">
                  <c:v>3.8348119591104994E-3</c:v>
                </c:pt>
                <c:pt idx="38">
                  <c:v>3.8317389371578556E-3</c:v>
                </c:pt>
                <c:pt idx="39">
                  <c:v>3.828696207856014E-3</c:v>
                </c:pt>
                <c:pt idx="40">
                  <c:v>3.8197497758553005E-3</c:v>
                </c:pt>
                <c:pt idx="41">
                  <c:v>3.8168282171566663E-3</c:v>
                </c:pt>
                <c:pt idx="42">
                  <c:v>3.8139369511088345E-3</c:v>
                </c:pt>
                <c:pt idx="43">
                  <c:v>3.8110759777118045E-3</c:v>
                </c:pt>
                <c:pt idx="44">
                  <c:v>3.8082452969655763E-3</c:v>
                </c:pt>
                <c:pt idx="45">
                  <c:v>3.7999350106317042E-3</c:v>
                </c:pt>
                <c:pt idx="46">
                  <c:v>3.7972255004886839E-3</c:v>
                </c:pt>
                <c:pt idx="47">
                  <c:v>3.7945462829964659E-3</c:v>
                </c:pt>
                <c:pt idx="48">
                  <c:v>3.7918973581550497E-3</c:v>
                </c:pt>
                <c:pt idx="49">
                  <c:v>3.7892787259644354E-3</c:v>
                </c:pt>
                <c:pt idx="50">
                  <c:v>3.7816045852974048E-3</c:v>
                </c:pt>
                <c:pt idx="51">
                  <c:v>3.7791071237099987E-3</c:v>
                </c:pt>
                <c:pt idx="52">
                  <c:v>3.7766399547733941E-3</c:v>
                </c:pt>
                <c:pt idx="53">
                  <c:v>3.7742030784875921E-3</c:v>
                </c:pt>
                <c:pt idx="54">
                  <c:v>3.7717964948525916E-3</c:v>
                </c:pt>
                <c:pt idx="55">
                  <c:v>3.7647584998524021E-3</c:v>
                </c:pt>
                <c:pt idx="56">
                  <c:v>3.7624730868206094E-3</c:v>
                </c:pt>
                <c:pt idx="57">
                  <c:v>3.760217966439619E-3</c:v>
                </c:pt>
                <c:pt idx="58">
                  <c:v>3.7579931387094305E-3</c:v>
                </c:pt>
                <c:pt idx="59">
                  <c:v>3.7557986036300442E-3</c:v>
                </c:pt>
                <c:pt idx="60">
                  <c:v>3.7493967542966966E-3</c:v>
                </c:pt>
                <c:pt idx="61">
                  <c:v>3.7473233898205178E-3</c:v>
                </c:pt>
                <c:pt idx="62">
                  <c:v>3.7452803179951412E-3</c:v>
                </c:pt>
                <c:pt idx="63">
                  <c:v>3.7432675388205665E-3</c:v>
                </c:pt>
                <c:pt idx="64">
                  <c:v>3.7412850522967936E-3</c:v>
                </c:pt>
                <c:pt idx="65">
                  <c:v>3.7355193486302875E-3</c:v>
                </c:pt>
                <c:pt idx="66">
                  <c:v>3.7336580327097229E-3</c:v>
                </c:pt>
                <c:pt idx="67">
                  <c:v>3.7318270094399597E-3</c:v>
                </c:pt>
                <c:pt idx="68">
                  <c:v>3.7300262788209988E-3</c:v>
                </c:pt>
                <c:pt idx="69">
                  <c:v>3.7214770154882239E-3</c:v>
                </c:pt>
                <c:pt idx="70">
                  <c:v>3.719858040774075E-3</c:v>
                </c:pt>
                <c:pt idx="71">
                  <c:v>3.718269358710728E-3</c:v>
                </c:pt>
                <c:pt idx="72">
                  <c:v>3.7167109692981832E-3</c:v>
                </c:pt>
                <c:pt idx="73">
                  <c:v>3.7122175569653591E-3</c:v>
                </c:pt>
                <c:pt idx="74">
                  <c:v>3.7107803381560226E-3</c:v>
                </c:pt>
                <c:pt idx="75">
                  <c:v>3.7093734119974871E-3</c:v>
                </c:pt>
                <c:pt idx="76">
                  <c:v>3.7079967784897543E-3</c:v>
                </c:pt>
                <c:pt idx="77">
                  <c:v>3.7066504376328225E-3</c:v>
                </c:pt>
                <c:pt idx="78">
                  <c:v>3.7027931709668407E-3</c:v>
                </c:pt>
                <c:pt idx="79">
                  <c:v>3.7015680007131172E-3</c:v>
                </c:pt>
                <c:pt idx="80">
                  <c:v>3.7003731231101959E-3</c:v>
                </c:pt>
                <c:pt idx="81">
                  <c:v>3.6992085381580765E-3</c:v>
                </c:pt>
                <c:pt idx="82">
                  <c:v>3.6980742458567594E-3</c:v>
                </c:pt>
                <c:pt idx="83">
                  <c:v>3.6948531248576187E-3</c:v>
                </c:pt>
                <c:pt idx="84">
                  <c:v>3.6938400031595094E-3</c:v>
                </c:pt>
                <c:pt idx="85">
                  <c:v>3.692857174112202E-3</c:v>
                </c:pt>
                <c:pt idx="86">
                  <c:v>3.691904637715696E-3</c:v>
                </c:pt>
                <c:pt idx="87">
                  <c:v>3.6883974186376935E-3</c:v>
                </c:pt>
                <c:pt idx="88">
                  <c:v>3.6875963454951976E-3</c:v>
                </c:pt>
                <c:pt idx="89">
                  <c:v>3.686825565003504E-3</c:v>
                </c:pt>
                <c:pt idx="90">
                  <c:v>3.6860850771626122E-3</c:v>
                </c:pt>
                <c:pt idx="91">
                  <c:v>3.6853748819725227E-3</c:v>
                </c:pt>
                <c:pt idx="92">
                  <c:v>3.6834260523070654E-3</c:v>
                </c:pt>
                <c:pt idx="93">
                  <c:v>3.6828370277201834E-3</c:v>
                </c:pt>
                <c:pt idx="94">
                  <c:v>3.6822782957841036E-3</c:v>
                </c:pt>
                <c:pt idx="95">
                  <c:v>3.6817498564988256E-3</c:v>
                </c:pt>
                <c:pt idx="96">
                  <c:v>3.6812517098643491E-3</c:v>
                </c:pt>
                <c:pt idx="97">
                  <c:v>3.6799390258657333E-3</c:v>
                </c:pt>
                <c:pt idx="98">
                  <c:v>3.6795620498344655E-3</c:v>
                </c:pt>
                <c:pt idx="99">
                  <c:v>3.6792153664539991E-3</c:v>
                </c:pt>
                <c:pt idx="100">
                  <c:v>3.678898975724335E-3</c:v>
                </c:pt>
                <c:pt idx="101">
                  <c:v>3.6786128776454732E-3</c:v>
                </c:pt>
                <c:pt idx="102">
                  <c:v>3.6779363393136984E-3</c:v>
                </c:pt>
                <c:pt idx="103">
                  <c:v>3.6777714118380444E-3</c:v>
                </c:pt>
                <c:pt idx="104">
                  <c:v>3.6776367770131923E-3</c:v>
                </c:pt>
                <c:pt idx="105">
                  <c:v>3.6775324348391415E-3</c:v>
                </c:pt>
                <c:pt idx="106">
                  <c:v>3.6774583853158935E-3</c:v>
                </c:pt>
                <c:pt idx="107">
                  <c:v>3.6774179926509602E-3</c:v>
                </c:pt>
                <c:pt idx="108">
                  <c:v>3.6774651137309201E-3</c:v>
                </c:pt>
                <c:pt idx="109">
                  <c:v>3.6775425274616813E-3</c:v>
                </c:pt>
                <c:pt idx="110">
                  <c:v>3.6776502338432449E-3</c:v>
                </c:pt>
                <c:pt idx="111">
                  <c:v>3.6777882328756107E-3</c:v>
                </c:pt>
                <c:pt idx="112">
                  <c:v>3.6783839858775189E-3</c:v>
                </c:pt>
                <c:pt idx="113">
                  <c:v>3.6786431555130925E-3</c:v>
                </c:pt>
                <c:pt idx="114">
                  <c:v>3.678932617799468E-3</c:v>
                </c:pt>
                <c:pt idx="115">
                  <c:v>3.6792523727366454E-3</c:v>
                </c:pt>
                <c:pt idx="116">
                  <c:v>3.6796024203246246E-3</c:v>
                </c:pt>
                <c:pt idx="117">
                  <c:v>3.6808343189933747E-3</c:v>
                </c:pt>
                <c:pt idx="118">
                  <c:v>3.6813055371845613E-3</c:v>
                </c:pt>
                <c:pt idx="119">
                  <c:v>3.6818070480265507E-3</c:v>
                </c:pt>
                <c:pt idx="120">
                  <c:v>3.6823388515193419E-3</c:v>
                </c:pt>
                <c:pt idx="121">
                  <c:v>3.6829009476629349E-3</c:v>
                </c:pt>
                <c:pt idx="122">
                  <c:v>3.6847689919985264E-3</c:v>
                </c:pt>
                <c:pt idx="123">
                  <c:v>3.6854522587453278E-3</c:v>
                </c:pt>
                <c:pt idx="124">
                  <c:v>3.6861658181429305E-3</c:v>
                </c:pt>
                <c:pt idx="125">
                  <c:v>3.6869096701913355E-3</c:v>
                </c:pt>
                <c:pt idx="126">
                  <c:v>3.6876838148905424E-3</c:v>
                </c:pt>
                <c:pt idx="127">
                  <c:v>3.6901880048929754E-3</c:v>
                </c:pt>
                <c:pt idx="128">
                  <c:v>3.6910833201953901E-3</c:v>
                </c:pt>
                <c:pt idx="129">
                  <c:v>3.6920089281486067E-3</c:v>
                </c:pt>
                <c:pt idx="130">
                  <c:v>3.692964828752626E-3</c:v>
                </c:pt>
                <c:pt idx="131">
                  <c:v>3.6939510220074467E-3</c:v>
                </c:pt>
                <c:pt idx="132">
                  <c:v>3.6970913576767207E-3</c:v>
                </c:pt>
                <c:pt idx="133">
                  <c:v>3.6981987215347497E-3</c:v>
                </c:pt>
                <c:pt idx="134">
                  <c:v>3.6993363780435805E-3</c:v>
                </c:pt>
                <c:pt idx="135">
                  <c:v>3.7005043272032132E-3</c:v>
                </c:pt>
                <c:pt idx="136">
                  <c:v>3.7017025690136473E-3</c:v>
                </c:pt>
                <c:pt idx="137">
                  <c:v>3.7054790503497637E-3</c:v>
                </c:pt>
                <c:pt idx="138">
                  <c:v>3.7067984627634056E-3</c:v>
                </c:pt>
                <c:pt idx="139">
                  <c:v>3.7081481678278507E-3</c:v>
                </c:pt>
                <c:pt idx="140">
                  <c:v>3.7095281655430967E-3</c:v>
                </c:pt>
                <c:pt idx="141">
                  <c:v>3.7109384559091459E-3</c:v>
                </c:pt>
                <c:pt idx="142">
                  <c:v>3.7153510829121025E-3</c:v>
                </c:pt>
                <c:pt idx="143">
                  <c:v>3.7168825438813591E-3</c:v>
                </c:pt>
                <c:pt idx="144">
                  <c:v>3.7184442975014176E-3</c:v>
                </c:pt>
                <c:pt idx="145">
                  <c:v>3.7200363437722775E-3</c:v>
                </c:pt>
                <c:pt idx="146">
                  <c:v>3.7216586826939401E-3</c:v>
                </c:pt>
                <c:pt idx="147">
                  <c:v>3.7267074553637381E-3</c:v>
                </c:pt>
                <c:pt idx="148">
                  <c:v>3.728450964888609E-3</c:v>
                </c:pt>
                <c:pt idx="149">
                  <c:v>3.7302247670642804E-3</c:v>
                </c:pt>
                <c:pt idx="150">
                  <c:v>3.732028861890755E-3</c:v>
                </c:pt>
                <c:pt idx="151">
                  <c:v>3.733863249368031E-3</c:v>
                </c:pt>
                <c:pt idx="152">
                  <c:v>3.7395481677046714E-3</c:v>
                </c:pt>
                <c:pt idx="153">
                  <c:v>3.7415037257851553E-3</c:v>
                </c:pt>
                <c:pt idx="154">
                  <c:v>3.7434895765164414E-3</c:v>
                </c:pt>
                <c:pt idx="155">
                  <c:v>3.7455057198985293E-3</c:v>
                </c:pt>
                <c:pt idx="156">
                  <c:v>3.7475521559314192E-3</c:v>
                </c:pt>
                <c:pt idx="157">
                  <c:v>3.7538732199349006E-3</c:v>
                </c:pt>
                <c:pt idx="158">
                  <c:v>3.7560408265709987E-3</c:v>
                </c:pt>
                <c:pt idx="159">
                  <c:v>3.7582387258578986E-3</c:v>
                </c:pt>
                <c:pt idx="160">
                  <c:v>3.7604669177956E-3</c:v>
                </c:pt>
                <c:pt idx="161">
                  <c:v>3.7627254023841041E-3</c:v>
                </c:pt>
                <c:pt idx="162">
                  <c:v>3.769682612054427E-3</c:v>
                </c:pt>
                <c:pt idx="163">
                  <c:v>3.7720622672461385E-3</c:v>
                </c:pt>
                <c:pt idx="164">
                  <c:v>3.7744722150886523E-3</c:v>
                </c:pt>
                <c:pt idx="165">
                  <c:v>3.7769124555819679E-3</c:v>
                </c:pt>
                <c:pt idx="166">
                  <c:v>3.7793829887260853E-3</c:v>
                </c:pt>
                <c:pt idx="167">
                  <c:v>3.7869763440632497E-3</c:v>
                </c:pt>
                <c:pt idx="168">
                  <c:v>3.7895680478105759E-3</c:v>
                </c:pt>
                <c:pt idx="169">
                  <c:v>3.7921900442087026E-3</c:v>
                </c:pt>
                <c:pt idx="170">
                  <c:v>3.7948423332576325E-3</c:v>
                </c:pt>
                <c:pt idx="171">
                  <c:v>3.7975249149573634E-3</c:v>
                </c:pt>
                <c:pt idx="172">
                  <c:v>3.8057544159613701E-3</c:v>
                </c:pt>
                <c:pt idx="173">
                  <c:v>3.8085581682643088E-3</c:v>
                </c:pt>
                <c:pt idx="174">
                  <c:v>3.8113922132180507E-3</c:v>
                </c:pt>
                <c:pt idx="175">
                  <c:v>3.8142565508225935E-3</c:v>
                </c:pt>
                <c:pt idx="176">
                  <c:v>3.8171511810779391E-3</c:v>
                </c:pt>
                <c:pt idx="177">
                  <c:v>3.8260168277487868E-3</c:v>
                </c:pt>
                <c:pt idx="178">
                  <c:v>3.8290326286073394E-3</c:v>
                </c:pt>
                <c:pt idx="179">
                  <c:v>3.8320787221166946E-3</c:v>
                </c:pt>
                <c:pt idx="180">
                  <c:v>3.8351551082768513E-3</c:v>
                </c:pt>
                <c:pt idx="181">
                  <c:v>3.8382617870878107E-3</c:v>
                </c:pt>
                <c:pt idx="182">
                  <c:v>3.8477635794254995E-3</c:v>
                </c:pt>
                <c:pt idx="183">
                  <c:v>3.8509914288396667E-3</c:v>
                </c:pt>
                <c:pt idx="184">
                  <c:v>3.8542495709046358E-3</c:v>
                </c:pt>
                <c:pt idx="185">
                  <c:v>3.8575380056204067E-3</c:v>
                </c:pt>
                <c:pt idx="186">
                  <c:v>3.8608567329869795E-3</c:v>
                </c:pt>
                <c:pt idx="187">
                  <c:v>3.8709946709915097E-3</c:v>
                </c:pt>
                <c:pt idx="188">
                  <c:v>3.8744345689612908E-3</c:v>
                </c:pt>
                <c:pt idx="189">
                  <c:v>3.8779047595818733E-3</c:v>
                </c:pt>
                <c:pt idx="190">
                  <c:v>3.881405242853258E-3</c:v>
                </c:pt>
                <c:pt idx="191">
                  <c:v>3.884936018775445E-3</c:v>
                </c:pt>
                <c:pt idx="192">
                  <c:v>3.8957101024468168E-3</c:v>
                </c:pt>
                <c:pt idx="193">
                  <c:v>3.8993620489722112E-3</c:v>
                </c:pt>
                <c:pt idx="194">
                  <c:v>3.9030442881484084E-3</c:v>
                </c:pt>
                <c:pt idx="195">
                  <c:v>3.9067568199754061E-3</c:v>
                </c:pt>
                <c:pt idx="196">
                  <c:v>3.9104996444532065E-3</c:v>
                </c:pt>
                <c:pt idx="197">
                  <c:v>3.9219098737914206E-3</c:v>
                </c:pt>
                <c:pt idx="198">
                  <c:v>3.9257738688724285E-3</c:v>
                </c:pt>
                <c:pt idx="199">
                  <c:v>3.929668156604239E-3</c:v>
                </c:pt>
                <c:pt idx="200">
                  <c:v>3.9335927369868514E-3</c:v>
                </c:pt>
                <c:pt idx="201">
                  <c:v>3.9375476100202665E-3</c:v>
                </c:pt>
                <c:pt idx="202">
                  <c:v>3.9495939850253204E-3</c:v>
                </c:pt>
                <c:pt idx="203">
                  <c:v>3.9536700286619429E-3</c:v>
                </c:pt>
                <c:pt idx="204">
                  <c:v>3.9577763649493673E-3</c:v>
                </c:pt>
                <c:pt idx="205">
                  <c:v>3.9619129938875935E-3</c:v>
                </c:pt>
                <c:pt idx="206">
                  <c:v>3.9660799154766207E-3</c:v>
                </c:pt>
                <c:pt idx="207">
                  <c:v>3.9787624361485177E-3</c:v>
                </c:pt>
                <c:pt idx="208">
                  <c:v>3.9830505283407541E-3</c:v>
                </c:pt>
                <c:pt idx="209">
                  <c:v>3.9873689131837923E-3</c:v>
                </c:pt>
                <c:pt idx="210">
                  <c:v>3.9917175906776323E-3</c:v>
                </c:pt>
                <c:pt idx="211">
                  <c:v>3.9960965608222742E-3</c:v>
                </c:pt>
                <c:pt idx="212">
                  <c:v>4.0094152271610119E-3</c:v>
                </c:pt>
                <c:pt idx="213">
                  <c:v>4.0139153679088612E-3</c:v>
                </c:pt>
                <c:pt idx="214">
                  <c:v>4.0184458013075132E-3</c:v>
                </c:pt>
                <c:pt idx="215">
                  <c:v>4.0230065273569671E-3</c:v>
                </c:pt>
                <c:pt idx="216">
                  <c:v>4.0275975460572228E-3</c:v>
                </c:pt>
                <c:pt idx="217">
                  <c:v>4.041552358062802E-3</c:v>
                </c:pt>
                <c:pt idx="218">
                  <c:v>4.046264547366266E-3</c:v>
                </c:pt>
                <c:pt idx="219">
                  <c:v>4.0510070293205318E-3</c:v>
                </c:pt>
                <c:pt idx="220">
                  <c:v>4.0557798039255995E-3</c:v>
                </c:pt>
                <c:pt idx="221">
                  <c:v>4.0605828711814691E-3</c:v>
                </c:pt>
                <c:pt idx="222">
                  <c:v>4.0751738288538897E-3</c:v>
                </c:pt>
                <c:pt idx="223">
                  <c:v>4.0800980667129675E-3</c:v>
                </c:pt>
                <c:pt idx="224">
                  <c:v>4.0850525972228463E-3</c:v>
                </c:pt>
                <c:pt idx="225">
                  <c:v>4.0900374203835287E-3</c:v>
                </c:pt>
                <c:pt idx="226">
                  <c:v>4.0950525361950121E-3</c:v>
                </c:pt>
                <c:pt idx="227">
                  <c:v>4.1102796395342742E-3</c:v>
                </c:pt>
                <c:pt idx="228">
                  <c:v>4.1154159259489649E-3</c:v>
                </c:pt>
                <c:pt idx="229">
                  <c:v>4.1205825050144584E-3</c:v>
                </c:pt>
                <c:pt idx="230">
                  <c:v>4.1257793767307538E-3</c:v>
                </c:pt>
                <c:pt idx="231">
                  <c:v>4.131006541097851E-3</c:v>
                </c:pt>
                <c:pt idx="232">
                  <c:v>4.1468697901039554E-3</c:v>
                </c:pt>
                <c:pt idx="233">
                  <c:v>4.15221812507426E-3</c:v>
                </c:pt>
                <c:pt idx="234">
                  <c:v>4.1575967526953674E-3</c:v>
                </c:pt>
                <c:pt idx="235">
                  <c:v>4.1630056729672765E-3</c:v>
                </c:pt>
                <c:pt idx="236">
                  <c:v>4.1684448858899876E-3</c:v>
                </c:pt>
                <c:pt idx="237">
                  <c:v>4.1849442805629326E-3</c:v>
                </c:pt>
                <c:pt idx="238">
                  <c:v>4.1905046640888519E-3</c:v>
                </c:pt>
                <c:pt idx="239">
                  <c:v>4.1960953402655722E-3</c:v>
                </c:pt>
                <c:pt idx="240">
                  <c:v>4.201716309093096E-3</c:v>
                </c:pt>
                <c:pt idx="241">
                  <c:v>4.2073675705714209E-3</c:v>
                </c:pt>
                <c:pt idx="242">
                  <c:v>4.2245031109112074E-3</c:v>
                </c:pt>
                <c:pt idx="243">
                  <c:v>4.2302755429927397E-3</c:v>
                </c:pt>
                <c:pt idx="244">
                  <c:v>4.2360782677250738E-3</c:v>
                </c:pt>
                <c:pt idx="245">
                  <c:v>4.2419112851082115E-3</c:v>
                </c:pt>
                <c:pt idx="246">
                  <c:v>4.2477745951421501E-3</c:v>
                </c:pt>
                <c:pt idx="247">
                  <c:v>4.2655462811487781E-3</c:v>
                </c:pt>
                <c:pt idx="248">
                  <c:v>4.2715307617859251E-3</c:v>
                </c:pt>
                <c:pt idx="249">
                  <c:v>4.2775455350738739E-3</c:v>
                </c:pt>
                <c:pt idx="250">
                  <c:v>4.2835906010126245E-3</c:v>
                </c:pt>
                <c:pt idx="251">
                  <c:v>4.289665959602177E-3</c:v>
                </c:pt>
                <c:pt idx="252">
                  <c:v>4.3080737912756465E-3</c:v>
                </c:pt>
                <c:pt idx="253">
                  <c:v>4.3142703204684073E-3</c:v>
                </c:pt>
                <c:pt idx="254">
                  <c:v>4.320497142311969E-3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439232"/>
        <c:axId val="617440768"/>
      </c:lineChart>
      <c:dateAx>
        <c:axId val="6174392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7440768"/>
        <c:crosses val="autoZero"/>
        <c:auto val="1"/>
        <c:lblOffset val="100"/>
        <c:baseTimeUnit val="days"/>
      </c:dateAx>
      <c:valAx>
        <c:axId val="6174407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7439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41997</c:v>
                </c:pt>
              </c:numCache>
            </c:numRef>
          </c:xVal>
          <c:yVal>
            <c:numRef>
              <c:f>'Delta 3M'!$L$3</c:f>
              <c:numCache>
                <c:formatCode>0.00000</c:formatCode>
                <c:ptCount val="1"/>
                <c:pt idx="0">
                  <c:v>2.3498002766569848E-4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42030</c:v>
                </c:pt>
                <c:pt idx="1">
                  <c:v>42059</c:v>
                </c:pt>
                <c:pt idx="2">
                  <c:v>42087</c:v>
                </c:pt>
              </c:numCache>
            </c:numRef>
          </c:xVal>
          <c:yVal>
            <c:numRef>
              <c:f>'Delta 3M'!$L$4:$L$6</c:f>
              <c:numCache>
                <c:formatCode>0.00000</c:formatCode>
                <c:ptCount val="3"/>
                <c:pt idx="0">
                  <c:v>2.6734135395555832E-4</c:v>
                </c:pt>
                <c:pt idx="1">
                  <c:v>3.1531302159255382E-4</c:v>
                </c:pt>
                <c:pt idx="2">
                  <c:v>3.6937668950875379E-4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42025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3M'!$L$7:$L$11</c:f>
              <c:numCache>
                <c:formatCode>0.00000</c:formatCode>
                <c:ptCount val="5"/>
                <c:pt idx="0">
                  <c:v>2.5920191716342309E-4</c:v>
                </c:pt>
                <c:pt idx="1">
                  <c:v>3.6751912050988665E-4</c:v>
                </c:pt>
                <c:pt idx="2">
                  <c:v>3.7584955391660213E-4</c:v>
                </c:pt>
                <c:pt idx="3">
                  <c:v>3.8083155875923705E-4</c:v>
                </c:pt>
                <c:pt idx="4">
                  <c:v>3.9190718452859882E-4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</c:numCache>
            </c:numRef>
          </c:xVal>
          <c:yVal>
            <c:numRef>
              <c:f>'Delta 3M'!$S$3:$S$534</c:f>
              <c:numCache>
                <c:formatCode>0.00000</c:formatCode>
                <c:ptCount val="532"/>
                <c:pt idx="0">
                  <c:v>2.1596383950178401E-4</c:v>
                </c:pt>
                <c:pt idx="1">
                  <c:v>2.1944354399458719E-4</c:v>
                </c:pt>
                <c:pt idx="2">
                  <c:v>2.2041464117424108E-4</c:v>
                </c:pt>
                <c:pt idx="3">
                  <c:v>2.2147174396373032E-4</c:v>
                </c:pt>
                <c:pt idx="4">
                  <c:v>2.2383417239987941E-4</c:v>
                </c:pt>
                <c:pt idx="5">
                  <c:v>2.2796164480077128E-4</c:v>
                </c:pt>
                <c:pt idx="6">
                  <c:v>2.2948336289451126E-4</c:v>
                </c:pt>
                <c:pt idx="7">
                  <c:v>2.3107394714649943E-4</c:v>
                </c:pt>
                <c:pt idx="8">
                  <c:v>2.3273094906365192E-4</c:v>
                </c:pt>
                <c:pt idx="9">
                  <c:v>2.3445192015288487E-4</c:v>
                </c:pt>
                <c:pt idx="10">
                  <c:v>2.3997416352222764E-4</c:v>
                </c:pt>
                <c:pt idx="11">
                  <c:v>2.4192652636894358E-4</c:v>
                </c:pt>
                <c:pt idx="12">
                  <c:v>2.4393061592232058E-4</c:v>
                </c:pt>
                <c:pt idx="13">
                  <c:v>2.4598398368927475E-4</c:v>
                </c:pt>
                <c:pt idx="14">
                  <c:v>2.480841811767222E-4</c:v>
                </c:pt>
                <c:pt idx="15">
                  <c:v>2.5464126703118552E-4</c:v>
                </c:pt>
                <c:pt idx="16">
                  <c:v>2.5690429846976737E-4</c:v>
                </c:pt>
                <c:pt idx="17">
                  <c:v>2.5920191716342309E-4</c:v>
                </c:pt>
                <c:pt idx="18">
                  <c:v>2.6153167461906885E-4</c:v>
                </c:pt>
                <c:pt idx="19">
                  <c:v>2.6389112234362068E-4</c:v>
                </c:pt>
                <c:pt idx="20">
                  <c:v>2.7112312219987431E-4</c:v>
                </c:pt>
                <c:pt idx="21">
                  <c:v>2.7357684606921191E-4</c:v>
                </c:pt>
                <c:pt idx="22">
                  <c:v>2.7604801774203623E-4</c:v>
                </c:pt>
                <c:pt idx="23">
                  <c:v>2.7853418872526343E-4</c:v>
                </c:pt>
                <c:pt idx="24">
                  <c:v>2.810329105258096E-4</c:v>
                </c:pt>
                <c:pt idx="25">
                  <c:v>2.8857989590052316E-4</c:v>
                </c:pt>
                <c:pt idx="26">
                  <c:v>2.9110433603950648E-4</c:v>
                </c:pt>
                <c:pt idx="27">
                  <c:v>2.9362908453038931E-4</c:v>
                </c:pt>
                <c:pt idx="28">
                  <c:v>2.9615169288008786E-4</c:v>
                </c:pt>
                <c:pt idx="29">
                  <c:v>2.9866971259551823E-4</c:v>
                </c:pt>
                <c:pt idx="30">
                  <c:v>3.061717550053615E-4</c:v>
                </c:pt>
                <c:pt idx="31">
                  <c:v>3.0864693525288033E-4</c:v>
                </c:pt>
                <c:pt idx="32">
                  <c:v>3.1110528440071164E-4</c:v>
                </c:pt>
                <c:pt idx="33">
                  <c:v>3.1354435395577145E-4</c:v>
                </c:pt>
                <c:pt idx="34">
                  <c:v>3.1596169542497593E-4</c:v>
                </c:pt>
                <c:pt idx="35">
                  <c:v>3.2305886638661852E-4</c:v>
                </c:pt>
                <c:pt idx="36">
                  <c:v>3.2536481058156283E-4</c:v>
                </c:pt>
                <c:pt idx="37">
                  <c:v>3.2763678422523246E-4</c:v>
                </c:pt>
                <c:pt idx="38">
                  <c:v>3.2987233882454344E-4</c:v>
                </c:pt>
                <c:pt idx="39">
                  <c:v>3.3206902588641188E-4</c:v>
                </c:pt>
                <c:pt idx="40">
                  <c:v>3.3840139691652352E-4</c:v>
                </c:pt>
                <c:pt idx="41">
                  <c:v>3.4041812889778328E-4</c:v>
                </c:pt>
                <c:pt idx="42">
                  <c:v>3.4238375087618103E-4</c:v>
                </c:pt>
                <c:pt idx="43">
                  <c:v>3.442958143586331E-4</c:v>
                </c:pt>
                <c:pt idx="44">
                  <c:v>3.4615187085205545E-4</c:v>
                </c:pt>
                <c:pt idx="45">
                  <c:v>3.5135951346730587E-4</c:v>
                </c:pt>
                <c:pt idx="46">
                  <c:v>3.5296705707377082E-4</c:v>
                </c:pt>
                <c:pt idx="47">
                  <c:v>3.5450635122578677E-4</c:v>
                </c:pt>
                <c:pt idx="48">
                  <c:v>3.5597494743026977E-4</c:v>
                </c:pt>
                <c:pt idx="49">
                  <c:v>3.573703971941359E-4</c:v>
                </c:pt>
                <c:pt idx="50">
                  <c:v>3.6109338291119477E-4</c:v>
                </c:pt>
                <c:pt idx="51">
                  <c:v>3.6217176198175493E-4</c:v>
                </c:pt>
                <c:pt idx="52">
                  <c:v>3.6316475214627887E-4</c:v>
                </c:pt>
                <c:pt idx="53">
                  <c:v>3.6406990491168266E-4</c:v>
                </c:pt>
                <c:pt idx="54">
                  <c:v>3.6488477178488253E-4</c:v>
                </c:pt>
                <c:pt idx="55">
                  <c:v>3.6676317212041957E-4</c:v>
                </c:pt>
                <c:pt idx="56">
                  <c:v>3.6719241049396479E-4</c:v>
                </c:pt>
                <c:pt idx="57">
                  <c:v>3.6751912050988665E-4</c:v>
                </c:pt>
                <c:pt idx="58">
                  <c:v>3.6779074332875364E-4</c:v>
                </c:pt>
                <c:pt idx="59">
                  <c:v>3.6805639665829628E-4</c:v>
                </c:pt>
                <c:pt idx="60">
                  <c:v>3.6881820298756982E-4</c:v>
                </c:pt>
                <c:pt idx="61">
                  <c:v>3.6906064163640671E-4</c:v>
                </c:pt>
                <c:pt idx="62">
                  <c:v>3.6929744243421506E-4</c:v>
                </c:pt>
                <c:pt idx="63">
                  <c:v>3.6952867170865407E-4</c:v>
                </c:pt>
                <c:pt idx="64">
                  <c:v>3.6975439578738287E-4</c:v>
                </c:pt>
                <c:pt idx="65">
                  <c:v>3.7039920012589946E-4</c:v>
                </c:pt>
                <c:pt idx="66">
                  <c:v>3.7060356669837898E-4</c:v>
                </c:pt>
                <c:pt idx="67">
                  <c:v>3.7080275971344406E-4</c:v>
                </c:pt>
                <c:pt idx="68">
                  <c:v>3.7099684549875387E-4</c:v>
                </c:pt>
                <c:pt idx="69">
                  <c:v>3.7189298744704456E-4</c:v>
                </c:pt>
                <c:pt idx="70">
                  <c:v>3.7205782273466519E-4</c:v>
                </c:pt>
                <c:pt idx="71">
                  <c:v>3.7221801508614463E-4</c:v>
                </c:pt>
                <c:pt idx="72">
                  <c:v>3.7237363082914208E-4</c:v>
                </c:pt>
                <c:pt idx="73">
                  <c:v>3.7281368168383411E-4</c:v>
                </c:pt>
                <c:pt idx="74">
                  <c:v>3.7295165426949519E-4</c:v>
                </c:pt>
                <c:pt idx="75">
                  <c:v>3.7308538188497009E-4</c:v>
                </c:pt>
                <c:pt idx="76">
                  <c:v>3.7321493085791795E-4</c:v>
                </c:pt>
                <c:pt idx="77">
                  <c:v>3.7334036751599794E-4</c:v>
                </c:pt>
                <c:pt idx="78">
                  <c:v>3.7369266687762231E-4</c:v>
                </c:pt>
                <c:pt idx="79">
                  <c:v>3.7380231755282237E-4</c:v>
                </c:pt>
                <c:pt idx="80">
                  <c:v>3.7390818755145039E-4</c:v>
                </c:pt>
                <c:pt idx="81">
                  <c:v>3.7401034320116549E-4</c:v>
                </c:pt>
                <c:pt idx="82">
                  <c:v>3.7410885082962686E-4</c:v>
                </c:pt>
                <c:pt idx="83">
                  <c:v>3.7438314886407991E-4</c:v>
                </c:pt>
                <c:pt idx="84">
                  <c:v>3.7446772768411784E-4</c:v>
                </c:pt>
                <c:pt idx="85">
                  <c:v>3.7454899012119775E-4</c:v>
                </c:pt>
                <c:pt idx="86">
                  <c:v>3.7462700250297888E-4</c:v>
                </c:pt>
                <c:pt idx="87">
                  <c:v>3.7490787803029859E-4</c:v>
                </c:pt>
                <c:pt idx="88">
                  <c:v>3.7497063505047311E-4</c:v>
                </c:pt>
                <c:pt idx="89">
                  <c:v>3.7503053998130375E-4</c:v>
                </c:pt>
                <c:pt idx="90">
                  <c:v>3.7508765915044974E-4</c:v>
                </c:pt>
                <c:pt idx="91">
                  <c:v>3.7514205888557016E-4</c:v>
                </c:pt>
                <c:pt idx="92">
                  <c:v>3.7528960476336992E-4</c:v>
                </c:pt>
                <c:pt idx="93">
                  <c:v>3.7533379003897981E-4</c:v>
                </c:pt>
                <c:pt idx="94">
                  <c:v>3.7537558751886001E-4</c:v>
                </c:pt>
                <c:pt idx="95">
                  <c:v>3.7541506353066964E-4</c:v>
                </c:pt>
                <c:pt idx="96">
                  <c:v>3.7545228440206784E-4</c:v>
                </c:pt>
                <c:pt idx="97">
                  <c:v>3.7555107945038552E-4</c:v>
                </c:pt>
                <c:pt idx="98">
                  <c:v>3.7557994303672967E-4</c:v>
                </c:pt>
                <c:pt idx="99">
                  <c:v>3.7560688312095815E-4</c:v>
                </c:pt>
                <c:pt idx="100">
                  <c:v>3.756319660307302E-4</c:v>
                </c:pt>
                <c:pt idx="101">
                  <c:v>3.7565525809370496E-4</c:v>
                </c:pt>
                <c:pt idx="102">
                  <c:v>3.7571505247843706E-4</c:v>
                </c:pt>
                <c:pt idx="103">
                  <c:v>3.757318444308142E-4</c:v>
                </c:pt>
                <c:pt idx="104">
                  <c:v>3.7574717717468986E-4</c:v>
                </c:pt>
                <c:pt idx="105">
                  <c:v>3.7576111703772316E-4</c:v>
                </c:pt>
                <c:pt idx="106">
                  <c:v>3.7577373034757325E-4</c:v>
                </c:pt>
                <c:pt idx="107">
                  <c:v>3.7580427423461606E-4</c:v>
                </c:pt>
                <c:pt idx="108">
                  <c:v>3.7581224460832508E-4</c:v>
                </c:pt>
                <c:pt idx="109">
                  <c:v>3.7581922006714664E-4</c:v>
                </c:pt>
                <c:pt idx="110">
                  <c:v>3.7582526693873998E-4</c:v>
                </c:pt>
                <c:pt idx="111">
                  <c:v>3.7583045155076429E-4</c:v>
                </c:pt>
                <c:pt idx="112">
                  <c:v>3.7584149510601426E-4</c:v>
                </c:pt>
                <c:pt idx="113">
                  <c:v>3.7584389395635387E-4</c:v>
                </c:pt>
                <c:pt idx="114">
                  <c:v>3.7584576218542022E-4</c:v>
                </c:pt>
                <c:pt idx="115">
                  <c:v>3.7584716612087238E-4</c:v>
                </c:pt>
                <c:pt idx="116">
                  <c:v>3.7584817209036965E-4</c:v>
                </c:pt>
                <c:pt idx="117">
                  <c:v>3.7584946547972327E-4</c:v>
                </c:pt>
                <c:pt idx="118">
                  <c:v>3.7584954286199227E-4</c:v>
                </c:pt>
                <c:pt idx="119">
                  <c:v>3.7584955391660213E-4</c:v>
                </c:pt>
                <c:pt idx="120">
                  <c:v>3.7584966444376123E-4</c:v>
                </c:pt>
                <c:pt idx="121">
                  <c:v>3.7585001785153129E-4</c:v>
                </c:pt>
                <c:pt idx="122">
                  <c:v>3.7585286275289905E-4</c:v>
                </c:pt>
                <c:pt idx="123">
                  <c:v>3.7585451507750475E-4</c:v>
                </c:pt>
                <c:pt idx="124">
                  <c:v>3.758565739799174E-4</c:v>
                </c:pt>
                <c:pt idx="125">
                  <c:v>3.758590721995761E-4</c:v>
                </c:pt>
                <c:pt idx="126">
                  <c:v>3.7586204247592E-4</c:v>
                </c:pt>
                <c:pt idx="127">
                  <c:v>3.7587411303945518E-4</c:v>
                </c:pt>
                <c:pt idx="128">
                  <c:v>3.7587929893693198E-4</c:v>
                </c:pt>
                <c:pt idx="129">
                  <c:v>3.7588512058828991E-4</c:v>
                </c:pt>
                <c:pt idx="130">
                  <c:v>3.7589161073296821E-4</c:v>
                </c:pt>
                <c:pt idx="131">
                  <c:v>3.7589880211040609E-4</c:v>
                </c:pt>
                <c:pt idx="132">
                  <c:v>3.7592491103366867E-4</c:v>
                </c:pt>
                <c:pt idx="133">
                  <c:v>3.7593523473653651E-4</c:v>
                </c:pt>
                <c:pt idx="134">
                  <c:v>3.759464233693598E-4</c:v>
                </c:pt>
                <c:pt idx="135">
                  <c:v>3.7595850967157775E-4</c:v>
                </c:pt>
                <c:pt idx="136">
                  <c:v>3.759715263826295E-4</c:v>
                </c:pt>
                <c:pt idx="137">
                  <c:v>3.7601648636317962E-4</c:v>
                </c:pt>
                <c:pt idx="138">
                  <c:v>3.7603355210395854E-4</c:v>
                </c:pt>
                <c:pt idx="139">
                  <c:v>3.7605171195076719E-4</c:v>
                </c:pt>
                <c:pt idx="140">
                  <c:v>3.7607099864304477E-4</c:v>
                </c:pt>
                <c:pt idx="141">
                  <c:v>3.7609144492023043E-4</c:v>
                </c:pt>
                <c:pt idx="142">
                  <c:v>3.7616006865562806E-4</c:v>
                </c:pt>
                <c:pt idx="143">
                  <c:v>3.7618548066683806E-4</c:v>
                </c:pt>
                <c:pt idx="144">
                  <c:v>3.7621221596015211E-4</c:v>
                </c:pt>
                <c:pt idx="145">
                  <c:v>3.7624030727500938E-4</c:v>
                </c:pt>
                <c:pt idx="146">
                  <c:v>3.76269787350849E-4</c:v>
                </c:pt>
                <c:pt idx="147">
                  <c:v>3.7636688753865422E-4</c:v>
                </c:pt>
                <c:pt idx="148">
                  <c:v>3.7640225005281533E-4</c:v>
                </c:pt>
                <c:pt idx="149">
                  <c:v>3.7643916502515473E-4</c:v>
                </c:pt>
                <c:pt idx="150">
                  <c:v>3.7647766519511167E-4</c:v>
                </c:pt>
                <c:pt idx="151">
                  <c:v>3.765177833021253E-4</c:v>
                </c:pt>
                <c:pt idx="152">
                  <c:v>3.7664817263989808E-4</c:v>
                </c:pt>
                <c:pt idx="153">
                  <c:v>3.7669508988953031E-4</c:v>
                </c:pt>
                <c:pt idx="154">
                  <c:v>3.7674378877341515E-4</c:v>
                </c:pt>
                <c:pt idx="155">
                  <c:v>3.7679430203099175E-4</c:v>
                </c:pt>
                <c:pt idx="156">
                  <c:v>3.7684666240169937E-4</c:v>
                </c:pt>
                <c:pt idx="157">
                  <c:v>3.7701515358699986E-4</c:v>
                </c:pt>
                <c:pt idx="158">
                  <c:v>3.7707522980462318E-4</c:v>
                </c:pt>
                <c:pt idx="159">
                  <c:v>3.7713731683257346E-4</c:v>
                </c:pt>
                <c:pt idx="160">
                  <c:v>3.7720144741028977E-4</c:v>
                </c:pt>
                <c:pt idx="161">
                  <c:v>3.7726765427721138E-4</c:v>
                </c:pt>
                <c:pt idx="162">
                  <c:v>3.7747906000759959E-4</c:v>
                </c:pt>
                <c:pt idx="163">
                  <c:v>3.7755389942573407E-4</c:v>
                </c:pt>
                <c:pt idx="164">
                  <c:v>3.7763097883026977E-4</c:v>
                </c:pt>
                <c:pt idx="165">
                  <c:v>3.7771033096064578E-4</c:v>
                </c:pt>
                <c:pt idx="166">
                  <c:v>3.7779198855630142E-4</c:v>
                </c:pt>
                <c:pt idx="167">
                  <c:v>3.7805112152933739E-4</c:v>
                </c:pt>
                <c:pt idx="168">
                  <c:v>3.7814232838050301E-4</c:v>
                </c:pt>
                <c:pt idx="169">
                  <c:v>3.7823600439414418E-4</c:v>
                </c:pt>
                <c:pt idx="170">
                  <c:v>3.7833218230969994E-4</c:v>
                </c:pt>
                <c:pt idx="171">
                  <c:v>3.7843089486660954E-4</c:v>
                </c:pt>
                <c:pt idx="172">
                  <c:v>3.7874256777985335E-4</c:v>
                </c:pt>
                <c:pt idx="173">
                  <c:v>3.7885174629657015E-4</c:v>
                </c:pt>
                <c:pt idx="174">
                  <c:v>3.7896362315183678E-4</c:v>
                </c:pt>
                <c:pt idx="175">
                  <c:v>3.7907823108509228E-4</c:v>
                </c:pt>
                <c:pt idx="176">
                  <c:v>3.7919560283577596E-4</c:v>
                </c:pt>
                <c:pt idx="177">
                  <c:v>3.7956462838678758E-4</c:v>
                </c:pt>
                <c:pt idx="178">
                  <c:v>3.7969338280157561E-4</c:v>
                </c:pt>
                <c:pt idx="179">
                  <c:v>3.7982506473098769E-4</c:v>
                </c:pt>
                <c:pt idx="180">
                  <c:v>3.7995970691446303E-4</c:v>
                </c:pt>
                <c:pt idx="181">
                  <c:v>3.8009734209144071E-4</c:v>
                </c:pt>
                <c:pt idx="182">
                  <c:v>3.8052853297778028E-4</c:v>
                </c:pt>
                <c:pt idx="183">
                  <c:v>3.8067846752315947E-4</c:v>
                </c:pt>
                <c:pt idx="184">
                  <c:v>3.8083155875923705E-4</c:v>
                </c:pt>
                <c:pt idx="185">
                  <c:v>3.8098539339679569E-4</c:v>
                </c:pt>
                <c:pt idx="186">
                  <c:v>3.8113755781124932E-4</c:v>
                </c:pt>
                <c:pt idx="187">
                  <c:v>3.8158435207984154E-4</c:v>
                </c:pt>
                <c:pt idx="188">
                  <c:v>3.817301579657364E-4</c:v>
                </c:pt>
                <c:pt idx="189">
                  <c:v>3.8187445481045686E-4</c:v>
                </c:pt>
                <c:pt idx="190">
                  <c:v>3.8201727485038899E-4</c:v>
                </c:pt>
                <c:pt idx="191">
                  <c:v>3.8215865032191888E-4</c:v>
                </c:pt>
                <c:pt idx="192">
                  <c:v>3.8257443168995646E-4</c:v>
                </c:pt>
                <c:pt idx="193">
                  <c:v>3.8271035125173861E-4</c:v>
                </c:pt>
                <c:pt idx="194">
                  <c:v>3.8284498742704911E-4</c:v>
                </c:pt>
                <c:pt idx="195">
                  <c:v>3.8297837245227406E-4</c:v>
                </c:pt>
                <c:pt idx="196">
                  <c:v>3.8311053856379955E-4</c:v>
                </c:pt>
                <c:pt idx="197">
                  <c:v>3.8350004578004035E-4</c:v>
                </c:pt>
                <c:pt idx="198">
                  <c:v>3.8362765860062916E-4</c:v>
                </c:pt>
                <c:pt idx="199">
                  <c:v>3.8375421368944899E-4</c:v>
                </c:pt>
                <c:pt idx="200">
                  <c:v>3.8387974328288603E-4</c:v>
                </c:pt>
                <c:pt idx="201">
                  <c:v>3.8400427961732644E-4</c:v>
                </c:pt>
                <c:pt idx="202">
                  <c:v>3.8437225143052843E-4</c:v>
                </c:pt>
                <c:pt idx="203">
                  <c:v>3.8449313709284312E-4</c:v>
                </c:pt>
                <c:pt idx="204">
                  <c:v>3.8461319067809166E-4</c:v>
                </c:pt>
                <c:pt idx="205">
                  <c:v>3.8473244442266012E-4</c:v>
                </c:pt>
                <c:pt idx="206">
                  <c:v>3.8485093056293465E-4</c:v>
                </c:pt>
                <c:pt idx="207">
                  <c:v>3.8520210572185582E-4</c:v>
                </c:pt>
                <c:pt idx="208">
                  <c:v>3.8531784380881572E-4</c:v>
                </c:pt>
                <c:pt idx="209">
                  <c:v>3.8543297547341223E-4</c:v>
                </c:pt>
                <c:pt idx="210">
                  <c:v>3.8554753295203144E-4</c:v>
                </c:pt>
                <c:pt idx="211">
                  <c:v>3.8566154848105949E-4</c:v>
                </c:pt>
                <c:pt idx="212">
                  <c:v>3.8600066573445764E-4</c:v>
                </c:pt>
                <c:pt idx="213">
                  <c:v>3.8611283582898201E-4</c:v>
                </c:pt>
                <c:pt idx="214">
                  <c:v>3.8622462515584583E-4</c:v>
                </c:pt>
                <c:pt idx="215">
                  <c:v>3.863360659514351E-4</c:v>
                </c:pt>
                <c:pt idx="216">
                  <c:v>3.8644719045213594E-4</c:v>
                </c:pt>
                <c:pt idx="217">
                  <c:v>3.86778988548769E-4</c:v>
                </c:pt>
                <c:pt idx="218">
                  <c:v>3.8688917023377729E-4</c:v>
                </c:pt>
                <c:pt idx="219">
                  <c:v>3.8699919680582762E-4</c:v>
                </c:pt>
                <c:pt idx="220">
                  <c:v>3.8710910050130623E-4</c:v>
                </c:pt>
                <c:pt idx="221">
                  <c:v>3.8721891355659918E-4</c:v>
                </c:pt>
                <c:pt idx="222">
                  <c:v>3.8754813124522512E-4</c:v>
                </c:pt>
                <c:pt idx="223">
                  <c:v>3.8765790410363654E-4</c:v>
                </c:pt>
                <c:pt idx="224">
                  <c:v>3.8776774750379282E-4</c:v>
                </c:pt>
                <c:pt idx="225">
                  <c:v>3.8787769368208005E-4</c:v>
                </c:pt>
                <c:pt idx="226">
                  <c:v>3.8798777487488443E-4</c:v>
                </c:pt>
                <c:pt idx="227">
                  <c:v>3.8831915090426113E-4</c:v>
                </c:pt>
                <c:pt idx="228">
                  <c:v>3.88430094518995E-4</c:v>
                </c:pt>
                <c:pt idx="229">
                  <c:v>3.8854133433017645E-4</c:v>
                </c:pt>
                <c:pt idx="230">
                  <c:v>3.8865290257419167E-4</c:v>
                </c:pt>
                <c:pt idx="231">
                  <c:v>3.8876483148742676E-4</c:v>
                </c:pt>
                <c:pt idx="232">
                  <c:v>3.8910310460631218E-4</c:v>
                </c:pt>
                <c:pt idx="233">
                  <c:v>3.8921679856028773E-4</c:v>
                </c:pt>
                <c:pt idx="234">
                  <c:v>3.8933101436541373E-4</c:v>
                </c:pt>
                <c:pt idx="235">
                  <c:v>3.8944578425807621E-4</c:v>
                </c:pt>
                <c:pt idx="236">
                  <c:v>3.8956114047466133E-4</c:v>
                </c:pt>
                <c:pt idx="237">
                  <c:v>3.8991104943181335E-4</c:v>
                </c:pt>
                <c:pt idx="238">
                  <c:v>3.9002907330795E-4</c:v>
                </c:pt>
                <c:pt idx="239">
                  <c:v>3.9014784468993977E-4</c:v>
                </c:pt>
                <c:pt idx="240">
                  <c:v>3.9026739581416884E-4</c:v>
                </c:pt>
                <c:pt idx="241">
                  <c:v>3.9038775891702326E-4</c:v>
                </c:pt>
                <c:pt idx="242">
                  <c:v>3.9075404246119986E-4</c:v>
                </c:pt>
                <c:pt idx="243">
                  <c:v>3.9087797584241683E-4</c:v>
                </c:pt>
                <c:pt idx="244">
                  <c:v>3.910028823841898E-4</c:v>
                </c:pt>
                <c:pt idx="245">
                  <c:v>3.9112879432290468E-4</c:v>
                </c:pt>
                <c:pt idx="246">
                  <c:v>3.9125574389494778E-4</c:v>
                </c:pt>
                <c:pt idx="247">
                  <c:v>3.9164314077490682E-4</c:v>
                </c:pt>
                <c:pt idx="248">
                  <c:v>3.9177456324412349E-4</c:v>
                </c:pt>
                <c:pt idx="249">
                  <c:v>3.9190718452859882E-4</c:v>
                </c:pt>
                <c:pt idx="250">
                  <c:v>3.9204102250206757E-4</c:v>
                </c:pt>
                <c:pt idx="251">
                  <c:v>3.9217603758765889E-4</c:v>
                </c:pt>
                <c:pt idx="252">
                  <c:v>3.9258760612194648E-4</c:v>
                </c:pt>
                <c:pt idx="253">
                  <c:v>3.9272679026080632E-4</c:v>
                </c:pt>
                <c:pt idx="254">
                  <c:v>3.9286688181417774E-4</c:v>
                </c:pt>
                <c:pt idx="255">
                  <c:v>3.9300782684253862E-4</c:v>
                </c:pt>
                <c:pt idx="256">
                  <c:v>3.9357906291543298E-4</c:v>
                </c:pt>
                <c:pt idx="257">
                  <c:v>3.9372346622590831E-4</c:v>
                </c:pt>
                <c:pt idx="258">
                  <c:v>3.9386839937423997E-4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55840"/>
        <c:axId val="617557376"/>
      </c:scatterChart>
      <c:valAx>
        <c:axId val="6175558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7557376"/>
        <c:crosses val="autoZero"/>
        <c:crossBetween val="midCat"/>
      </c:valAx>
      <c:valAx>
        <c:axId val="61755737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175558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41997</c:v>
                </c:pt>
              </c:numCache>
            </c:numRef>
          </c:xVal>
          <c:yVal>
            <c:numRef>
              <c:f>'Delta 3M'!$P$3</c:f>
              <c:numCache>
                <c:formatCode>0.0000%</c:formatCode>
                <c:ptCount val="1"/>
                <c:pt idx="0">
                  <c:v>9.3999999954699233E-4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42030</c:v>
                </c:pt>
                <c:pt idx="1">
                  <c:v>42059</c:v>
                </c:pt>
                <c:pt idx="2">
                  <c:v>42087</c:v>
                </c:pt>
              </c:numCache>
            </c:numRef>
          </c:xVal>
          <c:yVal>
            <c:numRef>
              <c:f>'Delta 3M'!$P$4:$P$6</c:f>
              <c:numCache>
                <c:formatCode>0.0000%</c:formatCode>
                <c:ptCount val="3"/>
                <c:pt idx="0">
                  <c:v>1.0577106901174288E-3</c:v>
                </c:pt>
                <c:pt idx="1">
                  <c:v>1.261346457548065E-3</c:v>
                </c:pt>
                <c:pt idx="2">
                  <c:v>1.4454525102579681E-3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42025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3M'!$P$7:$P$11</c:f>
              <c:numCache>
                <c:formatCode>0.0000%</c:formatCode>
                <c:ptCount val="5"/>
                <c:pt idx="0">
                  <c:v>1.0369000812818774E-3</c:v>
                </c:pt>
                <c:pt idx="1">
                  <c:v>1.438193954756866E-3</c:v>
                </c:pt>
                <c:pt idx="2">
                  <c:v>1.4707117361994217E-3</c:v>
                </c:pt>
                <c:pt idx="3">
                  <c:v>1.5065565572529535E-3</c:v>
                </c:pt>
                <c:pt idx="4">
                  <c:v>1.5503823585572324E-3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</c:numCache>
            </c:numRef>
          </c:xVal>
          <c:yVal>
            <c:numRef>
              <c:f>'Delta 3M'!$T$3:$T$261</c:f>
              <c:numCache>
                <c:formatCode>0.0000%</c:formatCode>
                <c:ptCount val="259"/>
                <c:pt idx="0">
                  <c:v>8.7510131063590771E-4</c:v>
                </c:pt>
                <c:pt idx="1">
                  <c:v>8.8853862994613662E-4</c:v>
                </c:pt>
                <c:pt idx="2">
                  <c:v>8.9222941727077677E-4</c:v>
                </c:pt>
                <c:pt idx="3">
                  <c:v>8.9623375615560034E-4</c:v>
                </c:pt>
                <c:pt idx="4">
                  <c:v>9.0514727787319984E-4</c:v>
                </c:pt>
                <c:pt idx="5">
                  <c:v>9.206453800722419E-4</c:v>
                </c:pt>
                <c:pt idx="6">
                  <c:v>9.2634302197203025E-4</c:v>
                </c:pt>
                <c:pt idx="7">
                  <c:v>9.3229154664995699E-4</c:v>
                </c:pt>
                <c:pt idx="8">
                  <c:v>9.3848200142287281E-4</c:v>
                </c:pt>
                <c:pt idx="9">
                  <c:v>9.4490543360762854E-4</c:v>
                </c:pt>
                <c:pt idx="10">
                  <c:v>9.6548406780144259E-4</c:v>
                </c:pt>
                <c:pt idx="11">
                  <c:v>9.7274988280206514E-4</c:v>
                </c:pt>
                <c:pt idx="12">
                  <c:v>9.8020391179878146E-4</c:v>
                </c:pt>
                <c:pt idx="13">
                  <c:v>9.8783720210844205E-4</c:v>
                </c:pt>
                <c:pt idx="14">
                  <c:v>9.9564080104789761E-4</c:v>
                </c:pt>
                <c:pt idx="15">
                  <c:v>1.0199839228135421E-3</c:v>
                </c:pt>
                <c:pt idx="16">
                  <c:v>1.0283792294406855E-3</c:v>
                </c:pt>
                <c:pt idx="17">
                  <c:v>1.0369000812818774E-3</c:v>
                </c:pt>
                <c:pt idx="18">
                  <c:v>1.0455375256539689E-3</c:v>
                </c:pt>
                <c:pt idx="19">
                  <c:v>1.0542826098738107E-3</c:v>
                </c:pt>
                <c:pt idx="20">
                  <c:v>1.0810741747883446E-3</c:v>
                </c:pt>
                <c:pt idx="21">
                  <c:v>1.0901602915676946E-3</c:v>
                </c:pt>
                <c:pt idx="22">
                  <c:v>1.0993092847790486E-3</c:v>
                </c:pt>
                <c:pt idx="23">
                  <c:v>1.1085122017392571E-3</c:v>
                </c:pt>
                <c:pt idx="24">
                  <c:v>1.1177600897651712E-3</c:v>
                </c:pt>
                <c:pt idx="25">
                  <c:v>1.1456840534056533E-3</c:v>
                </c:pt>
                <c:pt idx="26">
                  <c:v>1.1550222988628966E-3</c:v>
                </c:pt>
                <c:pt idx="27">
                  <c:v>1.1643607519700987E-3</c:v>
                </c:pt>
                <c:pt idx="28">
                  <c:v>1.1736904600441107E-3</c:v>
                </c:pt>
                <c:pt idx="29">
                  <c:v>1.1830024704017833E-3</c:v>
                </c:pt>
                <c:pt idx="30">
                  <c:v>1.2107427883452724E-3</c:v>
                </c:pt>
                <c:pt idx="31">
                  <c:v>1.2198944810060948E-3</c:v>
                </c:pt>
                <c:pt idx="32">
                  <c:v>1.2289837125348316E-3</c:v>
                </c:pt>
                <c:pt idx="33">
                  <c:v>1.2380015302483332E-3</c:v>
                </c:pt>
                <c:pt idx="34">
                  <c:v>1.2469389814634508E-3</c:v>
                </c:pt>
                <c:pt idx="35">
                  <c:v>1.2731796092870053E-3</c:v>
                </c:pt>
                <c:pt idx="36">
                  <c:v>1.2817060676770932E-3</c:v>
                </c:pt>
                <c:pt idx="37">
                  <c:v>1.2901073961530507E-3</c:v>
                </c:pt>
                <c:pt idx="38">
                  <c:v>1.2983746420317283E-3</c:v>
                </c:pt>
                <c:pt idx="39">
                  <c:v>1.3064988526299769E-3</c:v>
                </c:pt>
                <c:pt idx="40">
                  <c:v>1.3299237459106559E-3</c:v>
                </c:pt>
                <c:pt idx="41">
                  <c:v>1.3373862885556957E-3</c:v>
                </c:pt>
                <c:pt idx="42">
                  <c:v>1.3446610325045601E-3</c:v>
                </c:pt>
                <c:pt idx="43">
                  <c:v>1.3517390250740997E-3</c:v>
                </c:pt>
                <c:pt idx="44">
                  <c:v>1.3586113135811658E-3</c:v>
                </c:pt>
                <c:pt idx="45">
                  <c:v>1.3779044278960277E-3</c:v>
                </c:pt>
                <c:pt idx="46">
                  <c:v>1.3838643733217054E-3</c:v>
                </c:pt>
                <c:pt idx="47">
                  <c:v>1.3895738512691631E-3</c:v>
                </c:pt>
                <c:pt idx="48">
                  <c:v>1.3950239090552514E-3</c:v>
                </c:pt>
                <c:pt idx="49">
                  <c:v>1.400205593996821E-3</c:v>
                </c:pt>
                <c:pt idx="50">
                  <c:v>1.4140508849229247E-3</c:v>
                </c:pt>
                <c:pt idx="51">
                  <c:v>1.4180695516549267E-3</c:v>
                </c:pt>
                <c:pt idx="52">
                  <c:v>1.4217750821266639E-3</c:v>
                </c:pt>
                <c:pt idx="53">
                  <c:v>1.4251585236549867E-3</c:v>
                </c:pt>
                <c:pt idx="54">
                  <c:v>1.4282109235567461E-3</c:v>
                </c:pt>
                <c:pt idx="55">
                  <c:v>1.4352923466711505E-3</c:v>
                </c:pt>
                <c:pt idx="56">
                  <c:v>1.436931053235163E-3</c:v>
                </c:pt>
                <c:pt idx="57">
                  <c:v>1.438193954756866E-3</c:v>
                </c:pt>
                <c:pt idx="58">
                  <c:v>1.4392542322991613E-3</c:v>
                </c:pt>
                <c:pt idx="59">
                  <c:v>1.4402912079867158E-3</c:v>
                </c:pt>
                <c:pt idx="60">
                  <c:v>1.4432649130159045E-3</c:v>
                </c:pt>
                <c:pt idx="61">
                  <c:v>1.4442112703794664E-3</c:v>
                </c:pt>
                <c:pt idx="62">
                  <c:v>1.445135620435773E-3</c:v>
                </c:pt>
                <c:pt idx="63">
                  <c:v>1.4460382220943212E-3</c:v>
                </c:pt>
                <c:pt idx="64">
                  <c:v>1.4469193342646085E-3</c:v>
                </c:pt>
                <c:pt idx="65">
                  <c:v>1.4494363229408751E-3</c:v>
                </c:pt>
                <c:pt idx="66">
                  <c:v>1.4502340662530893E-3</c:v>
                </c:pt>
                <c:pt idx="67">
                  <c:v>1.4510116146245278E-3</c:v>
                </c:pt>
                <c:pt idx="68">
                  <c:v>1.4517692269646883E-3</c:v>
                </c:pt>
                <c:pt idx="69">
                  <c:v>1.4552673100287137E-3</c:v>
                </c:pt>
                <c:pt idx="70">
                  <c:v>1.4559107432806436E-3</c:v>
                </c:pt>
                <c:pt idx="71">
                  <c:v>1.4565360528677746E-3</c:v>
                </c:pt>
                <c:pt idx="72">
                  <c:v>1.4571434976996046E-3</c:v>
                </c:pt>
                <c:pt idx="73">
                  <c:v>1.458861232758257E-3</c:v>
                </c:pt>
                <c:pt idx="74">
                  <c:v>1.4593998076638526E-3</c:v>
                </c:pt>
                <c:pt idx="75">
                  <c:v>1.4599218123616325E-3</c:v>
                </c:pt>
                <c:pt idx="76">
                  <c:v>1.4604275057610934E-3</c:v>
                </c:pt>
                <c:pt idx="77">
                  <c:v>1.4609171467717332E-3</c:v>
                </c:pt>
                <c:pt idx="78">
                  <c:v>1.4622923445656939E-3</c:v>
                </c:pt>
                <c:pt idx="79">
                  <c:v>1.4627203651160186E-3</c:v>
                </c:pt>
                <c:pt idx="80">
                  <c:v>1.4631336278250072E-3</c:v>
                </c:pt>
                <c:pt idx="81">
                  <c:v>1.4635323916021572E-3</c:v>
                </c:pt>
                <c:pt idx="82">
                  <c:v>1.4639169153569654E-3</c:v>
                </c:pt>
                <c:pt idx="83">
                  <c:v>1.4649876355823115E-3</c:v>
                </c:pt>
                <c:pt idx="84">
                  <c:v>1.4653177883427241E-3</c:v>
                </c:pt>
                <c:pt idx="85">
                  <c:v>1.4656349956282807E-3</c:v>
                </c:pt>
                <c:pt idx="86">
                  <c:v>1.4659395163484786E-3</c:v>
                </c:pt>
                <c:pt idx="87">
                  <c:v>1.4670359117656222E-3</c:v>
                </c:pt>
                <c:pt idx="88">
                  <c:v>1.4672808833014821E-3</c:v>
                </c:pt>
                <c:pt idx="89">
                  <c:v>1.4675147217289657E-3</c:v>
                </c:pt>
                <c:pt idx="90">
                  <c:v>1.46773768595757E-3</c:v>
                </c:pt>
                <c:pt idx="91">
                  <c:v>1.4679500348967925E-3</c:v>
                </c:pt>
                <c:pt idx="92">
                  <c:v>1.4685259790731392E-3</c:v>
                </c:pt>
                <c:pt idx="93">
                  <c:v>1.4686984559498051E-3</c:v>
                </c:pt>
                <c:pt idx="94">
                  <c:v>1.4688616120845743E-3</c:v>
                </c:pt>
                <c:pt idx="95">
                  <c:v>1.4690157063869445E-3</c:v>
                </c:pt>
                <c:pt idx="96">
                  <c:v>1.4691609977664126E-3</c:v>
                </c:pt>
                <c:pt idx="97">
                  <c:v>1.4695466434623751E-3</c:v>
                </c:pt>
                <c:pt idx="98">
                  <c:v>1.4696593122452057E-3</c:v>
                </c:pt>
                <c:pt idx="99">
                  <c:v>1.4697644726526199E-3</c:v>
                </c:pt>
                <c:pt idx="100">
                  <c:v>1.4698623835941148E-3</c:v>
                </c:pt>
                <c:pt idx="101">
                  <c:v>1.4699533039791873E-3</c:v>
                </c:pt>
                <c:pt idx="102">
                  <c:v>1.4701867108908421E-3</c:v>
                </c:pt>
                <c:pt idx="103">
                  <c:v>1.4702522581451969E-3</c:v>
                </c:pt>
                <c:pt idx="104">
                  <c:v>1.4703121093906147E-3</c:v>
                </c:pt>
                <c:pt idx="105">
                  <c:v>1.4703665235365931E-3</c:v>
                </c:pt>
                <c:pt idx="106">
                  <c:v>1.470415759492629E-3</c:v>
                </c:pt>
                <c:pt idx="107">
                  <c:v>1.4705349873160535E-3</c:v>
                </c:pt>
                <c:pt idx="108">
                  <c:v>1.4705660996072909E-3</c:v>
                </c:pt>
                <c:pt idx="109">
                  <c:v>1.4705933282560715E-3</c:v>
                </c:pt>
                <c:pt idx="110">
                  <c:v>1.4706169321718923E-3</c:v>
                </c:pt>
                <c:pt idx="111">
                  <c:v>1.4706371702642507E-3</c:v>
                </c:pt>
                <c:pt idx="112">
                  <c:v>1.4706802786955216E-3</c:v>
                </c:pt>
                <c:pt idx="113">
                  <c:v>1.4706896425890007E-3</c:v>
                </c:pt>
                <c:pt idx="114">
                  <c:v>1.470696935206503E-3</c:v>
                </c:pt>
                <c:pt idx="115">
                  <c:v>1.4707024154575253E-3</c:v>
                </c:pt>
                <c:pt idx="116">
                  <c:v>1.470706342251565E-3</c:v>
                </c:pt>
                <c:pt idx="117">
                  <c:v>1.4707113909867588E-3</c:v>
                </c:pt>
                <c:pt idx="118">
                  <c:v>1.4707116930478389E-3</c:v>
                </c:pt>
                <c:pt idx="119">
                  <c:v>1.4707117361994217E-3</c:v>
                </c:pt>
                <c:pt idx="120">
                  <c:v>1.4707166313288262E-3</c:v>
                </c:pt>
                <c:pt idx="121">
                  <c:v>1.4707312915362614E-3</c:v>
                </c:pt>
                <c:pt idx="122">
                  <c:v>1.4708334849150785E-3</c:v>
                </c:pt>
                <c:pt idx="123">
                  <c:v>1.4708868277229635E-3</c:v>
                </c:pt>
                <c:pt idx="124">
                  <c:v>1.4709497467530431E-3</c:v>
                </c:pt>
                <c:pt idx="125">
                  <c:v>1.4710222042341496E-3</c:v>
                </c:pt>
                <c:pt idx="126">
                  <c:v>1.4711041623951158E-3</c:v>
                </c:pt>
                <c:pt idx="127">
                  <c:v>1.4714066632454997E-3</c:v>
                </c:pt>
                <c:pt idx="128">
                  <c:v>1.4715262464142318E-3</c:v>
                </c:pt>
                <c:pt idx="129">
                  <c:v>1.4716551414069873E-3</c:v>
                </c:pt>
                <c:pt idx="130">
                  <c:v>1.4717933104525986E-3</c:v>
                </c:pt>
                <c:pt idx="131">
                  <c:v>1.4719407157798986E-3</c:v>
                </c:pt>
                <c:pt idx="132">
                  <c:v>1.472437971740258E-3</c:v>
                </c:pt>
                <c:pt idx="133">
                  <c:v>1.47262194448264E-3</c:v>
                </c:pt>
                <c:pt idx="134">
                  <c:v>1.472814964650874E-3</c:v>
                </c:pt>
                <c:pt idx="135">
                  <c:v>1.4730169944737932E-3</c:v>
                </c:pt>
                <c:pt idx="136">
                  <c:v>1.4732279961802298E-3</c:v>
                </c:pt>
                <c:pt idx="137">
                  <c:v>1.4739144548889731E-3</c:v>
                </c:pt>
                <c:pt idx="138">
                  <c:v>1.4741609664178075E-3</c:v>
                </c:pt>
                <c:pt idx="139">
                  <c:v>1.4744162609743232E-3</c:v>
                </c:pt>
                <c:pt idx="140">
                  <c:v>1.4746803007873528E-3</c:v>
                </c:pt>
                <c:pt idx="141">
                  <c:v>1.4749530480857292E-3</c:v>
                </c:pt>
                <c:pt idx="142">
                  <c:v>1.4758231571812648E-3</c:v>
                </c:pt>
                <c:pt idx="143">
                  <c:v>1.4761303567093547E-3</c:v>
                </c:pt>
                <c:pt idx="144">
                  <c:v>1.4764460748669548E-3</c:v>
                </c:pt>
                <c:pt idx="145">
                  <c:v>1.4767702738828978E-3</c:v>
                </c:pt>
                <c:pt idx="146">
                  <c:v>1.4771029159860163E-3</c:v>
                </c:pt>
                <c:pt idx="147">
                  <c:v>1.4781511231067531E-3</c:v>
                </c:pt>
                <c:pt idx="148">
                  <c:v>1.4785171598469013E-3</c:v>
                </c:pt>
                <c:pt idx="149">
                  <c:v>1.4788914508183885E-3</c:v>
                </c:pt>
                <c:pt idx="150">
                  <c:v>1.4792739582500478E-3</c:v>
                </c:pt>
                <c:pt idx="151">
                  <c:v>1.4796646443707116E-3</c:v>
                </c:pt>
                <c:pt idx="152">
                  <c:v>1.4808853971550577E-3</c:v>
                </c:pt>
                <c:pt idx="153">
                  <c:v>1.4813084203200669E-3</c:v>
                </c:pt>
                <c:pt idx="154">
                  <c:v>1.4817394333182443E-3</c:v>
                </c:pt>
                <c:pt idx="155">
                  <c:v>1.4821783983784225E-3</c:v>
                </c:pt>
                <c:pt idx="156">
                  <c:v>1.4826252777294343E-3</c:v>
                </c:pt>
                <c:pt idx="157">
                  <c:v>1.4840130238157985E-3</c:v>
                </c:pt>
                <c:pt idx="158">
                  <c:v>1.4844911826184717E-3</c:v>
                </c:pt>
                <c:pt idx="159">
                  <c:v>1.4849770668561419E-3</c:v>
                </c:pt>
                <c:pt idx="160">
                  <c:v>1.4854706387576421E-3</c:v>
                </c:pt>
                <c:pt idx="161">
                  <c:v>1.4859718605518047E-3</c:v>
                </c:pt>
                <c:pt idx="162">
                  <c:v>1.4875210475785953E-3</c:v>
                </c:pt>
                <c:pt idx="163">
                  <c:v>1.4880524912317351E-3</c:v>
                </c:pt>
                <c:pt idx="164">
                  <c:v>1.4885913959217013E-3</c:v>
                </c:pt>
                <c:pt idx="165">
                  <c:v>1.4891377238773261E-3</c:v>
                </c:pt>
                <c:pt idx="166">
                  <c:v>1.4896914373274425E-3</c:v>
                </c:pt>
                <c:pt idx="167">
                  <c:v>1.4913965129330681E-3</c:v>
                </c:pt>
                <c:pt idx="168">
                  <c:v>1.4919793906494777E-3</c:v>
                </c:pt>
                <c:pt idx="169">
                  <c:v>1.4925694650045423E-3</c:v>
                </c:pt>
                <c:pt idx="170">
                  <c:v>1.4931666982270948E-3</c:v>
                </c:pt>
                <c:pt idx="171">
                  <c:v>1.4937710525459677E-3</c:v>
                </c:pt>
                <c:pt idx="172">
                  <c:v>1.4956264643688367E-3</c:v>
                </c:pt>
                <c:pt idx="173">
                  <c:v>1.4962589253613187E-3</c:v>
                </c:pt>
                <c:pt idx="174">
                  <c:v>1.4968983185942846E-3</c:v>
                </c:pt>
                <c:pt idx="175">
                  <c:v>1.4975446062965676E-3</c:v>
                </c:pt>
                <c:pt idx="176">
                  <c:v>1.4981977506969999E-3</c:v>
                </c:pt>
                <c:pt idx="177">
                  <c:v>1.5001979463755209E-3</c:v>
                </c:pt>
                <c:pt idx="178">
                  <c:v>1.5008781398568782E-3</c:v>
                </c:pt>
                <c:pt idx="179">
                  <c:v>1.5015650011805486E-3</c:v>
                </c:pt>
                <c:pt idx="180">
                  <c:v>1.5022584925753646E-3</c:v>
                </c:pt>
                <c:pt idx="181">
                  <c:v>1.5029585762701592E-3</c:v>
                </c:pt>
                <c:pt idx="182">
                  <c:v>1.5050980034427405E-3</c:v>
                </c:pt>
                <c:pt idx="183">
                  <c:v>1.505824078625776E-3</c:v>
                </c:pt>
                <c:pt idx="184">
                  <c:v>1.5065565572529535E-3</c:v>
                </c:pt>
                <c:pt idx="185">
                  <c:v>1.5072876839826719E-3</c:v>
                </c:pt>
                <c:pt idx="186">
                  <c:v>1.5080098063918891E-3</c:v>
                </c:pt>
                <c:pt idx="187">
                  <c:v>1.5101233137632354E-3</c:v>
                </c:pt>
                <c:pt idx="188">
                  <c:v>1.5108105849571504E-3</c:v>
                </c:pt>
                <c:pt idx="189">
                  <c:v>1.5114894348639163E-3</c:v>
                </c:pt>
                <c:pt idx="190">
                  <c:v>1.5121599800902029E-3</c:v>
                </c:pt>
                <c:pt idx="191">
                  <c:v>1.5128223372426809E-3</c:v>
                </c:pt>
                <c:pt idx="192">
                  <c:v>1.5147614463239668E-3</c:v>
                </c:pt>
                <c:pt idx="193">
                  <c:v>1.5153922172479141E-3</c:v>
                </c:pt>
                <c:pt idx="194">
                  <c:v>1.5160153831314048E-3</c:v>
                </c:pt>
                <c:pt idx="195">
                  <c:v>1.5166310605811092E-3</c:v>
                </c:pt>
                <c:pt idx="196">
                  <c:v>1.5172393662036977E-3</c:v>
                </c:pt>
                <c:pt idx="197">
                  <c:v>1.5190212181754718E-3</c:v>
                </c:pt>
                <c:pt idx="198">
                  <c:v>1.5196012025563007E-3</c:v>
                </c:pt>
                <c:pt idx="199">
                  <c:v>1.5201743981433657E-3</c:v>
                </c:pt>
                <c:pt idx="200">
                  <c:v>1.5207409215433373E-3</c:v>
                </c:pt>
                <c:pt idx="201">
                  <c:v>1.5213008893628858E-3</c:v>
                </c:pt>
                <c:pt idx="202">
                  <c:v>1.5229426254056966E-3</c:v>
                </c:pt>
                <c:pt idx="203">
                  <c:v>1.5234775369702567E-3</c:v>
                </c:pt>
                <c:pt idx="204">
                  <c:v>1.5240064759877458E-3</c:v>
                </c:pt>
                <c:pt idx="205">
                  <c:v>1.5245295590648341E-3</c:v>
                </c:pt>
                <c:pt idx="206">
                  <c:v>1.5250469028081921E-3</c:v>
                </c:pt>
                <c:pt idx="207">
                  <c:v>1.5265656641025884E-3</c:v>
                </c:pt>
                <c:pt idx="208">
                  <c:v>1.5270612165777292E-3</c:v>
                </c:pt>
                <c:pt idx="209">
                  <c:v>1.5275516127524918E-3</c:v>
                </c:pt>
                <c:pt idx="210">
                  <c:v>1.5280369692335463E-3</c:v>
                </c:pt>
                <c:pt idx="211">
                  <c:v>1.5285174026275635E-3</c:v>
                </c:pt>
                <c:pt idx="212">
                  <c:v>1.5299303303540936E-3</c:v>
                </c:pt>
                <c:pt idx="213">
                  <c:v>1.5303922374666646E-3</c:v>
                </c:pt>
                <c:pt idx="214">
                  <c:v>1.5308498045255503E-3</c:v>
                </c:pt>
                <c:pt idx="215">
                  <c:v>1.5313031481374207E-3</c:v>
                </c:pt>
                <c:pt idx="216">
                  <c:v>1.5317523849089462E-3</c:v>
                </c:pt>
                <c:pt idx="217">
                  <c:v>1.533076620248159E-3</c:v>
                </c:pt>
                <c:pt idx="218">
                  <c:v>1.5335105957250098E-3</c:v>
                </c:pt>
                <c:pt idx="219">
                  <c:v>1.5339410473948678E-3</c:v>
                </c:pt>
                <c:pt idx="220">
                  <c:v>1.5343680918644036E-3</c:v>
                </c:pt>
                <c:pt idx="221">
                  <c:v>1.5347918457402875E-3</c:v>
                </c:pt>
                <c:pt idx="222">
                  <c:v>1.5360445298727313E-3</c:v>
                </c:pt>
                <c:pt idx="223">
                  <c:v>1.5364562874407113E-3</c:v>
                </c:pt>
                <c:pt idx="224">
                  <c:v>1.5368653374483914E-3</c:v>
                </c:pt>
                <c:pt idx="225">
                  <c:v>1.5372717965024419E-3</c:v>
                </c:pt>
                <c:pt idx="226">
                  <c:v>1.5376757812095335E-3</c:v>
                </c:pt>
                <c:pt idx="227">
                  <c:v>1.5388740553157569E-3</c:v>
                </c:pt>
                <c:pt idx="228">
                  <c:v>1.5392693087017159E-3</c:v>
                </c:pt>
                <c:pt idx="229">
                  <c:v>1.5396626707740676E-3</c:v>
                </c:pt>
                <c:pt idx="230">
                  <c:v>1.5400542581394826E-3</c:v>
                </c:pt>
                <c:pt idx="231">
                  <c:v>1.5404441874046313E-3</c:v>
                </c:pt>
                <c:pt idx="232">
                  <c:v>1.541605192665183E-3</c:v>
                </c:pt>
                <c:pt idx="233">
                  <c:v>1.5419896555959702E-3</c:v>
                </c:pt>
                <c:pt idx="234">
                  <c:v>1.542373043459843E-3</c:v>
                </c:pt>
                <c:pt idx="235">
                  <c:v>1.5427554728634719E-3</c:v>
                </c:pt>
                <c:pt idx="236">
                  <c:v>1.5431370604135272E-3</c:v>
                </c:pt>
                <c:pt idx="237">
                  <c:v>1.544277938008956E-3</c:v>
                </c:pt>
                <c:pt idx="238">
                  <c:v>1.544657324211421E-3</c:v>
                </c:pt>
                <c:pt idx="239">
                  <c:v>1.5450364515936647E-3</c:v>
                </c:pt>
                <c:pt idx="240">
                  <c:v>1.5454154367623568E-3</c:v>
                </c:pt>
                <c:pt idx="241">
                  <c:v>1.5457943963241684E-3</c:v>
                </c:pt>
                <c:pt idx="242">
                  <c:v>1.5469322874350226E-3</c:v>
                </c:pt>
                <c:pt idx="243">
                  <c:v>1.5473123106360151E-3</c:v>
                </c:pt>
                <c:pt idx="244">
                  <c:v>1.5476928912634789E-3</c:v>
                </c:pt>
                <c:pt idx="245">
                  <c:v>1.5480741459240842E-3</c:v>
                </c:pt>
                <c:pt idx="246">
                  <c:v>1.5484561912245014E-3</c:v>
                </c:pt>
                <c:pt idx="247">
                  <c:v>1.5496082370313295E-3</c:v>
                </c:pt>
                <c:pt idx="248">
                  <c:v>1.549994610957699E-3</c:v>
                </c:pt>
                <c:pt idx="249">
                  <c:v>1.5503823585572324E-3</c:v>
                </c:pt>
                <c:pt idx="250">
                  <c:v>1.5507710009790001E-3</c:v>
                </c:pt>
                <c:pt idx="251">
                  <c:v>1.5511599136317693E-3</c:v>
                </c:pt>
                <c:pt idx="252">
                  <c:v>1.5523272529382377E-3</c:v>
                </c:pt>
                <c:pt idx="253">
                  <c:v>1.5527162264771654E-3</c:v>
                </c:pt>
                <c:pt idx="254">
                  <c:v>1.5531049602281707E-3</c:v>
                </c:pt>
                <c:pt idx="255">
                  <c:v>1.553493352187469E-3</c:v>
                </c:pt>
                <c:pt idx="256">
                  <c:v>1.5550414620319009E-3</c:v>
                </c:pt>
                <c:pt idx="257">
                  <c:v>1.5554266149758948E-3</c:v>
                </c:pt>
                <c:pt idx="258">
                  <c:v>1.5558108141054735E-3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909952"/>
        <c:axId val="348912640"/>
      </c:scatterChart>
      <c:valAx>
        <c:axId val="348909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48912640"/>
        <c:crosses val="autoZero"/>
        <c:crossBetween val="midCat"/>
      </c:valAx>
      <c:valAx>
        <c:axId val="34891264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3489099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41997</c:v>
                </c:pt>
              </c:numCache>
            </c:numRef>
          </c:xVal>
          <c:yVal>
            <c:numRef>
              <c:f>'Delta 6M '!$L$3</c:f>
              <c:numCache>
                <c:formatCode>0.00000</c:formatCode>
                <c:ptCount val="1"/>
                <c:pt idx="0">
                  <c:v>1.0612858236650233E-3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42030</c:v>
                </c:pt>
                <c:pt idx="1">
                  <c:v>42059</c:v>
                </c:pt>
                <c:pt idx="2">
                  <c:v>42087</c:v>
                </c:pt>
                <c:pt idx="3">
                  <c:v>42118</c:v>
                </c:pt>
                <c:pt idx="4">
                  <c:v>42149</c:v>
                </c:pt>
                <c:pt idx="5">
                  <c:v>42179</c:v>
                </c:pt>
                <c:pt idx="6">
                  <c:v>42209</c:v>
                </c:pt>
                <c:pt idx="7">
                  <c:v>42240</c:v>
                </c:pt>
                <c:pt idx="8">
                  <c:v>42271</c:v>
                </c:pt>
                <c:pt idx="9">
                  <c:v>42303</c:v>
                </c:pt>
                <c:pt idx="10">
                  <c:v>42332</c:v>
                </c:pt>
                <c:pt idx="11">
                  <c:v>42362</c:v>
                </c:pt>
              </c:numCache>
            </c:numRef>
          </c:xVal>
          <c:yVal>
            <c:numRef>
              <c:f>'Delta 6M '!$L$4:$L$15</c:f>
              <c:numCache>
                <c:formatCode>0.00000</c:formatCode>
                <c:ptCount val="12"/>
                <c:pt idx="0">
                  <c:v>1.1167197418055612E-3</c:v>
                </c:pt>
                <c:pt idx="1">
                  <c:v>1.1602941883767837E-3</c:v>
                </c:pt>
                <c:pt idx="2">
                  <c:v>1.2422637366006463E-3</c:v>
                </c:pt>
                <c:pt idx="3">
                  <c:v>1.2472981783899089E-3</c:v>
                </c:pt>
                <c:pt idx="4">
                  <c:v>1.2408280899361803E-3</c:v>
                </c:pt>
                <c:pt idx="5">
                  <c:v>1.2445785071759526E-3</c:v>
                </c:pt>
                <c:pt idx="6">
                  <c:v>1.2605279781736428E-3</c:v>
                </c:pt>
                <c:pt idx="7">
                  <c:v>1.2804105128438189E-3</c:v>
                </c:pt>
                <c:pt idx="8">
                  <c:v>1.2791866385542443E-3</c:v>
                </c:pt>
                <c:pt idx="9">
                  <c:v>1.3028536946111855E-3</c:v>
                </c:pt>
                <c:pt idx="10">
                  <c:v>1.302594362855394E-3</c:v>
                </c:pt>
                <c:pt idx="11">
                  <c:v>1.3211075259907004E-3</c:v>
                </c:pt>
              </c:numCache>
            </c:numRef>
          </c:yVal>
          <c:smooth val="0"/>
        </c:ser>
        <c:ser>
          <c:idx val="2"/>
          <c:order val="2"/>
          <c:tx>
            <c:v>Delta Interp</c:v>
          </c:tx>
          <c:spPr>
            <a:ln w="28575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1.0615890822766112E-3</c:v>
                </c:pt>
                <c:pt idx="1">
                  <c:v>1.0757294028470212E-3</c:v>
                </c:pt>
                <c:pt idx="2">
                  <c:v>1.0781996640923843E-3</c:v>
                </c:pt>
                <c:pt idx="3">
                  <c:v>1.0805601449121176E-3</c:v>
                </c:pt>
                <c:pt idx="4">
                  <c:v>1.084968029041455E-3</c:v>
                </c:pt>
                <c:pt idx="5">
                  <c:v>1.090858150585488E-3</c:v>
                </c:pt>
                <c:pt idx="6">
                  <c:v>1.0926453336269329E-3</c:v>
                </c:pt>
                <c:pt idx="7">
                  <c:v>1.0943511978345778E-3</c:v>
                </c:pt>
                <c:pt idx="8">
                  <c:v>1.0959798091501132E-3</c:v>
                </c:pt>
                <c:pt idx="9">
                  <c:v>1.0975352335152286E-3</c:v>
                </c:pt>
                <c:pt idx="10">
                  <c:v>1.1018030443249562E-3</c:v>
                </c:pt>
                <c:pt idx="11">
                  <c:v>1.1031063803052922E-3</c:v>
                </c:pt>
                <c:pt idx="12">
                  <c:v>1.1043568590436586E-3</c:v>
                </c:pt>
                <c:pt idx="13">
                  <c:v>1.105558546481745E-3</c:v>
                </c:pt>
                <c:pt idx="14">
                  <c:v>1.1067155085612416E-3</c:v>
                </c:pt>
                <c:pt idx="15">
                  <c:v>1.1099587020650917E-3</c:v>
                </c:pt>
                <c:pt idx="16">
                  <c:v>1.1109774221271286E-3</c:v>
                </c:pt>
                <c:pt idx="17">
                  <c:v>1.1119717465390257E-3</c:v>
                </c:pt>
                <c:pt idx="18">
                  <c:v>1.1129457412424727E-3</c:v>
                </c:pt>
                <c:pt idx="19">
                  <c:v>1.1139034721791598E-3</c:v>
                </c:pt>
                <c:pt idx="20">
                  <c:v>1.1167197418055612E-3</c:v>
                </c:pt>
                <c:pt idx="21">
                  <c:v>1.1176530770921082E-3</c:v>
                </c:pt>
                <c:pt idx="22">
                  <c:v>1.1185904783203454E-3</c:v>
                </c:pt>
                <c:pt idx="23">
                  <c:v>1.1195360114319626E-3</c:v>
                </c:pt>
                <c:pt idx="24">
                  <c:v>1.1204937423686496E-3</c:v>
                </c:pt>
                <c:pt idx="25">
                  <c:v>1.1234807815460306E-3</c:v>
                </c:pt>
                <c:pt idx="26">
                  <c:v>1.1245279631998974E-3</c:v>
                </c:pt>
                <c:pt idx="27">
                  <c:v>1.1256076723872841E-3</c:v>
                </c:pt>
                <c:pt idx="28">
                  <c:v>1.1267239750498807E-3</c:v>
                </c:pt>
                <c:pt idx="29">
                  <c:v>1.1278809371293773E-3</c:v>
                </c:pt>
                <c:pt idx="30">
                  <c:v>1.1316364392861661E-3</c:v>
                </c:pt>
                <c:pt idx="31">
                  <c:v>1.1329966984501621E-3</c:v>
                </c:pt>
                <c:pt idx="32">
                  <c:v>1.1344179467395079E-3</c:v>
                </c:pt>
                <c:pt idx="33">
                  <c:v>1.1359042500958937E-3</c:v>
                </c:pt>
                <c:pt idx="34">
                  <c:v>1.1374596744610091E-3</c:v>
                </c:pt>
                <c:pt idx="35">
                  <c:v>1.1425813330256343E-3</c:v>
                </c:pt>
                <c:pt idx="36">
                  <c:v>1.1444539008425689E-3</c:v>
                </c:pt>
                <c:pt idx="37">
                  <c:v>1.1464159193766833E-3</c:v>
                </c:pt>
                <c:pt idx="38">
                  <c:v>1.1484714545696674E-3</c:v>
                </c:pt>
                <c:pt idx="39">
                  <c:v>1.1506245723632111E-3</c:v>
                </c:pt>
                <c:pt idx="40">
                  <c:v>1.1577100807641011E-3</c:v>
                </c:pt>
                <c:pt idx="41">
                  <c:v>1.1602941883767837E-3</c:v>
                </c:pt>
                <c:pt idx="42">
                  <c:v>1.1630394190408962E-3</c:v>
                </c:pt>
                <c:pt idx="43">
                  <c:v>1.1659766110362815E-3</c:v>
                </c:pt>
                <c:pt idx="44">
                  <c:v>1.1690851726982288E-3</c:v>
                </c:pt>
                <c:pt idx="45">
                  <c:v>1.1792331590363358E-3</c:v>
                </c:pt>
                <c:pt idx="46">
                  <c:v>1.182821282717424E-3</c:v>
                </c:pt>
                <c:pt idx="47">
                  <c:v>1.1864778177415203E-3</c:v>
                </c:pt>
                <c:pt idx="48">
                  <c:v>1.1901821724439143E-3</c:v>
                </c:pt>
                <c:pt idx="49">
                  <c:v>1.1939137551598953E-3</c:v>
                </c:pt>
                <c:pt idx="50">
                  <c:v>1.2050659547422514E-3</c:v>
                </c:pt>
                <c:pt idx="51">
                  <c:v>1.2087005328654721E-3</c:v>
                </c:pt>
                <c:pt idx="52">
                  <c:v>1.2122593806787258E-3</c:v>
                </c:pt>
                <c:pt idx="53">
                  <c:v>1.2157219065173021E-3</c:v>
                </c:pt>
                <c:pt idx="54">
                  <c:v>1.2190675187164898E-3</c:v>
                </c:pt>
                <c:pt idx="55">
                  <c:v>1.2281969568306149E-3</c:v>
                </c:pt>
                <c:pt idx="56">
                  <c:v>1.2308689978251417E-3</c:v>
                </c:pt>
                <c:pt idx="57">
                  <c:v>1.2333211668567262E-3</c:v>
                </c:pt>
                <c:pt idx="58">
                  <c:v>1.2355328722606577E-3</c:v>
                </c:pt>
                <c:pt idx="59">
                  <c:v>1.2374835223722257E-3</c:v>
                </c:pt>
                <c:pt idx="60">
                  <c:v>1.2415632243056402E-3</c:v>
                </c:pt>
                <c:pt idx="61">
                  <c:v>1.2422637366006463E-3</c:v>
                </c:pt>
                <c:pt idx="62">
                  <c:v>1.2427700906213991E-3</c:v>
                </c:pt>
                <c:pt idx="63">
                  <c:v>1.2432458092176259E-3</c:v>
                </c:pt>
                <c:pt idx="64">
                  <c:v>1.243691689483776E-3</c:v>
                </c:pt>
                <c:pt idx="65">
                  <c:v>1.2448582712462619E-3</c:v>
                </c:pt>
                <c:pt idx="66">
                  <c:v>1.2451927691366008E-3</c:v>
                </c:pt>
                <c:pt idx="67">
                  <c:v>1.2455014141691107E-3</c:v>
                </c:pt>
                <c:pt idx="68">
                  <c:v>1.2457850034382409E-3</c:v>
                </c:pt>
                <c:pt idx="69">
                  <c:v>1.2468550116389329E-3</c:v>
                </c:pt>
                <c:pt idx="70">
                  <c:v>1.2470050053112261E-3</c:v>
                </c:pt>
                <c:pt idx="71">
                  <c:v>1.2471355228812864E-3</c:v>
                </c:pt>
                <c:pt idx="72">
                  <c:v>1.247247361443563E-3</c:v>
                </c:pt>
                <c:pt idx="73">
                  <c:v>1.2474787740281881E-3</c:v>
                </c:pt>
                <c:pt idx="74">
                  <c:v>1.2475238675038263E-3</c:v>
                </c:pt>
                <c:pt idx="75">
                  <c:v>1.2475542674439289E-3</c:v>
                </c:pt>
                <c:pt idx="76">
                  <c:v>1.247570770942945E-3</c:v>
                </c:pt>
                <c:pt idx="77">
                  <c:v>1.2475741750953245E-3</c:v>
                </c:pt>
                <c:pt idx="78">
                  <c:v>1.247513762417137E-3</c:v>
                </c:pt>
                <c:pt idx="79">
                  <c:v>1.2474727401274642E-3</c:v>
                </c:pt>
                <c:pt idx="80">
                  <c:v>1.2474226039634023E-3</c:v>
                </c:pt>
                <c:pt idx="81">
                  <c:v>1.2473641510194007E-3</c:v>
                </c:pt>
                <c:pt idx="82">
                  <c:v>1.2472981783899089E-3</c:v>
                </c:pt>
                <c:pt idx="83">
                  <c:v>1.2469581078756091E-3</c:v>
                </c:pt>
                <c:pt idx="84">
                  <c:v>1.246792024222293E-3</c:v>
                </c:pt>
                <c:pt idx="85">
                  <c:v>1.2466031979552028E-3</c:v>
                </c:pt>
                <c:pt idx="86">
                  <c:v>1.246393801550639E-3</c:v>
                </c:pt>
                <c:pt idx="87">
                  <c:v>1.2453939640836532E-3</c:v>
                </c:pt>
                <c:pt idx="88">
                  <c:v>1.2451143041362263E-3</c:v>
                </c:pt>
                <c:pt idx="89">
                  <c:v>1.2448271089091278E-3</c:v>
                </c:pt>
                <c:pt idx="90">
                  <c:v>1.2445345508786583E-3</c:v>
                </c:pt>
                <c:pt idx="91">
                  <c:v>1.2442388025211181E-3</c:v>
                </c:pt>
                <c:pt idx="92">
                  <c:v>1.2433541402490768E-3</c:v>
                </c:pt>
                <c:pt idx="93">
                  <c:v>1.2430673553462575E-3</c:v>
                </c:pt>
                <c:pt idx="94">
                  <c:v>1.2427882424978693E-3</c:v>
                </c:pt>
                <c:pt idx="95">
                  <c:v>1.2425189741802128E-3</c:v>
                </c:pt>
                <c:pt idx="96">
                  <c:v>1.2422617228695881E-3</c:v>
                </c:pt>
                <c:pt idx="97">
                  <c:v>1.2415837957429094E-3</c:v>
                </c:pt>
                <c:pt idx="98">
                  <c:v>1.2413963372234162E-3</c:v>
                </c:pt>
                <c:pt idx="99">
                  <c:v>1.2412317580924568E-3</c:v>
                </c:pt>
                <c:pt idx="100">
                  <c:v>1.2410922308263316E-3</c:v>
                </c:pt>
                <c:pt idx="101">
                  <c:v>1.240979927901341E-3</c:v>
                </c:pt>
                <c:pt idx="102">
                  <c:v>1.2408280899361803E-3</c:v>
                </c:pt>
                <c:pt idx="103">
                  <c:v>1.2408331295221341E-3</c:v>
                </c:pt>
                <c:pt idx="104">
                  <c:v>1.2408481279412805E-3</c:v>
                </c:pt>
                <c:pt idx="105">
                  <c:v>1.2408729046855459E-3</c:v>
                </c:pt>
                <c:pt idx="106">
                  <c:v>1.2409072792468571E-3</c:v>
                </c:pt>
                <c:pt idx="107">
                  <c:v>1.2410661847523327E-3</c:v>
                </c:pt>
                <c:pt idx="108">
                  <c:v>1.2411371455010943E-3</c:v>
                </c:pt>
                <c:pt idx="109">
                  <c:v>1.2412168015265353E-3</c:v>
                </c:pt>
                <c:pt idx="110">
                  <c:v>1.2413049723205825E-3</c:v>
                </c:pt>
                <c:pt idx="111">
                  <c:v>1.2414014773751622E-3</c:v>
                </c:pt>
                <c:pt idx="112">
                  <c:v>1.2417391930213662E-3</c:v>
                </c:pt>
                <c:pt idx="113">
                  <c:v>1.2418672300373447E-3</c:v>
                </c:pt>
                <c:pt idx="114">
                  <c:v>1.2420026987734895E-3</c:v>
                </c:pt>
                <c:pt idx="115">
                  <c:v>1.2421454187217275E-3</c:v>
                </c:pt>
                <c:pt idx="116">
                  <c:v>1.2422952093739852E-3</c:v>
                </c:pt>
                <c:pt idx="117">
                  <c:v>1.242785200474145E-3</c:v>
                </c:pt>
                <c:pt idx="118">
                  <c:v>1.2429614688617494E-3</c:v>
                </c:pt>
                <c:pt idx="119">
                  <c:v>1.2431439054130071E-3</c:v>
                </c:pt>
                <c:pt idx="120">
                  <c:v>1.2433323296198451E-3</c:v>
                </c:pt>
                <c:pt idx="121">
                  <c:v>1.2435265609741901E-3</c:v>
                </c:pt>
                <c:pt idx="122">
                  <c:v>1.2441422928415331E-3</c:v>
                </c:pt>
                <c:pt idx="123">
                  <c:v>1.2443579477051726E-3</c:v>
                </c:pt>
                <c:pt idx="124">
                  <c:v>1.2445785071759526E-3</c:v>
                </c:pt>
                <c:pt idx="125">
                  <c:v>1.2448040506705962E-3</c:v>
                </c:pt>
                <c:pt idx="126">
                  <c:v>1.2450347372230362E-3</c:v>
                </c:pt>
                <c:pt idx="127">
                  <c:v>1.2457570444045461E-3</c:v>
                </c:pt>
                <c:pt idx="128">
                  <c:v>1.2460076923655832E-3</c:v>
                </c:pt>
                <c:pt idx="129">
                  <c:v>1.2462631779731224E-3</c:v>
                </c:pt>
                <c:pt idx="130">
                  <c:v>1.2465234401449051E-3</c:v>
                </c:pt>
                <c:pt idx="131">
                  <c:v>1.2467884177986724E-3</c:v>
                </c:pt>
                <c:pt idx="132">
                  <c:v>1.2476110328292929E-3</c:v>
                </c:pt>
                <c:pt idx="133">
                  <c:v>1.24789426158841E-3</c:v>
                </c:pt>
                <c:pt idx="134">
                  <c:v>1.2481819004182173E-3</c:v>
                </c:pt>
                <c:pt idx="135">
                  <c:v>1.2484738882364561E-3</c:v>
                </c:pt>
                <c:pt idx="136">
                  <c:v>1.2487701639608676E-3</c:v>
                </c:pt>
                <c:pt idx="137">
                  <c:v>1.2496841077485501E-3</c:v>
                </c:pt>
                <c:pt idx="138">
                  <c:v>1.249996924275064E-3</c:v>
                </c:pt>
                <c:pt idx="139">
                  <c:v>1.2503137232964564E-3</c:v>
                </c:pt>
                <c:pt idx="140">
                  <c:v>1.2506344437304684E-3</c:v>
                </c:pt>
                <c:pt idx="141">
                  <c:v>1.2509590244948413E-3</c:v>
                </c:pt>
                <c:pt idx="142">
                  <c:v>1.2519553179475367E-3</c:v>
                </c:pt>
                <c:pt idx="143">
                  <c:v>1.2522947292107646E-3</c:v>
                </c:pt>
                <c:pt idx="144">
                  <c:v>1.2526376953930591E-3</c:v>
                </c:pt>
                <c:pt idx="145">
                  <c:v>1.2529841554121616E-3</c:v>
                </c:pt>
                <c:pt idx="146">
                  <c:v>1.2533340481858128E-3</c:v>
                </c:pt>
                <c:pt idx="147">
                  <c:v>1.2544037122114726E-3</c:v>
                </c:pt>
                <c:pt idx="148">
                  <c:v>1.2547667251807315E-3</c:v>
                </c:pt>
                <c:pt idx="149">
                  <c:v>1.2551328654932452E-3</c:v>
                </c:pt>
                <c:pt idx="150">
                  <c:v>1.2555020720667548E-3</c:v>
                </c:pt>
                <c:pt idx="151">
                  <c:v>1.2558742838190016E-3</c:v>
                </c:pt>
                <c:pt idx="152">
                  <c:v>1.2570083393255767E-3</c:v>
                </c:pt>
                <c:pt idx="153">
                  <c:v>1.2573919609701837E-3</c:v>
                </c:pt>
                <c:pt idx="154">
                  <c:v>1.2577782823822339E-3</c:v>
                </c:pt>
                <c:pt idx="155">
                  <c:v>1.2581672424794679E-3</c:v>
                </c:pt>
                <c:pt idx="156">
                  <c:v>1.2585587801796274E-3</c:v>
                </c:pt>
                <c:pt idx="157">
                  <c:v>1.2597482480750689E-3</c:v>
                </c:pt>
                <c:pt idx="158">
                  <c:v>1.2601494853643413E-3</c:v>
                </c:pt>
                <c:pt idx="159">
                  <c:v>1.2605529948452444E-3</c:v>
                </c:pt>
                <c:pt idx="160">
                  <c:v>1.26095871543552E-3</c:v>
                </c:pt>
                <c:pt idx="161">
                  <c:v>1.2613665860529092E-3</c:v>
                </c:pt>
                <c:pt idx="162">
                  <c:v>1.2626024872451685E-3</c:v>
                </c:pt>
                <c:pt idx="163">
                  <c:v>1.2630183471484229E-3</c:v>
                </c:pt>
                <c:pt idx="164">
                  <c:v>1.2634360516674968E-3</c:v>
                </c:pt>
                <c:pt idx="165">
                  <c:v>1.2638555397201309E-3</c:v>
                </c:pt>
                <c:pt idx="166">
                  <c:v>1.2642767502240666E-3</c:v>
                </c:pt>
                <c:pt idx="167">
                  <c:v>1.265550105621095E-3</c:v>
                </c:pt>
                <c:pt idx="168">
                  <c:v>1.2659775951076489E-3</c:v>
                </c:pt>
                <c:pt idx="169">
                  <c:v>1.26640650163421E-3</c:v>
                </c:pt>
                <c:pt idx="170">
                  <c:v>1.2668367641185197E-3</c:v>
                </c:pt>
                <c:pt idx="171">
                  <c:v>1.2672683214783192E-3</c:v>
                </c:pt>
                <c:pt idx="172">
                  <c:v>1.2685701519880679E-3</c:v>
                </c:pt>
                <c:pt idx="173">
                  <c:v>1.269006278027238E-3</c:v>
                </c:pt>
                <c:pt idx="174">
                  <c:v>1.2694433935306036E-3</c:v>
                </c:pt>
                <c:pt idx="175">
                  <c:v>1.2698814374159061E-3</c:v>
                </c:pt>
                <c:pt idx="176">
                  <c:v>1.2703203486008864E-3</c:v>
                </c:pt>
                <c:pt idx="177">
                  <c:v>1.2716416751313063E-3</c:v>
                </c:pt>
                <c:pt idx="178">
                  <c:v>1.2720834446924099E-3</c:v>
                </c:pt>
                <c:pt idx="179">
                  <c:v>1.2725257761418971E-3</c:v>
                </c:pt>
                <c:pt idx="180">
                  <c:v>1.2729686083975092E-3</c:v>
                </c:pt>
                <c:pt idx="181">
                  <c:v>1.2734118803769874E-3</c:v>
                </c:pt>
                <c:pt idx="182">
                  <c:v>1.27474372383603E-3</c:v>
                </c:pt>
                <c:pt idx="183">
                  <c:v>1.2751881438883841E-3</c:v>
                </c:pt>
                <c:pt idx="184">
                  <c:v>1.2756326982533098E-3</c:v>
                </c:pt>
                <c:pt idx="185">
                  <c:v>1.2760773258485489E-3</c:v>
                </c:pt>
                <c:pt idx="186">
                  <c:v>1.276521965591842E-3</c:v>
                </c:pt>
                <c:pt idx="187">
                  <c:v>1.2778553468874583E-3</c:v>
                </c:pt>
                <c:pt idx="188">
                  <c:v>1.27829942440038E-3</c:v>
                </c:pt>
                <c:pt idx="189">
                  <c:v>1.2787432086500616E-3</c:v>
                </c:pt>
                <c:pt idx="190">
                  <c:v>1.2791866385542443E-3</c:v>
                </c:pt>
                <c:pt idx="191">
                  <c:v>1.2796296675992461E-3</c:v>
                </c:pt>
                <c:pt idx="192">
                  <c:v>1.2809565254597111E-3</c:v>
                </c:pt>
                <c:pt idx="193">
                  <c:v>1.281398156085688E-3</c:v>
                </c:pt>
                <c:pt idx="194">
                  <c:v>1.2818395029299103E-3</c:v>
                </c:pt>
                <c:pt idx="195">
                  <c:v>1.2822805923215783E-3</c:v>
                </c:pt>
                <c:pt idx="196">
                  <c:v>1.2827214505898928E-3</c:v>
                </c:pt>
                <c:pt idx="197">
                  <c:v>1.2840429019467202E-3</c:v>
                </c:pt>
                <c:pt idx="198">
                  <c:v>1.2844830990136262E-3</c:v>
                </c:pt>
                <c:pt idx="199">
                  <c:v>1.2849231966031813E-3</c:v>
                </c:pt>
                <c:pt idx="200">
                  <c:v>1.2853632210445864E-3</c:v>
                </c:pt>
                <c:pt idx="201">
                  <c:v>1.2858031986670421E-3</c:v>
                </c:pt>
                <c:pt idx="202">
                  <c:v>1.2871231139127174E-3</c:v>
                </c:pt>
                <c:pt idx="203">
                  <c:v>1.2875631675513808E-3</c:v>
                </c:pt>
                <c:pt idx="204">
                  <c:v>1.2880033060170973E-3</c:v>
                </c:pt>
                <c:pt idx="205">
                  <c:v>1.288443555639068E-3</c:v>
                </c:pt>
                <c:pt idx="206">
                  <c:v>1.2888839427464933E-3</c:v>
                </c:pt>
                <c:pt idx="207">
                  <c:v>1.2902061922735017E-3</c:v>
                </c:pt>
                <c:pt idx="208">
                  <c:v>1.2906473926147508E-3</c:v>
                </c:pt>
                <c:pt idx="209">
                  <c:v>1.2910888620874573E-3</c:v>
                </c:pt>
                <c:pt idx="210">
                  <c:v>1.2915306270208219E-3</c:v>
                </c:pt>
                <c:pt idx="211">
                  <c:v>1.2919727137440452E-3</c:v>
                </c:pt>
                <c:pt idx="212">
                  <c:v>1.2933011679448719E-3</c:v>
                </c:pt>
                <c:pt idx="213">
                  <c:v>1.2937448051195354E-3</c:v>
                </c:pt>
                <c:pt idx="214">
                  <c:v>1.2941888957300602E-3</c:v>
                </c:pt>
                <c:pt idx="215">
                  <c:v>1.2946334661056472E-3</c:v>
                </c:pt>
                <c:pt idx="216">
                  <c:v>1.2950785425754968E-3</c:v>
                </c:pt>
                <c:pt idx="217">
                  <c:v>1.2964170718426273E-3</c:v>
                </c:pt>
                <c:pt idx="218">
                  <c:v>1.2968644359815334E-3</c:v>
                </c:pt>
                <c:pt idx="219">
                  <c:v>1.2973124378607051E-3</c:v>
                </c:pt>
                <c:pt idx="220">
                  <c:v>1.2977611038093428E-3</c:v>
                </c:pt>
                <c:pt idx="221">
                  <c:v>1.2982104601566473E-3</c:v>
                </c:pt>
                <c:pt idx="222">
                  <c:v>1.2995629348825667E-3</c:v>
                </c:pt>
                <c:pt idx="223">
                  <c:v>1.300015316116544E-3</c:v>
                </c:pt>
                <c:pt idx="224">
                  <c:v>1.3004685193951909E-3</c:v>
                </c:pt>
                <c:pt idx="225">
                  <c:v>1.3009225710477077E-3</c:v>
                </c:pt>
                <c:pt idx="226">
                  <c:v>1.3013774974032955E-3</c:v>
                </c:pt>
                <c:pt idx="227">
                  <c:v>1.3027477879804894E-3</c:v>
                </c:pt>
                <c:pt idx="228">
                  <c:v>1.303206476440366E-3</c:v>
                </c:pt>
                <c:pt idx="229">
                  <c:v>1.3036661712493166E-3</c:v>
                </c:pt>
                <c:pt idx="230">
                  <c:v>1.3041268987365412E-3</c:v>
                </c:pt>
                <c:pt idx="231">
                  <c:v>1.3045886852312406E-3</c:v>
                </c:pt>
                <c:pt idx="232">
                  <c:v>1.3059806620521941E-3</c:v>
                </c:pt>
                <c:pt idx="233">
                  <c:v>1.3064469478687988E-3</c:v>
                </c:pt>
                <c:pt idx="234">
                  <c:v>1.3069144243388813E-3</c:v>
                </c:pt>
                <c:pt idx="235">
                  <c:v>1.307383117791642E-3</c:v>
                </c:pt>
                <c:pt idx="236">
                  <c:v>1.3078530545562817E-3</c:v>
                </c:pt>
                <c:pt idx="237">
                  <c:v>1.3092705880134801E-3</c:v>
                </c:pt>
                <c:pt idx="238">
                  <c:v>1.3097457613176411E-3</c:v>
                </c:pt>
                <c:pt idx="239">
                  <c:v>1.3102223095796841E-3</c:v>
                </c:pt>
                <c:pt idx="240">
                  <c:v>1.3107002591288095E-3</c:v>
                </c:pt>
                <c:pt idx="241">
                  <c:v>1.3111796362942176E-3</c:v>
                </c:pt>
                <c:pt idx="242">
                  <c:v>1.312626596780146E-3</c:v>
                </c:pt>
                <c:pt idx="243">
                  <c:v>1.3131119477026922E-3</c:v>
                </c:pt>
                <c:pt idx="244">
                  <c:v>1.3135988578875238E-3</c:v>
                </c:pt>
                <c:pt idx="245">
                  <c:v>1.3140873536638422E-3</c:v>
                </c:pt>
                <c:pt idx="246">
                  <c:v>1.3145774613608475E-3</c:v>
                </c:pt>
                <c:pt idx="247">
                  <c:v>1.3160577192679916E-3</c:v>
                </c:pt>
                <c:pt idx="248">
                  <c:v>1.3165545379397506E-3</c:v>
                </c:pt>
                <c:pt idx="249">
                  <c:v>1.3170531001781998E-3</c:v>
                </c:pt>
                <c:pt idx="250">
                  <c:v>1.3175534323125395E-3</c:v>
                </c:pt>
                <c:pt idx="251">
                  <c:v>1.3180555606719703E-3</c:v>
                </c:pt>
                <c:pt idx="252">
                  <c:v>1.3195729863928151E-3</c:v>
                </c:pt>
                <c:pt idx="253">
                  <c:v>1.320082562944616E-3</c:v>
                </c:pt>
                <c:pt idx="254">
                  <c:v>1.3205940673675109E-3</c:v>
                </c:pt>
                <c:pt idx="255">
                  <c:v>1.3211075259907004E-3</c:v>
                </c:pt>
                <c:pt idx="256">
                  <c:v>1.3231810327849105E-3</c:v>
                </c:pt>
                <c:pt idx="257">
                  <c:v>1.3237042796379593E-3</c:v>
                </c:pt>
                <c:pt idx="258">
                  <c:v>1.3242294529076755E-3</c:v>
                </c:pt>
                <c:pt idx="259">
                  <c:v>1.3247565417714936E-3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77760"/>
        <c:axId val="152807296"/>
      </c:scatterChart>
      <c:valAx>
        <c:axId val="152677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52807296"/>
        <c:crosses val="autoZero"/>
        <c:crossBetween val="midCat"/>
      </c:valAx>
      <c:valAx>
        <c:axId val="15280729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526777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41997</c:v>
                </c:pt>
              </c:numCache>
            </c:numRef>
          </c:xVal>
          <c:yVal>
            <c:numRef>
              <c:f>'Delta 6M '!$P$3</c:f>
              <c:numCache>
                <c:formatCode>0.0000%</c:formatCode>
                <c:ptCount val="1"/>
                <c:pt idx="0">
                  <c:v>2.0999999999997236E-3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42030</c:v>
                </c:pt>
                <c:pt idx="1">
                  <c:v>42059</c:v>
                </c:pt>
                <c:pt idx="2">
                  <c:v>42087</c:v>
                </c:pt>
                <c:pt idx="3">
                  <c:v>42118</c:v>
                </c:pt>
                <c:pt idx="4">
                  <c:v>42149</c:v>
                </c:pt>
                <c:pt idx="5">
                  <c:v>42179</c:v>
                </c:pt>
                <c:pt idx="6">
                  <c:v>42209</c:v>
                </c:pt>
                <c:pt idx="7">
                  <c:v>42240</c:v>
                </c:pt>
                <c:pt idx="8">
                  <c:v>42271</c:v>
                </c:pt>
                <c:pt idx="9">
                  <c:v>42303</c:v>
                </c:pt>
                <c:pt idx="10">
                  <c:v>42332</c:v>
                </c:pt>
                <c:pt idx="11">
                  <c:v>42362</c:v>
                </c:pt>
              </c:numCache>
            </c:numRef>
          </c:xVal>
          <c:yVal>
            <c:numRef>
              <c:f>'Delta 6M '!$P$4:$P$15</c:f>
              <c:numCache>
                <c:formatCode>0.0000%</c:formatCode>
                <c:ptCount val="12"/>
                <c:pt idx="0">
                  <c:v>2.2096834271276731E-3</c:v>
                </c:pt>
                <c:pt idx="1">
                  <c:v>2.3085280341510854E-3</c:v>
                </c:pt>
                <c:pt idx="2">
                  <c:v>2.4312168169416861E-3</c:v>
                </c:pt>
                <c:pt idx="3">
                  <c:v>2.4278057728761172E-3</c:v>
                </c:pt>
                <c:pt idx="4">
                  <c:v>2.4282848700763974E-3</c:v>
                </c:pt>
                <c:pt idx="5">
                  <c:v>2.448880488078582E-3</c:v>
                </c:pt>
                <c:pt idx="6">
                  <c:v>2.4534651297369739E-3</c:v>
                </c:pt>
                <c:pt idx="7">
                  <c:v>2.5056975899531682E-3</c:v>
                </c:pt>
                <c:pt idx="8">
                  <c:v>2.530814864956162E-3</c:v>
                </c:pt>
                <c:pt idx="9">
                  <c:v>2.5636005077866479E-3</c:v>
                </c:pt>
                <c:pt idx="10">
                  <c:v>2.5772130260973899E-3</c:v>
                </c:pt>
                <c:pt idx="11">
                  <c:v>2.5996265288670728E-3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xVal>
          <c:yVal>
            <c:numRef>
              <c:f>'Delta 6M '!$T$3:$T$262</c:f>
              <c:numCache>
                <c:formatCode>0.0000%</c:formatCode>
                <c:ptCount val="260"/>
                <c:pt idx="0">
                  <c:v>2.091614271469013E-3</c:v>
                </c:pt>
                <c:pt idx="1">
                  <c:v>2.1153375447043044E-3</c:v>
                </c:pt>
                <c:pt idx="2">
                  <c:v>2.1197215019490745E-3</c:v>
                </c:pt>
                <c:pt idx="3">
                  <c:v>2.1239947906726881E-3</c:v>
                </c:pt>
                <c:pt idx="4">
                  <c:v>2.1322257578929131E-3</c:v>
                </c:pt>
                <c:pt idx="5">
                  <c:v>2.1438446656674988E-3</c:v>
                </c:pt>
                <c:pt idx="6">
                  <c:v>2.1475400187806275E-3</c:v>
                </c:pt>
                <c:pt idx="7">
                  <c:v>2.1511533952114185E-3</c:v>
                </c:pt>
                <c:pt idx="8">
                  <c:v>2.1546888937939881E-3</c:v>
                </c:pt>
                <c:pt idx="9">
                  <c:v>2.158150613362453E-3</c:v>
                </c:pt>
                <c:pt idx="10">
                  <c:v>2.1681340863243912E-3</c:v>
                </c:pt>
                <c:pt idx="11">
                  <c:v>2.1713416781776076E-3</c:v>
                </c:pt>
                <c:pt idx="12">
                  <c:v>2.1744959851873044E-3</c:v>
                </c:pt>
                <c:pt idx="13">
                  <c:v>2.1776011061875981E-3</c:v>
                </c:pt>
                <c:pt idx="14">
                  <c:v>2.1806611400126061E-3</c:v>
                </c:pt>
                <c:pt idx="15">
                  <c:v>2.1896117067770823E-3</c:v>
                </c:pt>
                <c:pt idx="16">
                  <c:v>2.1925323802421152E-3</c:v>
                </c:pt>
                <c:pt idx="17">
                  <c:v>2.1954284607024464E-3</c:v>
                </c:pt>
                <c:pt idx="18">
                  <c:v>2.1983040469921934E-3</c:v>
                </c:pt>
                <c:pt idx="19">
                  <c:v>2.2011632379454723E-3</c:v>
                </c:pt>
                <c:pt idx="20">
                  <c:v>2.2096834271276731E-3</c:v>
                </c:pt>
                <c:pt idx="21">
                  <c:v>2.2125180250762507E-3</c:v>
                </c:pt>
                <c:pt idx="22">
                  <c:v>2.2153567218589454E-3</c:v>
                </c:pt>
                <c:pt idx="23">
                  <c:v>2.218203616309874E-3</c:v>
                </c:pt>
                <c:pt idx="24">
                  <c:v>2.2210628072631528E-3</c:v>
                </c:pt>
                <c:pt idx="25">
                  <c:v>2.2297551474782639E-3</c:v>
                </c:pt>
                <c:pt idx="26">
                  <c:v>2.2327045127821152E-3</c:v>
                </c:pt>
                <c:pt idx="27">
                  <c:v>2.2356866687589017E-3</c:v>
                </c:pt>
                <c:pt idx="28">
                  <c:v>2.2387057142427402E-3</c:v>
                </c:pt>
                <c:pt idx="29">
                  <c:v>2.2417657480677481E-3</c:v>
                </c:pt>
                <c:pt idx="30">
                  <c:v>2.2512327679309551E-3</c:v>
                </c:pt>
                <c:pt idx="31">
                  <c:v>2.2544977434618084E-3</c:v>
                </c:pt>
                <c:pt idx="32">
                  <c:v>2.2578242015044154E-3</c:v>
                </c:pt>
                <c:pt idx="33">
                  <c:v>2.2612162408928932E-3</c:v>
                </c:pt>
                <c:pt idx="34">
                  <c:v>2.2646779604613581E-3</c:v>
                </c:pt>
                <c:pt idx="35">
                  <c:v>2.2755221885878475E-3</c:v>
                </c:pt>
                <c:pt idx="36">
                  <c:v>2.279303617217432E-3</c:v>
                </c:pt>
                <c:pt idx="37">
                  <c:v>2.2831752201975882E-3</c:v>
                </c:pt>
                <c:pt idx="38">
                  <c:v>2.2871410963624331E-3</c:v>
                </c:pt>
                <c:pt idx="39">
                  <c:v>2.2912053445460841E-3</c:v>
                </c:pt>
                <c:pt idx="40">
                  <c:v>2.3040293095510419E-3</c:v>
                </c:pt>
                <c:pt idx="41">
                  <c:v>2.3085280341510854E-3</c:v>
                </c:pt>
                <c:pt idx="42">
                  <c:v>2.3132127141089476E-3</c:v>
                </c:pt>
                <c:pt idx="43">
                  <c:v>2.3181320298257344E-3</c:v>
                </c:pt>
                <c:pt idx="44">
                  <c:v>2.3232563187334044E-3</c:v>
                </c:pt>
                <c:pt idx="45">
                  <c:v>2.339562398921303E-3</c:v>
                </c:pt>
                <c:pt idx="46">
                  <c:v>2.3452099549120947E-3</c:v>
                </c:pt>
                <c:pt idx="47">
                  <c:v>2.3509141712535638E-3</c:v>
                </c:pt>
                <c:pt idx="48">
                  <c:v>2.3566453853776687E-3</c:v>
                </c:pt>
                <c:pt idx="49">
                  <c:v>2.3623739347163682E-3</c:v>
                </c:pt>
                <c:pt idx="50">
                  <c:v>2.3792469683396244E-3</c:v>
                </c:pt>
                <c:pt idx="51">
                  <c:v>2.3846682328562915E-3</c:v>
                </c:pt>
                <c:pt idx="52">
                  <c:v>2.389938519747347E-3</c:v>
                </c:pt>
                <c:pt idx="53">
                  <c:v>2.3950281664447503E-3</c:v>
                </c:pt>
                <c:pt idx="54">
                  <c:v>2.3999075103804594E-3</c:v>
                </c:pt>
                <c:pt idx="55">
                  <c:v>2.4129870999370132E-3</c:v>
                </c:pt>
                <c:pt idx="56">
                  <c:v>2.4167286071455352E-3</c:v>
                </c:pt>
                <c:pt idx="57">
                  <c:v>2.4201114987521576E-3</c:v>
                </c:pt>
                <c:pt idx="58">
                  <c:v>2.4231061121888389E-3</c:v>
                </c:pt>
                <c:pt idx="59">
                  <c:v>2.425682784887538E-3</c:v>
                </c:pt>
                <c:pt idx="60">
                  <c:v>2.4306085328753284E-3</c:v>
                </c:pt>
                <c:pt idx="61">
                  <c:v>2.4312168169416861E-3</c:v>
                </c:pt>
                <c:pt idx="62">
                  <c:v>2.4315177596012658E-3</c:v>
                </c:pt>
                <c:pt idx="63">
                  <c:v>2.4317623802341168E-3</c:v>
                </c:pt>
                <c:pt idx="64">
                  <c:v>2.431953670937217E-3</c:v>
                </c:pt>
                <c:pt idx="65">
                  <c:v>2.4322374844377931E-3</c:v>
                </c:pt>
                <c:pt idx="66">
                  <c:v>2.4322453763916708E-3</c:v>
                </c:pt>
                <c:pt idx="67">
                  <c:v>2.4322148989006876E-3</c:v>
                </c:pt>
                <c:pt idx="68">
                  <c:v>2.4321490440618225E-3</c:v>
                </c:pt>
                <c:pt idx="69">
                  <c:v>2.4313938330434914E-3</c:v>
                </c:pt>
                <c:pt idx="70">
                  <c:v>2.4311785481538708E-3</c:v>
                </c:pt>
                <c:pt idx="71">
                  <c:v>2.4309488305952142E-3</c:v>
                </c:pt>
                <c:pt idx="72">
                  <c:v>2.4307076724644993E-3</c:v>
                </c:pt>
                <c:pt idx="73">
                  <c:v>2.4299454756097879E-3</c:v>
                </c:pt>
                <c:pt idx="74">
                  <c:v>2.4296884761606219E-3</c:v>
                </c:pt>
                <c:pt idx="75">
                  <c:v>2.4294349966242882E-3</c:v>
                </c:pt>
                <c:pt idx="76">
                  <c:v>2.4291880290977647E-3</c:v>
                </c:pt>
                <c:pt idx="77">
                  <c:v>2.4289505656780296E-3</c:v>
                </c:pt>
                <c:pt idx="78">
                  <c:v>2.4283251210293357E-3</c:v>
                </c:pt>
                <c:pt idx="79">
                  <c:v>2.4281555950065349E-3</c:v>
                </c:pt>
                <c:pt idx="80">
                  <c:v>2.428010533575413E-3</c:v>
                </c:pt>
                <c:pt idx="81">
                  <c:v>2.4278929288329477E-3</c:v>
                </c:pt>
                <c:pt idx="82">
                  <c:v>2.4278057728761172E-3</c:v>
                </c:pt>
                <c:pt idx="83">
                  <c:v>2.4276139982930718E-3</c:v>
                </c:pt>
                <c:pt idx="84">
                  <c:v>2.4275596765262826E-3</c:v>
                </c:pt>
                <c:pt idx="85">
                  <c:v>2.4275103171260484E-3</c:v>
                </c:pt>
                <c:pt idx="86">
                  <c:v>2.4274660165840346E-3</c:v>
                </c:pt>
                <c:pt idx="87">
                  <c:v>2.4273413328314898E-3</c:v>
                </c:pt>
                <c:pt idx="88">
                  <c:v>2.427323773955558E-3</c:v>
                </c:pt>
                <c:pt idx="89">
                  <c:v>2.4273118528878386E-3</c:v>
                </c:pt>
                <c:pt idx="90">
                  <c:v>2.4273056661199967E-3</c:v>
                </c:pt>
                <c:pt idx="91">
                  <c:v>2.4273053101436979E-3</c:v>
                </c:pt>
                <c:pt idx="92">
                  <c:v>2.4273401918807128E-3</c:v>
                </c:pt>
                <c:pt idx="93">
                  <c:v>2.4273641239872389E-3</c:v>
                </c:pt>
                <c:pt idx="94">
                  <c:v>2.4273943693436349E-3</c:v>
                </c:pt>
                <c:pt idx="95">
                  <c:v>2.4274310244415663E-3</c:v>
                </c:pt>
                <c:pt idx="96">
                  <c:v>2.4274741857726974E-3</c:v>
                </c:pt>
                <c:pt idx="97">
                  <c:v>2.4276436720819462E-3</c:v>
                </c:pt>
                <c:pt idx="98">
                  <c:v>2.4277138232625321E-3</c:v>
                </c:pt>
                <c:pt idx="99">
                  <c:v>2.4277909631346445E-3</c:v>
                </c:pt>
                <c:pt idx="100">
                  <c:v>2.4278751881899492E-3</c:v>
                </c:pt>
                <c:pt idx="101">
                  <c:v>2.4279665949201116E-3</c:v>
                </c:pt>
                <c:pt idx="102">
                  <c:v>2.4282848700763974E-3</c:v>
                </c:pt>
                <c:pt idx="103">
                  <c:v>2.4284356906890537E-3</c:v>
                </c:pt>
                <c:pt idx="104">
                  <c:v>2.4286515490058382E-3</c:v>
                </c:pt>
                <c:pt idx="105">
                  <c:v>2.4289294350755991E-3</c:v>
                </c:pt>
                <c:pt idx="106">
                  <c:v>2.4292663389471861E-3</c:v>
                </c:pt>
                <c:pt idx="107">
                  <c:v>2.4306010578613916E-3</c:v>
                </c:pt>
                <c:pt idx="108">
                  <c:v>2.431143933428772E-3</c:v>
                </c:pt>
                <c:pt idx="109">
                  <c:v>2.4317307770422227E-3</c:v>
                </c:pt>
                <c:pt idx="110">
                  <c:v>2.4323585787505934E-3</c:v>
                </c:pt>
                <c:pt idx="111">
                  <c:v>2.4330243286027325E-3</c:v>
                </c:pt>
                <c:pt idx="112">
                  <c:v>2.4352191675102524E-3</c:v>
                </c:pt>
                <c:pt idx="113">
                  <c:v>2.436006610425956E-3</c:v>
                </c:pt>
                <c:pt idx="114">
                  <c:v>2.4368169517296739E-3</c:v>
                </c:pt>
                <c:pt idx="115">
                  <c:v>2.437647181470254E-3</c:v>
                </c:pt>
                <c:pt idx="116">
                  <c:v>2.4384942896965456E-3</c:v>
                </c:pt>
                <c:pt idx="117">
                  <c:v>2.4411067857781805E-3</c:v>
                </c:pt>
                <c:pt idx="118">
                  <c:v>2.4419913084358083E-3</c:v>
                </c:pt>
                <c:pt idx="119">
                  <c:v>2.442877659823393E-3</c:v>
                </c:pt>
                <c:pt idx="120">
                  <c:v>2.443762829989783E-3</c:v>
                </c:pt>
                <c:pt idx="121">
                  <c:v>2.4446438089838277E-3</c:v>
                </c:pt>
                <c:pt idx="122">
                  <c:v>2.4472314994203781E-3</c:v>
                </c:pt>
                <c:pt idx="123">
                  <c:v>2.4480656142135304E-3</c:v>
                </c:pt>
                <c:pt idx="124">
                  <c:v>2.448880488078582E-3</c:v>
                </c:pt>
                <c:pt idx="125">
                  <c:v>2.4496872055512014E-3</c:v>
                </c:pt>
                <c:pt idx="126">
                  <c:v>2.450498790596767E-3</c:v>
                </c:pt>
                <c:pt idx="127">
                  <c:v>2.4529617431052913E-3</c:v>
                </c:pt>
                <c:pt idx="128">
                  <c:v>2.4537917903767912E-3</c:v>
                </c:pt>
                <c:pt idx="129">
                  <c:v>2.4546262011883122E-3</c:v>
                </c:pt>
                <c:pt idx="130">
                  <c:v>2.455464874733269E-3</c:v>
                </c:pt>
                <c:pt idx="131">
                  <c:v>2.4563077102050766E-3</c:v>
                </c:pt>
                <c:pt idx="132">
                  <c:v>2.4588601801157515E-3</c:v>
                </c:pt>
                <c:pt idx="133">
                  <c:v>2.4597186552291106E-3</c:v>
                </c:pt>
                <c:pt idx="134">
                  <c:v>2.460580788236395E-3</c:v>
                </c:pt>
                <c:pt idx="135">
                  <c:v>2.4614464783310193E-3</c:v>
                </c:pt>
                <c:pt idx="136">
                  <c:v>2.4623156247063987E-3</c:v>
                </c:pt>
                <c:pt idx="137">
                  <c:v>2.4649427934512152E-3</c:v>
                </c:pt>
                <c:pt idx="138">
                  <c:v>2.4658247568837633E-3</c:v>
                </c:pt>
                <c:pt idx="139">
                  <c:v>2.4667096725641408E-3</c:v>
                </c:pt>
                <c:pt idx="140">
                  <c:v>2.4675974396857628E-3</c:v>
                </c:pt>
                <c:pt idx="141">
                  <c:v>2.4684879574420437E-3</c:v>
                </c:pt>
                <c:pt idx="142">
                  <c:v>2.4711750064529922E-3</c:v>
                </c:pt>
                <c:pt idx="143">
                  <c:v>2.4720755186820593E-3</c:v>
                </c:pt>
                <c:pt idx="144">
                  <c:v>2.4729782775128602E-3</c:v>
                </c:pt>
                <c:pt idx="145">
                  <c:v>2.4738831821388097E-3</c:v>
                </c:pt>
                <c:pt idx="146">
                  <c:v>2.4747901317533228E-3</c:v>
                </c:pt>
                <c:pt idx="147">
                  <c:v>2.4775222424623928E-3</c:v>
                </c:pt>
                <c:pt idx="148">
                  <c:v>2.4784363639653094E-3</c:v>
                </c:pt>
                <c:pt idx="149">
                  <c:v>2.4793520264238637E-3</c:v>
                </c:pt>
                <c:pt idx="150">
                  <c:v>2.4802691290314715E-3</c:v>
                </c:pt>
                <c:pt idx="151">
                  <c:v>2.4811875709815469E-3</c:v>
                </c:pt>
                <c:pt idx="152">
                  <c:v>2.4839499248207287E-3</c:v>
                </c:pt>
                <c:pt idx="153">
                  <c:v>2.4848727160748244E-3</c:v>
                </c:pt>
                <c:pt idx="154">
                  <c:v>2.4857963426384625E-3</c:v>
                </c:pt>
                <c:pt idx="155">
                  <c:v>2.4867207037050582E-3</c:v>
                </c:pt>
                <c:pt idx="156">
                  <c:v>2.4876456984680257E-3</c:v>
                </c:pt>
                <c:pt idx="157">
                  <c:v>2.49042347686931E-3</c:v>
                </c:pt>
                <c:pt idx="158">
                  <c:v>2.4913499983519154E-3</c:v>
                </c:pt>
                <c:pt idx="159">
                  <c:v>2.492276649497967E-3</c:v>
                </c:pt>
                <c:pt idx="160">
                  <c:v>2.4932033295008804E-3</c:v>
                </c:pt>
                <c:pt idx="161">
                  <c:v>2.4941299375540703E-3</c:v>
                </c:pt>
                <c:pt idx="162">
                  <c:v>2.4969083219494475E-3</c:v>
                </c:pt>
                <c:pt idx="163">
                  <c:v>2.497833634137892E-3</c:v>
                </c:pt>
                <c:pt idx="164">
                  <c:v>2.4987583703436878E-3</c:v>
                </c:pt>
                <c:pt idx="165">
                  <c:v>2.4996824297602491E-3</c:v>
                </c:pt>
                <c:pt idx="166">
                  <c:v>2.5006057115809915E-3</c:v>
                </c:pt>
                <c:pt idx="167">
                  <c:v>2.5033698834024515E-3</c:v>
                </c:pt>
                <c:pt idx="168">
                  <c:v>2.5042890467740658E-3</c:v>
                </c:pt>
                <c:pt idx="169">
                  <c:v>2.5052069285169355E-3</c:v>
                </c:pt>
                <c:pt idx="170">
                  <c:v>2.5061234278244749E-3</c:v>
                </c:pt>
                <c:pt idx="171">
                  <c:v>2.5070384438900997E-3</c:v>
                </c:pt>
                <c:pt idx="172">
                  <c:v>2.5097735845696334E-3</c:v>
                </c:pt>
                <c:pt idx="173">
                  <c:v>2.5106816596017472E-3</c:v>
                </c:pt>
                <c:pt idx="174">
                  <c:v>2.5115877473590206E-3</c:v>
                </c:pt>
                <c:pt idx="175">
                  <c:v>2.5124917470348688E-3</c:v>
                </c:pt>
                <c:pt idx="176">
                  <c:v>2.513393557822706E-3</c:v>
                </c:pt>
                <c:pt idx="177">
                  <c:v>2.516084848792303E-3</c:v>
                </c:pt>
                <c:pt idx="178">
                  <c:v>2.5169768959622469E-3</c:v>
                </c:pt>
                <c:pt idx="179">
                  <c:v>2.5178662502112542E-3</c:v>
                </c:pt>
                <c:pt idx="180">
                  <c:v>2.5187528107327405E-3</c:v>
                </c:pt>
                <c:pt idx="181">
                  <c:v>2.5196364767201204E-3</c:v>
                </c:pt>
                <c:pt idx="182">
                  <c:v>2.5222690994117715E-3</c:v>
                </c:pt>
                <c:pt idx="183">
                  <c:v>2.5231401791968749E-3</c:v>
                </c:pt>
                <c:pt idx="184">
                  <c:v>2.5240078604149467E-3</c:v>
                </c:pt>
                <c:pt idx="185">
                  <c:v>2.5248720422594013E-3</c:v>
                </c:pt>
                <c:pt idx="186">
                  <c:v>2.5257326239236542E-3</c:v>
                </c:pt>
                <c:pt idx="187">
                  <c:v>2.5282917597693492E-3</c:v>
                </c:pt>
                <c:pt idx="188">
                  <c:v>2.5291369326469427E-3</c:v>
                </c:pt>
                <c:pt idx="189">
                  <c:v>2.5299780013114084E-3</c:v>
                </c:pt>
                <c:pt idx="190">
                  <c:v>2.530814864956162E-3</c:v>
                </c:pt>
                <c:pt idx="191">
                  <c:v>2.5316474537478797E-3</c:v>
                </c:pt>
                <c:pt idx="192">
                  <c:v>2.5341202354951199E-3</c:v>
                </c:pt>
                <c:pt idx="193">
                  <c:v>2.5349364513115201E-3</c:v>
                </c:pt>
                <c:pt idx="194">
                  <c:v>2.5357487864665598E-3</c:v>
                </c:pt>
                <c:pt idx="195">
                  <c:v>2.5365573259932255E-3</c:v>
                </c:pt>
                <c:pt idx="196">
                  <c:v>2.5373621549245056E-3</c:v>
                </c:pt>
                <c:pt idx="197">
                  <c:v>2.5397552284759017E-3</c:v>
                </c:pt>
                <c:pt idx="198">
                  <c:v>2.5405460653555104E-3</c:v>
                </c:pt>
                <c:pt idx="199">
                  <c:v>2.5413336168046701E-3</c:v>
                </c:pt>
                <c:pt idx="200">
                  <c:v>2.5421179678563675E-3</c:v>
                </c:pt>
                <c:pt idx="201">
                  <c:v>2.5428992035435903E-3</c:v>
                </c:pt>
                <c:pt idx="202">
                  <c:v>2.5452250687482856E-3</c:v>
                </c:pt>
                <c:pt idx="203">
                  <c:v>2.5459946933074841E-3</c:v>
                </c:pt>
                <c:pt idx="204">
                  <c:v>2.5467616276671451E-3</c:v>
                </c:pt>
                <c:pt idx="205">
                  <c:v>2.5475259568602552E-3</c:v>
                </c:pt>
                <c:pt idx="206">
                  <c:v>2.5482877659198026E-3</c:v>
                </c:pt>
                <c:pt idx="207">
                  <c:v>2.5505589226269406E-3</c:v>
                </c:pt>
                <c:pt idx="208">
                  <c:v>2.5513115014821094E-3</c:v>
                </c:pt>
                <c:pt idx="209">
                  <c:v>2.5520619853686526E-3</c:v>
                </c:pt>
                <c:pt idx="210">
                  <c:v>2.5528104593195568E-3</c:v>
                </c:pt>
                <c:pt idx="211">
                  <c:v>2.5535570083678096E-3</c:v>
                </c:pt>
                <c:pt idx="212">
                  <c:v>2.5557859564265331E-3</c:v>
                </c:pt>
                <c:pt idx="213">
                  <c:v>2.556525656194054E-3</c:v>
                </c:pt>
                <c:pt idx="214">
                  <c:v>2.5572638562238606E-3</c:v>
                </c:pt>
                <c:pt idx="215">
                  <c:v>2.5580006415489398E-3</c:v>
                </c:pt>
                <c:pt idx="216">
                  <c:v>2.558736097202279E-3</c:v>
                </c:pt>
                <c:pt idx="217">
                  <c:v>2.560935336461732E-3</c:v>
                </c:pt>
                <c:pt idx="218">
                  <c:v>2.5616663237579859E-3</c:v>
                </c:pt>
                <c:pt idx="219">
                  <c:v>2.5623964065474365E-3</c:v>
                </c:pt>
                <c:pt idx="220">
                  <c:v>2.563125669863072E-3</c:v>
                </c:pt>
                <c:pt idx="221">
                  <c:v>2.563854198737879E-3</c:v>
                </c:pt>
                <c:pt idx="222">
                  <c:v>2.5660362290472047E-3</c:v>
                </c:pt>
                <c:pt idx="223">
                  <c:v>2.5667626704885724E-3</c:v>
                </c:pt>
                <c:pt idx="224">
                  <c:v>2.5674888026540488E-3</c:v>
                </c:pt>
                <c:pt idx="225">
                  <c:v>2.5682147105766211E-3</c:v>
                </c:pt>
                <c:pt idx="226">
                  <c:v>2.5689404792892771E-3</c:v>
                </c:pt>
                <c:pt idx="227">
                  <c:v>2.5711178004976186E-3</c:v>
                </c:pt>
                <c:pt idx="228">
                  <c:v>2.5718438627004817E-3</c:v>
                </c:pt>
                <c:pt idx="229">
                  <c:v>2.5725702108583648E-3</c:v>
                </c:pt>
                <c:pt idx="230">
                  <c:v>2.5732969300042556E-3</c:v>
                </c:pt>
                <c:pt idx="231">
                  <c:v>2.5740241051711412E-3</c:v>
                </c:pt>
                <c:pt idx="232">
                  <c:v>2.5762092171276417E-3</c:v>
                </c:pt>
                <c:pt idx="233">
                  <c:v>2.5769390667083809E-3</c:v>
                </c:pt>
                <c:pt idx="234">
                  <c:v>2.577669797475052E-3</c:v>
                </c:pt>
                <c:pt idx="235">
                  <c:v>2.5784014944606423E-3</c:v>
                </c:pt>
                <c:pt idx="236">
                  <c:v>2.5791342426981392E-3</c:v>
                </c:pt>
                <c:pt idx="237">
                  <c:v>2.5813396452519424E-3</c:v>
                </c:pt>
                <c:pt idx="238">
                  <c:v>2.5820774488269391E-3</c:v>
                </c:pt>
                <c:pt idx="239">
                  <c:v>2.5828167288187791E-3</c:v>
                </c:pt>
                <c:pt idx="240">
                  <c:v>2.5835575702604498E-3</c:v>
                </c:pt>
                <c:pt idx="241">
                  <c:v>2.5843000581849385E-3</c:v>
                </c:pt>
                <c:pt idx="242">
                  <c:v>2.5865382511851879E-3</c:v>
                </c:pt>
                <c:pt idx="243">
                  <c:v>2.587288175370823E-3</c:v>
                </c:pt>
                <c:pt idx="244">
                  <c:v>2.5880401712042129E-3</c:v>
                </c:pt>
                <c:pt idx="245">
                  <c:v>2.5887943237183453E-3</c:v>
                </c:pt>
                <c:pt idx="246">
                  <c:v>2.5895507179462076E-3</c:v>
                </c:pt>
                <c:pt idx="247">
                  <c:v>2.5918342012420459E-3</c:v>
                </c:pt>
                <c:pt idx="248">
                  <c:v>2.5926004126547008E-3</c:v>
                </c:pt>
                <c:pt idx="249">
                  <c:v>2.5933692909460219E-3</c:v>
                </c:pt>
                <c:pt idx="250">
                  <c:v>2.5941409211489973E-3</c:v>
                </c:pt>
                <c:pt idx="251">
                  <c:v>2.5949153882966138E-3</c:v>
                </c:pt>
                <c:pt idx="252">
                  <c:v>2.5972566617371846E-3</c:v>
                </c:pt>
                <c:pt idx="253">
                  <c:v>2.5980433269932402E-3</c:v>
                </c:pt>
                <c:pt idx="254">
                  <c:v>2.5988332543588739E-3</c:v>
                </c:pt>
                <c:pt idx="255">
                  <c:v>2.5996265288670728E-3</c:v>
                </c:pt>
                <c:pt idx="256">
                  <c:v>2.6028336919127915E-3</c:v>
                </c:pt>
                <c:pt idx="257">
                  <c:v>2.6036439224501706E-3</c:v>
                </c:pt>
                <c:pt idx="258">
                  <c:v>2.6044574913878147E-3</c:v>
                </c:pt>
                <c:pt idx="259">
                  <c:v>2.6052743799706655E-3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34496"/>
        <c:axId val="152635648"/>
      </c:scatterChart>
      <c:valAx>
        <c:axId val="152634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52635648"/>
        <c:crosses val="autoZero"/>
        <c:crossBetween val="midCat"/>
      </c:valAx>
      <c:valAx>
        <c:axId val="152635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526344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66676</xdr:colOff>
      <xdr:row>13</xdr:row>
      <xdr:rowOff>85724</xdr:rowOff>
    </xdr:from>
    <xdr:to>
      <xdr:col>26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66675</xdr:colOff>
      <xdr:row>13</xdr:row>
      <xdr:rowOff>57149</xdr:rowOff>
    </xdr:from>
    <xdr:to>
      <xdr:col>26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14287</xdr:rowOff>
    </xdr:from>
    <xdr:to>
      <xdr:col>16</xdr:col>
      <xdr:colOff>276225</xdr:colOff>
      <xdr:row>44</xdr:row>
      <xdr:rowOff>113728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44</xdr:row>
      <xdr:rowOff>114300</xdr:rowOff>
    </xdr:from>
    <xdr:to>
      <xdr:col>16</xdr:col>
      <xdr:colOff>276225</xdr:colOff>
      <xdr:row>74</xdr:row>
      <xdr:rowOff>70866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21</xdr:row>
      <xdr:rowOff>9525</xdr:rowOff>
    </xdr:from>
    <xdr:to>
      <xdr:col>16</xdr:col>
      <xdr:colOff>285750</xdr:colOff>
      <xdr:row>50</xdr:row>
      <xdr:rowOff>108966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50</xdr:row>
      <xdr:rowOff>114300</xdr:rowOff>
    </xdr:from>
    <xdr:to>
      <xdr:col>16</xdr:col>
      <xdr:colOff>276225</xdr:colOff>
      <xdr:row>80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248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F5</v>
          </cell>
        </row>
        <row r="7">
          <cell r="D7" t="str">
            <v>G5</v>
          </cell>
        </row>
      </sheetData>
      <sheetData sheetId="9">
        <row r="6">
          <cell r="D6" t="str">
            <v>Future Code</v>
          </cell>
        </row>
        <row r="7">
          <cell r="D7" t="str">
            <v>F5</v>
          </cell>
        </row>
      </sheetData>
      <sheetData sheetId="10">
        <row r="6">
          <cell r="D6" t="str">
            <v>F5</v>
          </cell>
        </row>
        <row r="7">
          <cell r="D7" t="str">
            <v>G5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APR15</v>
          </cell>
        </row>
        <row r="7">
          <cell r="D7" t="str">
            <v>JUN15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41992</v>
          </cell>
        </row>
        <row r="7">
          <cell r="D7">
            <v>41991</v>
          </cell>
        </row>
      </sheetData>
      <sheetData sheetId="25">
        <row r="6">
          <cell r="D6">
            <v>41992</v>
          </cell>
        </row>
        <row r="7">
          <cell r="D7">
            <v>41991</v>
          </cell>
        </row>
      </sheetData>
      <sheetData sheetId="26">
        <row r="6">
          <cell r="D6">
            <v>41995</v>
          </cell>
        </row>
        <row r="7">
          <cell r="D7">
            <v>41992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22 2014 09:21:19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145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6" t="s">
        <v>2</v>
      </c>
      <c r="E4" s="4"/>
      <c r="G4" s="9"/>
      <c r="H4" s="13" t="s">
        <v>8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">
        <v>4</v>
      </c>
      <c r="E5" s="4"/>
      <c r="F5" s="1"/>
      <c r="G5" s="9"/>
      <c r="H5" s="13" t="s">
        <v>9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4"/>
      <c r="F6" s="1"/>
      <c r="G6" s="9"/>
      <c r="H6" s="13" t="s">
        <v>11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6</v>
      </c>
      <c r="D7" s="12" t="s">
        <v>7</v>
      </c>
      <c r="E7" s="4"/>
      <c r="G7" s="9"/>
      <c r="H7" s="13" t="s">
        <v>12</v>
      </c>
      <c r="I7" s="18"/>
      <c r="J7" s="15"/>
    </row>
    <row r="8" spans="1:34" x14ac:dyDescent="0.2">
      <c r="B8" s="2"/>
      <c r="C8" s="5" t="s">
        <v>121</v>
      </c>
      <c r="D8" s="17" t="s">
        <v>122</v>
      </c>
      <c r="E8" s="4"/>
      <c r="G8" s="9"/>
      <c r="H8" s="13" t="s">
        <v>14</v>
      </c>
      <c r="I8" s="19" t="b">
        <v>1</v>
      </c>
      <c r="J8" s="15"/>
    </row>
    <row r="9" spans="1:34" x14ac:dyDescent="0.2">
      <c r="B9" s="2"/>
      <c r="C9" s="5" t="s">
        <v>151</v>
      </c>
      <c r="D9" s="17" t="s">
        <v>15</v>
      </c>
      <c r="E9" s="4"/>
      <c r="G9" s="9"/>
      <c r="H9" s="10"/>
      <c r="I9" s="10"/>
      <c r="J9" s="11"/>
    </row>
    <row r="10" spans="1:34" x14ac:dyDescent="0.2">
      <c r="B10" s="60"/>
      <c r="C10" s="354"/>
      <c r="D10" s="354"/>
      <c r="E10" s="4"/>
      <c r="G10" s="9"/>
      <c r="H10" s="13" t="s">
        <v>17</v>
      </c>
      <c r="I10" s="19" t="s">
        <v>18</v>
      </c>
      <c r="J10" s="15"/>
    </row>
    <row r="11" spans="1:34" x14ac:dyDescent="0.2">
      <c r="B11" s="2"/>
      <c r="C11" s="80" t="s">
        <v>22</v>
      </c>
      <c r="D11" s="81">
        <v>41864.862141203703</v>
      </c>
      <c r="E11" s="4"/>
      <c r="G11" s="9"/>
      <c r="H11" s="13" t="s">
        <v>20</v>
      </c>
      <c r="I11" s="20">
        <v>1E-4</v>
      </c>
      <c r="J11" s="15"/>
    </row>
    <row r="12" spans="1:34" x14ac:dyDescent="0.2">
      <c r="B12" s="2"/>
      <c r="C12" s="80" t="s">
        <v>23</v>
      </c>
      <c r="D12" s="145" t="b">
        <v>1</v>
      </c>
      <c r="E12" s="4"/>
      <c r="G12" s="9"/>
      <c r="H12" s="13" t="s">
        <v>21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97</v>
      </c>
      <c r="C15" s="147"/>
      <c r="D15" s="147"/>
      <c r="E15" s="148"/>
      <c r="G15" s="147" t="s">
        <v>105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10</v>
      </c>
      <c r="D17" s="16">
        <f>_xll.qlCalendarAdvance(Calendar,EvaluationDate,"2D","f")</f>
        <v>41997</v>
      </c>
      <c r="E17" s="4"/>
      <c r="G17" s="47"/>
      <c r="H17" s="5" t="s">
        <v>24</v>
      </c>
      <c r="I17" s="149">
        <v>41995.617210648146</v>
      </c>
      <c r="J17" s="51"/>
    </row>
    <row r="18" spans="2:10" x14ac:dyDescent="0.2">
      <c r="B18" s="2"/>
      <c r="C18" s="67" t="s">
        <v>13</v>
      </c>
      <c r="D18" s="17" t="str">
        <f>_xll.qlDiscountingSwapEngine(,OisCurve,,,,,EvaluationDate)</f>
        <v>obj_00548#0004</v>
      </c>
      <c r="E18" s="4"/>
      <c r="G18" s="47"/>
      <c r="H18" s="5" t="s">
        <v>25</v>
      </c>
      <c r="I18" s="149">
        <f>_xll.qlSettingsEvaluationDate(Trigger)</f>
        <v>41995</v>
      </c>
      <c r="J18" s="51"/>
    </row>
    <row r="19" spans="2:10" x14ac:dyDescent="0.2">
      <c r="B19" s="2"/>
      <c r="C19" s="67" t="s">
        <v>16</v>
      </c>
      <c r="D19" s="65">
        <f>_xll.qlCalendarAdjust(Calendar,DATE(YEAR(SettlementDate),12,31),"Preceding")</f>
        <v>42004</v>
      </c>
      <c r="E19" s="4"/>
      <c r="G19" s="47"/>
      <c r="H19" s="5" t="s">
        <v>26</v>
      </c>
      <c r="I19" s="150">
        <f>[1]!TriggerCounter</f>
        <v>248</v>
      </c>
      <c r="J19" s="51"/>
    </row>
    <row r="20" spans="2:10" x14ac:dyDescent="0.2">
      <c r="B20" s="2"/>
      <c r="C20" s="67" t="s">
        <v>19</v>
      </c>
      <c r="D20" s="65">
        <f>_xll.qlCalendarAdjust(Calendar,DATE(YEAR(SettlementDate)+1,12,31),"Preceding")</f>
        <v>42369</v>
      </c>
      <c r="E20" s="4"/>
      <c r="G20" s="47"/>
      <c r="H20" s="5" t="s">
        <v>27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30</v>
      </c>
      <c r="I21" s="6">
        <f>_xll.ohTrigger(Contribution!U16,Contribution!U22,Contribution!U29,Contribution!U39,Contribution!U55)</f>
        <v>1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28</v>
      </c>
      <c r="D26" s="6" t="s">
        <v>29</v>
      </c>
      <c r="E26" s="4"/>
      <c r="G26" s="2"/>
      <c r="H26" s="67" t="s">
        <v>28</v>
      </c>
      <c r="I26" s="6" t="s">
        <v>42</v>
      </c>
      <c r="J26" s="4"/>
    </row>
    <row r="27" spans="2:10" x14ac:dyDescent="0.2">
      <c r="B27" s="2"/>
      <c r="C27" s="67" t="s">
        <v>31</v>
      </c>
      <c r="D27" s="64">
        <v>2</v>
      </c>
      <c r="E27" s="4"/>
      <c r="G27" s="2"/>
      <c r="H27" s="67" t="s">
        <v>31</v>
      </c>
      <c r="I27" s="64">
        <v>2</v>
      </c>
      <c r="J27" s="4"/>
    </row>
    <row r="28" spans="2:10" x14ac:dyDescent="0.2">
      <c r="B28" s="2"/>
      <c r="C28" s="5" t="s">
        <v>99</v>
      </c>
      <c r="D28" s="68" t="str">
        <f>_xll.qlEuribor(,IborTenor,YieldCurve,,D33)</f>
        <v>obj_00559#0004</v>
      </c>
      <c r="E28" s="4"/>
      <c r="G28" s="2"/>
      <c r="H28" s="5" t="s">
        <v>99</v>
      </c>
      <c r="I28" s="274" t="str">
        <f>_xll.qlEuribor(,"1M",I34,,Trigger)</f>
        <v>obj_00557#0004</v>
      </c>
      <c r="J28" s="4"/>
    </row>
    <row r="29" spans="2:10" x14ac:dyDescent="0.2">
      <c r="B29" s="60"/>
      <c r="C29" s="354"/>
      <c r="D29" s="354"/>
      <c r="E29" s="63"/>
      <c r="G29" s="60"/>
      <c r="H29" s="354"/>
      <c r="I29" s="354"/>
      <c r="J29" s="63"/>
    </row>
    <row r="30" spans="2:10" x14ac:dyDescent="0.2">
      <c r="B30" s="2"/>
      <c r="C30" s="67" t="s">
        <v>32</v>
      </c>
      <c r="D30" s="7" t="e">
        <v>#N/A</v>
      </c>
      <c r="E30" s="4"/>
      <c r="G30" s="2"/>
      <c r="H30" s="67" t="s">
        <v>32</v>
      </c>
      <c r="I30" s="7" t="e">
        <v>#N/A</v>
      </c>
      <c r="J30" s="4"/>
    </row>
    <row r="31" spans="2:10" x14ac:dyDescent="0.2">
      <c r="B31" s="2"/>
      <c r="C31" s="67" t="s">
        <v>33</v>
      </c>
      <c r="D31" s="12" t="s">
        <v>34</v>
      </c>
      <c r="E31" s="4"/>
      <c r="G31" s="2"/>
      <c r="H31" s="67" t="s">
        <v>33</v>
      </c>
      <c r="I31" s="12" t="s">
        <v>34</v>
      </c>
      <c r="J31" s="4"/>
    </row>
    <row r="32" spans="2:10" x14ac:dyDescent="0.2">
      <c r="B32" s="2"/>
      <c r="C32" s="67" t="s">
        <v>35</v>
      </c>
      <c r="D32" s="17" t="s">
        <v>139</v>
      </c>
      <c r="E32" s="4"/>
      <c r="G32" s="2"/>
      <c r="H32" s="67" t="s">
        <v>35</v>
      </c>
      <c r="I32" s="17" t="s">
        <v>139</v>
      </c>
      <c r="J32" s="4"/>
    </row>
    <row r="33" spans="2:10" x14ac:dyDescent="0.2">
      <c r="B33" s="2"/>
      <c r="C33" s="67" t="s">
        <v>98</v>
      </c>
      <c r="D33" s="66" t="b">
        <f>_xll.qlExtrapolatorEnableExtrapolation(YieldCurve,TRUE)</f>
        <v>1</v>
      </c>
      <c r="E33" s="4"/>
      <c r="G33" s="60"/>
      <c r="H33" s="398"/>
      <c r="I33" s="399"/>
      <c r="J33" s="4"/>
    </row>
    <row r="34" spans="2:10" x14ac:dyDescent="0.2">
      <c r="B34" s="2"/>
      <c r="C34" s="74" t="s">
        <v>103</v>
      </c>
      <c r="D34" s="75" t="str">
        <f>_xll.qlPiecewiseYieldCurve(,NDays,Calendar,_xll.ohPack('1Y Delta'!L14:L27),DayCounter,,,Accuracy,TraitsID,InterpolatorID)</f>
        <v>obj_00558#0004</v>
      </c>
      <c r="E34" s="4"/>
      <c r="G34" s="2"/>
      <c r="H34" s="74" t="s">
        <v>103</v>
      </c>
      <c r="I34" s="75" t="str">
        <f>_xll.qlPiecewiseYieldCurve(,NDays,Calendar,_xll.ohPack('Delta 1M'!L13:L21),"actual/365",,,Accuracy,I31,I32,,Trigger)</f>
        <v>obj_00556#0004</v>
      </c>
      <c r="J34" s="4"/>
    </row>
    <row r="35" spans="2:10" x14ac:dyDescent="0.2">
      <c r="B35" s="2"/>
      <c r="C35" s="76" t="s">
        <v>104</v>
      </c>
      <c r="D35" s="77" t="str">
        <f>_xll.ohRangeRetrieveError(YieldCurve)</f>
        <v/>
      </c>
      <c r="E35" s="4"/>
      <c r="G35" s="2"/>
      <c r="H35" s="76" t="s">
        <v>104</v>
      </c>
      <c r="I35" s="77" t="str">
        <f>_xll.ohRangeRetrieveError(YieldCurve)</f>
        <v/>
      </c>
      <c r="J35" s="397"/>
    </row>
    <row r="36" spans="2:10" x14ac:dyDescent="0.2">
      <c r="B36" s="60"/>
      <c r="C36" s="354"/>
      <c r="D36" s="354"/>
      <c r="E36" s="63"/>
      <c r="G36" s="60"/>
      <c r="H36" s="354"/>
      <c r="I36" s="354"/>
      <c r="J36" s="397"/>
    </row>
    <row r="37" spans="2:10" x14ac:dyDescent="0.2">
      <c r="B37" s="2"/>
      <c r="C37" s="70">
        <f>_xll.qlTermStructureReferenceDate(YieldCurve)</f>
        <v>41997</v>
      </c>
      <c r="D37" s="71">
        <f>_xll.qlYieldTSDiscount(YieldCurve,C37,,Trigger)</f>
        <v>1</v>
      </c>
      <c r="E37" s="4"/>
      <c r="G37" s="2"/>
      <c r="H37" s="70">
        <f>_xll.qlTermStructureReferenceDate(I34)</f>
        <v>41997</v>
      </c>
      <c r="I37" s="290">
        <f>_xll.qlYieldTSDiscount(I34,H37,,Trigger)</f>
        <v>1</v>
      </c>
      <c r="J37" s="397"/>
    </row>
    <row r="38" spans="2:10" x14ac:dyDescent="0.2">
      <c r="B38" s="2"/>
      <c r="C38" s="72">
        <f>_xll.qlTermStructureMaxDate(D34)</f>
        <v>44554</v>
      </c>
      <c r="D38" s="73">
        <f>_xll.qlYieldTSDiscount(YieldCurve,C38,,Trigger)</f>
        <v>0.95058417945222373</v>
      </c>
      <c r="E38" s="4"/>
      <c r="G38" s="2"/>
      <c r="H38" s="72">
        <f>_xll.qlTermStructureMaxDate(I34)</f>
        <v>42149</v>
      </c>
      <c r="I38" s="291">
        <f>_xll.qlYieldTSDiscount(I34,H38,,Trigger)</f>
        <v>0.99992821928903408</v>
      </c>
      <c r="J38" s="397"/>
    </row>
    <row r="39" spans="2:10" ht="12" thickBot="1" x14ac:dyDescent="0.25">
      <c r="B39" s="60"/>
      <c r="C39" s="354"/>
      <c r="D39" s="354"/>
      <c r="E39" s="63"/>
      <c r="G39" s="25"/>
      <c r="H39" s="26"/>
      <c r="I39" s="26"/>
      <c r="J39" s="27"/>
    </row>
    <row r="40" spans="2:10" x14ac:dyDescent="0.2">
      <c r="B40" s="2"/>
      <c r="C40" s="5" t="s">
        <v>100</v>
      </c>
      <c r="D40" s="66" t="s">
        <v>102</v>
      </c>
      <c r="E40" s="4"/>
    </row>
    <row r="41" spans="2:10" x14ac:dyDescent="0.2">
      <c r="B41" s="2"/>
      <c r="C41" s="5" t="s">
        <v>101</v>
      </c>
      <c r="D41" s="69" t="str">
        <f>_xll.qlInterpolation(,BasisInterpolation,'1Y Delta'!P31:P36,'1Y Delta'!X31:X36)</f>
        <v>obj_0058b#0249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 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150</v>
      </c>
      <c r="G2" s="166" t="s">
        <v>154</v>
      </c>
      <c r="H2" s="166" t="s">
        <v>155</v>
      </c>
      <c r="I2" s="166" t="s">
        <v>115</v>
      </c>
      <c r="J2" s="180" t="s">
        <v>116</v>
      </c>
      <c r="K2" s="166" t="s">
        <v>117</v>
      </c>
      <c r="L2" s="167" t="s">
        <v>125</v>
      </c>
      <c r="S2" s="206" t="s">
        <v>113</v>
      </c>
      <c r="W2" s="452" t="s">
        <v>112</v>
      </c>
      <c r="X2" s="452"/>
      <c r="Y2" s="452"/>
      <c r="AB2" s="165" t="s">
        <v>93</v>
      </c>
      <c r="AC2" s="165" t="s">
        <v>146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32" t="str">
        <f>$D$10&amp;"LastFixing"&amp;QuoteSuffix</f>
        <v>Euribor1MLastFixing_Quote</v>
      </c>
      <c r="D3" s="333">
        <f>_xll.qlCalendarAdvance(Calendar,_xll.qlLastFixingQuoteReferenceDate($C$3),_xll.qlInterestRateIndexFixingDays($D$10)&amp;"D","f",,LastFixingsTrigger)</f>
        <v>41997</v>
      </c>
      <c r="E3" s="333">
        <f>_xll.qlInterestRateIndexMaturity($D$10,D3)</f>
        <v>42030</v>
      </c>
      <c r="F3" s="432">
        <f>'Delta 1M'!W26</f>
        <v>5.683359385568206E-5</v>
      </c>
      <c r="G3" s="353">
        <f>_xll.qlDayCounterYearFraction(DayCounter,SettlementDate,D3,,,Trigger)</f>
        <v>0</v>
      </c>
      <c r="H3" s="353">
        <f>_xll.qlDayCounterYearFraction(DayCounter,SettlementDate,E3,,,Trigger)</f>
        <v>9.166666666666666E-2</v>
      </c>
      <c r="I3" s="353">
        <f>H3-G3</f>
        <v>9.166666666666666E-2</v>
      </c>
      <c r="J3" s="353">
        <f>(H3^2-G3^2)/2</f>
        <v>4.2013888888888882E-3</v>
      </c>
      <c r="K3" s="353">
        <f>(H3^3-G3^3)/3</f>
        <v>2.5675154320987649E-4</v>
      </c>
      <c r="L3" s="334" t="b">
        <f>IF(D12="fixing",TRUE,FALSE)</f>
        <v>0</v>
      </c>
      <c r="N3" s="453" t="s">
        <v>109</v>
      </c>
      <c r="O3" s="172">
        <f t="array" ref="O3:O5">_xll.ohFilter(K3:K7,L3:L7)</f>
        <v>2.5675154320987649E-4</v>
      </c>
      <c r="P3" s="173">
        <f t="array" ref="P3:P5">_xll.ohFilter(J3:J7,L3:L7)</f>
        <v>4.2013888888888882E-3</v>
      </c>
      <c r="Q3" s="174">
        <f t="array" ref="Q3:Q5">_xll.ohFilter(I3:I7,L3:L7)</f>
        <v>9.166666666666666E-2</v>
      </c>
      <c r="R3" s="168"/>
      <c r="S3" s="176">
        <f t="array" ref="S3:S5">MMULT(W3:Y5,U3:U5)</f>
        <v>5.4880153534564435E-3</v>
      </c>
      <c r="T3" s="177"/>
      <c r="U3" s="160">
        <f t="array" ref="U3:U5">_xll.ohFilter(F3:F7,L3:L7)</f>
        <v>5.683359385568206E-5</v>
      </c>
      <c r="W3" s="172">
        <f t="array" ref="W3:Y5">MINVERSE(O3:Q5)</f>
        <v>745.09403107113724</v>
      </c>
      <c r="X3" s="173">
        <v>-1716.1198005961035</v>
      </c>
      <c r="Y3" s="174">
        <v>1021.843242611845</v>
      </c>
      <c r="AB3" s="185">
        <f>SettlementDate</f>
        <v>41997</v>
      </c>
      <c r="AC3" s="210">
        <f>_xll.qlDayCounterYearFraction(DayCounter,SettlementDate,AB3,,,Trigger)</f>
        <v>0</v>
      </c>
      <c r="AD3" s="186">
        <f t="shared" ref="AD3:AD26" si="0">$S$13</f>
        <v>6.2000284206198614E-4</v>
      </c>
      <c r="AE3" s="186">
        <f t="shared" ref="AE3:AE23" si="1">$S$10+$S$9*AC3</f>
        <v>7.5114534239619174E-4</v>
      </c>
      <c r="AF3" s="187">
        <f t="shared" ref="AF3:AF23" si="2">($S$5+$S$4*AC3+$S$3*AC3^2)</f>
        <v>7.8095678382237492E-4</v>
      </c>
    </row>
    <row r="4" spans="1:32" ht="12" customHeight="1" x14ac:dyDescent="0.2">
      <c r="A4" s="156">
        <v>0</v>
      </c>
      <c r="B4" s="408">
        <f>A4+SUBSTITUTE($D$9,"M","")</f>
        <v>1</v>
      </c>
      <c r="C4" s="158" t="str">
        <f>"Delta("&amp;A4&amp;"M,"&amp;B4&amp;"M)"</f>
        <v>Delta(0M,1M)</v>
      </c>
      <c r="D4" s="159">
        <f>SettlementDate</f>
        <v>41997</v>
      </c>
      <c r="E4" s="159">
        <f>_xll.qlInterestRateIndexMaturity($D$10,D4)</f>
        <v>42030</v>
      </c>
      <c r="F4" s="433">
        <f t="array" ref="F4:F7">Delta1M</f>
        <v>5.683359385568206E-5</v>
      </c>
      <c r="G4" s="210">
        <f>_xll.qlDayCounterYearFraction(DayCounter,SettlementDate,D4,,,Trigger)</f>
        <v>0</v>
      </c>
      <c r="H4" s="210">
        <f>_xll.qlDayCounterYearFraction(DayCounter,SettlementDate,E4,,,Trigger)</f>
        <v>9.166666666666666E-2</v>
      </c>
      <c r="I4" s="210">
        <f>H4-G4</f>
        <v>9.166666666666666E-2</v>
      </c>
      <c r="J4" s="210">
        <f>(H4^2-G4^2)/2</f>
        <v>4.2013888888888882E-3</v>
      </c>
      <c r="K4" s="210">
        <f>(H4^3-G4^3)/3</f>
        <v>2.5675154320987649E-4</v>
      </c>
      <c r="L4" s="192" t="b">
        <f>IF(D12="fixing",FALSE,TRUE)</f>
        <v>1</v>
      </c>
      <c r="N4" s="453"/>
      <c r="O4" s="172">
        <v>1.6161336877000458E-3</v>
      </c>
      <c r="P4" s="173">
        <v>1.1601080246913581E-2</v>
      </c>
      <c r="Q4" s="174">
        <v>8.6111111111111124E-2</v>
      </c>
      <c r="R4" s="169" t="s">
        <v>39</v>
      </c>
      <c r="S4" s="176">
        <v>-3.8471010817257693E-3</v>
      </c>
      <c r="T4" s="169" t="s">
        <v>40</v>
      </c>
      <c r="U4" s="160">
        <v>3.1487894508951853E-5</v>
      </c>
      <c r="W4" s="172">
        <v>-256.56823756782887</v>
      </c>
      <c r="X4" s="173">
        <v>438.91112547147446</v>
      </c>
      <c r="Y4" s="174">
        <v>-183.5533232099055</v>
      </c>
      <c r="AB4" s="188">
        <f>_xll.qlCalendarAdvance(Calendar,AB3,"1d","mf",,Trigger)</f>
        <v>42002</v>
      </c>
      <c r="AC4" s="210">
        <f>_xll.qlDayCounterYearFraction(DayCounter,SettlementDate,AB4,,,Trigger)</f>
        <v>1.3888888888888888E-2</v>
      </c>
      <c r="AD4" s="189">
        <f t="shared" si="0"/>
        <v>6.2000284206198614E-4</v>
      </c>
      <c r="AE4" s="189">
        <f t="shared" si="1"/>
        <v>7.1140519077976582E-4</v>
      </c>
      <c r="AF4" s="161">
        <f t="shared" si="2"/>
        <v>7.2858346929097076E-4</v>
      </c>
    </row>
    <row r="5" spans="1:32" ht="12" customHeight="1" x14ac:dyDescent="0.2">
      <c r="A5" s="171">
        <v>1</v>
      </c>
      <c r="B5" s="408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42030</v>
      </c>
      <c r="E5" s="159">
        <f>_xll.qlInterestRateIndexMaturity($D$10,D5)</f>
        <v>42061</v>
      </c>
      <c r="F5" s="433">
        <v>3.1487894508951853E-5</v>
      </c>
      <c r="G5" s="210">
        <f>_xll.qlDayCounterYearFraction(DayCounter,SettlementDate,D5,,,Trigger)</f>
        <v>9.166666666666666E-2</v>
      </c>
      <c r="H5" s="210">
        <f>_xll.qlDayCounterYearFraction(DayCounter,SettlementDate,E5,,,Trigger)</f>
        <v>0.17777777777777778</v>
      </c>
      <c r="I5" s="210">
        <f>H5-G5</f>
        <v>8.6111111111111124E-2</v>
      </c>
      <c r="J5" s="210">
        <f>(H5^2-G5^2)/2</f>
        <v>1.1601080246913581E-2</v>
      </c>
      <c r="K5" s="210">
        <f>(H5^3-G5^3)/3</f>
        <v>1.6161336877000458E-3</v>
      </c>
      <c r="L5" s="192" t="b">
        <v>1</v>
      </c>
      <c r="N5" s="453"/>
      <c r="O5" s="172">
        <v>3.5056012802926382E-3</v>
      </c>
      <c r="P5" s="173">
        <v>1.6419753086419756E-2</v>
      </c>
      <c r="Q5" s="174">
        <v>7.7777777777777779E-2</v>
      </c>
      <c r="R5" s="171"/>
      <c r="S5" s="176">
        <v>7.8095678382237492E-4</v>
      </c>
      <c r="T5" s="169"/>
      <c r="U5" s="160">
        <v>1.6811426975091827E-5</v>
      </c>
      <c r="W5" s="172">
        <v>20.581515275403259</v>
      </c>
      <c r="X5" s="173">
        <v>-15.31003547595812</v>
      </c>
      <c r="Y5" s="174">
        <v>5.550753416656935</v>
      </c>
      <c r="AB5" s="188">
        <f>_xll.qlCalendarAdvance(Calendar,AB4,"1d","mf",,Trigger)</f>
        <v>42003</v>
      </c>
      <c r="AC5" s="210">
        <f>_xll.qlDayCounterYearFraction(DayCounter,SettlementDate,AB5,,,Trigger)</f>
        <v>1.6666666666666666E-2</v>
      </c>
      <c r="AD5" s="189">
        <f t="shared" si="0"/>
        <v>6.2000284206198614E-4</v>
      </c>
      <c r="AE5" s="189">
        <f t="shared" si="1"/>
        <v>7.0345716045648056E-4</v>
      </c>
      <c r="AF5" s="161">
        <f t="shared" si="2"/>
        <v>7.1836288116957226E-4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42059</v>
      </c>
      <c r="E6" s="159">
        <f>_xll.qlInterestRateIndexMaturity($D$10,D6)</f>
        <v>42087</v>
      </c>
      <c r="F6" s="433">
        <v>1.6811426975091827E-5</v>
      </c>
      <c r="G6" s="210">
        <f>_xll.qlDayCounterYearFraction(DayCounter,SettlementDate,D6,,,Trigger)</f>
        <v>0.17222222222222222</v>
      </c>
      <c r="H6" s="210">
        <f>_xll.qlDayCounterYearFraction(DayCounter,SettlementDate,E6,,,Trigger)</f>
        <v>0.25</v>
      </c>
      <c r="I6" s="210">
        <f>H6-G6</f>
        <v>7.7777777777777779E-2</v>
      </c>
      <c r="J6" s="210">
        <f>(H6^2-G6^2)/2</f>
        <v>1.6419753086419756E-2</v>
      </c>
      <c r="K6" s="210">
        <f>(H6^3-G6^3)/3</f>
        <v>3.5056012802926382E-3</v>
      </c>
      <c r="L6" s="192" t="b">
        <v>1</v>
      </c>
      <c r="S6" s="178"/>
      <c r="T6" s="207"/>
      <c r="U6" s="179"/>
      <c r="AB6" s="188">
        <f>_xll.qlCalendarAdvance(Calendar,AB5,"1d","mf",,Trigger)</f>
        <v>42004</v>
      </c>
      <c r="AC6" s="210">
        <f>_xll.qlDayCounterYearFraction(DayCounter,SettlementDate,AB6,,,Trigger)</f>
        <v>1.9444444444444445E-2</v>
      </c>
      <c r="AD6" s="189">
        <f t="shared" si="0"/>
        <v>6.2000284206198614E-4</v>
      </c>
      <c r="AE6" s="189">
        <f t="shared" si="1"/>
        <v>6.9550913013319542E-4</v>
      </c>
      <c r="AF6" s="161">
        <f t="shared" si="2"/>
        <v>7.0822698464313445E-4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42087</v>
      </c>
      <c r="E7" s="163">
        <f>_xll.qlInterestRateIndexMaturity($D$10,D7)</f>
        <v>42118</v>
      </c>
      <c r="F7" s="434">
        <v>4.3998862554687717E-5</v>
      </c>
      <c r="G7" s="211">
        <f>_xll.qlDayCounterYearFraction(DayCounter,SettlementDate,D7,,,Trigger)</f>
        <v>0.25</v>
      </c>
      <c r="H7" s="211">
        <f>_xll.qlDayCounterYearFraction(DayCounter,SettlementDate,E7,,,Trigger)</f>
        <v>0.33611111111111114</v>
      </c>
      <c r="I7" s="211">
        <f>H7-G7</f>
        <v>8.6111111111111138E-2</v>
      </c>
      <c r="J7" s="211">
        <f>(H7^2-G7^2)/2</f>
        <v>2.5235339506172849E-2</v>
      </c>
      <c r="K7" s="211">
        <f>(H7^3-G7^3)/3</f>
        <v>7.4485668152720662E-3</v>
      </c>
      <c r="L7" s="193" t="b">
        <v>0</v>
      </c>
      <c r="S7" s="178"/>
      <c r="T7" s="207"/>
      <c r="U7" s="179"/>
      <c r="AB7" s="188">
        <f>_xll.qlCalendarAdvance(Calendar,AB6,"1d","mf",,Trigger)</f>
        <v>42006</v>
      </c>
      <c r="AC7" s="210">
        <f>_xll.qlDayCounterYearFraction(DayCounter,SettlementDate,AB7,,,Trigger)</f>
        <v>2.5000000000000001E-2</v>
      </c>
      <c r="AD7" s="189">
        <f t="shared" si="0"/>
        <v>6.2000284206198614E-4</v>
      </c>
      <c r="AE7" s="189">
        <f t="shared" si="1"/>
        <v>6.7961306948662503E-4</v>
      </c>
      <c r="AF7" s="161">
        <f t="shared" si="2"/>
        <v>6.8820926637514087E-4</v>
      </c>
    </row>
    <row r="8" spans="1:32" ht="12" customHeight="1" thickBot="1" x14ac:dyDescent="0.25">
      <c r="A8" s="171"/>
      <c r="B8" s="403"/>
      <c r="C8" s="403"/>
      <c r="D8" s="404"/>
      <c r="E8" s="404"/>
      <c r="F8" s="405"/>
      <c r="G8" s="406"/>
      <c r="H8" s="406"/>
      <c r="I8" s="406"/>
      <c r="J8" s="406"/>
      <c r="K8" s="406"/>
      <c r="L8" s="407"/>
      <c r="S8" s="208" t="s">
        <v>114</v>
      </c>
      <c r="T8" s="207"/>
      <c r="U8" s="179"/>
      <c r="AB8" s="188">
        <f>_xll.qlCalendarAdvance(Calendar,AB7,"1d","mf",,Trigger)</f>
        <v>42009</v>
      </c>
      <c r="AC8" s="210">
        <f>_xll.qlDayCounterYearFraction(DayCounter,SettlementDate,AB8,,,Trigger)</f>
        <v>3.3333333333333333E-2</v>
      </c>
      <c r="AD8" s="189">
        <f t="shared" si="0"/>
        <v>6.2000284206198614E-4</v>
      </c>
      <c r="AE8" s="189">
        <f t="shared" si="1"/>
        <v>6.557689785167695E-4</v>
      </c>
      <c r="AF8" s="161">
        <f t="shared" si="2"/>
        <v>6.5881787593535638E-4</v>
      </c>
    </row>
    <row r="9" spans="1:32" ht="12" customHeight="1" x14ac:dyDescent="0.2">
      <c r="C9" s="165" t="s">
        <v>162</v>
      </c>
      <c r="D9" s="203" t="s">
        <v>42</v>
      </c>
      <c r="N9" s="452" t="s">
        <v>110</v>
      </c>
      <c r="O9" s="209"/>
      <c r="P9" s="172">
        <f t="array" ref="P9:P10">_xll.ohFilter(J3:J7,L3:L7)</f>
        <v>4.2013888888888882E-3</v>
      </c>
      <c r="Q9" s="174">
        <f t="array" ref="Q9:Q10">_xll.ohFilter(I3:I7,L3:L7)</f>
        <v>9.166666666666666E-2</v>
      </c>
      <c r="R9" s="454" t="s">
        <v>39</v>
      </c>
      <c r="S9" s="176">
        <f t="array" ref="S9:S10">MMULT(W9:X10,U9:U10)</f>
        <v>-2.8612909163826675E-3</v>
      </c>
      <c r="T9" s="454" t="s">
        <v>40</v>
      </c>
      <c r="U9" s="160">
        <f t="array" ref="U9:U10">_xll.ohFilter(F3:F7,L3:L7)</f>
        <v>5.683359385568206E-5</v>
      </c>
      <c r="W9" s="172">
        <f t="array" ref="W9:X10">MINVERSE(P9:Q10)</f>
        <v>-122.72727272727273</v>
      </c>
      <c r="X9" s="174">
        <v>130.64516129032256</v>
      </c>
      <c r="AB9" s="188">
        <f>_xll.qlCalendarAdvance(Calendar,AB8,"1d","mf",,Trigger)</f>
        <v>42010</v>
      </c>
      <c r="AC9" s="210">
        <f>_xll.qlDayCounterYearFraction(DayCounter,SettlementDate,AB9,,,Trigger)</f>
        <v>3.6111111111111108E-2</v>
      </c>
      <c r="AD9" s="189">
        <f t="shared" si="0"/>
        <v>6.2000284206198614E-4</v>
      </c>
      <c r="AE9" s="189">
        <f t="shared" si="1"/>
        <v>6.4782094819348436E-4</v>
      </c>
      <c r="AF9" s="161">
        <f t="shared" si="2"/>
        <v>6.49190128978683E-4</v>
      </c>
    </row>
    <row r="10" spans="1:32" ht="12" customHeight="1" x14ac:dyDescent="0.2">
      <c r="C10" s="183" t="s">
        <v>124</v>
      </c>
      <c r="D10" s="204" t="str">
        <f>PROPER(Currency)&amp;IborType&amp;D9</f>
        <v>Euribor1M</v>
      </c>
      <c r="N10" s="452"/>
      <c r="O10" s="209"/>
      <c r="P10" s="172">
        <v>1.1601080246913581E-2</v>
      </c>
      <c r="Q10" s="174">
        <v>8.6111111111111124E-2</v>
      </c>
      <c r="R10" s="454"/>
      <c r="S10" s="176">
        <v>7.5114534239619174E-4</v>
      </c>
      <c r="T10" s="454"/>
      <c r="U10" s="160">
        <v>3.1487894508951853E-5</v>
      </c>
      <c r="W10" s="172">
        <v>16.53409090909091</v>
      </c>
      <c r="X10" s="174">
        <v>-5.9879032258064511</v>
      </c>
      <c r="AB10" s="188">
        <f>_xll.qlCalendarAdvance(Calendar,AB9,"1d","mf",,Trigger)</f>
        <v>42011</v>
      </c>
      <c r="AC10" s="210">
        <f>_xll.qlDayCounterYearFraction(DayCounter,SettlementDate,AB10,,,Trigger)</f>
        <v>3.888888888888889E-2</v>
      </c>
      <c r="AD10" s="189">
        <f t="shared" si="0"/>
        <v>6.2000284206198614E-4</v>
      </c>
      <c r="AE10" s="189">
        <f t="shared" si="1"/>
        <v>6.3987291787019911E-4</v>
      </c>
      <c r="AF10" s="161">
        <f t="shared" si="2"/>
        <v>6.3964707361697051E-4</v>
      </c>
    </row>
    <row r="11" spans="1:32" ht="12" customHeight="1" x14ac:dyDescent="0.2">
      <c r="C11" s="183" t="s">
        <v>153</v>
      </c>
      <c r="D11" s="331" t="s">
        <v>102</v>
      </c>
      <c r="S11" s="178"/>
      <c r="T11" s="207"/>
      <c r="U11" s="179"/>
      <c r="AB11" s="188">
        <f>_xll.qlCalendarAdvance(Calendar,AB10,"1d","mf",,Trigger)</f>
        <v>42012</v>
      </c>
      <c r="AC11" s="210">
        <f>_xll.qlDayCounterYearFraction(DayCounter,SettlementDate,AB11,,,Trigger)</f>
        <v>4.1666666666666664E-2</v>
      </c>
      <c r="AD11" s="189">
        <f t="shared" si="0"/>
        <v>6.2000284206198614E-4</v>
      </c>
      <c r="AE11" s="189">
        <f t="shared" si="1"/>
        <v>6.3192488754691396E-4</v>
      </c>
      <c r="AF11" s="161">
        <f t="shared" si="2"/>
        <v>6.301887098502187E-4</v>
      </c>
    </row>
    <row r="12" spans="1:32" ht="12" customHeight="1" thickBot="1" x14ac:dyDescent="0.25">
      <c r="C12" s="183" t="s">
        <v>152</v>
      </c>
      <c r="D12" s="204" t="s">
        <v>158</v>
      </c>
      <c r="S12" s="206" t="s">
        <v>37</v>
      </c>
      <c r="T12" s="207"/>
      <c r="U12" s="179"/>
      <c r="AB12" s="188">
        <f>_xll.qlCalendarAdvance(Calendar,AB11,"1d","mf",,Trigger)</f>
        <v>42013</v>
      </c>
      <c r="AC12" s="210">
        <f>_xll.qlDayCounterYearFraction(DayCounter,SettlementDate,AB12,,,Trigger)</f>
        <v>4.4444444444444446E-2</v>
      </c>
      <c r="AD12" s="189">
        <f t="shared" si="0"/>
        <v>6.2000284206198614E-4</v>
      </c>
      <c r="AE12" s="189">
        <f t="shared" si="1"/>
        <v>6.2397685722362871E-4</v>
      </c>
      <c r="AF12" s="161">
        <f t="shared" si="2"/>
        <v>6.2081503767842758E-4</v>
      </c>
    </row>
    <row r="13" spans="1:32" ht="12" customHeight="1" thickBot="1" x14ac:dyDescent="0.25">
      <c r="J13" s="366" t="str">
        <f>"Synthetic Deposits "&amp;D9</f>
        <v>Synthetic Deposits 1M</v>
      </c>
      <c r="K13" s="367"/>
      <c r="L13" s="368"/>
      <c r="N13" s="358" t="s">
        <v>111</v>
      </c>
      <c r="Q13" s="175">
        <f t="array" ref="Q13">_xll.ohFilter(I3:I7,L3:L7)</f>
        <v>9.166666666666666E-2</v>
      </c>
      <c r="R13" s="358" t="s">
        <v>39</v>
      </c>
      <c r="S13" s="176">
        <f>MMULT(W13,U13)</f>
        <v>6.2000284206198614E-4</v>
      </c>
      <c r="T13" s="358" t="s">
        <v>40</v>
      </c>
      <c r="U13" s="160">
        <f t="array" ref="U13">_xll.ohFilter(F3:F7,L3:L7)</f>
        <v>5.683359385568206E-5</v>
      </c>
      <c r="W13" s="175">
        <f>MINVERSE(Q13)</f>
        <v>10.90909090909091</v>
      </c>
      <c r="AB13" s="188">
        <f>_xll.qlCalendarAdvance(Calendar,AB12,"1d","mf",,Trigger)</f>
        <v>42016</v>
      </c>
      <c r="AC13" s="210">
        <f>_xll.qlDayCounterYearFraction(DayCounter,SettlementDate,AB13,,,Trigger)</f>
        <v>5.2777777777777778E-2</v>
      </c>
      <c r="AD13" s="189">
        <f t="shared" si="0"/>
        <v>6.2000284206198614E-4</v>
      </c>
      <c r="AE13" s="189">
        <f t="shared" si="1"/>
        <v>6.0013276625377318E-4</v>
      </c>
      <c r="AF13" s="161">
        <f t="shared" si="2"/>
        <v>5.9320217073281876E-4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146</v>
      </c>
      <c r="G14" s="180" t="s">
        <v>147</v>
      </c>
      <c r="H14" s="166" t="s">
        <v>148</v>
      </c>
      <c r="I14" s="180" t="s">
        <v>149</v>
      </c>
      <c r="J14" s="372" t="s">
        <v>111</v>
      </c>
      <c r="K14" s="372" t="s">
        <v>110</v>
      </c>
      <c r="L14" s="372" t="s">
        <v>138</v>
      </c>
      <c r="AB14" s="188">
        <f>_xll.qlCalendarAdvance(Calendar,AB13,"1d","mf",,Trigger)</f>
        <v>42017</v>
      </c>
      <c r="AC14" s="210">
        <f>_xll.qlDayCounterYearFraction(DayCounter,SettlementDate,AB14,,,Trigger)</f>
        <v>5.5555555555555552E-2</v>
      </c>
      <c r="AD14" s="189">
        <f t="shared" si="0"/>
        <v>6.2000284206198614E-4</v>
      </c>
      <c r="AE14" s="189">
        <f t="shared" si="1"/>
        <v>5.9218473593048804E-4</v>
      </c>
      <c r="AF14" s="161">
        <f t="shared" si="2"/>
        <v>5.8416726494087059E-4</v>
      </c>
    </row>
    <row r="15" spans="1:32" ht="12" customHeight="1" x14ac:dyDescent="0.2">
      <c r="C15" s="200" t="s">
        <v>45</v>
      </c>
      <c r="D15" s="194">
        <f t="shared" ref="D15:D19" si="4">SettlementDate</f>
        <v>41997</v>
      </c>
      <c r="E15" s="195">
        <f>_xll.qlCalendarAdvance(Calendar,SettlementDate,C15,"Following",,Trigger)</f>
        <v>42002</v>
      </c>
      <c r="F15" s="357">
        <f>_xll.qlDayCounterYearFraction(DayCounter,D15,E15,,,Trigger)</f>
        <v>1.3888888888888888E-2</v>
      </c>
      <c r="G15" s="350">
        <f>_xll.qlYieldTSDiscount(Discounting,D15,,AllTriggers)</f>
        <v>1</v>
      </c>
      <c r="H15" s="350">
        <f>_xll.qlYieldTSDiscount(Discounting,E15,,AllTriggers)</f>
        <v>1.0000068056111346</v>
      </c>
      <c r="I15" s="364">
        <f>(G15/H15-1)/F15</f>
        <v>-4.9000066693771771E-4</v>
      </c>
      <c r="J15" s="360">
        <f>((1+I15*F15)*EXP($S$13*F15)-1)/F15</f>
        <v>1.3000062511281385E-4</v>
      </c>
      <c r="K15" s="360">
        <f>((1+F15*I15)*EXP($S$10*F15+0.5*$S$9*F15^2)-1)/F15</f>
        <v>2.4127333652579352E-4</v>
      </c>
      <c r="L15" s="360">
        <f>((1+F15*I15)*EXP($S$5*F15+0.5*$S$4*F15^2+1/3*$S$3*F15^3)-1)/F15</f>
        <v>2.6459183759186544E-4</v>
      </c>
      <c r="AB15" s="188">
        <f>_xll.qlCalendarAdvance(Calendar,AB14,"1d","mf",,Trigger)</f>
        <v>42018</v>
      </c>
      <c r="AC15" s="210">
        <f>_xll.qlDayCounterYearFraction(DayCounter,SettlementDate,AB15,,,Trigger)</f>
        <v>5.8333333333333334E-2</v>
      </c>
      <c r="AD15" s="189">
        <f t="shared" si="0"/>
        <v>6.2000284206198614E-4</v>
      </c>
      <c r="AE15" s="189">
        <f t="shared" si="1"/>
        <v>5.8423670560720279E-4</v>
      </c>
      <c r="AF15" s="161">
        <f t="shared" si="2"/>
        <v>5.7521705074388321E-4</v>
      </c>
    </row>
    <row r="16" spans="1:32" ht="12" customHeight="1" x14ac:dyDescent="0.2">
      <c r="C16" s="198" t="s">
        <v>46</v>
      </c>
      <c r="D16" s="159">
        <f>SettlementDate</f>
        <v>41997</v>
      </c>
      <c r="E16" s="196">
        <f>_xll.qlCalendarAdvance(Calendar,SettlementDate,C16,"Following",,Trigger)</f>
        <v>42004</v>
      </c>
      <c r="F16" s="210">
        <f>_xll.qlDayCounterYearFraction(DayCounter,D16,E16,,,Trigger)</f>
        <v>1.9444444444444445E-2</v>
      </c>
      <c r="G16" s="351">
        <f>_xll.qlYieldTSDiscount(Discounting,D16,,AllTriggers)</f>
        <v>1</v>
      </c>
      <c r="H16" s="355">
        <f>_xll.qlYieldTSDiscount(Discounting,E16,,AllTriggers)</f>
        <v>1.000009527868557</v>
      </c>
      <c r="I16" s="364">
        <f t="shared" ref="I16:I19" si="5">(G16/H16-1)/F16</f>
        <v>-4.8999999999236156E-4</v>
      </c>
      <c r="J16" s="361">
        <f t="shared" ref="J16:J19" si="6">((1+I16*F16)*EXP($S$13*F16)-1)/F16</f>
        <v>1.3000067205583475E-4</v>
      </c>
      <c r="K16" s="361">
        <f t="shared" ref="K16:K19" si="7">((1+F16*I16)*EXP($S$10*F16+0.5*$S$9*F16^2)-1)/F16</f>
        <v>2.3332543123874165E-4</v>
      </c>
      <c r="L16" s="361">
        <f t="shared" ref="L16:L19" si="8">((1+F16*I16)*EXP($S$5*F16+0.5*$S$4*F16^2+1/3*$S$3*F16^3)-1)/F16</f>
        <v>2.5424435435818433E-4</v>
      </c>
      <c r="AB16" s="188">
        <f>_xll.qlCalendarAdvance(Calendar,AB15,"1d","mf",,Trigger)</f>
        <v>42019</v>
      </c>
      <c r="AC16" s="210">
        <f>_xll.qlDayCounterYearFraction(DayCounter,SettlementDate,AB16,,,Trigger)</f>
        <v>6.1111111111111109E-2</v>
      </c>
      <c r="AD16" s="189">
        <f t="shared" si="0"/>
        <v>6.2000284206198614E-4</v>
      </c>
      <c r="AE16" s="189">
        <f t="shared" si="1"/>
        <v>5.7628867528391765E-4</v>
      </c>
      <c r="AF16" s="161">
        <f t="shared" si="2"/>
        <v>5.6635152814185662E-4</v>
      </c>
    </row>
    <row r="17" spans="3:32" ht="12" customHeight="1" x14ac:dyDescent="0.2">
      <c r="C17" s="198" t="s">
        <v>47</v>
      </c>
      <c r="D17" s="159">
        <f t="shared" si="4"/>
        <v>41997</v>
      </c>
      <c r="E17" s="196">
        <f>_xll.qlCalendarAdvance(Calendar,SettlementDate,C17,"Following",,Trigger)</f>
        <v>42011</v>
      </c>
      <c r="F17" s="210">
        <f>_xll.qlDayCounterYearFraction(DayCounter,D17,E17,,,Trigger)</f>
        <v>3.888888888888889E-2</v>
      </c>
      <c r="G17" s="351">
        <f>_xll.qlYieldTSDiscount(Discounting,D17,,AllTriggers)</f>
        <v>1</v>
      </c>
      <c r="H17" s="355">
        <f>_xll.qlYieldTSDiscount(Discounting,E17,,AllTriggers)</f>
        <v>1.0000035000122609</v>
      </c>
      <c r="I17" s="364">
        <f t="shared" si="5"/>
        <v>-9.0000000278081925E-5</v>
      </c>
      <c r="J17" s="361">
        <f t="shared" si="6"/>
        <v>5.3000814631966515E-4</v>
      </c>
      <c r="K17" s="361">
        <f t="shared" si="7"/>
        <v>6.055161015451814E-4</v>
      </c>
      <c r="L17" s="361">
        <f t="shared" si="8"/>
        <v>6.1892592334102299E-4</v>
      </c>
      <c r="AB17" s="188">
        <f>_xll.qlCalendarAdvance(Calendar,AB16,"1d","mf",,Trigger)</f>
        <v>42020</v>
      </c>
      <c r="AC17" s="210">
        <f>_xll.qlDayCounterYearFraction(DayCounter,SettlementDate,AB17,,,Trigger)</f>
        <v>6.3888888888888884E-2</v>
      </c>
      <c r="AD17" s="189">
        <f t="shared" si="0"/>
        <v>6.2000284206198614E-4</v>
      </c>
      <c r="AE17" s="189">
        <f t="shared" si="1"/>
        <v>5.683406449606325E-4</v>
      </c>
      <c r="AF17" s="161">
        <f t="shared" si="2"/>
        <v>5.5757069713479083E-4</v>
      </c>
    </row>
    <row r="18" spans="3:32" ht="12" customHeight="1" x14ac:dyDescent="0.2">
      <c r="C18" s="198" t="s">
        <v>48</v>
      </c>
      <c r="D18" s="159">
        <f t="shared" si="4"/>
        <v>41997</v>
      </c>
      <c r="E18" s="196">
        <f>_xll.qlCalendarAdvance(Calendar,SettlementDate,C18,"Following",,Trigger)</f>
        <v>42018</v>
      </c>
      <c r="F18" s="210">
        <f>_xll.qlDayCounterYearFraction(DayCounter,D18,E18,,,Trigger)</f>
        <v>5.8333333333333334E-2</v>
      </c>
      <c r="G18" s="351">
        <f>_xll.qlYieldTSDiscount(Discounting,D18,,AllTriggers)</f>
        <v>1</v>
      </c>
      <c r="H18" s="355">
        <f>_xll.qlYieldTSDiscount(Discounting,E18,,AllTriggers)</f>
        <v>1.000014583546037</v>
      </c>
      <c r="I18" s="364">
        <f t="shared" si="5"/>
        <v>-2.5000000046127013E-4</v>
      </c>
      <c r="J18" s="361">
        <f t="shared" si="6"/>
        <v>3.7000501163144046E-4</v>
      </c>
      <c r="K18" s="361">
        <f t="shared" si="7"/>
        <v>4.1769428919075883E-4</v>
      </c>
      <c r="L18" s="361">
        <f t="shared" si="8"/>
        <v>4.2497794536799915E-4</v>
      </c>
      <c r="AB18" s="188">
        <f>_xll.qlCalendarAdvance(Calendar,AB17,"1d","mf",,Trigger)</f>
        <v>42023</v>
      </c>
      <c r="AC18" s="210">
        <f>_xll.qlDayCounterYearFraction(DayCounter,SettlementDate,AB18,,,Trigger)</f>
        <v>7.2222222222222215E-2</v>
      </c>
      <c r="AD18" s="189">
        <f t="shared" si="0"/>
        <v>6.2000284206198614E-4</v>
      </c>
      <c r="AE18" s="189">
        <f t="shared" si="1"/>
        <v>5.4449655399077686E-4</v>
      </c>
      <c r="AF18" s="161">
        <f t="shared" si="2"/>
        <v>5.3173635368335755E-4</v>
      </c>
    </row>
    <row r="19" spans="3:32" ht="12" customHeight="1" thickBot="1" x14ac:dyDescent="0.25">
      <c r="C19" s="199" t="s">
        <v>42</v>
      </c>
      <c r="D19" s="163">
        <f t="shared" si="4"/>
        <v>41997</v>
      </c>
      <c r="E19" s="197">
        <f>_xll.qlCalendarAdvance(Calendar,SettlementDate,C19,"mf",TRUE,Trigger)</f>
        <v>42030</v>
      </c>
      <c r="F19" s="211">
        <f>_xll.qlDayCounterYearFraction(DayCounter,D19,E19,,,Trigger)</f>
        <v>9.166666666666666E-2</v>
      </c>
      <c r="G19" s="352">
        <f>_xll.qlYieldTSDiscount(Discounting,D19,,AllTriggers)</f>
        <v>1</v>
      </c>
      <c r="H19" s="356">
        <f>_xll.qlYieldTSDiscount(Discounting,E19,,AllTriggers)</f>
        <v>1.0000330010890557</v>
      </c>
      <c r="I19" s="365">
        <f t="shared" si="5"/>
        <v>-3.6000000021503683E-4</v>
      </c>
      <c r="J19" s="373">
        <f t="shared" si="6"/>
        <v>2.6000000000000773E-4</v>
      </c>
      <c r="K19" s="373">
        <f t="shared" si="7"/>
        <v>2.6000000000000773E-4</v>
      </c>
      <c r="L19" s="373">
        <f t="shared" si="8"/>
        <v>2.6000000000000773E-4</v>
      </c>
      <c r="AB19" s="188">
        <f>_xll.qlCalendarAdvance(Calendar,AB18,"1d","mf",,Trigger)</f>
        <v>42024</v>
      </c>
      <c r="AC19" s="210">
        <f>_xll.qlDayCounterYearFraction(DayCounter,SettlementDate,AB19,,,Trigger)</f>
        <v>7.4999999999999997E-2</v>
      </c>
      <c r="AD19" s="189">
        <f t="shared" si="0"/>
        <v>6.2000284206198614E-4</v>
      </c>
      <c r="AE19" s="189">
        <f t="shared" si="1"/>
        <v>5.3654852366749172E-4</v>
      </c>
      <c r="AF19" s="161">
        <f t="shared" si="2"/>
        <v>5.2329428905613482E-4</v>
      </c>
    </row>
    <row r="20" spans="3:32" ht="12" customHeight="1" thickBot="1" x14ac:dyDescent="0.25">
      <c r="AB20" s="188">
        <f>_xll.qlCalendarAdvance(Calendar,AB19,"1d","mf",,Trigger)</f>
        <v>42025</v>
      </c>
      <c r="AC20" s="210">
        <f>_xll.qlDayCounterYearFraction(DayCounter,SettlementDate,AB20,,,Trigger)</f>
        <v>7.7777777777777779E-2</v>
      </c>
      <c r="AD20" s="189">
        <f t="shared" si="0"/>
        <v>6.2000284206198614E-4</v>
      </c>
      <c r="AE20" s="189">
        <f t="shared" si="1"/>
        <v>5.2860049334420647E-4</v>
      </c>
      <c r="AF20" s="161">
        <f t="shared" si="2"/>
        <v>5.1493691602387255E-4</v>
      </c>
    </row>
    <row r="21" spans="3:32" ht="12" customHeight="1" x14ac:dyDescent="0.2">
      <c r="C21" s="212" t="s">
        <v>126</v>
      </c>
      <c r="AB21" s="188">
        <f>_xll.qlCalendarAdvance(Calendar,AB20,"1d","mf",,Trigger)</f>
        <v>42026</v>
      </c>
      <c r="AC21" s="210">
        <f>_xll.qlDayCounterYearFraction(DayCounter,SettlementDate,AB21,,,Trigger)</f>
        <v>8.0555555555555561E-2</v>
      </c>
      <c r="AD21" s="189">
        <f t="shared" si="0"/>
        <v>6.2000284206198614E-4</v>
      </c>
      <c r="AE21" s="189">
        <f t="shared" si="1"/>
        <v>5.2065246302092122E-4</v>
      </c>
      <c r="AF21" s="161">
        <f t="shared" si="2"/>
        <v>5.0666423458657118E-4</v>
      </c>
    </row>
    <row r="22" spans="3:32" ht="12" customHeight="1" x14ac:dyDescent="0.2">
      <c r="C22" s="215" t="s">
        <v>109</v>
      </c>
      <c r="AB22" s="188">
        <f>_xll.qlCalendarAdvance(Calendar,AB21,"1d","mf",,Trigger)</f>
        <v>42027</v>
      </c>
      <c r="AC22" s="210">
        <f>_xll.qlDayCounterYearFraction(DayCounter,SettlementDate,AB22,,,Trigger)</f>
        <v>8.3333333333333329E-2</v>
      </c>
      <c r="AD22" s="189">
        <f t="shared" si="0"/>
        <v>6.2000284206198614E-4</v>
      </c>
      <c r="AE22" s="189">
        <f t="shared" si="1"/>
        <v>5.1270443269763608E-4</v>
      </c>
      <c r="AF22" s="161">
        <f t="shared" si="2"/>
        <v>4.9847624474423061E-4</v>
      </c>
    </row>
    <row r="23" spans="3:32" ht="12" customHeight="1" x14ac:dyDescent="0.2">
      <c r="C23" s="189">
        <f>IF($C$22="FLAT",J15,IF($C$22="linear",K15,L15))</f>
        <v>2.6459183759186544E-4</v>
      </c>
      <c r="AB23" s="188">
        <f>_xll.qlCalendarAdvance(Calendar,AB22,"1d","mf",,Trigger)</f>
        <v>42030</v>
      </c>
      <c r="AC23" s="210">
        <f>_xll.qlDayCounterYearFraction(DayCounter,SettlementDate,AB23,,,Trigger)</f>
        <v>9.166666666666666E-2</v>
      </c>
      <c r="AD23" s="189">
        <f t="shared" si="0"/>
        <v>6.2000284206198614E-4</v>
      </c>
      <c r="AE23" s="189">
        <f t="shared" si="1"/>
        <v>4.8886034172778055E-4</v>
      </c>
      <c r="AF23" s="161">
        <f t="shared" si="2"/>
        <v>4.7442042478697309E-4</v>
      </c>
    </row>
    <row r="24" spans="3:32" ht="12" customHeight="1" x14ac:dyDescent="0.2">
      <c r="C24" s="189">
        <f>IF($C$22="FLAT",J16,IF($C$22="linear",K16,L16))</f>
        <v>2.5424435435818433E-4</v>
      </c>
      <c r="AB24" s="188">
        <f>_xll.qlCalendarAdvance(Calendar,AB23,"1d","mf",,Trigger)</f>
        <v>42031</v>
      </c>
      <c r="AC24" s="210">
        <f>_xll.qlDayCounterYearFraction(DayCounter,SettlementDate,AB24,,,Trigger)</f>
        <v>9.4444444444444442E-2</v>
      </c>
      <c r="AD24" s="189">
        <f t="shared" si="0"/>
        <v>6.2000284206198614E-4</v>
      </c>
      <c r="AE24" s="189">
        <f t="shared" ref="AE24:AE26" si="9">$S$10+$S$9*AC24</f>
        <v>4.8091231140449535E-4</v>
      </c>
      <c r="AF24" s="161">
        <f t="shared" ref="AF24:AF26" si="10">($S$5+$S$4*AC24+$S$3*AC24^2)</f>
        <v>4.6657120132447547E-4</v>
      </c>
    </row>
    <row r="25" spans="3:32" ht="12" customHeight="1" x14ac:dyDescent="0.2">
      <c r="C25" s="189">
        <f>IF($C$22="FLAT",J17,IF($C$22="linear",K17,L17))</f>
        <v>6.1892592334102299E-4</v>
      </c>
      <c r="AB25" s="188">
        <f>_xll.qlCalendarAdvance(Calendar,AB24,"1d","mf",,Trigger)</f>
        <v>42032</v>
      </c>
      <c r="AC25" s="210">
        <f>_xll.qlDayCounterYearFraction(DayCounter,SettlementDate,AB25,,,Trigger)</f>
        <v>9.7222222222222224E-2</v>
      </c>
      <c r="AD25" s="189">
        <f t="shared" si="0"/>
        <v>6.2000284206198614E-4</v>
      </c>
      <c r="AE25" s="189">
        <f t="shared" si="9"/>
        <v>4.7296428108121015E-4</v>
      </c>
      <c r="AF25" s="161">
        <f t="shared" si="10"/>
        <v>4.5880666945693859E-4</v>
      </c>
    </row>
    <row r="26" spans="3:32" ht="12" customHeight="1" thickBot="1" x14ac:dyDescent="0.25">
      <c r="C26" s="189">
        <f>IF($C$22="FLAT",J18,IF($C$22="linear",K18,L18))</f>
        <v>4.2497794536799915E-4</v>
      </c>
      <c r="AB26" s="190">
        <f>_xll.qlCalendarAdvance(Calendar,AB25,"1d","mf",,Trigger)</f>
        <v>42033</v>
      </c>
      <c r="AC26" s="211">
        <f>_xll.qlDayCounterYearFraction(DayCounter,SettlementDate,AB26,,,Trigger)</f>
        <v>0.1</v>
      </c>
      <c r="AD26" s="191">
        <f t="shared" si="0"/>
        <v>6.2000284206198614E-4</v>
      </c>
      <c r="AE26" s="191">
        <f t="shared" si="9"/>
        <v>4.6501625075792496E-4</v>
      </c>
      <c r="AF26" s="164">
        <f t="shared" si="10"/>
        <v>4.5112682918436244E-4</v>
      </c>
    </row>
    <row r="27" spans="3:32" ht="12" customHeight="1" x14ac:dyDescent="0.2">
      <c r="C27" s="216">
        <f>IF($C$22="FLAT",J19,IF($C$22="linear",K19,L19))</f>
        <v>2.6000000000000773E-4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150</v>
      </c>
      <c r="G2" s="166" t="s">
        <v>154</v>
      </c>
      <c r="H2" s="166" t="s">
        <v>155</v>
      </c>
      <c r="I2" s="166" t="s">
        <v>115</v>
      </c>
      <c r="J2" s="180" t="s">
        <v>116</v>
      </c>
      <c r="K2" s="166" t="s">
        <v>117</v>
      </c>
      <c r="L2" s="167" t="s">
        <v>125</v>
      </c>
      <c r="S2" s="206" t="s">
        <v>113</v>
      </c>
      <c r="W2" s="452" t="s">
        <v>112</v>
      </c>
      <c r="X2" s="452"/>
      <c r="Y2" s="452"/>
      <c r="AB2" s="165" t="s">
        <v>93</v>
      </c>
      <c r="AC2" s="165" t="s">
        <v>146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32" t="str">
        <f>$D$10&amp;"LastFixing"&amp;QuoteSuffix</f>
        <v>Euribor3MLastFixing_Quote</v>
      </c>
      <c r="D3" s="333">
        <f>_xll.qlCalendarAdvance(Calendar,_xll.qlLastFixingQuoteReferenceDate($C$3),_xll.qlInterestRateIndexFixingDays($D$10)&amp;"D","f",,LastFixingsTrigger)</f>
        <v>41997</v>
      </c>
      <c r="E3" s="333">
        <f>_xll.qlInterestRateIndexMaturity($D$10,D3)</f>
        <v>42087</v>
      </c>
      <c r="F3" s="432">
        <f>'Delta 3M'!L3</f>
        <v>2.3498002766569848E-4</v>
      </c>
      <c r="G3" s="353">
        <f>_xll.qlDayCounterYearFraction(DayCounter,SettlementDate,D3,,,Trigger)</f>
        <v>0</v>
      </c>
      <c r="H3" s="353">
        <f>_xll.qlDayCounterYearFraction(DayCounter,SettlementDate,E3,,,Trigger)</f>
        <v>0.25</v>
      </c>
      <c r="I3" s="353">
        <f>H3-G3</f>
        <v>0.25</v>
      </c>
      <c r="J3" s="353">
        <f>(H3^2-G3^2)/2</f>
        <v>3.125E-2</v>
      </c>
      <c r="K3" s="353">
        <f>(H3^3-G3^3)/3</f>
        <v>5.208333333333333E-3</v>
      </c>
      <c r="L3" s="334" t="b">
        <f>IF(D12="fixing",TRUE,FALSE)</f>
        <v>0</v>
      </c>
      <c r="N3" s="453" t="s">
        <v>109</v>
      </c>
      <c r="O3" s="172">
        <f t="array" ref="O3:O5">_xll.ohFilter(K3:K7,L3:L7)</f>
        <v>5.208333333333333E-3</v>
      </c>
      <c r="P3" s="173">
        <f t="array" ref="P3:P5">_xll.ohFilter(J3:J7,L3:L7)</f>
        <v>3.125E-2</v>
      </c>
      <c r="Q3" s="174">
        <f t="array" ref="Q3:Q5">_xll.ohFilter(I3:I7,L3:L7)</f>
        <v>0.25</v>
      </c>
      <c r="R3" s="168"/>
      <c r="S3" s="176">
        <f t="array" ref="S3:S5">MMULT(W3:Y5,U3:U5)</f>
        <v>8.3114406796320206E-3</v>
      </c>
      <c r="T3" s="177"/>
      <c r="U3" s="160">
        <f t="array" ref="U3:U5">_xll.ohFilter(F3:F7,L3:L7)</f>
        <v>2.1596383950178401E-4</v>
      </c>
      <c r="W3" s="172">
        <f t="array" ref="W3:Y5">MINVERSE(O3:Q5)</f>
        <v>253.59713465081384</v>
      </c>
      <c r="X3" s="173">
        <v>-545.62252220996402</v>
      </c>
      <c r="Y3" s="174">
        <v>298.08786002814975</v>
      </c>
      <c r="AB3" s="185">
        <f>SettlementDate</f>
        <v>41997</v>
      </c>
      <c r="AC3" s="210">
        <f>_xll.qlDayCounterYearFraction(DayCounter,SettlementDate,AB3,,,Trigger)</f>
        <v>0</v>
      </c>
      <c r="AD3" s="186">
        <f t="shared" ref="AD3:AD65" si="0">$S$13</f>
        <v>8.6385535800713605E-4</v>
      </c>
      <c r="AE3" s="186">
        <f t="shared" ref="AE3:AE65" si="1">$S$10+$S$9*AC3</f>
        <v>5.8348570453862982E-4</v>
      </c>
      <c r="AF3" s="187">
        <f t="shared" ref="AF3:AF65" si="2">($S$5+$S$4*AC3+$S$3*AC3^2)</f>
        <v>7.68040808352874E-4</v>
      </c>
    </row>
    <row r="4" spans="1:32" ht="12" customHeight="1" x14ac:dyDescent="0.2">
      <c r="A4" s="156">
        <v>0</v>
      </c>
      <c r="B4" s="408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41997</v>
      </c>
      <c r="E4" s="159">
        <f>_xll.qlInterestRateIndexMaturity($D$10,D4)</f>
        <v>42087</v>
      </c>
      <c r="F4" s="433">
        <f>_xll.qlInterpolationInterpolate(delta3Minterpolation,D4,TRUE,AllTriggers)</f>
        <v>2.1596383950178401E-4</v>
      </c>
      <c r="G4" s="210">
        <f>_xll.qlDayCounterYearFraction(DayCounter,SettlementDate,D4,,,Trigger)</f>
        <v>0</v>
      </c>
      <c r="H4" s="210">
        <f>_xll.qlDayCounterYearFraction(DayCounter,SettlementDate,E4,,,Trigger)</f>
        <v>0.25</v>
      </c>
      <c r="I4" s="210">
        <f>H4-G4</f>
        <v>0.25</v>
      </c>
      <c r="J4" s="210">
        <f>(H4^2-G4^2)/2</f>
        <v>3.125E-2</v>
      </c>
      <c r="K4" s="210">
        <f>(H4^3-G4^3)/3</f>
        <v>5.208333333333333E-3</v>
      </c>
      <c r="L4" s="192" t="b">
        <f>IF(D12="fixing",FALSE,TRUE)</f>
        <v>1</v>
      </c>
      <c r="N4" s="453"/>
      <c r="O4" s="172">
        <v>1.3365104881115683E-2</v>
      </c>
      <c r="P4" s="173">
        <v>5.5119598765432098E-2</v>
      </c>
      <c r="Q4" s="174">
        <v>0.25277777777777777</v>
      </c>
      <c r="R4" s="169" t="s">
        <v>39</v>
      </c>
      <c r="S4" s="176">
        <v>-6.1872371603790416E-4</v>
      </c>
      <c r="T4" s="169" t="s">
        <v>40</v>
      </c>
      <c r="U4" s="160">
        <v>2.7112312219987431E-4</v>
      </c>
      <c r="W4" s="172">
        <v>-130.30015219306765</v>
      </c>
      <c r="X4" s="173">
        <v>230.37395382198486</v>
      </c>
      <c r="Y4" s="174">
        <v>-102.6335122269392</v>
      </c>
      <c r="AB4" s="188">
        <f>_xll.qlCalendarAdvance(Calendar,AB3,"1d","mf",,Trigger)</f>
        <v>42002</v>
      </c>
      <c r="AC4" s="210">
        <f>_xll.qlDayCounterYearFraction(DayCounter,SettlementDate,AB4,,,Trigger)</f>
        <v>1.3888888888888888E-2</v>
      </c>
      <c r="AD4" s="189">
        <f t="shared" si="0"/>
        <v>8.6385535800713605E-4</v>
      </c>
      <c r="AE4" s="189">
        <f t="shared" si="1"/>
        <v>6.1463788825735278E-4</v>
      </c>
      <c r="AF4" s="161">
        <f t="shared" si="2"/>
        <v>7.61050710576042E-4</v>
      </c>
    </row>
    <row r="5" spans="1:32" ht="12" customHeight="1" x14ac:dyDescent="0.2">
      <c r="A5" s="171">
        <v>1</v>
      </c>
      <c r="B5" s="408">
        <f t="shared" ref="B5:B7" si="3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42030</v>
      </c>
      <c r="E5" s="159">
        <f>_xll.qlInterestRateIndexMaturity($D$10,D5)</f>
        <v>42121</v>
      </c>
      <c r="F5" s="433">
        <f>_xll.qlInterpolationInterpolate(delta3Minterpolation,D5,TRUE,AllTriggers)</f>
        <v>2.7112312219987431E-4</v>
      </c>
      <c r="G5" s="210">
        <f>_xll.qlDayCounterYearFraction(DayCounter,SettlementDate,D5,,,Trigger)</f>
        <v>9.166666666666666E-2</v>
      </c>
      <c r="H5" s="210">
        <f>_xll.qlDayCounterYearFraction(DayCounter,SettlementDate,E5,,,Trigger)</f>
        <v>0.34444444444444444</v>
      </c>
      <c r="I5" s="210">
        <f>H5-G5</f>
        <v>0.25277777777777777</v>
      </c>
      <c r="J5" s="210">
        <f>(H5^2-G5^2)/2</f>
        <v>5.5119598765432098E-2</v>
      </c>
      <c r="K5" s="210">
        <f>(H5^3-G5^3)/3</f>
        <v>1.3365104881115683E-2</v>
      </c>
      <c r="L5" s="192" t="b">
        <v>1</v>
      </c>
      <c r="N5" s="453"/>
      <c r="O5" s="172">
        <v>2.3387345679012347E-2</v>
      </c>
      <c r="P5" s="173">
        <v>7.4305555555555555E-2</v>
      </c>
      <c r="Q5" s="174">
        <v>0.25</v>
      </c>
      <c r="R5" s="171"/>
      <c r="S5" s="176">
        <v>7.68040808352874E-4</v>
      </c>
      <c r="T5" s="169"/>
      <c r="U5" s="160">
        <v>3.4041812889778328E-4</v>
      </c>
      <c r="W5" s="172">
        <v>15.004245385574835</v>
      </c>
      <c r="X5" s="173">
        <v>-17.429608348373854</v>
      </c>
      <c r="Y5" s="174">
        <v>6.6190252777809491</v>
      </c>
      <c r="AB5" s="188">
        <f>_xll.qlCalendarAdvance(Calendar,AB4,"1d","mf",,Trigger)</f>
        <v>42003</v>
      </c>
      <c r="AC5" s="210">
        <f>_xll.qlDayCounterYearFraction(DayCounter,SettlementDate,AB5,,,Trigger)</f>
        <v>1.6666666666666666E-2</v>
      </c>
      <c r="AD5" s="189">
        <f t="shared" si="0"/>
        <v>8.6385535800713605E-4</v>
      </c>
      <c r="AE5" s="189">
        <f t="shared" si="1"/>
        <v>6.2086832500109733E-4</v>
      </c>
      <c r="AF5" s="161">
        <f t="shared" si="2"/>
        <v>7.6003747994102895E-4</v>
      </c>
    </row>
    <row r="6" spans="1:32" ht="12" customHeight="1" x14ac:dyDescent="0.2">
      <c r="A6" s="171">
        <v>2</v>
      </c>
      <c r="B6" s="408">
        <f t="shared" si="3"/>
        <v>5</v>
      </c>
      <c r="C6" s="158" t="str">
        <f>"Delta("&amp;A6&amp;"M,"&amp;B6&amp;"M)"</f>
        <v>Delta(2M,5M)</v>
      </c>
      <c r="D6" s="159">
        <f>_xll.qlCalendarAdvance(Calendar,SettlementDate,A6&amp;"M","f")</f>
        <v>42059</v>
      </c>
      <c r="E6" s="159">
        <f>_xll.qlInterestRateIndexMaturity($D$10,D6)</f>
        <v>42149</v>
      </c>
      <c r="F6" s="433">
        <f>_xll.qlInterpolationInterpolate(delta3Minterpolation,D6,TRUE,AllTriggers)</f>
        <v>3.4041812889778328E-4</v>
      </c>
      <c r="G6" s="210">
        <f>_xll.qlDayCounterYearFraction(DayCounter,SettlementDate,D6,,,Trigger)</f>
        <v>0.17222222222222222</v>
      </c>
      <c r="H6" s="210">
        <f>_xll.qlDayCounterYearFraction(DayCounter,SettlementDate,E6,,,Trigger)</f>
        <v>0.42222222222222222</v>
      </c>
      <c r="I6" s="210">
        <f>H6-G6</f>
        <v>0.25</v>
      </c>
      <c r="J6" s="210">
        <f>(H6^2-G6^2)/2</f>
        <v>7.4305555555555555E-2</v>
      </c>
      <c r="K6" s="210">
        <f>(H6^3-G6^3)/3</f>
        <v>2.3387345679012347E-2</v>
      </c>
      <c r="L6" s="192" t="b">
        <v>1</v>
      </c>
      <c r="S6" s="178"/>
      <c r="T6" s="207"/>
      <c r="U6" s="179"/>
      <c r="AB6" s="188">
        <f>_xll.qlCalendarAdvance(Calendar,AB5,"1d","mf",,Trigger)</f>
        <v>42004</v>
      </c>
      <c r="AC6" s="210">
        <f>_xll.qlDayCounterYearFraction(DayCounter,SettlementDate,AB6,,,Trigger)</f>
        <v>1.9444444444444445E-2</v>
      </c>
      <c r="AD6" s="189">
        <f t="shared" si="0"/>
        <v>8.6385535800713605E-4</v>
      </c>
      <c r="AE6" s="189">
        <f t="shared" si="1"/>
        <v>6.2709876174484188E-4</v>
      </c>
      <c r="AF6" s="161">
        <f t="shared" si="2"/>
        <v>7.5915251227946692E-4</v>
      </c>
    </row>
    <row r="7" spans="1:32" ht="12" customHeight="1" thickBot="1" x14ac:dyDescent="0.25">
      <c r="A7" s="171">
        <v>3</v>
      </c>
      <c r="B7" s="408">
        <f t="shared" si="3"/>
        <v>6</v>
      </c>
      <c r="C7" s="162" t="str">
        <f>"Delta("&amp;A7&amp;"M,"&amp;B7&amp;"M)"</f>
        <v>Delta(3M,6M)</v>
      </c>
      <c r="D7" s="163">
        <f>_xll.qlCalendarAdvance(Calendar,SettlementDate,A7&amp;"M","f")</f>
        <v>42087</v>
      </c>
      <c r="E7" s="163">
        <f>_xll.qlInterestRateIndexMaturity($D$10,D7)</f>
        <v>42179</v>
      </c>
      <c r="F7" s="434">
        <f>_xll.qlInterpolationInterpolate(delta3Minterpolation,D7,TRUE,AllTriggers)</f>
        <v>3.6906064163640671E-4</v>
      </c>
      <c r="G7" s="211">
        <f>_xll.qlDayCounterYearFraction(DayCounter,SettlementDate,D7,,,Trigger)</f>
        <v>0.25</v>
      </c>
      <c r="H7" s="211">
        <f>_xll.qlDayCounterYearFraction(DayCounter,SettlementDate,E7,,,Trigger)</f>
        <v>0.50555555555555554</v>
      </c>
      <c r="I7" s="211">
        <f>H7-G7</f>
        <v>0.25555555555555554</v>
      </c>
      <c r="J7" s="211">
        <f>(H7^2-G7^2)/2</f>
        <v>9.654320987654319E-2</v>
      </c>
      <c r="K7" s="211">
        <f>(H7^3-G7^3)/3</f>
        <v>3.7862711476908999E-2</v>
      </c>
      <c r="L7" s="193" t="b">
        <v>0</v>
      </c>
      <c r="S7" s="178"/>
      <c r="T7" s="207"/>
      <c r="U7" s="179"/>
      <c r="AB7" s="188">
        <f>_xll.qlCalendarAdvance(Calendar,AB6,"1d","mf",,Trigger)</f>
        <v>42006</v>
      </c>
      <c r="AC7" s="210">
        <f>_xll.qlDayCounterYearFraction(DayCounter,SettlementDate,AB7,,,Trigger)</f>
        <v>2.5000000000000001E-2</v>
      </c>
      <c r="AD7" s="189">
        <f t="shared" si="0"/>
        <v>8.6385535800713605E-4</v>
      </c>
      <c r="AE7" s="189">
        <f t="shared" si="1"/>
        <v>6.3955963523233109E-4</v>
      </c>
      <c r="AF7" s="161">
        <f t="shared" si="2"/>
        <v>7.5776736587669646E-4</v>
      </c>
    </row>
    <row r="8" spans="1:32" ht="12" customHeight="1" thickBot="1" x14ac:dyDescent="0.25">
      <c r="C8" s="403"/>
      <c r="D8" s="404"/>
      <c r="E8" s="404"/>
      <c r="F8" s="405"/>
      <c r="G8" s="406"/>
      <c r="H8" s="406"/>
      <c r="I8" s="406"/>
      <c r="J8" s="406"/>
      <c r="K8" s="406"/>
      <c r="L8" s="407"/>
      <c r="S8" s="208" t="s">
        <v>114</v>
      </c>
      <c r="T8" s="207"/>
      <c r="U8" s="179"/>
      <c r="AB8" s="188">
        <f>_xll.qlCalendarAdvance(Calendar,AB7,"1d","mf",,Trigger)</f>
        <v>42009</v>
      </c>
      <c r="AC8" s="210">
        <f>_xll.qlDayCounterYearFraction(DayCounter,SettlementDate,AB8,,,Trigger)</f>
        <v>3.3333333333333333E-2</v>
      </c>
      <c r="AD8" s="189">
        <f t="shared" si="0"/>
        <v>8.6385535800713605E-4</v>
      </c>
      <c r="AE8" s="189">
        <f t="shared" si="1"/>
        <v>6.5825094546356484E-4</v>
      </c>
      <c r="AF8" s="161">
        <f t="shared" si="2"/>
        <v>7.5665161857342393E-4</v>
      </c>
    </row>
    <row r="9" spans="1:32" ht="12" customHeight="1" x14ac:dyDescent="0.2">
      <c r="C9" s="165" t="s">
        <v>162</v>
      </c>
      <c r="D9" s="203" t="s">
        <v>43</v>
      </c>
      <c r="N9" s="452" t="s">
        <v>110</v>
      </c>
      <c r="O9" s="209"/>
      <c r="P9" s="172">
        <f t="array" ref="P9:P10">_xll.ohFilter(J3:J7,L3:L7)</f>
        <v>3.125E-2</v>
      </c>
      <c r="Q9" s="174">
        <f t="array" ref="Q9:Q10">_xll.ohFilter(I3:I7,L3:L7)</f>
        <v>0.25</v>
      </c>
      <c r="R9" s="454" t="s">
        <v>39</v>
      </c>
      <c r="S9" s="176">
        <f t="array" ref="S9:S10">MMULT(W9:X10,U9:U10)</f>
        <v>2.2429572277480516E-3</v>
      </c>
      <c r="T9" s="454" t="s">
        <v>40</v>
      </c>
      <c r="U9" s="160">
        <f t="array" ref="U9:U10">_xll.ohFilter(F3:F7,L3:L7)</f>
        <v>2.1596383950178401E-4</v>
      </c>
      <c r="W9" s="172">
        <f t="array" ref="W9:X10">MINVERSE(P9:Q10)</f>
        <v>-42.985074626865668</v>
      </c>
      <c r="X9" s="174">
        <v>42.512711169427583</v>
      </c>
      <c r="AB9" s="188">
        <f>_xll.qlCalendarAdvance(Calendar,AB8,"1d","mf",,Trigger)</f>
        <v>42010</v>
      </c>
      <c r="AC9" s="210">
        <f>_xll.qlDayCounterYearFraction(DayCounter,SettlementDate,AB9,,,Trigger)</f>
        <v>3.6111111111111108E-2</v>
      </c>
      <c r="AD9" s="189">
        <f t="shared" si="0"/>
        <v>8.6385535800713605E-4</v>
      </c>
      <c r="AE9" s="189">
        <f t="shared" si="1"/>
        <v>6.6448138220730939E-4</v>
      </c>
      <c r="AF9" s="161">
        <f t="shared" si="2"/>
        <v>7.5653622875256857E-4</v>
      </c>
    </row>
    <row r="10" spans="1:32" ht="12" customHeight="1" x14ac:dyDescent="0.2">
      <c r="C10" s="183" t="s">
        <v>124</v>
      </c>
      <c r="D10" s="204" t="str">
        <f>PROPER(Currency)&amp;IborType&amp;D9</f>
        <v>Euribor3M</v>
      </c>
      <c r="N10" s="452"/>
      <c r="O10" s="209"/>
      <c r="P10" s="172">
        <v>5.5119598765432098E-2</v>
      </c>
      <c r="Q10" s="174">
        <v>0.25277777777777777</v>
      </c>
      <c r="R10" s="454"/>
      <c r="S10" s="176">
        <v>5.8348570453862982E-4</v>
      </c>
      <c r="T10" s="454"/>
      <c r="U10" s="160">
        <v>2.7112312219987431E-4</v>
      </c>
      <c r="W10" s="172">
        <v>9.3731343283582085</v>
      </c>
      <c r="X10" s="174">
        <v>-5.3140888961784478</v>
      </c>
      <c r="AB10" s="188">
        <f>_xll.qlCalendarAdvance(Calendar,AB9,"1d","mf",,Trigger)</f>
        <v>42011</v>
      </c>
      <c r="AC10" s="210">
        <f>_xll.qlDayCounterYearFraction(DayCounter,SettlementDate,AB10,,,Trigger)</f>
        <v>3.888888888888889E-2</v>
      </c>
      <c r="AD10" s="189">
        <f t="shared" si="0"/>
        <v>8.6385535800713605E-4</v>
      </c>
      <c r="AE10" s="189">
        <f t="shared" si="1"/>
        <v>6.7071181895105405E-4</v>
      </c>
      <c r="AF10" s="161">
        <f t="shared" si="2"/>
        <v>7.5654910190516445E-4</v>
      </c>
    </row>
    <row r="11" spans="1:32" ht="12" customHeight="1" x14ac:dyDescent="0.2">
      <c r="C11" s="183" t="s">
        <v>153</v>
      </c>
      <c r="D11" s="331" t="s">
        <v>102</v>
      </c>
      <c r="S11" s="178"/>
      <c r="T11" s="207"/>
      <c r="U11" s="179"/>
      <c r="AB11" s="188">
        <f>_xll.qlCalendarAdvance(Calendar,AB10,"1d","mf",,Trigger)</f>
        <v>42012</v>
      </c>
      <c r="AC11" s="210">
        <f>_xll.qlDayCounterYearFraction(DayCounter,SettlementDate,AB11,,,Trigger)</f>
        <v>4.1666666666666664E-2</v>
      </c>
      <c r="AD11" s="189">
        <f t="shared" si="0"/>
        <v>8.6385535800713605E-4</v>
      </c>
      <c r="AE11" s="189">
        <f t="shared" si="1"/>
        <v>6.769422556947986E-4</v>
      </c>
      <c r="AF11" s="161">
        <f t="shared" si="2"/>
        <v>7.5669023803121135E-4</v>
      </c>
    </row>
    <row r="12" spans="1:32" ht="12" customHeight="1" thickBot="1" x14ac:dyDescent="0.25">
      <c r="C12" s="184" t="s">
        <v>152</v>
      </c>
      <c r="D12" s="362" t="s">
        <v>156</v>
      </c>
      <c r="S12" s="206" t="s">
        <v>37</v>
      </c>
      <c r="T12" s="207"/>
      <c r="U12" s="179"/>
      <c r="AB12" s="188">
        <f>_xll.qlCalendarAdvance(Calendar,AB11,"1d","mf",,Trigger)</f>
        <v>42013</v>
      </c>
      <c r="AC12" s="210">
        <f>_xll.qlDayCounterYearFraction(DayCounter,SettlementDate,AB12,,,Trigger)</f>
        <v>4.4444444444444446E-2</v>
      </c>
      <c r="AD12" s="189">
        <f t="shared" si="0"/>
        <v>8.6385535800713605E-4</v>
      </c>
      <c r="AE12" s="189">
        <f t="shared" si="1"/>
        <v>6.8317269243854326E-4</v>
      </c>
      <c r="AF12" s="161">
        <f t="shared" si="2"/>
        <v>7.5695963713070938E-4</v>
      </c>
    </row>
    <row r="13" spans="1:32" ht="12" customHeight="1" thickBot="1" x14ac:dyDescent="0.25">
      <c r="J13" s="366" t="str">
        <f>"Synthetic Deposits "&amp;D9</f>
        <v>Synthetic Deposits 3M</v>
      </c>
      <c r="K13" s="367"/>
      <c r="L13" s="368"/>
      <c r="N13" s="202" t="s">
        <v>111</v>
      </c>
      <c r="Q13" s="175">
        <f t="array" ref="Q13">_xll.ohFilter(I3:I7,L3:L7)</f>
        <v>0.25</v>
      </c>
      <c r="R13" s="202" t="s">
        <v>39</v>
      </c>
      <c r="S13" s="176">
        <f>MMULT(W13,U13)</f>
        <v>8.6385535800713605E-4</v>
      </c>
      <c r="T13" s="202" t="s">
        <v>40</v>
      </c>
      <c r="U13" s="160">
        <f t="array" ref="U13">_xll.ohFilter(F3:F7,L3:L7)</f>
        <v>2.1596383950178401E-4</v>
      </c>
      <c r="W13" s="175">
        <f>MINVERSE(Q13)</f>
        <v>4</v>
      </c>
      <c r="AB13" s="188">
        <f>_xll.qlCalendarAdvance(Calendar,AB12,"1d","mf",,Trigger)</f>
        <v>42016</v>
      </c>
      <c r="AC13" s="210">
        <f>_xll.qlDayCounterYearFraction(DayCounter,SettlementDate,AB13,,,Trigger)</f>
        <v>5.2777777777777778E-2</v>
      </c>
      <c r="AD13" s="189">
        <f t="shared" si="0"/>
        <v>8.6385535800713605E-4</v>
      </c>
      <c r="AE13" s="189">
        <f t="shared" si="1"/>
        <v>7.0186400266977701E-4</v>
      </c>
      <c r="AF13" s="161">
        <f t="shared" si="2"/>
        <v>7.5853741226991015E-4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146</v>
      </c>
      <c r="G14" s="180" t="s">
        <v>147</v>
      </c>
      <c r="H14" s="166" t="s">
        <v>148</v>
      </c>
      <c r="I14" s="180" t="s">
        <v>149</v>
      </c>
      <c r="J14" s="372" t="s">
        <v>111</v>
      </c>
      <c r="K14" s="372" t="s">
        <v>110</v>
      </c>
      <c r="L14" s="372" t="s">
        <v>138</v>
      </c>
      <c r="AB14" s="188">
        <f>_xll.qlCalendarAdvance(Calendar,AB13,"1d","mf",,Trigger)</f>
        <v>42017</v>
      </c>
      <c r="AC14" s="210">
        <f>_xll.qlDayCounterYearFraction(DayCounter,SettlementDate,AB14,,,Trigger)</f>
        <v>5.5555555555555552E-2</v>
      </c>
      <c r="AD14" s="189">
        <f t="shared" si="0"/>
        <v>8.6385535800713605E-4</v>
      </c>
      <c r="AE14" s="189">
        <f t="shared" si="1"/>
        <v>7.0809443941352156E-4</v>
      </c>
      <c r="AF14" s="161">
        <f t="shared" si="2"/>
        <v>7.5931986326321281E-4</v>
      </c>
    </row>
    <row r="15" spans="1:32" ht="12" customHeight="1" x14ac:dyDescent="0.2">
      <c r="C15" s="200" t="s">
        <v>45</v>
      </c>
      <c r="D15" s="194">
        <f t="shared" ref="D15:D21" si="4">SettlementDate</f>
        <v>41997</v>
      </c>
      <c r="E15" s="195">
        <f>_xll.qlCalendarAdvance(Calendar,SettlementDate,C15,"Following",,Trigger)</f>
        <v>42002</v>
      </c>
      <c r="F15" s="357">
        <f>_xll.qlDayCounterYearFraction(DayCounter,D15,E15,,,Trigger)</f>
        <v>1.3888888888888888E-2</v>
      </c>
      <c r="G15" s="350">
        <f>_xll.qlYieldTSDiscount(Discounting,D15,,AllTriggers)</f>
        <v>1</v>
      </c>
      <c r="H15" s="422">
        <f>_xll.qlYieldTSDiscount(Discounting,E15,,AllTriggers)</f>
        <v>1.0000068056111346</v>
      </c>
      <c r="I15" s="364">
        <f>(G15/H15-1)/F15</f>
        <v>-4.9000066693771771E-4</v>
      </c>
      <c r="J15" s="360">
        <f>((1+I15*F15)*EXP($S$13*F15)-1)/F15</f>
        <v>3.7385399429012978E-4</v>
      </c>
      <c r="K15" s="360">
        <f>((1+F15*I15)*EXP($S$10*F15+0.5*$S$9*F15^2)-1)/F15</f>
        <v>1.0905954467510526E-4</v>
      </c>
      <c r="L15" s="360">
        <f>((1+F15*I15)*EXP($S$5*F15+0.5*$S$4*F15^2+1/3*$S$3*F15^3)-1)/F15</f>
        <v>2.7427673303748179E-4</v>
      </c>
      <c r="AB15" s="188">
        <f>_xll.qlCalendarAdvance(Calendar,AB14,"1d","mf",,Trigger)</f>
        <v>42018</v>
      </c>
      <c r="AC15" s="210">
        <f>_xll.qlDayCounterYearFraction(DayCounter,SettlementDate,AB15,,,Trigger)</f>
        <v>5.8333333333333334E-2</v>
      </c>
      <c r="AD15" s="189">
        <f t="shared" si="0"/>
        <v>8.6385535800713605E-4</v>
      </c>
      <c r="AE15" s="189">
        <f t="shared" si="1"/>
        <v>7.1432487615726622E-4</v>
      </c>
      <c r="AF15" s="161">
        <f t="shared" si="2"/>
        <v>7.6023057722996628E-4</v>
      </c>
    </row>
    <row r="16" spans="1:32" ht="12" customHeight="1" x14ac:dyDescent="0.2">
      <c r="C16" s="198" t="s">
        <v>46</v>
      </c>
      <c r="D16" s="159">
        <f>SettlementDate</f>
        <v>41997</v>
      </c>
      <c r="E16" s="196">
        <f>_xll.qlCalendarAdvance(Calendar,SettlementDate,C16,"Following",,Trigger)</f>
        <v>42004</v>
      </c>
      <c r="F16" s="210">
        <f>_xll.qlDayCounterYearFraction(DayCounter,D16,E16,,,Trigger)</f>
        <v>1.9444444444444445E-2</v>
      </c>
      <c r="G16" s="351">
        <f>_xll.qlYieldTSDiscount(Discounting,D16,,AllTriggers)</f>
        <v>1</v>
      </c>
      <c r="H16" s="423">
        <f>_xll.qlYieldTSDiscount(Discounting,E16,,AllTriggers)</f>
        <v>1.000009527868557</v>
      </c>
      <c r="I16" s="364">
        <f t="shared" ref="I16:I21" si="5">(G16/H16-1)/F16</f>
        <v>-4.8999999999236156E-4</v>
      </c>
      <c r="J16" s="361">
        <f t="shared" ref="J16:J20" si="6">((1+I16*F16)*EXP($S$13*F16)-1)/F16</f>
        <v>3.7385438252585904E-4</v>
      </c>
      <c r="K16" s="361">
        <f t="shared" ref="K16:K20" si="7">((1+F16*I16)*EXP($S$10*F16+0.5*$S$9*F16^2)-1)/F16</f>
        <v>1.1529002805004447E-4</v>
      </c>
      <c r="L16" s="361">
        <f t="shared" ref="L16:L20" si="8">((1+F16*I16)*EXP($S$5*F16+0.5*$S$4*F16^2+1/3*$S$3*F16^3)-1)/F16</f>
        <v>2.7307131048941765E-4</v>
      </c>
      <c r="AB16" s="188">
        <f>_xll.qlCalendarAdvance(Calendar,AB15,"1d","mf",,Trigger)</f>
        <v>42019</v>
      </c>
      <c r="AC16" s="210">
        <f>_xll.qlDayCounterYearFraction(DayCounter,SettlementDate,AB16,,,Trigger)</f>
        <v>6.1111111111111109E-2</v>
      </c>
      <c r="AD16" s="189">
        <f t="shared" si="0"/>
        <v>8.6385535800713605E-4</v>
      </c>
      <c r="AE16" s="189">
        <f t="shared" si="1"/>
        <v>7.2055531290101077E-4</v>
      </c>
      <c r="AF16" s="161">
        <f t="shared" si="2"/>
        <v>7.6126955417017098E-4</v>
      </c>
    </row>
    <row r="17" spans="3:32" ht="12" customHeight="1" x14ac:dyDescent="0.2">
      <c r="C17" s="198" t="s">
        <v>47</v>
      </c>
      <c r="D17" s="159">
        <f t="shared" si="4"/>
        <v>41997</v>
      </c>
      <c r="E17" s="196">
        <f>_xll.qlCalendarAdvance(Calendar,SettlementDate,C17,"Following",,Trigger)</f>
        <v>42011</v>
      </c>
      <c r="F17" s="210">
        <f>_xll.qlDayCounterYearFraction(DayCounter,D17,E17,,,Trigger)</f>
        <v>3.888888888888889E-2</v>
      </c>
      <c r="G17" s="351">
        <f>_xll.qlYieldTSDiscount(Discounting,D17,,AllTriggers)</f>
        <v>1</v>
      </c>
      <c r="H17" s="423">
        <f>_xll.qlYieldTSDiscount(Discounting,E17,,AllTriggers)</f>
        <v>1.0000035000122609</v>
      </c>
      <c r="I17" s="364">
        <f t="shared" si="5"/>
        <v>-9.0000000278081925E-5</v>
      </c>
      <c r="J17" s="361">
        <f t="shared" si="6"/>
        <v>7.7386684468550015E-4</v>
      </c>
      <c r="K17" s="361">
        <f t="shared" si="7"/>
        <v>5.3710421324229931E-4</v>
      </c>
      <c r="L17" s="361">
        <f t="shared" si="8"/>
        <v>6.7020856934504479E-4</v>
      </c>
      <c r="AB17" s="188">
        <f>_xll.qlCalendarAdvance(Calendar,AB16,"1d","mf",,Trigger)</f>
        <v>42020</v>
      </c>
      <c r="AC17" s="210">
        <f>_xll.qlDayCounterYearFraction(DayCounter,SettlementDate,AB17,,,Trigger)</f>
        <v>6.3888888888888884E-2</v>
      </c>
      <c r="AD17" s="189">
        <f t="shared" si="0"/>
        <v>8.6385535800713605E-4</v>
      </c>
      <c r="AE17" s="189">
        <f t="shared" si="1"/>
        <v>7.2678574964475532E-4</v>
      </c>
      <c r="AF17" s="161">
        <f t="shared" si="2"/>
        <v>7.6243679408382692E-4</v>
      </c>
    </row>
    <row r="18" spans="3:32" ht="12" customHeight="1" x14ac:dyDescent="0.2">
      <c r="C18" s="198" t="s">
        <v>48</v>
      </c>
      <c r="D18" s="159">
        <f t="shared" si="4"/>
        <v>41997</v>
      </c>
      <c r="E18" s="196">
        <f>_xll.qlCalendarAdvance(Calendar,SettlementDate,C18,"Following",,Trigger)</f>
        <v>42018</v>
      </c>
      <c r="F18" s="210">
        <f>_xll.qlDayCounterYearFraction(DayCounter,D18,E18,,,Trigger)</f>
        <v>5.8333333333333334E-2</v>
      </c>
      <c r="G18" s="351">
        <f>_xll.qlYieldTSDiscount(Discounting,D18,,AllTriggers)</f>
        <v>1</v>
      </c>
      <c r="H18" s="423">
        <f>_xll.qlYieldTSDiscount(Discounting,E18,,AllTriggers)</f>
        <v>1.000014583546037</v>
      </c>
      <c r="I18" s="364">
        <f t="shared" si="5"/>
        <v>-2.5000000046127013E-4</v>
      </c>
      <c r="J18" s="361">
        <f t="shared" si="6"/>
        <v>6.138645252156444E-4</v>
      </c>
      <c r="K18" s="361">
        <f t="shared" si="7"/>
        <v>3.9890810810381893E-4</v>
      </c>
      <c r="L18" s="361">
        <f t="shared" si="8"/>
        <v>5.0942777420840248E-4</v>
      </c>
      <c r="AB18" s="188">
        <f>_xll.qlCalendarAdvance(Calendar,AB17,"1d","mf",,Trigger)</f>
        <v>42023</v>
      </c>
      <c r="AC18" s="210">
        <f>_xll.qlDayCounterYearFraction(DayCounter,SettlementDate,AB18,,,Trigger)</f>
        <v>7.2222222222222215E-2</v>
      </c>
      <c r="AD18" s="189">
        <f t="shared" si="0"/>
        <v>8.6385535800713605E-4</v>
      </c>
      <c r="AE18" s="189">
        <f t="shared" si="1"/>
        <v>7.4547705987598907E-4</v>
      </c>
      <c r="AF18" s="161">
        <f t="shared" si="2"/>
        <v>7.667080916655011E-4</v>
      </c>
    </row>
    <row r="19" spans="3:32" ht="12" customHeight="1" x14ac:dyDescent="0.2">
      <c r="C19" s="198" t="s">
        <v>42</v>
      </c>
      <c r="D19" s="159">
        <f t="shared" si="4"/>
        <v>41997</v>
      </c>
      <c r="E19" s="196">
        <f>_xll.qlCalendarAdvance(Calendar,SettlementDate,C19,"mf",TRUE,Trigger)</f>
        <v>42030</v>
      </c>
      <c r="F19" s="210">
        <f>_xll.qlDayCounterYearFraction(DayCounter,D19,E19,,,Trigger)</f>
        <v>9.166666666666666E-2</v>
      </c>
      <c r="G19" s="351">
        <f>_xll.qlYieldTSDiscount(Discounting,D19,,AllTriggers)</f>
        <v>1</v>
      </c>
      <c r="H19" s="423">
        <f>_xll.qlYieldTSDiscount(Discounting,E19,,AllTriggers)</f>
        <v>1.0000330010890557</v>
      </c>
      <c r="I19" s="364">
        <f t="shared" si="5"/>
        <v>-3.6000000021503683E-4</v>
      </c>
      <c r="J19" s="361">
        <f t="shared" si="6"/>
        <v>5.038610532852191E-4</v>
      </c>
      <c r="K19" s="361">
        <f t="shared" si="7"/>
        <v>3.2628684992662795E-4</v>
      </c>
      <c r="L19" s="361">
        <f t="shared" si="8"/>
        <v>4.0296386959601E-4</v>
      </c>
      <c r="AB19" s="188">
        <f>_xll.qlCalendarAdvance(Calendar,AB18,"1d","mf",,Trigger)</f>
        <v>42024</v>
      </c>
      <c r="AC19" s="210">
        <f>_xll.qlDayCounterYearFraction(DayCounter,SettlementDate,AB19,,,Trigger)</f>
        <v>7.4999999999999997E-2</v>
      </c>
      <c r="AD19" s="189">
        <f t="shared" si="0"/>
        <v>8.6385535800713605E-4</v>
      </c>
      <c r="AE19" s="189">
        <f t="shared" si="1"/>
        <v>7.5170749661973373E-4</v>
      </c>
      <c r="AF19" s="161">
        <f t="shared" si="2"/>
        <v>7.6838838347296134E-4</v>
      </c>
    </row>
    <row r="20" spans="3:32" ht="12" customHeight="1" x14ac:dyDescent="0.2">
      <c r="C20" s="198" t="s">
        <v>49</v>
      </c>
      <c r="D20" s="159">
        <f t="shared" si="4"/>
        <v>41997</v>
      </c>
      <c r="E20" s="196">
        <f>_xll.qlCalendarAdvance(Calendar,SettlementDate,C20,"mf",TRUE,Trigger)</f>
        <v>42059</v>
      </c>
      <c r="F20" s="210">
        <f>_xll.qlDayCounterYearFraction(DayCounter,D20,E20,,,Trigger)</f>
        <v>0.17222222222222222</v>
      </c>
      <c r="G20" s="351">
        <f>_xll.qlYieldTSDiscount(Discounting,D20,,AllTriggers)</f>
        <v>1</v>
      </c>
      <c r="H20" s="423">
        <f>_xll.qlYieldTSDiscount(Discounting,E20,,AllTriggers)</f>
        <v>1.0000396126804101</v>
      </c>
      <c r="I20" s="364">
        <f t="shared" si="5"/>
        <v>-2.3000000114201382E-4</v>
      </c>
      <c r="J20" s="361">
        <f t="shared" si="6"/>
        <v>6.3388539931493132E-4</v>
      </c>
      <c r="K20" s="361">
        <f t="shared" si="7"/>
        <v>5.4665041773721014E-4</v>
      </c>
      <c r="L20" s="361">
        <f t="shared" si="8"/>
        <v>5.6695875475699974E-4</v>
      </c>
      <c r="AB20" s="188">
        <f>_xll.qlCalendarAdvance(Calendar,AB19,"1d","mf",,Trigger)</f>
        <v>42025</v>
      </c>
      <c r="AC20" s="210">
        <f>_xll.qlDayCounterYearFraction(DayCounter,SettlementDate,AB20,,,Trigger)</f>
        <v>7.7777777777777779E-2</v>
      </c>
      <c r="AD20" s="189">
        <f t="shared" si="0"/>
        <v>8.6385535800713605E-4</v>
      </c>
      <c r="AE20" s="189">
        <f t="shared" si="1"/>
        <v>7.5793793336347828E-4</v>
      </c>
      <c r="AF20" s="161">
        <f t="shared" si="2"/>
        <v>7.7019693825387261E-4</v>
      </c>
    </row>
    <row r="21" spans="3:32" ht="12" customHeight="1" thickBot="1" x14ac:dyDescent="0.25">
      <c r="C21" s="199" t="s">
        <v>43</v>
      </c>
      <c r="D21" s="163">
        <f t="shared" si="4"/>
        <v>41997</v>
      </c>
      <c r="E21" s="197">
        <f>_xll.qlCalendarAdvance(Calendar,SettlementDate,C21,"mf",TRUE,Trigger)</f>
        <v>42087</v>
      </c>
      <c r="F21" s="211">
        <f>_xll.qlDayCounterYearFraction(DayCounter,D21,E21,,,Trigger)</f>
        <v>0.25</v>
      </c>
      <c r="G21" s="352">
        <f>_xll.qlYieldTSDiscount(Discounting,D21,,AllTriggers)</f>
        <v>1</v>
      </c>
      <c r="H21" s="424">
        <f>_xll.qlYieldTSDiscount(Discounting,E21,,AllTriggers)</f>
        <v>1.000032501056171</v>
      </c>
      <c r="I21" s="365">
        <f t="shared" si="5"/>
        <v>-1.2999999954699248E-4</v>
      </c>
      <c r="J21" s="373">
        <f>((1+I21*F21)*EXP($S$13*F21)-1)/F21</f>
        <v>7.3392056760468449E-4</v>
      </c>
      <c r="K21" s="373">
        <f>((1+F21*I21)*EXP($S$10*F21+0.5*$S$9*F21^2)-1)/F21</f>
        <v>7.3392056760468449E-4</v>
      </c>
      <c r="L21" s="373">
        <f>((1+F21*I21)*EXP($S$5*F21+0.5*$S$4*F21^2+1/3*$S$3*F21^3)-1)/F21</f>
        <v>7.3392056760468449E-4</v>
      </c>
      <c r="AB21" s="188">
        <f>_xll.qlCalendarAdvance(Calendar,AB20,"1d","mf",,Trigger)</f>
        <v>42026</v>
      </c>
      <c r="AC21" s="210">
        <f>_xll.qlDayCounterYearFraction(DayCounter,SettlementDate,AB21,,,Trigger)</f>
        <v>8.0555555555555561E-2</v>
      </c>
      <c r="AD21" s="189">
        <f t="shared" si="0"/>
        <v>8.6385535800713605E-4</v>
      </c>
      <c r="AE21" s="189">
        <f t="shared" si="1"/>
        <v>7.6416837010722283E-4</v>
      </c>
      <c r="AF21" s="161">
        <f t="shared" si="2"/>
        <v>7.7213375600823522E-4</v>
      </c>
    </row>
    <row r="22" spans="3:32" ht="12" customHeight="1" thickBot="1" x14ac:dyDescent="0.25">
      <c r="AB22" s="188">
        <f>_xll.qlCalendarAdvance(Calendar,AB21,"1d","mf",,Trigger)</f>
        <v>42027</v>
      </c>
      <c r="AC22" s="210">
        <f>_xll.qlDayCounterYearFraction(DayCounter,SettlementDate,AB22,,,Trigger)</f>
        <v>8.3333333333333329E-2</v>
      </c>
      <c r="AD22" s="189">
        <f t="shared" si="0"/>
        <v>8.6385535800713605E-4</v>
      </c>
      <c r="AE22" s="189">
        <f t="shared" si="1"/>
        <v>7.7039880685096738E-4</v>
      </c>
      <c r="AF22" s="161">
        <f t="shared" si="2"/>
        <v>7.7419883673604875E-4</v>
      </c>
    </row>
    <row r="23" spans="3:32" ht="12" customHeight="1" x14ac:dyDescent="0.2">
      <c r="C23" s="212" t="s">
        <v>126</v>
      </c>
      <c r="AB23" s="188">
        <f>_xll.qlCalendarAdvance(Calendar,AB22,"1d","mf",,Trigger)</f>
        <v>42030</v>
      </c>
      <c r="AC23" s="210">
        <f>_xll.qlDayCounterYearFraction(DayCounter,SettlementDate,AB23,,,Trigger)</f>
        <v>9.166666666666666E-2</v>
      </c>
      <c r="AD23" s="189">
        <f t="shared" si="0"/>
        <v>8.6385535800713605E-4</v>
      </c>
      <c r="AE23" s="189">
        <f t="shared" si="1"/>
        <v>7.8909011708220124E-4</v>
      </c>
      <c r="AF23" s="161">
        <f t="shared" si="2"/>
        <v>7.8116365676019622E-4</v>
      </c>
    </row>
    <row r="24" spans="3:32" ht="12" customHeight="1" x14ac:dyDescent="0.2">
      <c r="C24" s="215" t="s">
        <v>109</v>
      </c>
      <c r="AB24" s="188">
        <f>_xll.qlCalendarAdvance(Calendar,AB23,"1d","mf",,Trigger)</f>
        <v>42031</v>
      </c>
      <c r="AC24" s="210">
        <f>_xll.qlDayCounterYearFraction(DayCounter,SettlementDate,AB24,,,Trigger)</f>
        <v>9.4444444444444442E-2</v>
      </c>
      <c r="AD24" s="189">
        <f t="shared" si="0"/>
        <v>8.6385535800713605E-4</v>
      </c>
      <c r="AE24" s="189">
        <f t="shared" si="1"/>
        <v>7.9532055382594579E-4</v>
      </c>
      <c r="AF24" s="161">
        <f t="shared" si="2"/>
        <v>7.8374178938181427E-4</v>
      </c>
    </row>
    <row r="25" spans="3:32" ht="12" customHeight="1" x14ac:dyDescent="0.2">
      <c r="C25" s="189">
        <f t="shared" ref="C25:C31" si="9">IF($C$24="FLAT",J15,IF($C$24="linear",K15,L15))</f>
        <v>2.7427673303748179E-4</v>
      </c>
      <c r="AB25" s="188">
        <f>_xll.qlCalendarAdvance(Calendar,AB24,"1d","mf",,Trigger)</f>
        <v>42032</v>
      </c>
      <c r="AC25" s="210">
        <f>_xll.qlDayCounterYearFraction(DayCounter,SettlementDate,AB25,,,Trigger)</f>
        <v>9.7222222222222224E-2</v>
      </c>
      <c r="AD25" s="189">
        <f t="shared" si="0"/>
        <v>8.6385535800713605E-4</v>
      </c>
      <c r="AE25" s="189">
        <f t="shared" si="1"/>
        <v>8.0155099056969034E-4</v>
      </c>
      <c r="AF25" s="161">
        <f t="shared" si="2"/>
        <v>7.8644818497688356E-4</v>
      </c>
    </row>
    <row r="26" spans="3:32" ht="12" customHeight="1" x14ac:dyDescent="0.2">
      <c r="C26" s="189">
        <f t="shared" si="9"/>
        <v>2.7307131048941765E-4</v>
      </c>
      <c r="AB26" s="188">
        <f>_xll.qlCalendarAdvance(Calendar,AB25,"1d","mf",,Trigger)</f>
        <v>42033</v>
      </c>
      <c r="AC26" s="210">
        <f>_xll.qlDayCounterYearFraction(DayCounter,SettlementDate,AB26,,,Trigger)</f>
        <v>0.1</v>
      </c>
      <c r="AD26" s="189">
        <f t="shared" si="0"/>
        <v>8.6385535800713605E-4</v>
      </c>
      <c r="AE26" s="189">
        <f t="shared" si="1"/>
        <v>8.07781427313435E-4</v>
      </c>
      <c r="AF26" s="161">
        <f t="shared" si="2"/>
        <v>7.8928284354540376E-4</v>
      </c>
    </row>
    <row r="27" spans="3:32" ht="12" customHeight="1" x14ac:dyDescent="0.2">
      <c r="C27" s="189">
        <f t="shared" si="9"/>
        <v>6.7020856934504479E-4</v>
      </c>
      <c r="AB27" s="188">
        <f>_xll.qlCalendarAdvance(Calendar,AB26,"1d","mf",,Trigger)</f>
        <v>42034</v>
      </c>
      <c r="AC27" s="210">
        <f>_xll.qlDayCounterYearFraction(DayCounter,SettlementDate,AB27,,,Trigger)</f>
        <v>0.10277777777777777</v>
      </c>
      <c r="AD27" s="189">
        <f t="shared" si="0"/>
        <v>8.6385535800713605E-4</v>
      </c>
      <c r="AE27" s="189">
        <f t="shared" si="1"/>
        <v>8.1401186405717955E-4</v>
      </c>
      <c r="AF27" s="161">
        <f t="shared" si="2"/>
        <v>7.922457650873752E-4</v>
      </c>
    </row>
    <row r="28" spans="3:32" ht="12" customHeight="1" x14ac:dyDescent="0.2">
      <c r="C28" s="189">
        <f t="shared" si="9"/>
        <v>5.0942777420840248E-4</v>
      </c>
      <c r="AB28" s="188">
        <f>_xll.qlCalendarAdvance(Calendar,AB27,"1d","mf",,Trigger)</f>
        <v>42037</v>
      </c>
      <c r="AC28" s="210">
        <f>_xll.qlDayCounterYearFraction(DayCounter,SettlementDate,AB28,,,Trigger)</f>
        <v>0.1111111111111111</v>
      </c>
      <c r="AD28" s="189">
        <f t="shared" si="0"/>
        <v>8.6385535800713605E-4</v>
      </c>
      <c r="AE28" s="189">
        <f t="shared" si="1"/>
        <v>8.327031742884133E-4</v>
      </c>
      <c r="AF28" s="161">
        <f t="shared" si="2"/>
        <v>8.0190410755399597E-4</v>
      </c>
    </row>
    <row r="29" spans="3:32" ht="12" customHeight="1" x14ac:dyDescent="0.2">
      <c r="C29" s="189">
        <f t="shared" si="9"/>
        <v>4.0296386959601E-4</v>
      </c>
      <c r="AB29" s="188">
        <f>_xll.qlCalendarAdvance(Calendar,AB28,"1d","mf",,Trigger)</f>
        <v>42038</v>
      </c>
      <c r="AC29" s="210">
        <f>_xll.qlDayCounterYearFraction(DayCounter,SettlementDate,AB29,,,Trigger)</f>
        <v>0.11388888888888889</v>
      </c>
      <c r="AD29" s="189">
        <f t="shared" si="0"/>
        <v>8.6385535800713605E-4</v>
      </c>
      <c r="AE29" s="189">
        <f t="shared" si="1"/>
        <v>8.3893361103215785E-4</v>
      </c>
      <c r="AF29" s="161">
        <f t="shared" si="2"/>
        <v>8.0538008098977193E-4</v>
      </c>
    </row>
    <row r="30" spans="3:32" ht="12" customHeight="1" x14ac:dyDescent="0.2">
      <c r="C30" s="189">
        <f t="shared" si="9"/>
        <v>5.6695875475699974E-4</v>
      </c>
      <c r="AB30" s="188">
        <f>_xll.qlCalendarAdvance(Calendar,AB29,"1d","mf",,Trigger)</f>
        <v>42039</v>
      </c>
      <c r="AC30" s="210">
        <f>_xll.qlDayCounterYearFraction(DayCounter,SettlementDate,AB30,,,Trigger)</f>
        <v>0.11666666666666667</v>
      </c>
      <c r="AD30" s="189">
        <f t="shared" si="0"/>
        <v>8.6385535800713605E-4</v>
      </c>
      <c r="AE30" s="189">
        <f t="shared" si="1"/>
        <v>8.4516404777590251E-4</v>
      </c>
      <c r="AF30" s="161">
        <f t="shared" si="2"/>
        <v>8.089843173989988E-4</v>
      </c>
    </row>
    <row r="31" spans="3:32" ht="12" customHeight="1" x14ac:dyDescent="0.2">
      <c r="C31" s="216">
        <f t="shared" si="9"/>
        <v>7.3392056760468449E-4</v>
      </c>
      <c r="AB31" s="188">
        <f>_xll.qlCalendarAdvance(Calendar,AB30,"1d","mf",,Trigger)</f>
        <v>42040</v>
      </c>
      <c r="AC31" s="210">
        <f>_xll.qlDayCounterYearFraction(DayCounter,SettlementDate,AB31,,,Trigger)</f>
        <v>0.11944444444444445</v>
      </c>
      <c r="AD31" s="189">
        <f t="shared" si="0"/>
        <v>8.6385535800713605E-4</v>
      </c>
      <c r="AE31" s="189">
        <f t="shared" si="1"/>
        <v>8.5139448451964717E-4</v>
      </c>
      <c r="AF31" s="161">
        <f t="shared" si="2"/>
        <v>8.127168167816768E-4</v>
      </c>
    </row>
    <row r="32" spans="3:32" ht="12" customHeight="1" x14ac:dyDescent="0.2">
      <c r="AB32" s="188">
        <f>_xll.qlCalendarAdvance(Calendar,AB31,"1d","mf",,Trigger)</f>
        <v>42041</v>
      </c>
      <c r="AC32" s="210">
        <f>_xll.qlDayCounterYearFraction(DayCounter,SettlementDate,AB32,,,Trigger)</f>
        <v>0.12222222222222222</v>
      </c>
      <c r="AD32" s="189">
        <f t="shared" si="0"/>
        <v>8.6385535800713605E-4</v>
      </c>
      <c r="AE32" s="189">
        <f t="shared" si="1"/>
        <v>8.5762492126339172E-4</v>
      </c>
      <c r="AF32" s="161">
        <f t="shared" si="2"/>
        <v>8.1657757913780604E-4</v>
      </c>
    </row>
    <row r="33" spans="9:32" x14ac:dyDescent="0.2">
      <c r="AB33" s="188">
        <f>_xll.qlCalendarAdvance(Calendar,AB32,"1d","mf",,Trigger)</f>
        <v>42044</v>
      </c>
      <c r="AC33" s="210">
        <f>_xll.qlDayCounterYearFraction(DayCounter,SettlementDate,AB33,,,Trigger)</f>
        <v>0.13055555555555556</v>
      </c>
      <c r="AD33" s="189">
        <f t="shared" si="0"/>
        <v>8.6385535800713605E-4</v>
      </c>
      <c r="AE33" s="189">
        <f t="shared" si="1"/>
        <v>8.7631623149462547E-4</v>
      </c>
      <c r="AF33" s="161">
        <f t="shared" si="2"/>
        <v>8.2892944404690022E-4</v>
      </c>
    </row>
    <row r="34" spans="9:32" x14ac:dyDescent="0.2">
      <c r="AB34" s="188">
        <f>_xll.qlCalendarAdvance(Calendar,AB33,"1d","mf",,Trigger)</f>
        <v>42045</v>
      </c>
      <c r="AC34" s="210">
        <f>_xll.qlDayCounterYearFraction(DayCounter,SettlementDate,AB34,,,Trigger)</f>
        <v>0.13333333333333333</v>
      </c>
      <c r="AD34" s="189">
        <f t="shared" si="0"/>
        <v>8.6385535800713605E-4</v>
      </c>
      <c r="AE34" s="189">
        <f t="shared" si="1"/>
        <v>8.8254666823837002E-4</v>
      </c>
      <c r="AF34" s="161">
        <f t="shared" si="2"/>
        <v>8.3330325829683387E-4</v>
      </c>
    </row>
    <row r="35" spans="9:32" x14ac:dyDescent="0.2">
      <c r="AB35" s="188">
        <f>_xll.qlCalendarAdvance(Calendar,AB34,"1d","mf",,Trigger)</f>
        <v>42046</v>
      </c>
      <c r="AC35" s="210">
        <f>_xll.qlDayCounterYearFraction(DayCounter,SettlementDate,AB35,,,Trigger)</f>
        <v>0.1361111111111111</v>
      </c>
      <c r="AD35" s="189">
        <f t="shared" si="0"/>
        <v>8.6385535800713605E-4</v>
      </c>
      <c r="AE35" s="189">
        <f t="shared" si="1"/>
        <v>8.8877710498211457E-4</v>
      </c>
      <c r="AF35" s="161">
        <f t="shared" si="2"/>
        <v>8.3780533552021844E-4</v>
      </c>
    </row>
    <row r="36" spans="9:32" x14ac:dyDescent="0.2">
      <c r="AB36" s="188">
        <f>_xll.qlCalendarAdvance(Calendar,AB35,"1d","mf",,Trigger)</f>
        <v>42047</v>
      </c>
      <c r="AC36" s="210">
        <f>_xll.qlDayCounterYearFraction(DayCounter,SettlementDate,AB36,,,Trigger)</f>
        <v>0.1388888888888889</v>
      </c>
      <c r="AD36" s="189">
        <f t="shared" si="0"/>
        <v>8.6385535800713605E-4</v>
      </c>
      <c r="AE36" s="189">
        <f t="shared" si="1"/>
        <v>8.9500754172585923E-4</v>
      </c>
      <c r="AF36" s="161">
        <f t="shared" si="2"/>
        <v>8.4243567571705446E-4</v>
      </c>
    </row>
    <row r="37" spans="9:32" x14ac:dyDescent="0.2">
      <c r="AB37" s="188">
        <f>_xll.qlCalendarAdvance(Calendar,AB36,"1d","mf",,Trigger)</f>
        <v>42048</v>
      </c>
      <c r="AC37" s="210">
        <f>_xll.qlDayCounterYearFraction(DayCounter,SettlementDate,AB37,,,Trigger)</f>
        <v>0.14166666666666666</v>
      </c>
      <c r="AD37" s="189">
        <f t="shared" si="0"/>
        <v>8.6385535800713605E-4</v>
      </c>
      <c r="AE37" s="189">
        <f t="shared" si="1"/>
        <v>9.0123797846960378E-4</v>
      </c>
      <c r="AF37" s="161">
        <f t="shared" si="2"/>
        <v>8.4719427888734129E-4</v>
      </c>
    </row>
    <row r="38" spans="9:32" x14ac:dyDescent="0.2">
      <c r="AB38" s="188">
        <f>_xll.qlCalendarAdvance(Calendar,AB37,"1d","mf",,Trigger)</f>
        <v>42051</v>
      </c>
      <c r="AC38" s="210">
        <f>_xll.qlDayCounterYearFraction(DayCounter,SettlementDate,AB38,,,Trigger)</f>
        <v>0.15</v>
      </c>
      <c r="AD38" s="189">
        <f t="shared" si="0"/>
        <v>8.6385535800713605E-4</v>
      </c>
      <c r="AE38" s="189">
        <f t="shared" si="1"/>
        <v>9.1992928870083754E-4</v>
      </c>
      <c r="AF38" s="161">
        <f t="shared" si="2"/>
        <v>8.6223966623890887E-4</v>
      </c>
    </row>
    <row r="39" spans="9:32" x14ac:dyDescent="0.2">
      <c r="AB39" s="188">
        <f>_xll.qlCalendarAdvance(Calendar,AB38,"1d","mf",,Trigger)</f>
        <v>42052</v>
      </c>
      <c r="AC39" s="210">
        <f>_xll.qlDayCounterYearFraction(DayCounter,SettlementDate,AB39,,,Trigger)</f>
        <v>0.15277777777777779</v>
      </c>
      <c r="AD39" s="189">
        <f t="shared" si="0"/>
        <v>8.6385535800713605E-4</v>
      </c>
      <c r="AE39" s="189">
        <f t="shared" si="1"/>
        <v>9.2615972544458219E-4</v>
      </c>
      <c r="AF39" s="161">
        <f t="shared" si="2"/>
        <v>8.6751132130300022E-4</v>
      </c>
    </row>
    <row r="40" spans="9:32" x14ac:dyDescent="0.2">
      <c r="AB40" s="188">
        <f>_xll.qlCalendarAdvance(Calendar,AB39,"1d","mf",,Trigger)</f>
        <v>42053</v>
      </c>
      <c r="AC40" s="210">
        <f>_xll.qlDayCounterYearFraction(DayCounter,SettlementDate,AB40,,,Trigger)</f>
        <v>0.15555555555555556</v>
      </c>
      <c r="AD40" s="189">
        <f t="shared" si="0"/>
        <v>8.6385535800713605E-4</v>
      </c>
      <c r="AE40" s="189">
        <f t="shared" si="1"/>
        <v>9.3239016218832674E-4</v>
      </c>
      <c r="AF40" s="161">
        <f t="shared" si="2"/>
        <v>8.7291123934054281E-4</v>
      </c>
    </row>
    <row r="41" spans="9:32" x14ac:dyDescent="0.2">
      <c r="I41" s="170"/>
      <c r="J41" s="170"/>
      <c r="AB41" s="188">
        <f>_xll.qlCalendarAdvance(Calendar,AB40,"1d","mf",,Trigger)</f>
        <v>42054</v>
      </c>
      <c r="AC41" s="210">
        <f>_xll.qlDayCounterYearFraction(DayCounter,SettlementDate,AB41,,,Trigger)</f>
        <v>0.15833333333333333</v>
      </c>
      <c r="AD41" s="189">
        <f t="shared" si="0"/>
        <v>8.6385535800713605E-4</v>
      </c>
      <c r="AE41" s="189">
        <f t="shared" si="1"/>
        <v>9.3862059893207129E-4</v>
      </c>
      <c r="AF41" s="161">
        <f t="shared" si="2"/>
        <v>8.784394203515363E-4</v>
      </c>
    </row>
    <row r="42" spans="9:32" x14ac:dyDescent="0.2">
      <c r="AB42" s="188">
        <f>_xll.qlCalendarAdvance(Calendar,AB41,"1d","mf",,Trigger)</f>
        <v>42055</v>
      </c>
      <c r="AC42" s="210">
        <f>_xll.qlDayCounterYearFraction(DayCounter,SettlementDate,AB42,,,Trigger)</f>
        <v>0.16111111111111112</v>
      </c>
      <c r="AD42" s="189">
        <f t="shared" si="0"/>
        <v>8.6385535800713605E-4</v>
      </c>
      <c r="AE42" s="189">
        <f t="shared" si="1"/>
        <v>9.4485103567581595E-4</v>
      </c>
      <c r="AF42" s="161">
        <f t="shared" si="2"/>
        <v>8.8409586433598115E-4</v>
      </c>
    </row>
    <row r="43" spans="9:32" ht="11.25" customHeight="1" x14ac:dyDescent="0.2">
      <c r="AB43" s="188">
        <f>_xll.qlCalendarAdvance(Calendar,AB42,"1d","mf",,Trigger)</f>
        <v>42058</v>
      </c>
      <c r="AC43" s="210">
        <f>_xll.qlDayCounterYearFraction(DayCounter,SettlementDate,AB43,,,Trigger)</f>
        <v>0.16944444444444445</v>
      </c>
      <c r="AD43" s="189">
        <f t="shared" si="0"/>
        <v>8.6385535800713605E-4</v>
      </c>
      <c r="AE43" s="189">
        <f t="shared" si="1"/>
        <v>9.6354234590704971E-4</v>
      </c>
      <c r="AF43" s="161">
        <f t="shared" si="2"/>
        <v>9.0183477413002193E-4</v>
      </c>
    </row>
    <row r="44" spans="9:32" x14ac:dyDescent="0.2">
      <c r="M44" s="214"/>
      <c r="AB44" s="188">
        <f>_xll.qlCalendarAdvance(Calendar,AB43,"1d","mf",,Trigger)</f>
        <v>42059</v>
      </c>
      <c r="AC44" s="210">
        <f>_xll.qlDayCounterYearFraction(DayCounter,SettlementDate,AB44,,,Trigger)</f>
        <v>0.17222222222222222</v>
      </c>
      <c r="AD44" s="189">
        <f t="shared" si="0"/>
        <v>8.6385535800713605E-4</v>
      </c>
      <c r="AE44" s="189">
        <f t="shared" si="1"/>
        <v>9.6977278265079426E-4</v>
      </c>
      <c r="AF44" s="161">
        <f t="shared" si="2"/>
        <v>9.0800427000827118E-4</v>
      </c>
    </row>
    <row r="45" spans="9:32" x14ac:dyDescent="0.2">
      <c r="M45" s="214"/>
      <c r="AB45" s="188">
        <f>_xll.qlCalendarAdvance(Calendar,AB44,"1d","mf",,Trigger)</f>
        <v>42060</v>
      </c>
      <c r="AC45" s="210">
        <f>_xll.qlDayCounterYearFraction(DayCounter,SettlementDate,AB45,,,Trigger)</f>
        <v>0.17499999999999999</v>
      </c>
      <c r="AD45" s="189">
        <f t="shared" si="0"/>
        <v>8.6385535800713605E-4</v>
      </c>
      <c r="AE45" s="189">
        <f t="shared" si="1"/>
        <v>9.760032193945388E-4</v>
      </c>
      <c r="AF45" s="161">
        <f t="shared" si="2"/>
        <v>9.1430202885997135E-4</v>
      </c>
    </row>
    <row r="46" spans="9:32" x14ac:dyDescent="0.2">
      <c r="M46" s="214"/>
      <c r="AB46" s="188">
        <f>_xll.qlCalendarAdvance(Calendar,AB45,"1d","mf",,Trigger)</f>
        <v>42061</v>
      </c>
      <c r="AC46" s="210">
        <f>_xll.qlDayCounterYearFraction(DayCounter,SettlementDate,AB46,,,Trigger)</f>
        <v>0.17777777777777778</v>
      </c>
      <c r="AD46" s="189">
        <f t="shared" si="0"/>
        <v>8.6385535800713605E-4</v>
      </c>
      <c r="AE46" s="189">
        <f t="shared" si="1"/>
        <v>9.8223365613828335E-4</v>
      </c>
      <c r="AF46" s="161">
        <f t="shared" si="2"/>
        <v>9.2072805068512276E-4</v>
      </c>
    </row>
    <row r="47" spans="9:32" x14ac:dyDescent="0.2">
      <c r="M47" s="214"/>
      <c r="AB47" s="188">
        <f>_xll.qlCalendarAdvance(Calendar,AB46,"1d","mf",,Trigger)</f>
        <v>42062</v>
      </c>
      <c r="AC47" s="210">
        <f>_xll.qlDayCounterYearFraction(DayCounter,SettlementDate,AB47,,,Trigger)</f>
        <v>0.18055555555555555</v>
      </c>
      <c r="AD47" s="189">
        <f t="shared" si="0"/>
        <v>8.6385535800713605E-4</v>
      </c>
      <c r="AE47" s="189">
        <f t="shared" si="1"/>
        <v>9.8846409288202812E-4</v>
      </c>
      <c r="AF47" s="161">
        <f t="shared" si="2"/>
        <v>9.2728233548372541E-4</v>
      </c>
    </row>
    <row r="48" spans="9:32" x14ac:dyDescent="0.2">
      <c r="M48" s="214"/>
      <c r="AB48" s="188">
        <f>_xll.qlCalendarAdvance(Calendar,AB47,"1d","mf",,Trigger)</f>
        <v>42065</v>
      </c>
      <c r="AC48" s="210">
        <f>_xll.qlDayCounterYearFraction(DayCounter,SettlementDate,AB48,,,Trigger)</f>
        <v>0.18888888888888888</v>
      </c>
      <c r="AD48" s="189">
        <f t="shared" si="0"/>
        <v>8.6385535800713605E-4</v>
      </c>
      <c r="AE48" s="189">
        <f t="shared" si="1"/>
        <v>1.0071554031132618E-3</v>
      </c>
      <c r="AF48" s="161">
        <f t="shared" si="2"/>
        <v>9.4771476772023949E-4</v>
      </c>
    </row>
    <row r="49" spans="9:32" x14ac:dyDescent="0.2">
      <c r="AB49" s="188">
        <f>_xll.qlCalendarAdvance(Calendar,AB48,"1d","mf",,Trigger)</f>
        <v>42066</v>
      </c>
      <c r="AC49" s="210">
        <f>_xll.qlDayCounterYearFraction(DayCounter,SettlementDate,AB49,,,Trigger)</f>
        <v>0.19166666666666668</v>
      </c>
      <c r="AD49" s="189">
        <f t="shared" si="0"/>
        <v>8.6385535800713605E-4</v>
      </c>
      <c r="AE49" s="189">
        <f t="shared" si="1"/>
        <v>1.0133858398570063E-3</v>
      </c>
      <c r="AF49" s="161">
        <f t="shared" si="2"/>
        <v>9.5478210441264644E-4</v>
      </c>
    </row>
    <row r="50" spans="9:32" x14ac:dyDescent="0.2">
      <c r="AB50" s="188">
        <f>_xll.qlCalendarAdvance(Calendar,AB49,"1d","mf",,Trigger)</f>
        <v>42067</v>
      </c>
      <c r="AC50" s="210">
        <f>_xll.qlDayCounterYearFraction(DayCounter,SettlementDate,AB50,,,Trigger)</f>
        <v>0.19444444444444445</v>
      </c>
      <c r="AD50" s="189">
        <f t="shared" si="0"/>
        <v>8.6385535800713605E-4</v>
      </c>
      <c r="AE50" s="189">
        <f t="shared" si="1"/>
        <v>1.0196162766007511E-3</v>
      </c>
      <c r="AF50" s="161">
        <f t="shared" si="2"/>
        <v>9.6197770407850452E-4</v>
      </c>
    </row>
    <row r="51" spans="9:32" x14ac:dyDescent="0.2">
      <c r="AB51" s="188">
        <f>_xll.qlCalendarAdvance(Calendar,AB50,"1d","mf",,Trigger)</f>
        <v>42068</v>
      </c>
      <c r="AC51" s="210">
        <f>_xll.qlDayCounterYearFraction(DayCounter,SettlementDate,AB51,,,Trigger)</f>
        <v>0.19722222222222222</v>
      </c>
      <c r="AD51" s="189">
        <f t="shared" si="0"/>
        <v>8.6385535800713605E-4</v>
      </c>
      <c r="AE51" s="189">
        <f t="shared" si="1"/>
        <v>1.0258467133444954E-3</v>
      </c>
      <c r="AF51" s="161">
        <f t="shared" si="2"/>
        <v>9.6930156671781373E-4</v>
      </c>
    </row>
    <row r="52" spans="9:32" x14ac:dyDescent="0.2">
      <c r="AB52" s="188">
        <f>_xll.qlCalendarAdvance(Calendar,AB51,"1d","mf",,Trigger)</f>
        <v>42069</v>
      </c>
      <c r="AC52" s="210">
        <f>_xll.qlDayCounterYearFraction(DayCounter,SettlementDate,AB52,,,Trigger)</f>
        <v>0.2</v>
      </c>
      <c r="AD52" s="189">
        <f t="shared" si="0"/>
        <v>8.6385535800713605E-4</v>
      </c>
      <c r="AE52" s="189">
        <f t="shared" si="1"/>
        <v>1.0320771500882402E-3</v>
      </c>
      <c r="AF52" s="161">
        <f t="shared" si="2"/>
        <v>9.7675369233057407E-4</v>
      </c>
    </row>
    <row r="53" spans="9:32" x14ac:dyDescent="0.2">
      <c r="AB53" s="188">
        <f>_xll.qlCalendarAdvance(Calendar,AB52,"1d","mf",,Trigger)</f>
        <v>42072</v>
      </c>
      <c r="AC53" s="210">
        <f>_xll.qlDayCounterYearFraction(DayCounter,SettlementDate,AB53,,,Trigger)</f>
        <v>0.20833333333333334</v>
      </c>
      <c r="AD53" s="189">
        <f t="shared" si="0"/>
        <v>8.6385535800713605E-4</v>
      </c>
      <c r="AE53" s="189">
        <f t="shared" si="1"/>
        <v>1.050768460319474E-3</v>
      </c>
      <c r="AF53" s="161">
        <f t="shared" si="2"/>
        <v>9.9987964700956155E-4</v>
      </c>
    </row>
    <row r="54" spans="9:32" x14ac:dyDescent="0.2">
      <c r="AB54" s="188">
        <f>_xll.qlCalendarAdvance(Calendar,AB53,"1d","mf",,Trigger)</f>
        <v>42073</v>
      </c>
      <c r="AC54" s="210">
        <f>_xll.qlDayCounterYearFraction(DayCounter,SettlementDate,AB54,,,Trigger)</f>
        <v>0.21111111111111111</v>
      </c>
      <c r="AD54" s="189">
        <f t="shared" si="0"/>
        <v>8.6385535800713605E-4</v>
      </c>
      <c r="AE54" s="189">
        <f t="shared" si="1"/>
        <v>1.0569988970632184E-3</v>
      </c>
      <c r="AF54" s="161">
        <f t="shared" si="2"/>
        <v>1.0078448245161263E-3</v>
      </c>
    </row>
    <row r="55" spans="9:32" x14ac:dyDescent="0.2">
      <c r="AB55" s="188">
        <f>_xll.qlCalendarAdvance(Calendar,AB54,"1d","mf",,Trigger)</f>
        <v>42074</v>
      </c>
      <c r="AC55" s="210">
        <f>_xll.qlDayCounterYearFraction(DayCounter,SettlementDate,AB55,,,Trigger)</f>
        <v>0.21388888888888888</v>
      </c>
      <c r="AD55" s="189">
        <f t="shared" si="0"/>
        <v>8.6385535800713605E-4</v>
      </c>
      <c r="AE55" s="189">
        <f t="shared" si="1"/>
        <v>1.0632293338069631E-3</v>
      </c>
      <c r="AF55" s="161">
        <f t="shared" si="2"/>
        <v>1.0159382649961421E-3</v>
      </c>
    </row>
    <row r="56" spans="9:32" x14ac:dyDescent="0.2">
      <c r="AB56" s="188">
        <f>_xll.qlCalendarAdvance(Calendar,AB55,"1d","mf",,Trigger)</f>
        <v>42075</v>
      </c>
      <c r="AC56" s="210">
        <f>_xll.qlDayCounterYearFraction(DayCounter,SettlementDate,AB56,,,Trigger)</f>
        <v>0.21666666666666667</v>
      </c>
      <c r="AD56" s="189">
        <f t="shared" si="0"/>
        <v>8.6385535800713605E-4</v>
      </c>
      <c r="AE56" s="189">
        <f t="shared" si="1"/>
        <v>1.0694597705507077E-3</v>
      </c>
      <c r="AF56" s="161">
        <f t="shared" si="2"/>
        <v>1.0241599684496091E-3</v>
      </c>
    </row>
    <row r="57" spans="9:32" x14ac:dyDescent="0.2">
      <c r="AB57" s="188">
        <f>_xll.qlCalendarAdvance(Calendar,AB56,"1d","mf",,Trigger)</f>
        <v>42076</v>
      </c>
      <c r="AC57" s="210">
        <f>_xll.qlDayCounterYearFraction(DayCounter,SettlementDate,AB57,,,Trigger)</f>
        <v>0.21944444444444444</v>
      </c>
      <c r="AD57" s="189">
        <f t="shared" si="0"/>
        <v>8.6385535800713605E-4</v>
      </c>
      <c r="AE57" s="189">
        <f t="shared" si="1"/>
        <v>1.0756902072944522E-3</v>
      </c>
      <c r="AF57" s="161">
        <f t="shared" si="2"/>
        <v>1.0325099348765271E-3</v>
      </c>
    </row>
    <row r="58" spans="9:32" x14ac:dyDescent="0.2">
      <c r="AB58" s="188">
        <f>_xll.qlCalendarAdvance(Calendar,AB57,"1d","mf",,Trigger)</f>
        <v>42079</v>
      </c>
      <c r="AC58" s="210">
        <f>_xll.qlDayCounterYearFraction(DayCounter,SettlementDate,AB58,,,Trigger)</f>
        <v>0.22777777777777777</v>
      </c>
      <c r="AD58" s="189">
        <f t="shared" si="0"/>
        <v>8.6385535800713605E-4</v>
      </c>
      <c r="AE58" s="189">
        <f t="shared" si="1"/>
        <v>1.0943815175256861E-3</v>
      </c>
      <c r="AF58" s="161">
        <f t="shared" si="2"/>
        <v>1.058329411997988E-3</v>
      </c>
    </row>
    <row r="59" spans="9:32" x14ac:dyDescent="0.2">
      <c r="AB59" s="188">
        <f>_xll.qlCalendarAdvance(Calendar,AB58,"1d","mf",,Trigger)</f>
        <v>42080</v>
      </c>
      <c r="AC59" s="210">
        <f>_xll.qlDayCounterYearFraction(DayCounter,SettlementDate,AB59,,,Trigger)</f>
        <v>0.23055555555555557</v>
      </c>
      <c r="AD59" s="189">
        <f t="shared" si="0"/>
        <v>8.6385535800713605E-4</v>
      </c>
      <c r="AE59" s="189">
        <f t="shared" si="1"/>
        <v>1.1006119542694307E-3</v>
      </c>
      <c r="AF59" s="161">
        <f t="shared" si="2"/>
        <v>1.0671924303187106E-3</v>
      </c>
    </row>
    <row r="60" spans="9:32" x14ac:dyDescent="0.2">
      <c r="I60" s="170"/>
      <c r="AB60" s="188">
        <f>_xll.qlCalendarAdvance(Calendar,AB59,"1d","mf",,Trigger)</f>
        <v>42081</v>
      </c>
      <c r="AC60" s="210">
        <f>_xll.qlDayCounterYearFraction(DayCounter,SettlementDate,AB60,,,Trigger)</f>
        <v>0.23333333333333334</v>
      </c>
      <c r="AD60" s="189">
        <f t="shared" si="0"/>
        <v>8.6385535800713605E-4</v>
      </c>
      <c r="AE60" s="189">
        <f t="shared" si="1"/>
        <v>1.1068423910131752E-3</v>
      </c>
      <c r="AF60" s="161">
        <f t="shared" si="2"/>
        <v>1.0761837116128842E-3</v>
      </c>
    </row>
    <row r="61" spans="9:32" x14ac:dyDescent="0.2">
      <c r="I61" s="170"/>
      <c r="AB61" s="188">
        <f>_xll.qlCalendarAdvance(Calendar,AB60,"1d","mf",,Trigger)</f>
        <v>42082</v>
      </c>
      <c r="AC61" s="210">
        <f>_xll.qlDayCounterYearFraction(DayCounter,SettlementDate,AB61,,,Trigger)</f>
        <v>0.2361111111111111</v>
      </c>
      <c r="AD61" s="189">
        <f t="shared" si="0"/>
        <v>8.6385535800713605E-4</v>
      </c>
      <c r="AE61" s="189">
        <f t="shared" si="1"/>
        <v>1.1130728277569198E-3</v>
      </c>
      <c r="AF61" s="161">
        <f t="shared" si="2"/>
        <v>1.0853032558805088E-3</v>
      </c>
    </row>
    <row r="62" spans="9:32" x14ac:dyDescent="0.2">
      <c r="I62" s="170"/>
      <c r="AB62" s="188">
        <f>_xll.qlCalendarAdvance(Calendar,AB61,"1d","mf",,Trigger)</f>
        <v>42083</v>
      </c>
      <c r="AC62" s="210">
        <f>_xll.qlDayCounterYearFraction(DayCounter,SettlementDate,AB62,,,Trigger)</f>
        <v>0.2388888888888889</v>
      </c>
      <c r="AD62" s="189">
        <f t="shared" si="0"/>
        <v>8.6385535800713605E-4</v>
      </c>
      <c r="AE62" s="189">
        <f t="shared" si="1"/>
        <v>1.1193032645006643E-3</v>
      </c>
      <c r="AF62" s="161">
        <f t="shared" si="2"/>
        <v>1.0945510631215848E-3</v>
      </c>
    </row>
    <row r="63" spans="9:32" x14ac:dyDescent="0.2">
      <c r="I63" s="170"/>
      <c r="AB63" s="188">
        <f>_xll.qlCalendarAdvance(Calendar,AB62,"1d","mf",,Trigger)</f>
        <v>42086</v>
      </c>
      <c r="AC63" s="210">
        <f>_xll.qlDayCounterYearFraction(DayCounter,SettlementDate,AB63,,,Trigger)</f>
        <v>0.24722222222222223</v>
      </c>
      <c r="AD63" s="189">
        <f t="shared" si="0"/>
        <v>8.6385535800713605E-4</v>
      </c>
      <c r="AE63" s="189">
        <f t="shared" si="1"/>
        <v>1.1379945747318982E-3</v>
      </c>
      <c r="AF63" s="161">
        <f t="shared" si="2"/>
        <v>1.1230640626855189E-3</v>
      </c>
    </row>
    <row r="64" spans="9:32" x14ac:dyDescent="0.2">
      <c r="I64" s="170"/>
      <c r="AB64" s="188">
        <f>_xll.qlCalendarAdvance(Calendar,AB63,"1d","mf",,Trigger)</f>
        <v>42087</v>
      </c>
      <c r="AC64" s="210">
        <f>_xll.qlDayCounterYearFraction(DayCounter,SettlementDate,AB64,,,Trigger)</f>
        <v>0.25</v>
      </c>
      <c r="AD64" s="189">
        <f t="shared" si="0"/>
        <v>8.6385535800713605E-4</v>
      </c>
      <c r="AE64" s="189">
        <f t="shared" si="1"/>
        <v>1.1442250114756427E-3</v>
      </c>
      <c r="AF64" s="161">
        <f t="shared" si="2"/>
        <v>1.1328249218203993E-3</v>
      </c>
    </row>
    <row r="65" spans="9:32" ht="12" thickBot="1" x14ac:dyDescent="0.25">
      <c r="I65" s="170"/>
      <c r="AB65" s="190">
        <f>_xll.qlCalendarAdvance(Calendar,AB64,"1d","mf",,Trigger)</f>
        <v>42088</v>
      </c>
      <c r="AC65" s="211">
        <f>_xll.qlDayCounterYearFraction(DayCounter,SettlementDate,AB65,,,Trigger)</f>
        <v>0.25277777777777777</v>
      </c>
      <c r="AD65" s="191">
        <f t="shared" si="0"/>
        <v>8.6385535800713605E-4</v>
      </c>
      <c r="AE65" s="191">
        <f t="shared" si="1"/>
        <v>1.1504554482193873E-3</v>
      </c>
      <c r="AF65" s="164">
        <f t="shared" si="2"/>
        <v>1.1427140439287306E-3</v>
      </c>
    </row>
    <row r="66" spans="9:32" x14ac:dyDescent="0.2">
      <c r="I66" s="170"/>
      <c r="J66" s="170"/>
    </row>
    <row r="67" spans="9:32" x14ac:dyDescent="0.2">
      <c r="I67" s="170"/>
      <c r="J67" s="170"/>
    </row>
    <row r="68" spans="9:32" x14ac:dyDescent="0.2">
      <c r="I68" s="170"/>
      <c r="J68" s="170"/>
    </row>
    <row r="69" spans="9:32" x14ac:dyDescent="0.2">
      <c r="I69" s="170"/>
      <c r="J69" s="170"/>
    </row>
    <row r="70" spans="9:32" x14ac:dyDescent="0.2">
      <c r="I70" s="170"/>
      <c r="J70" s="170"/>
    </row>
    <row r="71" spans="9:32" x14ac:dyDescent="0.2">
      <c r="I71" s="170"/>
      <c r="J71" s="170"/>
    </row>
    <row r="72" spans="9:32" x14ac:dyDescent="0.2">
      <c r="I72" s="170"/>
      <c r="J72" s="170"/>
    </row>
    <row r="73" spans="9:32" x14ac:dyDescent="0.2">
      <c r="I73" s="170"/>
      <c r="J73" s="170"/>
    </row>
    <row r="74" spans="9:32" x14ac:dyDescent="0.2">
      <c r="I74" s="170"/>
      <c r="J74" s="170"/>
    </row>
    <row r="75" spans="9:32" x14ac:dyDescent="0.2">
      <c r="I75" s="170"/>
      <c r="J75" s="170"/>
    </row>
    <row r="76" spans="9:32" x14ac:dyDescent="0.2">
      <c r="I76" s="170"/>
      <c r="J76" s="170"/>
    </row>
    <row r="77" spans="9:32" x14ac:dyDescent="0.2">
      <c r="I77" s="170"/>
      <c r="J77" s="170"/>
    </row>
    <row r="78" spans="9:32" x14ac:dyDescent="0.2">
      <c r="I78" s="170"/>
      <c r="J78" s="170"/>
    </row>
    <row r="79" spans="9:32" x14ac:dyDescent="0.2">
      <c r="I79" s="170"/>
      <c r="J79" s="170"/>
    </row>
    <row r="80" spans="9:32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70"/>
      <c r="J111" s="170"/>
    </row>
    <row r="112" spans="9:10" x14ac:dyDescent="0.2">
      <c r="I112" s="170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70"/>
    </row>
    <row r="118" spans="9:10" x14ac:dyDescent="0.2">
      <c r="I118" s="157"/>
      <c r="J118" s="170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I127" s="157"/>
      <c r="J127" s="157"/>
    </row>
    <row r="128" spans="9:10" x14ac:dyDescent="0.2">
      <c r="I128" s="157"/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  <row r="133" spans="10:10" x14ac:dyDescent="0.2">
      <c r="J133" s="157"/>
    </row>
    <row r="134" spans="10:10" x14ac:dyDescent="0.2">
      <c r="J134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1.6640625" style="156" bestFit="1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150</v>
      </c>
      <c r="G2" s="166" t="s">
        <v>154</v>
      </c>
      <c r="H2" s="166" t="s">
        <v>155</v>
      </c>
      <c r="I2" s="166" t="s">
        <v>115</v>
      </c>
      <c r="J2" s="180" t="s">
        <v>116</v>
      </c>
      <c r="K2" s="166" t="s">
        <v>117</v>
      </c>
      <c r="L2" s="166" t="s">
        <v>125</v>
      </c>
      <c r="S2" s="206" t="s">
        <v>113</v>
      </c>
      <c r="W2" s="452" t="s">
        <v>112</v>
      </c>
      <c r="X2" s="452"/>
      <c r="Y2" s="452"/>
      <c r="AB2" s="165" t="s">
        <v>93</v>
      </c>
      <c r="AC2" s="165" t="s">
        <v>146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32" t="str">
        <f>$D$10&amp;"LastFixing"&amp;QuoteSuffix</f>
        <v>Euribor6MLastFixing_Quote</v>
      </c>
      <c r="D3" s="333">
        <f>_xll.qlCalendarAdvance(Calendar,_xll.qlLastFixingQuoteReferenceDate($C$3),_xll.qlInterestRateIndexFixingDays($D$10)&amp;"D","f",,LastFixingsTrigger)</f>
        <v>41997</v>
      </c>
      <c r="E3" s="333">
        <f>_xll.qlInterestRateIndexMaturity($D$10,D3)</f>
        <v>42179</v>
      </c>
      <c r="F3" s="432">
        <f>'Delta 6M '!L3</f>
        <v>1.0612858236650233E-3</v>
      </c>
      <c r="G3" s="353">
        <f>_xll.qlDayCounterYearFraction(DayCounter,SettlementDate,D3,,,Trigger)</f>
        <v>0</v>
      </c>
      <c r="H3" s="353">
        <f>_xll.qlDayCounterYearFraction(DayCounter,SettlementDate,E3,,,Trigger)</f>
        <v>0.50555555555555554</v>
      </c>
      <c r="I3" s="353">
        <f>H3-G3</f>
        <v>0.50555555555555554</v>
      </c>
      <c r="J3" s="353">
        <f>(H3^2-G3^2)/2</f>
        <v>0.12779320987654319</v>
      </c>
      <c r="K3" s="353">
        <f>(H3^3-G3^3)/3</f>
        <v>4.3071044810242327E-2</v>
      </c>
      <c r="L3" s="334" t="b">
        <f>IF(D12="fixing",TRUE,FALSE)</f>
        <v>0</v>
      </c>
      <c r="N3" s="453" t="s">
        <v>109</v>
      </c>
      <c r="O3" s="172">
        <f t="array" ref="O3:O5">_xll.ohFilter(K3:K7,L3:L7)</f>
        <v>4.3071044810242327E-2</v>
      </c>
      <c r="P3" s="173">
        <f t="array" ref="P3:P5">_xll.ohFilter(J3:J7,L3:L7)</f>
        <v>0.12779320987654319</v>
      </c>
      <c r="Q3" s="174">
        <f t="array" ref="Q3:Q5">_xll.ohFilter(I3:I7,L3:L7)</f>
        <v>0.50555555555555554</v>
      </c>
      <c r="R3" s="168"/>
      <c r="S3" s="176">
        <f t="array" ref="S3:S5">MMULT(W3:Y5,U3:U5)</f>
        <v>3.5302403224768408E-4</v>
      </c>
      <c r="T3" s="177"/>
      <c r="U3" s="160">
        <f t="array" ref="U3:U5">_xll.ohFilter(F3:F7,L3:L7)</f>
        <v>1.0615890822766112E-3</v>
      </c>
      <c r="W3" s="172">
        <f t="array" ref="W3:Y5">MINVERSE(O3:Q5)</f>
        <v>128.53097555564878</v>
      </c>
      <c r="X3" s="173">
        <v>-277.35631567271577</v>
      </c>
      <c r="Y3" s="174">
        <v>149.64757956522752</v>
      </c>
      <c r="AB3" s="185">
        <f>SettlementDate</f>
        <v>41997</v>
      </c>
      <c r="AC3" s="210">
        <f>_xll.qlDayCounterYearFraction(DayCounter,SettlementDate,AB3,,,Trigger)</f>
        <v>0</v>
      </c>
      <c r="AD3" s="186">
        <f t="shared" ref="AD3:AD34" si="0">$S$13</f>
        <v>2.0998465363713192E-3</v>
      </c>
      <c r="AE3" s="186">
        <f t="shared" ref="AE3:AE34" si="1">$S$10+$S$9*AC3</f>
        <v>1.7991338480315916E-3</v>
      </c>
      <c r="AF3" s="187">
        <f t="shared" ref="AF3:AF34" si="2">($S$5+$S$4*AC3+$S$3*AC3^2)</f>
        <v>1.8223518972306837E-3</v>
      </c>
    </row>
    <row r="4" spans="1:32" ht="12" customHeight="1" x14ac:dyDescent="0.2">
      <c r="A4" s="156">
        <v>0</v>
      </c>
      <c r="B4" s="409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41997</v>
      </c>
      <c r="E4" s="159">
        <f>_xll.qlInterestRateIndexMaturity($D$10,D4)</f>
        <v>42179</v>
      </c>
      <c r="F4" s="433">
        <f>_xll.qlInterpolationInterpolate(delta6Minterpolation,D4,TRUE,AllTriggers)</f>
        <v>1.0615890822766112E-3</v>
      </c>
      <c r="G4" s="210">
        <f>_xll.qlDayCounterYearFraction(DayCounter,SettlementDate,D4,,,Trigger)</f>
        <v>0</v>
      </c>
      <c r="H4" s="210">
        <f>_xll.qlDayCounterYearFraction(DayCounter,SettlementDate,E4,,,Trigger)</f>
        <v>0.50555555555555554</v>
      </c>
      <c r="I4" s="210">
        <f>H4-G4</f>
        <v>0.50555555555555554</v>
      </c>
      <c r="J4" s="210">
        <f>(H4^2-G4^2)/2</f>
        <v>0.12779320987654319</v>
      </c>
      <c r="K4" s="210">
        <f>(H4^3-G4^3)/3</f>
        <v>4.3071044810242327E-2</v>
      </c>
      <c r="L4" s="192" t="b">
        <f>IF(D12="fixing",FALSE,TRUE)</f>
        <v>1</v>
      </c>
      <c r="N4" s="453"/>
      <c r="O4" s="172">
        <v>7.074787094192958E-2</v>
      </c>
      <c r="P4" s="173">
        <v>0.17413580246913579</v>
      </c>
      <c r="Q4" s="174">
        <v>0.50555555555555554</v>
      </c>
      <c r="R4" s="169" t="s">
        <v>39</v>
      </c>
      <c r="S4" s="176">
        <v>9.787988161752692E-4</v>
      </c>
      <c r="T4" s="169" t="s">
        <v>40</v>
      </c>
      <c r="U4" s="160">
        <v>1.1167197418055612E-3</v>
      </c>
      <c r="W4" s="172">
        <v>-98.339976424156262</v>
      </c>
      <c r="X4" s="173">
        <v>187.22177677184902</v>
      </c>
      <c r="Y4" s="174">
        <v>-89.372860018121983</v>
      </c>
      <c r="AB4" s="188">
        <f>_xll.qlCalendarAdvance(Calendar,AB3,"1d","mf",,Trigger)</f>
        <v>42002</v>
      </c>
      <c r="AC4" s="210">
        <f>_xll.qlDayCounterYearFraction(DayCounter,SettlementDate,AB4,,,Trigger)</f>
        <v>1.3888888888888888E-2</v>
      </c>
      <c r="AD4" s="189">
        <f t="shared" si="0"/>
        <v>2.0998465363713192E-3</v>
      </c>
      <c r="AE4" s="189">
        <f t="shared" si="1"/>
        <v>1.8156565232150931E-3</v>
      </c>
      <c r="AF4" s="161">
        <f t="shared" si="2"/>
        <v>1.8360144240047707E-3</v>
      </c>
    </row>
    <row r="5" spans="1:32" ht="12" customHeight="1" x14ac:dyDescent="0.2">
      <c r="A5" s="171">
        <v>1</v>
      </c>
      <c r="B5" s="409">
        <f t="shared" ref="B5:B7" si="3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42030</v>
      </c>
      <c r="E5" s="159">
        <f>_xll.qlInterestRateIndexMaturity($D$10,D5)</f>
        <v>42212</v>
      </c>
      <c r="F5" s="433">
        <f>_xll.qlInterpolationInterpolate(delta6Minterpolation,D5,TRUE,AllTriggers)</f>
        <v>1.1167197418055612E-3</v>
      </c>
      <c r="G5" s="210">
        <f>_xll.qlDayCounterYearFraction(DayCounter,SettlementDate,D5,,,Trigger)</f>
        <v>9.166666666666666E-2</v>
      </c>
      <c r="H5" s="210">
        <f>_xll.qlDayCounterYearFraction(DayCounter,SettlementDate,E5,,,Trigger)</f>
        <v>0.59722222222222221</v>
      </c>
      <c r="I5" s="210">
        <f>H5-G5</f>
        <v>0.50555555555555554</v>
      </c>
      <c r="J5" s="210">
        <f>(H5^2-G5^2)/2</f>
        <v>0.17413580246913579</v>
      </c>
      <c r="K5" s="210">
        <f>(H5^3-G5^3)/3</f>
        <v>7.074787094192958E-2</v>
      </c>
      <c r="L5" s="192" t="b">
        <v>1</v>
      </c>
      <c r="N5" s="453"/>
      <c r="O5" s="172">
        <v>0.10081289294695933</v>
      </c>
      <c r="P5" s="173">
        <v>0.21298225308641977</v>
      </c>
      <c r="Q5" s="174">
        <v>0.50277777777777777</v>
      </c>
      <c r="R5" s="171"/>
      <c r="S5" s="176">
        <v>1.8223518972306837E-3</v>
      </c>
      <c r="T5" s="169"/>
      <c r="U5" s="160">
        <v>1.1602941883767837E-3</v>
      </c>
      <c r="W5" s="172">
        <v>15.88592539535934</v>
      </c>
      <c r="X5" s="173">
        <v>-23.696002111096412</v>
      </c>
      <c r="Y5" s="174">
        <v>9.842176587094734</v>
      </c>
      <c r="AB5" s="188">
        <f>_xll.qlCalendarAdvance(Calendar,AB4,"1d","mf",,Trigger)</f>
        <v>42003</v>
      </c>
      <c r="AC5" s="210">
        <f>_xll.qlDayCounterYearFraction(DayCounter,SettlementDate,AB5,,,Trigger)</f>
        <v>1.6666666666666666E-2</v>
      </c>
      <c r="AD5" s="189">
        <f t="shared" si="0"/>
        <v>2.0998465363713192E-3</v>
      </c>
      <c r="AE5" s="189">
        <f t="shared" si="1"/>
        <v>1.8189610582517934E-3</v>
      </c>
      <c r="AF5" s="161">
        <f t="shared" si="2"/>
        <v>1.8387632730647847E-3</v>
      </c>
    </row>
    <row r="6" spans="1:32" ht="12" customHeight="1" x14ac:dyDescent="0.2">
      <c r="A6" s="171">
        <v>2</v>
      </c>
      <c r="B6" s="409">
        <f t="shared" si="3"/>
        <v>8</v>
      </c>
      <c r="C6" s="158" t="str">
        <f>"Delta("&amp;A6&amp;"M,"&amp;B6&amp;"M)"</f>
        <v>Delta(2M,8M)</v>
      </c>
      <c r="D6" s="159">
        <f>_xll.qlCalendarAdvance(Calendar,SettlementDate,A6&amp;"M","mf")</f>
        <v>42059</v>
      </c>
      <c r="E6" s="159">
        <f>_xll.qlInterestRateIndexMaturity($D$10,D6)</f>
        <v>42240</v>
      </c>
      <c r="F6" s="433">
        <f>_xll.qlInterpolationInterpolate(delta6Minterpolation,D6,TRUE,AllTriggers)</f>
        <v>1.1602941883767837E-3</v>
      </c>
      <c r="G6" s="210">
        <f>_xll.qlDayCounterYearFraction(DayCounter,SettlementDate,D6,,,Trigger)</f>
        <v>0.17222222222222222</v>
      </c>
      <c r="H6" s="210">
        <f>_xll.qlDayCounterYearFraction(DayCounter,SettlementDate,E6,,,Trigger)</f>
        <v>0.67500000000000004</v>
      </c>
      <c r="I6" s="210">
        <f>H6-G6</f>
        <v>0.50277777777777777</v>
      </c>
      <c r="J6" s="210">
        <f>(H6^2-G6^2)/2</f>
        <v>0.21298225308641977</v>
      </c>
      <c r="K6" s="210">
        <f>(H6^3-G6^3)/3</f>
        <v>0.10081289294695933</v>
      </c>
      <c r="L6" s="192" t="b">
        <v>1</v>
      </c>
      <c r="S6" s="178"/>
      <c r="T6" s="207"/>
      <c r="U6" s="179"/>
      <c r="AB6" s="188">
        <f>_xll.qlCalendarAdvance(Calendar,AB5,"1d","mf",,Trigger)</f>
        <v>42004</v>
      </c>
      <c r="AC6" s="210">
        <f>_xll.qlDayCounterYearFraction(DayCounter,SettlementDate,AB6,,,Trigger)</f>
        <v>1.9444444444444445E-2</v>
      </c>
      <c r="AD6" s="189">
        <f t="shared" si="0"/>
        <v>2.0998465363713192E-3</v>
      </c>
      <c r="AE6" s="189">
        <f t="shared" si="1"/>
        <v>1.8222655932884938E-3</v>
      </c>
      <c r="AF6" s="161">
        <f t="shared" si="2"/>
        <v>1.8415175700265312E-3</v>
      </c>
    </row>
    <row r="7" spans="1:32" ht="12" customHeight="1" thickBot="1" x14ac:dyDescent="0.25">
      <c r="A7" s="171">
        <v>3</v>
      </c>
      <c r="B7" s="409">
        <f t="shared" si="3"/>
        <v>9</v>
      </c>
      <c r="C7" s="162" t="str">
        <f>"Delta("&amp;A7&amp;"M,"&amp;B7&amp;"M)"</f>
        <v>Delta(3M,9M)</v>
      </c>
      <c r="D7" s="163">
        <f>_xll.qlCalendarAdvance(Calendar,SettlementDate,A7&amp;"M","mf")</f>
        <v>42087</v>
      </c>
      <c r="E7" s="163">
        <f>_xll.qlInterestRateIndexMaturity($D$10,D7)</f>
        <v>42271</v>
      </c>
      <c r="F7" s="434">
        <f>_xll.qlInterpolationInterpolate(delta6Minterpolation,D7,TRUE,AllTriggers)</f>
        <v>1.2422637366006463E-3</v>
      </c>
      <c r="G7" s="211">
        <f>_xll.qlDayCounterYearFraction(DayCounter,SettlementDate,D7,,,Trigger)</f>
        <v>0.25</v>
      </c>
      <c r="H7" s="211">
        <f>_xll.qlDayCounterYearFraction(DayCounter,SettlementDate,E7,,,Trigger)</f>
        <v>0.76111111111111107</v>
      </c>
      <c r="I7" s="211">
        <f>H7-G7</f>
        <v>0.51111111111111107</v>
      </c>
      <c r="J7" s="211">
        <f>(H7^2-G7^2)/2</f>
        <v>0.25839506172839505</v>
      </c>
      <c r="K7" s="211">
        <f>(H7^3-G7^3)/3</f>
        <v>0.14175971650663008</v>
      </c>
      <c r="L7" s="193" t="b">
        <v>0</v>
      </c>
      <c r="S7" s="178"/>
      <c r="T7" s="207"/>
      <c r="U7" s="179"/>
      <c r="AB7" s="188">
        <f>_xll.qlCalendarAdvance(Calendar,AB6,"1d","mf",,Trigger)</f>
        <v>42006</v>
      </c>
      <c r="AC7" s="210">
        <f>_xll.qlDayCounterYearFraction(DayCounter,SettlementDate,AB7,,,Trigger)</f>
        <v>2.5000000000000001E-2</v>
      </c>
      <c r="AD7" s="189">
        <f t="shared" si="0"/>
        <v>2.0998465363713192E-3</v>
      </c>
      <c r="AE7" s="189">
        <f t="shared" si="1"/>
        <v>1.8288746633618944E-3</v>
      </c>
      <c r="AF7" s="161">
        <f t="shared" si="2"/>
        <v>1.8470425076552201E-3</v>
      </c>
    </row>
    <row r="8" spans="1:32" ht="12" customHeight="1" thickBot="1" x14ac:dyDescent="0.25">
      <c r="B8" s="403"/>
      <c r="C8" s="403"/>
      <c r="D8" s="404"/>
      <c r="E8" s="404"/>
      <c r="F8" s="405"/>
      <c r="G8" s="406"/>
      <c r="H8" s="406"/>
      <c r="I8" s="406"/>
      <c r="J8" s="406"/>
      <c r="K8" s="406"/>
      <c r="L8" s="407"/>
      <c r="S8" s="208" t="s">
        <v>114</v>
      </c>
      <c r="T8" s="207"/>
      <c r="U8" s="179"/>
      <c r="AB8" s="188">
        <f>_xll.qlCalendarAdvance(Calendar,AB7,"1d","mf",,Trigger)</f>
        <v>42009</v>
      </c>
      <c r="AC8" s="210">
        <f>_xll.qlDayCounterYearFraction(DayCounter,SettlementDate,AB8,,,Trigger)</f>
        <v>3.3333333333333333E-2</v>
      </c>
      <c r="AD8" s="189">
        <f t="shared" si="0"/>
        <v>2.0998465363713192E-3</v>
      </c>
      <c r="AE8" s="189">
        <f t="shared" si="1"/>
        <v>1.8387882684719953E-3</v>
      </c>
      <c r="AF8" s="161">
        <f t="shared" si="2"/>
        <v>1.8553707733612458E-3</v>
      </c>
    </row>
    <row r="9" spans="1:32" ht="12" customHeight="1" x14ac:dyDescent="0.2">
      <c r="C9" s="165" t="s">
        <v>162</v>
      </c>
      <c r="D9" s="203" t="s">
        <v>44</v>
      </c>
      <c r="N9" s="452" t="s">
        <v>110</v>
      </c>
      <c r="O9" s="209"/>
      <c r="P9" s="172">
        <f t="array" ref="P9:P10">_xll.ohFilter(J3:J7,L3:L7)</f>
        <v>0.12779320987654319</v>
      </c>
      <c r="Q9" s="174">
        <f t="array" ref="Q9:Q10">_xll.ohFilter(I3:I7,L3:L7)</f>
        <v>0.50555555555555554</v>
      </c>
      <c r="R9" s="454" t="s">
        <v>39</v>
      </c>
      <c r="S9" s="176">
        <f t="array" ref="S9:S10">MMULT(W9:X10,U9:U10)</f>
        <v>1.1896326132121091E-3</v>
      </c>
      <c r="T9" s="454" t="s">
        <v>40</v>
      </c>
      <c r="U9" s="160">
        <f t="array" ref="U9:U10">_xll.ohFilter(F3:F7,L3:L7)</f>
        <v>1.0615890822766112E-3</v>
      </c>
      <c r="W9" s="172">
        <f t="array" ref="W9:X10">MINVERSE(P9:Q10)</f>
        <v>-21.578421578421572</v>
      </c>
      <c r="X9" s="174">
        <v>21.578421578421572</v>
      </c>
      <c r="AB9" s="188">
        <f>_xll.qlCalendarAdvance(Calendar,AB8,"1d","mf",,Trigger)</f>
        <v>42010</v>
      </c>
      <c r="AC9" s="210">
        <f>_xll.qlDayCounterYearFraction(DayCounter,SettlementDate,AB9,,,Trigger)</f>
        <v>3.6111111111111108E-2</v>
      </c>
      <c r="AD9" s="189">
        <f t="shared" si="0"/>
        <v>2.0998465363713192E-3</v>
      </c>
      <c r="AE9" s="189">
        <f t="shared" si="1"/>
        <v>1.8420928035086956E-3</v>
      </c>
      <c r="AF9" s="161">
        <f t="shared" si="2"/>
        <v>1.8581577577333852E-3</v>
      </c>
    </row>
    <row r="10" spans="1:32" ht="12" customHeight="1" x14ac:dyDescent="0.2">
      <c r="C10" s="183" t="s">
        <v>124</v>
      </c>
      <c r="D10" s="204" t="str">
        <f>PROPER(Currency)&amp;IborType&amp;$D$9</f>
        <v>Euribor6M</v>
      </c>
      <c r="N10" s="452"/>
      <c r="O10" s="209"/>
      <c r="P10" s="172">
        <v>0.17413580246913579</v>
      </c>
      <c r="Q10" s="174">
        <v>0.50555555555555554</v>
      </c>
      <c r="R10" s="454"/>
      <c r="S10" s="176">
        <v>1.7991338480315916E-3</v>
      </c>
      <c r="T10" s="454"/>
      <c r="U10" s="160">
        <v>1.1167197418055612E-3</v>
      </c>
      <c r="W10" s="172">
        <v>7.4325674325674305</v>
      </c>
      <c r="X10" s="174">
        <v>-5.4545454545454524</v>
      </c>
      <c r="AB10" s="188">
        <f>_xll.qlCalendarAdvance(Calendar,AB9,"1d","mf",,Trigger)</f>
        <v>42011</v>
      </c>
      <c r="AC10" s="210">
        <f>_xll.qlDayCounterYearFraction(DayCounter,SettlementDate,AB10,,,Trigger)</f>
        <v>3.888888888888889E-2</v>
      </c>
      <c r="AD10" s="189">
        <f t="shared" si="0"/>
        <v>2.0998465363713192E-3</v>
      </c>
      <c r="AE10" s="189">
        <f t="shared" si="1"/>
        <v>1.8453973385453958E-3</v>
      </c>
      <c r="AF10" s="161">
        <f t="shared" si="2"/>
        <v>1.860950190007257E-3</v>
      </c>
    </row>
    <row r="11" spans="1:32" ht="12" customHeight="1" x14ac:dyDescent="0.2">
      <c r="C11" s="183" t="s">
        <v>153</v>
      </c>
      <c r="D11" s="331" t="s">
        <v>102</v>
      </c>
      <c r="S11" s="178"/>
      <c r="T11" s="207"/>
      <c r="U11" s="179"/>
      <c r="AB11" s="188">
        <f>_xll.qlCalendarAdvance(Calendar,AB10,"1d","mf",,Trigger)</f>
        <v>42012</v>
      </c>
      <c r="AC11" s="210">
        <f>_xll.qlDayCounterYearFraction(DayCounter,SettlementDate,AB11,,,Trigger)</f>
        <v>4.1666666666666664E-2</v>
      </c>
      <c r="AD11" s="189">
        <f t="shared" si="0"/>
        <v>2.0998465363713192E-3</v>
      </c>
      <c r="AE11" s="189">
        <f t="shared" si="1"/>
        <v>1.8487018735820961E-3</v>
      </c>
      <c r="AF11" s="161">
        <f t="shared" si="2"/>
        <v>1.863748070182861E-3</v>
      </c>
    </row>
    <row r="12" spans="1:32" ht="12" customHeight="1" thickBot="1" x14ac:dyDescent="0.25">
      <c r="C12" s="184" t="s">
        <v>152</v>
      </c>
      <c r="D12" s="362" t="s">
        <v>157</v>
      </c>
      <c r="M12" s="170"/>
      <c r="S12" s="206" t="s">
        <v>37</v>
      </c>
      <c r="T12" s="207"/>
      <c r="U12" s="179"/>
      <c r="AB12" s="188">
        <f>_xll.qlCalendarAdvance(Calendar,AB11,"1d","mf",,Trigger)</f>
        <v>42013</v>
      </c>
      <c r="AC12" s="210">
        <f>_xll.qlDayCounterYearFraction(DayCounter,SettlementDate,AB12,,,Trigger)</f>
        <v>4.4444444444444446E-2</v>
      </c>
      <c r="AD12" s="189">
        <f t="shared" si="0"/>
        <v>2.0998465363713192E-3</v>
      </c>
      <c r="AE12" s="189">
        <f t="shared" si="1"/>
        <v>1.8520064086187966E-3</v>
      </c>
      <c r="AF12" s="161">
        <f t="shared" si="2"/>
        <v>1.8665513982601973E-3</v>
      </c>
    </row>
    <row r="13" spans="1:32" ht="12" customHeight="1" thickBot="1" x14ac:dyDescent="0.25">
      <c r="J13" s="369" t="str">
        <f>"Synthetic Deposits "&amp;D9</f>
        <v>Synthetic Deposits 6M</v>
      </c>
      <c r="K13" s="370"/>
      <c r="L13" s="371"/>
      <c r="M13" s="170"/>
      <c r="N13" s="201" t="s">
        <v>111</v>
      </c>
      <c r="Q13" s="175">
        <f t="array" ref="Q13">_xll.ohFilter(I3:I7,L3:L7)</f>
        <v>0.50555555555555554</v>
      </c>
      <c r="R13" s="201" t="s">
        <v>39</v>
      </c>
      <c r="S13" s="176">
        <f>MMULT(W13,U13)</f>
        <v>2.0998465363713192E-3</v>
      </c>
      <c r="T13" s="201" t="s">
        <v>40</v>
      </c>
      <c r="U13" s="160">
        <f t="array" ref="U13">_xll.ohFilter(F3:F7,L3:L7)</f>
        <v>1.0615890822766112E-3</v>
      </c>
      <c r="W13" s="175">
        <f>MINVERSE(Q13)</f>
        <v>1.9780219780219781</v>
      </c>
      <c r="AB13" s="188">
        <f>_xll.qlCalendarAdvance(Calendar,AB12,"1d","mf",,Trigger)</f>
        <v>42016</v>
      </c>
      <c r="AC13" s="210">
        <f>_xll.qlDayCounterYearFraction(DayCounter,SettlementDate,AB13,,,Trigger)</f>
        <v>5.2777777777777778E-2</v>
      </c>
      <c r="AD13" s="189">
        <f t="shared" si="0"/>
        <v>2.0998465363713192E-3</v>
      </c>
      <c r="AE13" s="189">
        <f t="shared" si="1"/>
        <v>1.8619200137288973E-3</v>
      </c>
      <c r="AF13" s="161">
        <f t="shared" si="2"/>
        <v>1.8749940699025992E-3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146</v>
      </c>
      <c r="G14" s="180" t="s">
        <v>147</v>
      </c>
      <c r="H14" s="180" t="s">
        <v>148</v>
      </c>
      <c r="I14" s="180" t="s">
        <v>149</v>
      </c>
      <c r="J14" s="372" t="s">
        <v>111</v>
      </c>
      <c r="K14" s="363" t="s">
        <v>110</v>
      </c>
      <c r="L14" s="363" t="s">
        <v>138</v>
      </c>
      <c r="M14" s="170"/>
      <c r="AB14" s="188">
        <f>_xll.qlCalendarAdvance(Calendar,AB13,"1d","mf",,Trigger)</f>
        <v>42017</v>
      </c>
      <c r="AC14" s="210">
        <f>_xll.qlDayCounterYearFraction(DayCounter,SettlementDate,AB14,,,Trigger)</f>
        <v>5.5555555555555552E-2</v>
      </c>
      <c r="AD14" s="189">
        <f t="shared" si="0"/>
        <v>2.0998465363713192E-3</v>
      </c>
      <c r="AE14" s="189">
        <f t="shared" si="1"/>
        <v>1.8652245487655976E-3</v>
      </c>
      <c r="AF14" s="161">
        <f t="shared" si="2"/>
        <v>1.8778191895868644E-3</v>
      </c>
    </row>
    <row r="15" spans="1:32" ht="12" customHeight="1" x14ac:dyDescent="0.2">
      <c r="C15" s="200" t="s">
        <v>45</v>
      </c>
      <c r="D15" s="194">
        <f t="shared" ref="D15:D24" si="4">SettlementDate</f>
        <v>41997</v>
      </c>
      <c r="E15" s="195">
        <f>_xll.qlCalendarAdvance(Calendar,SettlementDate,C15,"Following",,Trigger)</f>
        <v>42002</v>
      </c>
      <c r="F15" s="357">
        <f>_xll.qlDayCounterYearFraction(DayCounter,D15,E15,,,Trigger)</f>
        <v>1.3888888888888888E-2</v>
      </c>
      <c r="G15" s="350">
        <f>_xll.qlYieldTSDiscount(Discounting,D15,,AllTriggers)</f>
        <v>1</v>
      </c>
      <c r="H15" s="350">
        <f>_xll.qlYieldTSDiscount(Discounting,E15,,AllTriggers)</f>
        <v>1.0000068056111346</v>
      </c>
      <c r="I15" s="359">
        <f>(G15/H15-1)/F15</f>
        <v>-4.9000066693771771E-4</v>
      </c>
      <c r="J15" s="360">
        <f t="shared" ref="J15:J24" si="5">((1+I15*F15)*EXP($S$13*F15)-1)/F15</f>
        <v>1.6098621994036222E-3</v>
      </c>
      <c r="K15" s="360">
        <f>((1+F15*I15)*EXP($S$10*F15+0.5*$S$9*F15^2)-1)/F15</f>
        <v>1.3174049036308588E-3</v>
      </c>
      <c r="L15" s="360">
        <f>((1+F15*I15)*EXP($S$5*F15+0.5*$S$4*F15^2+1/3*$S$3*F15^3)-1)/F15</f>
        <v>1.3391819305805797E-3</v>
      </c>
      <c r="M15" s="170"/>
      <c r="AB15" s="188">
        <f>_xll.qlCalendarAdvance(Calendar,AB14,"1d","mf",,Trigger)</f>
        <v>42018</v>
      </c>
      <c r="AC15" s="210">
        <f>_xll.qlDayCounterYearFraction(DayCounter,SettlementDate,AB15,,,Trigger)</f>
        <v>5.8333333333333334E-2</v>
      </c>
      <c r="AD15" s="189">
        <f t="shared" si="0"/>
        <v>2.0998465363713192E-3</v>
      </c>
      <c r="AE15" s="189">
        <f t="shared" si="1"/>
        <v>1.8685290838022981E-3</v>
      </c>
      <c r="AF15" s="161">
        <f t="shared" si="2"/>
        <v>1.8806497571728616E-3</v>
      </c>
    </row>
    <row r="16" spans="1:32" ht="12" customHeight="1" x14ac:dyDescent="0.2">
      <c r="C16" s="198" t="s">
        <v>46</v>
      </c>
      <c r="D16" s="159">
        <f>SettlementDate</f>
        <v>41997</v>
      </c>
      <c r="E16" s="196">
        <f>_xll.qlCalendarAdvance(Calendar,SettlementDate,C16,"Following",,Trigger)</f>
        <v>42004</v>
      </c>
      <c r="F16" s="210">
        <f>_xll.qlDayCounterYearFraction(DayCounter,D16,E16,,,Trigger)</f>
        <v>1.9444444444444445E-2</v>
      </c>
      <c r="G16" s="351">
        <f>_xll.qlYieldTSDiscount(Discounting,D16,,AllTriggers)</f>
        <v>1</v>
      </c>
      <c r="H16" s="351">
        <f>_xll.qlYieldTSDiscount(Discounting,E16,,AllTriggers)</f>
        <v>1.000009527868557</v>
      </c>
      <c r="I16" s="181">
        <f t="shared" ref="I16:I24" si="6">(G16/H16-1)/F16</f>
        <v>-4.8999999999236156E-4</v>
      </c>
      <c r="J16" s="361">
        <f t="shared" si="5"/>
        <v>1.6098693984175785E-3</v>
      </c>
      <c r="K16" s="361">
        <f t="shared" ref="K16:K24" si="7">((1+F16*I16)*EXP($S$10*F16+0.5*$S$9*F16^2)-1)/F16</f>
        <v>1.3207143444025704E-3</v>
      </c>
      <c r="L16" s="361">
        <f t="shared" ref="L16:L24" si="8">((1+F16*I16)*EXP($S$5*F16+0.5*$S$4*F16^2+1/3*$S$3*F16^3)-1)/F16</f>
        <v>1.3419276608888403E-3</v>
      </c>
      <c r="M16" s="170"/>
      <c r="AB16" s="188">
        <f>_xll.qlCalendarAdvance(Calendar,AB15,"1d","mf",,Trigger)</f>
        <v>42019</v>
      </c>
      <c r="AC16" s="210">
        <f>_xll.qlDayCounterYearFraction(DayCounter,SettlementDate,AB16,,,Trigger)</f>
        <v>6.1111111111111109E-2</v>
      </c>
      <c r="AD16" s="189">
        <f t="shared" si="0"/>
        <v>2.0998465363713192E-3</v>
      </c>
      <c r="AE16" s="189">
        <f t="shared" si="1"/>
        <v>1.8718336188389983E-3</v>
      </c>
      <c r="AF16" s="161">
        <f t="shared" si="2"/>
        <v>1.8834857726605912E-3</v>
      </c>
    </row>
    <row r="17" spans="3:32" ht="12" customHeight="1" x14ac:dyDescent="0.2">
      <c r="C17" s="198" t="s">
        <v>47</v>
      </c>
      <c r="D17" s="159">
        <f t="shared" si="4"/>
        <v>41997</v>
      </c>
      <c r="E17" s="196">
        <f>_xll.qlCalendarAdvance(Calendar,SettlementDate,C17,"Following",,Trigger)</f>
        <v>42011</v>
      </c>
      <c r="F17" s="210">
        <f>_xll.qlDayCounterYearFraction(DayCounter,D17,E17,,,Trigger)</f>
        <v>3.888888888888889E-2</v>
      </c>
      <c r="G17" s="351">
        <f>_xll.qlYieldTSDiscount(Discounting,D17,,AllTriggers)</f>
        <v>1</v>
      </c>
      <c r="H17" s="351">
        <f>_xll.qlYieldTSDiscount(Discounting,E17,,AllTriggers)</f>
        <v>1.0000035000122609</v>
      </c>
      <c r="I17" s="181">
        <f t="shared" si="6"/>
        <v>-9.0000000278081925E-5</v>
      </c>
      <c r="J17" s="361">
        <f t="shared" si="5"/>
        <v>2.0099249261283448E-3</v>
      </c>
      <c r="K17" s="361">
        <f t="shared" si="7"/>
        <v>1.7323237846086517E-3</v>
      </c>
      <c r="L17" s="361">
        <f t="shared" si="8"/>
        <v>1.7516215597522334E-3</v>
      </c>
      <c r="M17" s="170"/>
      <c r="AB17" s="188">
        <f>_xll.qlCalendarAdvance(Calendar,AB16,"1d","mf",,Trigger)</f>
        <v>42020</v>
      </c>
      <c r="AC17" s="210">
        <f>_xll.qlDayCounterYearFraction(DayCounter,SettlementDate,AB17,,,Trigger)</f>
        <v>6.3888888888888884E-2</v>
      </c>
      <c r="AD17" s="189">
        <f t="shared" si="0"/>
        <v>2.0998465363713192E-3</v>
      </c>
      <c r="AE17" s="189">
        <f t="shared" si="1"/>
        <v>1.8751381538756986E-3</v>
      </c>
      <c r="AF17" s="161">
        <f t="shared" si="2"/>
        <v>1.8863272360500529E-3</v>
      </c>
    </row>
    <row r="18" spans="3:32" ht="12" customHeight="1" x14ac:dyDescent="0.2">
      <c r="C18" s="198" t="s">
        <v>48</v>
      </c>
      <c r="D18" s="159">
        <f t="shared" si="4"/>
        <v>41997</v>
      </c>
      <c r="E18" s="196">
        <f>_xll.qlCalendarAdvance(Calendar,SettlementDate,C18,"Following",,Trigger)</f>
        <v>42018</v>
      </c>
      <c r="F18" s="210">
        <f>_xll.qlDayCounterYearFraction(DayCounter,D18,E18,,,Trigger)</f>
        <v>5.8333333333333334E-2</v>
      </c>
      <c r="G18" s="351">
        <f>_xll.qlYieldTSDiscount(Discounting,D18,,AllTriggers)</f>
        <v>1</v>
      </c>
      <c r="H18" s="351">
        <f>_xll.qlYieldTSDiscount(Discounting,E18,,AllTriggers)</f>
        <v>1.000014583546037</v>
      </c>
      <c r="I18" s="181">
        <f t="shared" si="6"/>
        <v>-2.5000000046127013E-4</v>
      </c>
      <c r="J18" s="361">
        <f t="shared" si="5"/>
        <v>1.8499445227236422E-3</v>
      </c>
      <c r="K18" s="361">
        <f t="shared" si="7"/>
        <v>1.5839028098353833E-3</v>
      </c>
      <c r="L18" s="361">
        <f t="shared" si="8"/>
        <v>1.6013735836839516E-3</v>
      </c>
      <c r="M18" s="170"/>
      <c r="AB18" s="188">
        <f>_xll.qlCalendarAdvance(Calendar,AB17,"1d","mf",,Trigger)</f>
        <v>42023</v>
      </c>
      <c r="AC18" s="210">
        <f>_xll.qlDayCounterYearFraction(DayCounter,SettlementDate,AB18,,,Trigger)</f>
        <v>7.2222222222222215E-2</v>
      </c>
      <c r="AD18" s="189">
        <f t="shared" si="0"/>
        <v>2.0998465363713192E-3</v>
      </c>
      <c r="AE18" s="189">
        <f t="shared" si="1"/>
        <v>1.8850517589857996E-3</v>
      </c>
      <c r="AF18" s="161">
        <f t="shared" si="2"/>
        <v>1.8948843136288316E-3</v>
      </c>
    </row>
    <row r="19" spans="3:32" ht="12" customHeight="1" x14ac:dyDescent="0.2">
      <c r="C19" s="198" t="s">
        <v>42</v>
      </c>
      <c r="D19" s="159">
        <f t="shared" si="4"/>
        <v>41997</v>
      </c>
      <c r="E19" s="196">
        <f>_xll.qlCalendarAdvance(Calendar,SettlementDate,C19,"mf",TRUE,Trigger)</f>
        <v>42030</v>
      </c>
      <c r="F19" s="210">
        <f>_xll.qlDayCounterYearFraction(DayCounter,D19,E19,,,Trigger)</f>
        <v>9.166666666666666E-2</v>
      </c>
      <c r="G19" s="351">
        <f>_xll.qlYieldTSDiscount(Discounting,D19,,AllTriggers)</f>
        <v>1</v>
      </c>
      <c r="H19" s="351">
        <f>_xll.qlYieldTSDiscount(Discounting,E19,,AllTriggers)</f>
        <v>1.0000330010890557</v>
      </c>
      <c r="I19" s="181">
        <f t="shared" si="6"/>
        <v>-3.6000000021503683E-4</v>
      </c>
      <c r="J19" s="361">
        <f t="shared" si="5"/>
        <v>1.7399793429782244E-3</v>
      </c>
      <c r="K19" s="361">
        <f t="shared" si="7"/>
        <v>1.4937549945552449E-3</v>
      </c>
      <c r="L19" s="361">
        <f t="shared" si="8"/>
        <v>1.5083006233415379E-3</v>
      </c>
      <c r="M19" s="170"/>
      <c r="AB19" s="188">
        <f>_xll.qlCalendarAdvance(Calendar,AB18,"1d","mf",,Trigger)</f>
        <v>42024</v>
      </c>
      <c r="AC19" s="210">
        <f>_xll.qlDayCounterYearFraction(DayCounter,SettlementDate,AB19,,,Trigger)</f>
        <v>7.4999999999999997E-2</v>
      </c>
      <c r="AD19" s="189">
        <f t="shared" si="0"/>
        <v>2.0998465363713192E-3</v>
      </c>
      <c r="AE19" s="189">
        <f t="shared" si="1"/>
        <v>1.8883562940224998E-3</v>
      </c>
      <c r="AF19" s="161">
        <f t="shared" si="2"/>
        <v>1.8977475686252222E-3</v>
      </c>
    </row>
    <row r="20" spans="3:32" ht="12" customHeight="1" x14ac:dyDescent="0.2">
      <c r="C20" s="198" t="s">
        <v>49</v>
      </c>
      <c r="D20" s="159">
        <f t="shared" si="4"/>
        <v>41997</v>
      </c>
      <c r="E20" s="196">
        <f>_xll.qlCalendarAdvance(Calendar,SettlementDate,C20,"mf",TRUE,Trigger)</f>
        <v>42059</v>
      </c>
      <c r="F20" s="210">
        <f>_xll.qlDayCounterYearFraction(DayCounter,D20,E20,,,Trigger)</f>
        <v>0.17222222222222222</v>
      </c>
      <c r="G20" s="351">
        <f>_xll.qlYieldTSDiscount(Discounting,D20,,AllTriggers)</f>
        <v>1</v>
      </c>
      <c r="H20" s="351">
        <f>_xll.qlYieldTSDiscount(Discounting,E20,,AllTriggers)</f>
        <v>1.0000396126804101</v>
      </c>
      <c r="I20" s="181">
        <f t="shared" si="6"/>
        <v>-2.3000000114201382E-4</v>
      </c>
      <c r="J20" s="361">
        <f t="shared" si="5"/>
        <v>1.8701430832077362E-3</v>
      </c>
      <c r="K20" s="361">
        <f t="shared" si="7"/>
        <v>1.6718105077235955E-3</v>
      </c>
      <c r="L20" s="361">
        <f t="shared" si="8"/>
        <v>1.6803661824084427E-3</v>
      </c>
      <c r="M20" s="170"/>
      <c r="AB20" s="188">
        <f>_xll.qlCalendarAdvance(Calendar,AB19,"1d","mf",,Trigger)</f>
        <v>42025</v>
      </c>
      <c r="AC20" s="210">
        <f>_xll.qlDayCounterYearFraction(DayCounter,SettlementDate,AB20,,,Trigger)</f>
        <v>7.7777777777777779E-2</v>
      </c>
      <c r="AD20" s="189">
        <f t="shared" si="0"/>
        <v>2.0998465363713192E-3</v>
      </c>
      <c r="AE20" s="189">
        <f t="shared" si="1"/>
        <v>1.8916608290592001E-3</v>
      </c>
      <c r="AF20" s="161">
        <f t="shared" si="2"/>
        <v>1.9006162715233448E-3</v>
      </c>
    </row>
    <row r="21" spans="3:32" ht="12" customHeight="1" x14ac:dyDescent="0.2">
      <c r="C21" s="198" t="s">
        <v>43</v>
      </c>
      <c r="D21" s="159">
        <f t="shared" si="4"/>
        <v>41997</v>
      </c>
      <c r="E21" s="196">
        <f>_xll.qlCalendarAdvance(Calendar,SettlementDate,C21,"mf",TRUE,Trigger)</f>
        <v>42087</v>
      </c>
      <c r="F21" s="210">
        <f>_xll.qlDayCounterYearFraction(DayCounter,D21,E21,,,Trigger)</f>
        <v>0.25</v>
      </c>
      <c r="G21" s="351">
        <f>_xll.qlYieldTSDiscount(Discounting,D21,,AllTriggers)</f>
        <v>1</v>
      </c>
      <c r="H21" s="351">
        <f>_xll.qlYieldTSDiscount(Discounting,E21,,AllTriggers)</f>
        <v>1.000032501056171</v>
      </c>
      <c r="I21" s="181">
        <f t="shared" si="6"/>
        <v>-1.2999999954699248E-4</v>
      </c>
      <c r="J21" s="361">
        <f t="shared" si="5"/>
        <v>1.9703295397910381E-3</v>
      </c>
      <c r="K21" s="361">
        <f t="shared" si="7"/>
        <v>1.8182489410509817E-3</v>
      </c>
      <c r="L21" s="361">
        <f t="shared" si="8"/>
        <v>1.8224693527519875E-3</v>
      </c>
      <c r="M21" s="170"/>
      <c r="AB21" s="188">
        <f>_xll.qlCalendarAdvance(Calendar,AB20,"1d","mf",,Trigger)</f>
        <v>42026</v>
      </c>
      <c r="AC21" s="210">
        <f>_xll.qlDayCounterYearFraction(DayCounter,SettlementDate,AB21,,,Trigger)</f>
        <v>8.0555555555555561E-2</v>
      </c>
      <c r="AD21" s="189">
        <f t="shared" si="0"/>
        <v>2.0998465363713192E-3</v>
      </c>
      <c r="AE21" s="189">
        <f t="shared" si="1"/>
        <v>1.8949653640959003E-3</v>
      </c>
      <c r="AF21" s="161">
        <f t="shared" si="2"/>
        <v>1.9034904223231999E-3</v>
      </c>
    </row>
    <row r="22" spans="3:32" ht="12" customHeight="1" x14ac:dyDescent="0.2">
      <c r="C22" s="198" t="s">
        <v>50</v>
      </c>
      <c r="D22" s="159">
        <f t="shared" si="4"/>
        <v>41997</v>
      </c>
      <c r="E22" s="196">
        <f>_xll.qlCalendarAdvance(Calendar,SettlementDate,C22,"mf",TRUE,Trigger)</f>
        <v>42118</v>
      </c>
      <c r="F22" s="210">
        <f>_xll.qlDayCounterYearFraction(DayCounter,D22,E22,,,Trigger)</f>
        <v>0.33611111111111114</v>
      </c>
      <c r="G22" s="351">
        <f>_xll.qlYieldTSDiscount(Discounting,D22,,AllTriggers)</f>
        <v>1</v>
      </c>
      <c r="H22" s="351">
        <f>_xll.qlYieldTSDiscount(Discounting,E22,,AllTriggers)</f>
        <v>1.0000703556361346</v>
      </c>
      <c r="I22" s="181">
        <f t="shared" si="6"/>
        <v>-2.0930782780337147E-4</v>
      </c>
      <c r="J22" s="361">
        <f t="shared" si="5"/>
        <v>1.8911321218256368E-3</v>
      </c>
      <c r="K22" s="361">
        <f t="shared" si="7"/>
        <v>1.7902814472981288E-3</v>
      </c>
      <c r="L22" s="361">
        <f t="shared" si="8"/>
        <v>1.79136214391264E-3</v>
      </c>
      <c r="M22" s="170"/>
      <c r="AB22" s="188">
        <f>_xll.qlCalendarAdvance(Calendar,AB21,"1d","mf",,Trigger)</f>
        <v>42027</v>
      </c>
      <c r="AC22" s="210">
        <f>_xll.qlDayCounterYearFraction(DayCounter,SettlementDate,AB22,,,Trigger)</f>
        <v>8.3333333333333329E-2</v>
      </c>
      <c r="AD22" s="189">
        <f t="shared" si="0"/>
        <v>2.0998465363713192E-3</v>
      </c>
      <c r="AE22" s="189">
        <f t="shared" si="1"/>
        <v>1.8982698991326008E-3</v>
      </c>
      <c r="AF22" s="161">
        <f t="shared" si="2"/>
        <v>1.9063700210247873E-3</v>
      </c>
    </row>
    <row r="23" spans="3:32" ht="12" customHeight="1" x14ac:dyDescent="0.2">
      <c r="C23" s="198" t="s">
        <v>51</v>
      </c>
      <c r="D23" s="159">
        <f t="shared" si="4"/>
        <v>41997</v>
      </c>
      <c r="E23" s="196">
        <f>_xll.qlCalendarAdvance(Calendar,SettlementDate,C23,"mf",TRUE,Trigger)</f>
        <v>42149</v>
      </c>
      <c r="F23" s="210">
        <f>_xll.qlDayCounterYearFraction(DayCounter,D23,E23,,,Trigger)</f>
        <v>0.42222222222222222</v>
      </c>
      <c r="G23" s="351">
        <f>_xll.qlYieldTSDiscount(Discounting,D23,,AllTriggers)</f>
        <v>1</v>
      </c>
      <c r="H23" s="351">
        <f>_xll.qlYieldTSDiscount(Discounting,E23,,AllTriggers)</f>
        <v>1.0001224594389224</v>
      </c>
      <c r="I23" s="181">
        <f t="shared" si="6"/>
        <v>-2.8999999999995403E-4</v>
      </c>
      <c r="J23" s="361">
        <f t="shared" si="5"/>
        <v>1.8105204469128018E-3</v>
      </c>
      <c r="K23" s="361">
        <f t="shared" si="7"/>
        <v>1.7609150485738208E-3</v>
      </c>
      <c r="L23" s="361">
        <f t="shared" si="8"/>
        <v>1.7606015613413322E-3</v>
      </c>
      <c r="M23" s="170"/>
      <c r="AB23" s="188">
        <f>_xll.qlCalendarAdvance(Calendar,AB22,"1d","mf",,Trigger)</f>
        <v>42030</v>
      </c>
      <c r="AC23" s="210">
        <f>_xll.qlDayCounterYearFraction(DayCounter,SettlementDate,AB23,,,Trigger)</f>
        <v>9.166666666666666E-2</v>
      </c>
      <c r="AD23" s="189">
        <f t="shared" si="0"/>
        <v>2.0998465363713192E-3</v>
      </c>
      <c r="AE23" s="189">
        <f t="shared" si="1"/>
        <v>1.9081835042427016E-3</v>
      </c>
      <c r="AF23" s="161">
        <f t="shared" si="2"/>
        <v>1.9150415045399423E-3</v>
      </c>
    </row>
    <row r="24" spans="3:32" ht="12" customHeight="1" thickBot="1" x14ac:dyDescent="0.25">
      <c r="C24" s="199" t="s">
        <v>44</v>
      </c>
      <c r="D24" s="163">
        <f t="shared" si="4"/>
        <v>41997</v>
      </c>
      <c r="E24" s="197">
        <f>_xll.qlCalendarAdvance(Calendar,SettlementDate,C24,"mf",TRUE,Trigger)</f>
        <v>42179</v>
      </c>
      <c r="F24" s="211">
        <f>_xll.qlDayCounterYearFraction(DayCounter,D24,E24,,,Trigger)</f>
        <v>0.50555555555555554</v>
      </c>
      <c r="G24" s="352">
        <f>_xll.qlYieldTSDiscount(Discounting,D24,,AllTriggers)</f>
        <v>1</v>
      </c>
      <c r="H24" s="352">
        <f>_xll.qlYieldTSDiscount(Discounting,E24,,AllTriggers)</f>
        <v>1.0001719184397584</v>
      </c>
      <c r="I24" s="182">
        <f t="shared" si="6"/>
        <v>-3.3999999999972393E-4</v>
      </c>
      <c r="J24" s="373">
        <f t="shared" si="5"/>
        <v>1.76060038602549E-3</v>
      </c>
      <c r="K24" s="373">
        <f t="shared" si="7"/>
        <v>1.76060038602549E-3</v>
      </c>
      <c r="L24" s="373">
        <f t="shared" si="8"/>
        <v>1.76060038602549E-3</v>
      </c>
      <c r="AB24" s="188">
        <f>_xll.qlCalendarAdvance(Calendar,AB23,"1d","mf",,Trigger)</f>
        <v>42031</v>
      </c>
      <c r="AC24" s="210">
        <f>_xll.qlDayCounterYearFraction(DayCounter,SettlementDate,AB24,,,Trigger)</f>
        <v>9.4444444444444442E-2</v>
      </c>
      <c r="AD24" s="189">
        <f t="shared" si="0"/>
        <v>2.0998465363713192E-3</v>
      </c>
      <c r="AE24" s="189">
        <f t="shared" si="1"/>
        <v>1.911488039279402E-3</v>
      </c>
      <c r="AF24" s="161">
        <f t="shared" si="2"/>
        <v>1.9179428948484585E-3</v>
      </c>
    </row>
    <row r="25" spans="3:32" ht="12" customHeight="1" thickBot="1" x14ac:dyDescent="0.25">
      <c r="AB25" s="188">
        <f>_xll.qlCalendarAdvance(Calendar,AB24,"1d","mf",,Trigger)</f>
        <v>42032</v>
      </c>
      <c r="AC25" s="210">
        <f>_xll.qlDayCounterYearFraction(DayCounter,SettlementDate,AB25,,,Trigger)</f>
        <v>9.7222222222222224E-2</v>
      </c>
      <c r="AD25" s="189">
        <f t="shared" si="0"/>
        <v>2.0998465363713192E-3</v>
      </c>
      <c r="AE25" s="189">
        <f t="shared" si="1"/>
        <v>1.9147925743161023E-3</v>
      </c>
      <c r="AF25" s="161">
        <f t="shared" si="2"/>
        <v>1.9208497330587069E-3</v>
      </c>
    </row>
    <row r="26" spans="3:32" ht="12" customHeight="1" x14ac:dyDescent="0.2">
      <c r="C26" s="212" t="s">
        <v>126</v>
      </c>
      <c r="AB26" s="188">
        <f>_xll.qlCalendarAdvance(Calendar,AB25,"1d","mf",,Trigger)</f>
        <v>42033</v>
      </c>
      <c r="AC26" s="210">
        <f>_xll.qlDayCounterYearFraction(DayCounter,SettlementDate,AB26,,,Trigger)</f>
        <v>0.1</v>
      </c>
      <c r="AD26" s="189">
        <f t="shared" si="0"/>
        <v>2.0998465363713192E-3</v>
      </c>
      <c r="AE26" s="189">
        <f t="shared" si="1"/>
        <v>1.9180971093528025E-3</v>
      </c>
      <c r="AF26" s="161">
        <f t="shared" si="2"/>
        <v>1.9237620191706875E-3</v>
      </c>
    </row>
    <row r="27" spans="3:32" ht="12" customHeight="1" x14ac:dyDescent="0.2">
      <c r="C27" s="215" t="s">
        <v>109</v>
      </c>
      <c r="AB27" s="188">
        <f>_xll.qlCalendarAdvance(Calendar,AB26,"1d","mf",,Trigger)</f>
        <v>42034</v>
      </c>
      <c r="AC27" s="210">
        <f>_xll.qlDayCounterYearFraction(DayCounter,SettlementDate,AB27,,,Trigger)</f>
        <v>0.10277777777777777</v>
      </c>
      <c r="AD27" s="189">
        <f t="shared" si="0"/>
        <v>2.0998465363713192E-3</v>
      </c>
      <c r="AE27" s="189">
        <f t="shared" si="1"/>
        <v>1.9214016443895028E-3</v>
      </c>
      <c r="AF27" s="161">
        <f t="shared" si="2"/>
        <v>1.9266797531844004E-3</v>
      </c>
    </row>
    <row r="28" spans="3:32" ht="12" customHeight="1" x14ac:dyDescent="0.2">
      <c r="C28" s="189">
        <f t="shared" ref="C28:C37" si="9">IF($C$27="FLAT",J15,IF($C$27="linear",K15,L15))</f>
        <v>1.3391819305805797E-3</v>
      </c>
      <c r="AB28" s="188">
        <f>_xll.qlCalendarAdvance(Calendar,AB27,"1d","mf",,Trigger)</f>
        <v>42037</v>
      </c>
      <c r="AC28" s="210">
        <f>_xll.qlDayCounterYearFraction(DayCounter,SettlementDate,AB28,,,Trigger)</f>
        <v>0.1111111111111111</v>
      </c>
      <c r="AD28" s="189">
        <f t="shared" si="0"/>
        <v>2.0998465363713192E-3</v>
      </c>
      <c r="AE28" s="189">
        <f t="shared" si="1"/>
        <v>1.9313152494996038E-3</v>
      </c>
      <c r="AF28" s="161">
        <f t="shared" si="2"/>
        <v>1.9354656426359318E-3</v>
      </c>
    </row>
    <row r="29" spans="3:32" ht="12" customHeight="1" x14ac:dyDescent="0.2">
      <c r="C29" s="189">
        <f t="shared" si="9"/>
        <v>1.3419276608888403E-3</v>
      </c>
      <c r="AB29" s="188">
        <f>_xll.qlCalendarAdvance(Calendar,AB28,"1d","mf",,Trigger)</f>
        <v>42038</v>
      </c>
      <c r="AC29" s="210">
        <f>_xll.qlDayCounterYearFraction(DayCounter,SettlementDate,AB29,,,Trigger)</f>
        <v>0.11388888888888889</v>
      </c>
      <c r="AD29" s="189">
        <f t="shared" si="0"/>
        <v>2.0998465363713192E-3</v>
      </c>
      <c r="AE29" s="189">
        <f t="shared" si="1"/>
        <v>1.934619784536304E-3</v>
      </c>
      <c r="AF29" s="161">
        <f t="shared" si="2"/>
        <v>1.9384051682565736E-3</v>
      </c>
    </row>
    <row r="30" spans="3:32" ht="12" customHeight="1" x14ac:dyDescent="0.2">
      <c r="C30" s="189">
        <f t="shared" si="9"/>
        <v>1.7516215597522334E-3</v>
      </c>
      <c r="AB30" s="188">
        <f>_xll.qlCalendarAdvance(Calendar,AB29,"1d","mf",,Trigger)</f>
        <v>42039</v>
      </c>
      <c r="AC30" s="210">
        <f>_xll.qlDayCounterYearFraction(DayCounter,SettlementDate,AB30,,,Trigger)</f>
        <v>0.11666666666666667</v>
      </c>
      <c r="AD30" s="189">
        <f t="shared" si="0"/>
        <v>2.0998465363713192E-3</v>
      </c>
      <c r="AE30" s="189">
        <f t="shared" si="1"/>
        <v>1.9379243195730043E-3</v>
      </c>
      <c r="AF30" s="161">
        <f t="shared" si="2"/>
        <v>1.9413501417789476E-3</v>
      </c>
    </row>
    <row r="31" spans="3:32" ht="12" customHeight="1" x14ac:dyDescent="0.2">
      <c r="C31" s="189">
        <f t="shared" si="9"/>
        <v>1.6013735836839516E-3</v>
      </c>
      <c r="AB31" s="188">
        <f>_xll.qlCalendarAdvance(Calendar,AB30,"1d","mf",,Trigger)</f>
        <v>42040</v>
      </c>
      <c r="AC31" s="210">
        <f>_xll.qlDayCounterYearFraction(DayCounter,SettlementDate,AB31,,,Trigger)</f>
        <v>0.11944444444444445</v>
      </c>
      <c r="AD31" s="189">
        <f t="shared" si="0"/>
        <v>2.0998465363713192E-3</v>
      </c>
      <c r="AE31" s="189">
        <f t="shared" si="1"/>
        <v>1.9412288546097048E-3</v>
      </c>
      <c r="AF31" s="161">
        <f t="shared" si="2"/>
        <v>1.9443005632030534E-3</v>
      </c>
    </row>
    <row r="32" spans="3:32" ht="12" customHeight="1" x14ac:dyDescent="0.2">
      <c r="C32" s="189">
        <f t="shared" si="9"/>
        <v>1.5083006233415379E-3</v>
      </c>
      <c r="AB32" s="188">
        <f>_xll.qlCalendarAdvance(Calendar,AB31,"1d","mf",,Trigger)</f>
        <v>42041</v>
      </c>
      <c r="AC32" s="210">
        <f>_xll.qlDayCounterYearFraction(DayCounter,SettlementDate,AB32,,,Trigger)</f>
        <v>0.12222222222222222</v>
      </c>
      <c r="AD32" s="189">
        <f t="shared" si="0"/>
        <v>2.0998465363713192E-3</v>
      </c>
      <c r="AE32" s="189">
        <f t="shared" si="1"/>
        <v>1.944533389646405E-3</v>
      </c>
      <c r="AF32" s="161">
        <f t="shared" si="2"/>
        <v>1.9472564325288919E-3</v>
      </c>
    </row>
    <row r="33" spans="3:32" ht="12" customHeight="1" x14ac:dyDescent="0.2">
      <c r="C33" s="189">
        <f t="shared" si="9"/>
        <v>1.6803661824084427E-3</v>
      </c>
      <c r="AB33" s="188">
        <f>_xll.qlCalendarAdvance(Calendar,AB32,"1d","mf",,Trigger)</f>
        <v>42044</v>
      </c>
      <c r="AC33" s="210">
        <f>_xll.qlDayCounterYearFraction(DayCounter,SettlementDate,AB33,,,Trigger)</f>
        <v>0.13055555555555556</v>
      </c>
      <c r="AD33" s="189">
        <f t="shared" si="0"/>
        <v>2.0998465363713192E-3</v>
      </c>
      <c r="AE33" s="189">
        <f t="shared" si="1"/>
        <v>1.9544469947565058E-3</v>
      </c>
      <c r="AF33" s="161">
        <f t="shared" si="2"/>
        <v>1.9561567279168003E-3</v>
      </c>
    </row>
    <row r="34" spans="3:32" ht="12" customHeight="1" x14ac:dyDescent="0.2">
      <c r="C34" s="189">
        <f t="shared" si="9"/>
        <v>1.8224693527519875E-3</v>
      </c>
      <c r="AB34" s="188">
        <f>_xll.qlCalendarAdvance(Calendar,AB33,"1d","mf",,Trigger)</f>
        <v>42045</v>
      </c>
      <c r="AC34" s="210">
        <f>_xll.qlDayCounterYearFraction(DayCounter,SettlementDate,AB34,,,Trigger)</f>
        <v>0.13333333333333333</v>
      </c>
      <c r="AD34" s="189">
        <f t="shared" si="0"/>
        <v>2.0998465363713192E-3</v>
      </c>
      <c r="AE34" s="189">
        <f t="shared" si="1"/>
        <v>1.957751529793206E-3</v>
      </c>
      <c r="AF34" s="161">
        <f t="shared" si="2"/>
        <v>1.9591343888495671E-3</v>
      </c>
    </row>
    <row r="35" spans="3:32" ht="12" customHeight="1" x14ac:dyDescent="0.2">
      <c r="C35" s="189">
        <f t="shared" si="9"/>
        <v>1.79136214391264E-3</v>
      </c>
      <c r="AB35" s="188">
        <f>_xll.qlCalendarAdvance(Calendar,AB34,"1d","mf",,Trigger)</f>
        <v>42046</v>
      </c>
      <c r="AC35" s="210">
        <f>_xll.qlDayCounterYearFraction(DayCounter,SettlementDate,AB35,,,Trigger)</f>
        <v>0.1361111111111111</v>
      </c>
      <c r="AD35" s="189">
        <f t="shared" ref="AD35:AD66" si="10">$S$13</f>
        <v>2.0998465363713192E-3</v>
      </c>
      <c r="AE35" s="189">
        <f t="shared" ref="AE35:AE66" si="11">$S$10+$S$9*AC35</f>
        <v>1.9610560648299063E-3</v>
      </c>
      <c r="AF35" s="161">
        <f t="shared" ref="AF35:AF66" si="12">($S$5+$S$4*AC35+$S$3*AC35^2)</f>
        <v>1.9621174976840669E-3</v>
      </c>
    </row>
    <row r="36" spans="3:32" ht="12" customHeight="1" x14ac:dyDescent="0.2">
      <c r="C36" s="189">
        <f t="shared" si="9"/>
        <v>1.7606015613413322E-3</v>
      </c>
      <c r="AB36" s="188">
        <f>_xll.qlCalendarAdvance(Calendar,AB35,"1d","mf",,Trigger)</f>
        <v>42047</v>
      </c>
      <c r="AC36" s="210">
        <f>_xll.qlDayCounterYearFraction(DayCounter,SettlementDate,AB36,,,Trigger)</f>
        <v>0.1388888888888889</v>
      </c>
      <c r="AD36" s="189">
        <f t="shared" si="10"/>
        <v>2.0998465363713192E-3</v>
      </c>
      <c r="AE36" s="189">
        <f t="shared" si="11"/>
        <v>1.964360599866607E-3</v>
      </c>
      <c r="AF36" s="161">
        <f t="shared" si="12"/>
        <v>1.9651060544202984E-3</v>
      </c>
    </row>
    <row r="37" spans="3:32" ht="12" customHeight="1" thickBot="1" x14ac:dyDescent="0.25">
      <c r="C37" s="191">
        <f t="shared" si="9"/>
        <v>1.76060038602549E-3</v>
      </c>
      <c r="AB37" s="188">
        <f>_xll.qlCalendarAdvance(Calendar,AB36,"1d","mf",,Trigger)</f>
        <v>42048</v>
      </c>
      <c r="AC37" s="210">
        <f>_xll.qlDayCounterYearFraction(DayCounter,SettlementDate,AB37,,,Trigger)</f>
        <v>0.14166666666666666</v>
      </c>
      <c r="AD37" s="189">
        <f t="shared" si="10"/>
        <v>2.0998465363713192E-3</v>
      </c>
      <c r="AE37" s="189">
        <f t="shared" si="11"/>
        <v>1.9676651349033072E-3</v>
      </c>
      <c r="AF37" s="161">
        <f t="shared" si="12"/>
        <v>1.9681000590582622E-3</v>
      </c>
    </row>
    <row r="38" spans="3:32" x14ac:dyDescent="0.2">
      <c r="AB38" s="188">
        <f>_xll.qlCalendarAdvance(Calendar,AB37,"1d","mf",,Trigger)</f>
        <v>42051</v>
      </c>
      <c r="AC38" s="210">
        <f>_xll.qlDayCounterYearFraction(DayCounter,SettlementDate,AB38,,,Trigger)</f>
        <v>0.15</v>
      </c>
      <c r="AD38" s="189">
        <f t="shared" si="10"/>
        <v>2.0998465363713192E-3</v>
      </c>
      <c r="AE38" s="189">
        <f t="shared" si="11"/>
        <v>1.977578740013408E-3</v>
      </c>
      <c r="AF38" s="161">
        <f t="shared" si="12"/>
        <v>1.9771147603825472E-3</v>
      </c>
    </row>
    <row r="39" spans="3:32" x14ac:dyDescent="0.2">
      <c r="AB39" s="188">
        <f>_xll.qlCalendarAdvance(Calendar,AB38,"1d","mf",,Trigger)</f>
        <v>42052</v>
      </c>
      <c r="AC39" s="210">
        <f>_xll.qlDayCounterYearFraction(DayCounter,SettlementDate,AB39,,,Trigger)</f>
        <v>0.15277777777777779</v>
      </c>
      <c r="AD39" s="189">
        <f t="shared" si="10"/>
        <v>2.0998465363713192E-3</v>
      </c>
      <c r="AE39" s="189">
        <f t="shared" si="11"/>
        <v>1.9808832750501082E-3</v>
      </c>
      <c r="AF39" s="161">
        <f t="shared" si="12"/>
        <v>1.9801305566274395E-3</v>
      </c>
    </row>
    <row r="40" spans="3:32" x14ac:dyDescent="0.2">
      <c r="AB40" s="188">
        <f>_xll.qlCalendarAdvance(Calendar,AB39,"1d","mf",,Trigger)</f>
        <v>42053</v>
      </c>
      <c r="AC40" s="210">
        <f>_xll.qlDayCounterYearFraction(DayCounter,SettlementDate,AB40,,,Trigger)</f>
        <v>0.15555555555555556</v>
      </c>
      <c r="AD40" s="189">
        <f t="shared" si="10"/>
        <v>2.0998465363713192E-3</v>
      </c>
      <c r="AE40" s="189">
        <f t="shared" si="11"/>
        <v>1.9841878100868085E-3</v>
      </c>
      <c r="AF40" s="161">
        <f t="shared" si="12"/>
        <v>1.9831518007740645E-3</v>
      </c>
    </row>
    <row r="41" spans="3:32" x14ac:dyDescent="0.2">
      <c r="J41" s="170"/>
      <c r="K41" s="170"/>
      <c r="AB41" s="188">
        <f>_xll.qlCalendarAdvance(Calendar,AB40,"1d","mf",,Trigger)</f>
        <v>42054</v>
      </c>
      <c r="AC41" s="210">
        <f>_xll.qlDayCounterYearFraction(DayCounter,SettlementDate,AB41,,,Trigger)</f>
        <v>0.15833333333333333</v>
      </c>
      <c r="AD41" s="189">
        <f t="shared" si="10"/>
        <v>2.0998465363713192E-3</v>
      </c>
      <c r="AE41" s="189">
        <f t="shared" si="11"/>
        <v>1.9874923451235088E-3</v>
      </c>
      <c r="AF41" s="161">
        <f t="shared" si="12"/>
        <v>1.9861784928224217E-3</v>
      </c>
    </row>
    <row r="42" spans="3:32" x14ac:dyDescent="0.2">
      <c r="AB42" s="188">
        <f>_xll.qlCalendarAdvance(Calendar,AB41,"1d","mf",,Trigger)</f>
        <v>42055</v>
      </c>
      <c r="AC42" s="210">
        <f>_xll.qlDayCounterYearFraction(DayCounter,SettlementDate,AB42,,,Trigger)</f>
        <v>0.16111111111111112</v>
      </c>
      <c r="AD42" s="189">
        <f t="shared" si="10"/>
        <v>2.0998465363713192E-3</v>
      </c>
      <c r="AE42" s="189">
        <f t="shared" si="11"/>
        <v>1.990796880160209E-3</v>
      </c>
      <c r="AF42" s="161">
        <f t="shared" si="12"/>
        <v>1.989210632772511E-3</v>
      </c>
    </row>
    <row r="43" spans="3:32" ht="11.25" customHeight="1" x14ac:dyDescent="0.2">
      <c r="AB43" s="188">
        <f>_xll.qlCalendarAdvance(Calendar,AB42,"1d","mf",,Trigger)</f>
        <v>42058</v>
      </c>
      <c r="AC43" s="210">
        <f>_xll.qlDayCounterYearFraction(DayCounter,SettlementDate,AB43,,,Trigger)</f>
        <v>0.16944444444444445</v>
      </c>
      <c r="AD43" s="189">
        <f t="shared" si="10"/>
        <v>2.0998465363713192E-3</v>
      </c>
      <c r="AE43" s="189">
        <f t="shared" si="11"/>
        <v>2.0007104852703102E-3</v>
      </c>
      <c r="AF43" s="161">
        <f t="shared" si="12"/>
        <v>1.9983397400331723E-3</v>
      </c>
    </row>
    <row r="44" spans="3:32" x14ac:dyDescent="0.2">
      <c r="AB44" s="188">
        <f>_xll.qlCalendarAdvance(Calendar,AB43,"1d","mf",,Trigger)</f>
        <v>42059</v>
      </c>
      <c r="AC44" s="210">
        <f>_xll.qlDayCounterYearFraction(DayCounter,SettlementDate,AB44,,,Trigger)</f>
        <v>0.17222222222222222</v>
      </c>
      <c r="AD44" s="189">
        <f t="shared" si="10"/>
        <v>2.0998465363713192E-3</v>
      </c>
      <c r="AE44" s="189">
        <f t="shared" si="11"/>
        <v>2.0040150203070105E-3</v>
      </c>
      <c r="AF44" s="161">
        <f t="shared" si="12"/>
        <v>2.0013936715901908E-3</v>
      </c>
    </row>
    <row r="45" spans="3:32" x14ac:dyDescent="0.2">
      <c r="AB45" s="188">
        <f>_xll.qlCalendarAdvance(Calendar,AB44,"1d","mf",,Trigger)</f>
        <v>42060</v>
      </c>
      <c r="AC45" s="210">
        <f>_xll.qlDayCounterYearFraction(DayCounter,SettlementDate,AB45,,,Trigger)</f>
        <v>0.17499999999999999</v>
      </c>
      <c r="AD45" s="189">
        <f t="shared" si="10"/>
        <v>2.0998465363713192E-3</v>
      </c>
      <c r="AE45" s="189">
        <f t="shared" si="11"/>
        <v>2.0073195553437107E-3</v>
      </c>
      <c r="AF45" s="161">
        <f t="shared" si="12"/>
        <v>2.0044530510489409E-3</v>
      </c>
    </row>
    <row r="46" spans="3:32" x14ac:dyDescent="0.2">
      <c r="AB46" s="188">
        <f>_xll.qlCalendarAdvance(Calendar,AB45,"1d","mf",,Trigger)</f>
        <v>42061</v>
      </c>
      <c r="AC46" s="210">
        <f>_xll.qlDayCounterYearFraction(DayCounter,SettlementDate,AB46,,,Trigger)</f>
        <v>0.17777777777777778</v>
      </c>
      <c r="AD46" s="189">
        <f t="shared" si="10"/>
        <v>2.0998465363713192E-3</v>
      </c>
      <c r="AE46" s="189">
        <f t="shared" si="11"/>
        <v>2.010624090380411E-3</v>
      </c>
      <c r="AF46" s="161">
        <f t="shared" si="12"/>
        <v>2.0075178784094241E-3</v>
      </c>
    </row>
    <row r="47" spans="3:32" x14ac:dyDescent="0.2">
      <c r="AB47" s="188">
        <f>_xll.qlCalendarAdvance(Calendar,AB46,"1d","mf",,Trigger)</f>
        <v>42062</v>
      </c>
      <c r="AC47" s="210">
        <f>_xll.qlDayCounterYearFraction(DayCounter,SettlementDate,AB47,,,Trigger)</f>
        <v>0.18055555555555555</v>
      </c>
      <c r="AD47" s="189">
        <f t="shared" si="10"/>
        <v>2.0998465363713192E-3</v>
      </c>
      <c r="AE47" s="189">
        <f t="shared" si="11"/>
        <v>2.0139286254171112E-3</v>
      </c>
      <c r="AF47" s="161">
        <f t="shared" si="12"/>
        <v>2.0105881536716386E-3</v>
      </c>
    </row>
    <row r="48" spans="3:32" x14ac:dyDescent="0.2">
      <c r="AB48" s="188">
        <f>_xll.qlCalendarAdvance(Calendar,AB47,"1d","mf",,Trigger)</f>
        <v>42065</v>
      </c>
      <c r="AC48" s="210">
        <f>_xll.qlDayCounterYearFraction(DayCounter,SettlementDate,AB48,,,Trigger)</f>
        <v>0.18888888888888888</v>
      </c>
      <c r="AD48" s="189">
        <f t="shared" si="10"/>
        <v>2.0998465363713192E-3</v>
      </c>
      <c r="AE48" s="189">
        <f t="shared" si="11"/>
        <v>2.0238422305272124E-3</v>
      </c>
      <c r="AF48" s="161">
        <f t="shared" si="12"/>
        <v>2.0198316668686763E-3</v>
      </c>
    </row>
    <row r="49" spans="10:32" x14ac:dyDescent="0.2">
      <c r="AB49" s="188">
        <f>_xll.qlCalendarAdvance(Calendar,AB48,"1d","mf",,Trigger)</f>
        <v>42066</v>
      </c>
      <c r="AC49" s="210">
        <f>_xll.qlDayCounterYearFraction(DayCounter,SettlementDate,AB49,,,Trigger)</f>
        <v>0.19166666666666668</v>
      </c>
      <c r="AD49" s="189">
        <f t="shared" si="10"/>
        <v>2.0998465363713192E-3</v>
      </c>
      <c r="AE49" s="189">
        <f t="shared" si="11"/>
        <v>2.0271467655639127E-3</v>
      </c>
      <c r="AF49" s="161">
        <f t="shared" si="12"/>
        <v>2.0229237337378203E-3</v>
      </c>
    </row>
    <row r="50" spans="10:32" x14ac:dyDescent="0.2">
      <c r="AB50" s="188">
        <f>_xll.qlCalendarAdvance(Calendar,AB49,"1d","mf",,Trigger)</f>
        <v>42067</v>
      </c>
      <c r="AC50" s="210">
        <f>_xll.qlDayCounterYearFraction(DayCounter,SettlementDate,AB50,,,Trigger)</f>
        <v>0.19444444444444445</v>
      </c>
      <c r="AD50" s="189">
        <f t="shared" si="10"/>
        <v>2.0998465363713192E-3</v>
      </c>
      <c r="AE50" s="189">
        <f t="shared" si="11"/>
        <v>2.0304513006006129E-3</v>
      </c>
      <c r="AF50" s="161">
        <f t="shared" si="12"/>
        <v>2.0260212485086965E-3</v>
      </c>
    </row>
    <row r="51" spans="10:32" x14ac:dyDescent="0.2">
      <c r="AB51" s="188">
        <f>_xll.qlCalendarAdvance(Calendar,AB50,"1d","mf",,Trigger)</f>
        <v>42068</v>
      </c>
      <c r="AC51" s="210">
        <f>_xll.qlDayCounterYearFraction(DayCounter,SettlementDate,AB51,,,Trigger)</f>
        <v>0.19722222222222222</v>
      </c>
      <c r="AD51" s="189">
        <f t="shared" si="10"/>
        <v>2.0998465363713192E-3</v>
      </c>
      <c r="AE51" s="189">
        <f t="shared" si="11"/>
        <v>2.0337558356373132E-3</v>
      </c>
      <c r="AF51" s="161">
        <f t="shared" si="12"/>
        <v>2.0291242111813044E-3</v>
      </c>
    </row>
    <row r="52" spans="10:32" x14ac:dyDescent="0.2">
      <c r="AB52" s="188">
        <f>_xll.qlCalendarAdvance(Calendar,AB51,"1d","mf",,Trigger)</f>
        <v>42069</v>
      </c>
      <c r="AC52" s="210">
        <f>_xll.qlDayCounterYearFraction(DayCounter,SettlementDate,AB52,,,Trigger)</f>
        <v>0.2</v>
      </c>
      <c r="AD52" s="189">
        <f t="shared" si="10"/>
        <v>2.0998465363713192E-3</v>
      </c>
      <c r="AE52" s="189">
        <f t="shared" si="11"/>
        <v>2.0370603706740134E-3</v>
      </c>
      <c r="AF52" s="161">
        <f t="shared" si="12"/>
        <v>2.0322326217556449E-3</v>
      </c>
    </row>
    <row r="53" spans="10:32" x14ac:dyDescent="0.2">
      <c r="AB53" s="188">
        <f>_xll.qlCalendarAdvance(Calendar,AB52,"1d","mf",,Trigger)</f>
        <v>42072</v>
      </c>
      <c r="AC53" s="210">
        <f>_xll.qlDayCounterYearFraction(DayCounter,SettlementDate,AB53,,,Trigger)</f>
        <v>0.20833333333333334</v>
      </c>
      <c r="AD53" s="189">
        <f t="shared" si="10"/>
        <v>2.0998465363713192E-3</v>
      </c>
      <c r="AE53" s="189">
        <f t="shared" si="11"/>
        <v>2.0469739757841142E-3</v>
      </c>
      <c r="AF53" s="161">
        <f t="shared" si="12"/>
        <v>2.0415905408890595E-3</v>
      </c>
    </row>
    <row r="54" spans="10:32" x14ac:dyDescent="0.2">
      <c r="AB54" s="188">
        <f>_xll.qlCalendarAdvance(Calendar,AB53,"1d","mf",,Trigger)</f>
        <v>42073</v>
      </c>
      <c r="AC54" s="210">
        <f>_xll.qlDayCounterYearFraction(DayCounter,SettlementDate,AB54,,,Trigger)</f>
        <v>0.21111111111111111</v>
      </c>
      <c r="AD54" s="189">
        <f t="shared" si="10"/>
        <v>2.0998465363713192E-3</v>
      </c>
      <c r="AE54" s="189">
        <f t="shared" si="11"/>
        <v>2.0502785108208145E-3</v>
      </c>
      <c r="AF54" s="161">
        <f t="shared" si="12"/>
        <v>2.0447207430703287E-3</v>
      </c>
    </row>
    <row r="55" spans="10:32" x14ac:dyDescent="0.2">
      <c r="AB55" s="188">
        <f>_xll.qlCalendarAdvance(Calendar,AB54,"1d","mf",,Trigger)</f>
        <v>42074</v>
      </c>
      <c r="AC55" s="210">
        <f>_xll.qlDayCounterYearFraction(DayCounter,SettlementDate,AB55,,,Trigger)</f>
        <v>0.21388888888888888</v>
      </c>
      <c r="AD55" s="189">
        <f t="shared" si="10"/>
        <v>2.0998465363713192E-3</v>
      </c>
      <c r="AE55" s="189">
        <f t="shared" si="11"/>
        <v>2.0535830458575152E-3</v>
      </c>
      <c r="AF55" s="161">
        <f t="shared" si="12"/>
        <v>2.04785639315333E-3</v>
      </c>
    </row>
    <row r="56" spans="10:32" x14ac:dyDescent="0.2">
      <c r="AB56" s="188">
        <f>_xll.qlCalendarAdvance(Calendar,AB55,"1d","mf",,Trigger)</f>
        <v>42075</v>
      </c>
      <c r="AC56" s="210">
        <f>_xll.qlDayCounterYearFraction(DayCounter,SettlementDate,AB56,,,Trigger)</f>
        <v>0.21666666666666667</v>
      </c>
      <c r="AD56" s="189">
        <f t="shared" si="10"/>
        <v>2.0998465363713192E-3</v>
      </c>
      <c r="AE56" s="189">
        <f t="shared" si="11"/>
        <v>2.0568875808942154E-3</v>
      </c>
      <c r="AF56" s="161">
        <f t="shared" si="12"/>
        <v>2.050997491138064E-3</v>
      </c>
    </row>
    <row r="57" spans="10:32" x14ac:dyDescent="0.2">
      <c r="AB57" s="188">
        <f>_xll.qlCalendarAdvance(Calendar,AB56,"1d","mf",,Trigger)</f>
        <v>42076</v>
      </c>
      <c r="AC57" s="210">
        <f>_xll.qlDayCounterYearFraction(DayCounter,SettlementDate,AB57,,,Trigger)</f>
        <v>0.21944444444444444</v>
      </c>
      <c r="AD57" s="189">
        <f t="shared" si="10"/>
        <v>2.0998465363713192E-3</v>
      </c>
      <c r="AE57" s="189">
        <f t="shared" si="11"/>
        <v>2.0601921159309157E-3</v>
      </c>
      <c r="AF57" s="161">
        <f t="shared" si="12"/>
        <v>2.0541440370245301E-3</v>
      </c>
    </row>
    <row r="58" spans="10:32" x14ac:dyDescent="0.2">
      <c r="AB58" s="188">
        <f>_xll.qlCalendarAdvance(Calendar,AB57,"1d","mf",,Trigger)</f>
        <v>42079</v>
      </c>
      <c r="AC58" s="210">
        <f>_xll.qlDayCounterYearFraction(DayCounter,SettlementDate,AB58,,,Trigger)</f>
        <v>0.22777777777777777</v>
      </c>
      <c r="AD58" s="189">
        <f t="shared" si="10"/>
        <v>2.0998465363713192E-3</v>
      </c>
      <c r="AE58" s="189">
        <f t="shared" si="11"/>
        <v>2.0701057210410164E-3</v>
      </c>
      <c r="AF58" s="161">
        <f t="shared" si="12"/>
        <v>2.063616362094321E-3</v>
      </c>
    </row>
    <row r="59" spans="10:32" x14ac:dyDescent="0.2">
      <c r="AB59" s="188">
        <f>_xll.qlCalendarAdvance(Calendar,AB58,"1d","mf",,Trigger)</f>
        <v>42080</v>
      </c>
      <c r="AC59" s="210">
        <f>_xll.qlDayCounterYearFraction(DayCounter,SettlementDate,AB59,,,Trigger)</f>
        <v>0.23055555555555557</v>
      </c>
      <c r="AD59" s="189">
        <f t="shared" si="10"/>
        <v>2.0998465363713192E-3</v>
      </c>
      <c r="AE59" s="189">
        <f t="shared" si="11"/>
        <v>2.0734102560777167E-3</v>
      </c>
      <c r="AF59" s="161">
        <f t="shared" si="12"/>
        <v>2.0667846995877153E-3</v>
      </c>
    </row>
    <row r="60" spans="10:32" x14ac:dyDescent="0.2">
      <c r="J60" s="170"/>
      <c r="AB60" s="188">
        <f>_xll.qlCalendarAdvance(Calendar,AB59,"1d","mf",,Trigger)</f>
        <v>42081</v>
      </c>
      <c r="AC60" s="210">
        <f>_xll.qlDayCounterYearFraction(DayCounter,SettlementDate,AB60,,,Trigger)</f>
        <v>0.23333333333333334</v>
      </c>
      <c r="AD60" s="189">
        <f t="shared" si="10"/>
        <v>2.0998465363713192E-3</v>
      </c>
      <c r="AE60" s="189">
        <f t="shared" si="11"/>
        <v>2.0767147911144169E-3</v>
      </c>
      <c r="AF60" s="161">
        <f t="shared" si="12"/>
        <v>2.0699584849828427E-3</v>
      </c>
    </row>
    <row r="61" spans="10:32" x14ac:dyDescent="0.2">
      <c r="J61" s="170"/>
      <c r="AB61" s="188">
        <f>_xll.qlCalendarAdvance(Calendar,AB60,"1d","mf",,Trigger)</f>
        <v>42082</v>
      </c>
      <c r="AC61" s="210">
        <f>_xll.qlDayCounterYearFraction(DayCounter,SettlementDate,AB61,,,Trigger)</f>
        <v>0.2361111111111111</v>
      </c>
      <c r="AD61" s="189">
        <f t="shared" si="10"/>
        <v>2.0998465363713192E-3</v>
      </c>
      <c r="AE61" s="189">
        <f t="shared" si="11"/>
        <v>2.0800193261511172E-3</v>
      </c>
      <c r="AF61" s="161">
        <f t="shared" si="12"/>
        <v>2.0731377182797018E-3</v>
      </c>
    </row>
    <row r="62" spans="10:32" x14ac:dyDescent="0.2">
      <c r="J62" s="170"/>
      <c r="AB62" s="188">
        <f>_xll.qlCalendarAdvance(Calendar,AB61,"1d","mf",,Trigger)</f>
        <v>42083</v>
      </c>
      <c r="AC62" s="210">
        <f>_xll.qlDayCounterYearFraction(DayCounter,SettlementDate,AB62,,,Trigger)</f>
        <v>0.2388888888888889</v>
      </c>
      <c r="AD62" s="189">
        <f t="shared" si="10"/>
        <v>2.0998465363713192E-3</v>
      </c>
      <c r="AE62" s="189">
        <f t="shared" si="11"/>
        <v>2.0833238611878179E-3</v>
      </c>
      <c r="AF62" s="161">
        <f t="shared" si="12"/>
        <v>2.0763223994782931E-3</v>
      </c>
    </row>
    <row r="63" spans="10:32" x14ac:dyDescent="0.2">
      <c r="J63" s="170"/>
      <c r="AB63" s="188">
        <f>_xll.qlCalendarAdvance(Calendar,AB62,"1d","mf",,Trigger)</f>
        <v>42086</v>
      </c>
      <c r="AC63" s="210">
        <f>_xll.qlDayCounterYearFraction(DayCounter,SettlementDate,AB63,,,Trigger)</f>
        <v>0.24722222222222223</v>
      </c>
      <c r="AD63" s="189">
        <f t="shared" si="10"/>
        <v>2.0998465363713192E-3</v>
      </c>
      <c r="AE63" s="189">
        <f t="shared" si="11"/>
        <v>2.0932374662979186E-3</v>
      </c>
      <c r="AF63" s="161">
        <f t="shared" si="12"/>
        <v>2.0859091304844613E-3</v>
      </c>
    </row>
    <row r="64" spans="10:32" x14ac:dyDescent="0.2">
      <c r="J64" s="170"/>
      <c r="AB64" s="188">
        <f>_xll.qlCalendarAdvance(Calendar,AB63,"1d","mf",,Trigger)</f>
        <v>42087</v>
      </c>
      <c r="AC64" s="210">
        <f>_xll.qlDayCounterYearFraction(DayCounter,SettlementDate,AB64,,,Trigger)</f>
        <v>0.25</v>
      </c>
      <c r="AD64" s="189">
        <f t="shared" si="10"/>
        <v>2.0998465363713192E-3</v>
      </c>
      <c r="AE64" s="189">
        <f t="shared" si="11"/>
        <v>2.0965420013346189E-3</v>
      </c>
      <c r="AF64" s="161">
        <f t="shared" si="12"/>
        <v>2.0891156032899812E-3</v>
      </c>
    </row>
    <row r="65" spans="10:32" x14ac:dyDescent="0.2">
      <c r="J65" s="170"/>
      <c r="AB65" s="188">
        <f>_xll.qlCalendarAdvance(Calendar,AB64,"1d","mf",,Trigger)</f>
        <v>42088</v>
      </c>
      <c r="AC65" s="210">
        <f>_xll.qlDayCounterYearFraction(DayCounter,SettlementDate,AB65,,,Trigger)</f>
        <v>0.25277777777777777</v>
      </c>
      <c r="AD65" s="189">
        <f t="shared" si="10"/>
        <v>2.0998465363713192E-3</v>
      </c>
      <c r="AE65" s="189">
        <f t="shared" si="11"/>
        <v>2.0998465363713192E-3</v>
      </c>
      <c r="AF65" s="161">
        <f t="shared" si="12"/>
        <v>2.0923275239972338E-3</v>
      </c>
    </row>
    <row r="66" spans="10:32" x14ac:dyDescent="0.2">
      <c r="J66" s="170"/>
      <c r="K66" s="170"/>
      <c r="AB66" s="188">
        <f>_xll.qlCalendarAdvance(Calendar,AB65,"1d","mf",,Trigger)</f>
        <v>42089</v>
      </c>
      <c r="AC66" s="210">
        <f>_xll.qlDayCounterYearFraction(DayCounter,SettlementDate,AB66,,,Trigger)</f>
        <v>0.25555555555555554</v>
      </c>
      <c r="AD66" s="189">
        <f t="shared" si="10"/>
        <v>2.0998465363713192E-3</v>
      </c>
      <c r="AE66" s="189">
        <f t="shared" si="11"/>
        <v>2.1031510714080194E-3</v>
      </c>
      <c r="AF66" s="161">
        <f t="shared" si="12"/>
        <v>2.0955448926062185E-3</v>
      </c>
    </row>
    <row r="67" spans="10:32" x14ac:dyDescent="0.2">
      <c r="J67" s="170"/>
      <c r="K67" s="170"/>
      <c r="AB67" s="188">
        <f>_xll.qlCalendarAdvance(Calendar,AB66,"1d","mf",,Trigger)</f>
        <v>42090</v>
      </c>
      <c r="AC67" s="210">
        <f>_xll.qlDayCounterYearFraction(DayCounter,SettlementDate,AB67,,,Trigger)</f>
        <v>0.25833333333333336</v>
      </c>
      <c r="AD67" s="189">
        <f t="shared" ref="AD67:AD98" si="13">$S$13</f>
        <v>2.0998465363713192E-3</v>
      </c>
      <c r="AE67" s="189">
        <f t="shared" ref="AE67:AE98" si="14">$S$10+$S$9*AC67</f>
        <v>2.1064556064447197E-3</v>
      </c>
      <c r="AF67" s="161">
        <f t="shared" ref="AF67:AF98" si="15">($S$5+$S$4*AC67+$S$3*AC67^2)</f>
        <v>2.0987677091169354E-3</v>
      </c>
    </row>
    <row r="68" spans="10:32" x14ac:dyDescent="0.2">
      <c r="J68" s="170"/>
      <c r="K68" s="170"/>
      <c r="AB68" s="188">
        <f>_xll.qlCalendarAdvance(Calendar,AB67,"1d","mf",,Trigger)</f>
        <v>42093</v>
      </c>
      <c r="AC68" s="210">
        <f>_xll.qlDayCounterYearFraction(DayCounter,SettlementDate,AB68,,,Trigger)</f>
        <v>0.26666666666666666</v>
      </c>
      <c r="AD68" s="189">
        <f t="shared" si="13"/>
        <v>2.0998465363713192E-3</v>
      </c>
      <c r="AE68" s="189">
        <f t="shared" si="14"/>
        <v>2.1163692115548209E-3</v>
      </c>
      <c r="AF68" s="161">
        <f t="shared" si="15"/>
        <v>2.1084688460594795E-3</v>
      </c>
    </row>
    <row r="69" spans="10:32" x14ac:dyDescent="0.2">
      <c r="J69" s="170"/>
      <c r="K69" s="170"/>
      <c r="AB69" s="188">
        <f>_xll.qlCalendarAdvance(Calendar,AB68,"1d","mf",,Trigger)</f>
        <v>42094</v>
      </c>
      <c r="AC69" s="210">
        <f>_xll.qlDayCounterYearFraction(DayCounter,SettlementDate,AB69,,,Trigger)</f>
        <v>0.26944444444444443</v>
      </c>
      <c r="AD69" s="189">
        <f t="shared" si="13"/>
        <v>2.0998465363713192E-3</v>
      </c>
      <c r="AE69" s="189">
        <f t="shared" si="14"/>
        <v>2.1196737465915211E-3</v>
      </c>
      <c r="AF69" s="161">
        <f t="shared" si="15"/>
        <v>2.1117134541771255E-3</v>
      </c>
    </row>
    <row r="70" spans="10:32" x14ac:dyDescent="0.2">
      <c r="J70" s="170"/>
      <c r="K70" s="170"/>
      <c r="AB70" s="188">
        <f>_xll.qlCalendarAdvance(Calendar,AB69,"1d","mf",,Trigger)</f>
        <v>42095</v>
      </c>
      <c r="AC70" s="210">
        <f>_xll.qlDayCounterYearFraction(DayCounter,SettlementDate,AB70,,,Trigger)</f>
        <v>0.2722222222222222</v>
      </c>
      <c r="AD70" s="189">
        <f t="shared" si="13"/>
        <v>2.0998465363713192E-3</v>
      </c>
      <c r="AE70" s="189">
        <f t="shared" si="14"/>
        <v>2.1229782816282214E-3</v>
      </c>
      <c r="AF70" s="161">
        <f t="shared" si="15"/>
        <v>2.1149635101965036E-3</v>
      </c>
    </row>
    <row r="71" spans="10:32" x14ac:dyDescent="0.2">
      <c r="J71" s="170"/>
      <c r="K71" s="170"/>
      <c r="AB71" s="188">
        <f>_xll.qlCalendarAdvance(Calendar,AB70,"1d","mf",,Trigger)</f>
        <v>42096</v>
      </c>
      <c r="AC71" s="210">
        <f>_xll.qlDayCounterYearFraction(DayCounter,SettlementDate,AB71,,,Trigger)</f>
        <v>0.27500000000000002</v>
      </c>
      <c r="AD71" s="189">
        <f t="shared" si="13"/>
        <v>2.0998465363713192E-3</v>
      </c>
      <c r="AE71" s="189">
        <f t="shared" si="14"/>
        <v>2.1262828166649216E-3</v>
      </c>
      <c r="AF71" s="161">
        <f t="shared" si="15"/>
        <v>2.1182190141176139E-3</v>
      </c>
    </row>
    <row r="72" spans="10:32" x14ac:dyDescent="0.2">
      <c r="J72" s="170"/>
      <c r="K72" s="170"/>
      <c r="AB72" s="188">
        <f>_xll.qlCalendarAdvance(Calendar,AB71,"1d","mf",,Trigger)</f>
        <v>42101</v>
      </c>
      <c r="AC72" s="210">
        <f>_xll.qlDayCounterYearFraction(DayCounter,SettlementDate,AB72,,,Trigger)</f>
        <v>0.28888888888888886</v>
      </c>
      <c r="AD72" s="189">
        <f t="shared" si="13"/>
        <v>2.0998465363713192E-3</v>
      </c>
      <c r="AE72" s="189">
        <f t="shared" si="14"/>
        <v>2.1428054918484233E-3</v>
      </c>
      <c r="AF72" s="161">
        <f t="shared" si="15"/>
        <v>2.1345782522491485E-3</v>
      </c>
    </row>
    <row r="73" spans="10:32" x14ac:dyDescent="0.2">
      <c r="J73" s="170"/>
      <c r="K73" s="170"/>
      <c r="AB73" s="188">
        <f>_xll.qlCalendarAdvance(Calendar,AB72,"1d","mf",,Trigger)</f>
        <v>42102</v>
      </c>
      <c r="AC73" s="210">
        <f>_xll.qlDayCounterYearFraction(DayCounter,SettlementDate,AB73,,,Trigger)</f>
        <v>0.29166666666666669</v>
      </c>
      <c r="AD73" s="189">
        <f t="shared" si="13"/>
        <v>2.0998465363713192E-3</v>
      </c>
      <c r="AE73" s="189">
        <f t="shared" si="14"/>
        <v>2.1461100268851236E-3</v>
      </c>
      <c r="AF73" s="161">
        <f t="shared" si="15"/>
        <v>2.1378664435806518E-3</v>
      </c>
    </row>
    <row r="74" spans="10:32" x14ac:dyDescent="0.2">
      <c r="J74" s="170"/>
      <c r="K74" s="170"/>
      <c r="AB74" s="188">
        <f>_xll.qlCalendarAdvance(Calendar,AB73,"1d","mf",,Trigger)</f>
        <v>42103</v>
      </c>
      <c r="AC74" s="210">
        <f>_xll.qlDayCounterYearFraction(DayCounter,SettlementDate,AB74,,,Trigger)</f>
        <v>0.29444444444444445</v>
      </c>
      <c r="AD74" s="189">
        <f t="shared" si="13"/>
        <v>2.0998465363713192E-3</v>
      </c>
      <c r="AE74" s="189">
        <f t="shared" si="14"/>
        <v>2.1494145619218238E-3</v>
      </c>
      <c r="AF74" s="161">
        <f t="shared" si="15"/>
        <v>2.1411600828138877E-3</v>
      </c>
    </row>
    <row r="75" spans="10:32" x14ac:dyDescent="0.2">
      <c r="J75" s="170"/>
      <c r="K75" s="170"/>
      <c r="AB75" s="188">
        <f>_xll.qlCalendarAdvance(Calendar,AB74,"1d","mf",,Trigger)</f>
        <v>42104</v>
      </c>
      <c r="AC75" s="210">
        <f>_xll.qlDayCounterYearFraction(DayCounter,SettlementDate,AB75,,,Trigger)</f>
        <v>0.29722222222222222</v>
      </c>
      <c r="AD75" s="189">
        <f t="shared" si="13"/>
        <v>2.0998465363713192E-3</v>
      </c>
      <c r="AE75" s="189">
        <f t="shared" si="14"/>
        <v>2.1527190969585241E-3</v>
      </c>
      <c r="AF75" s="161">
        <f t="shared" si="15"/>
        <v>2.1444591699488558E-3</v>
      </c>
    </row>
    <row r="76" spans="10:32" x14ac:dyDescent="0.2">
      <c r="J76" s="170"/>
      <c r="K76" s="170"/>
      <c r="AB76" s="188">
        <f>_xll.qlCalendarAdvance(Calendar,AB75,"1d","mf",,Trigger)</f>
        <v>42107</v>
      </c>
      <c r="AC76" s="210">
        <f>_xll.qlDayCounterYearFraction(DayCounter,SettlementDate,AB76,,,Trigger)</f>
        <v>0.30555555555555558</v>
      </c>
      <c r="AD76" s="189">
        <f t="shared" si="13"/>
        <v>2.0998465363713192E-3</v>
      </c>
      <c r="AE76" s="189">
        <f t="shared" si="14"/>
        <v>2.1626327020686249E-3</v>
      </c>
      <c r="AF76" s="161">
        <f t="shared" si="15"/>
        <v>2.1543891187641531E-3</v>
      </c>
    </row>
    <row r="77" spans="10:32" x14ac:dyDescent="0.2">
      <c r="J77" s="170"/>
      <c r="K77" s="170"/>
      <c r="AB77" s="188">
        <f>_xll.qlCalendarAdvance(Calendar,AB76,"1d","mf",,Trigger)</f>
        <v>42108</v>
      </c>
      <c r="AC77" s="210">
        <f>_xll.qlDayCounterYearFraction(DayCounter,SettlementDate,AB77,,,Trigger)</f>
        <v>0.30833333333333335</v>
      </c>
      <c r="AD77" s="189">
        <f t="shared" si="13"/>
        <v>2.0998465363713192E-3</v>
      </c>
      <c r="AE77" s="189">
        <f t="shared" si="14"/>
        <v>2.1659372371053251E-3</v>
      </c>
      <c r="AF77" s="161">
        <f t="shared" si="15"/>
        <v>2.1577099975060498E-3</v>
      </c>
    </row>
    <row r="78" spans="10:32" x14ac:dyDescent="0.2">
      <c r="J78" s="170"/>
      <c r="K78" s="170"/>
      <c r="AB78" s="188">
        <f>_xll.qlCalendarAdvance(Calendar,AB77,"1d","mf",,Trigger)</f>
        <v>42109</v>
      </c>
      <c r="AC78" s="210">
        <f>_xll.qlDayCounterYearFraction(DayCounter,SettlementDate,AB78,,,Trigger)</f>
        <v>0.31111111111111112</v>
      </c>
      <c r="AD78" s="189">
        <f t="shared" si="13"/>
        <v>2.0998465363713192E-3</v>
      </c>
      <c r="AE78" s="189">
        <f t="shared" si="14"/>
        <v>2.1692417721420254E-3</v>
      </c>
      <c r="AF78" s="161">
        <f t="shared" si="15"/>
        <v>2.1610363241496792E-3</v>
      </c>
    </row>
    <row r="79" spans="10:32" x14ac:dyDescent="0.2">
      <c r="J79" s="170"/>
      <c r="K79" s="170"/>
      <c r="AB79" s="188">
        <f>_xll.qlCalendarAdvance(Calendar,AB78,"1d","mf",,Trigger)</f>
        <v>42110</v>
      </c>
      <c r="AC79" s="210">
        <f>_xll.qlDayCounterYearFraction(DayCounter,SettlementDate,AB79,,,Trigger)</f>
        <v>0.31388888888888888</v>
      </c>
      <c r="AD79" s="189">
        <f t="shared" si="13"/>
        <v>2.0998465363713192E-3</v>
      </c>
      <c r="AE79" s="189">
        <f t="shared" si="14"/>
        <v>2.1725463071787261E-3</v>
      </c>
      <c r="AF79" s="161">
        <f t="shared" si="15"/>
        <v>2.1643680986950403E-3</v>
      </c>
    </row>
    <row r="80" spans="10:32" x14ac:dyDescent="0.2">
      <c r="J80" s="170"/>
      <c r="K80" s="170"/>
      <c r="AB80" s="188">
        <f>_xll.qlCalendarAdvance(Calendar,AB79,"1d","mf",,Trigger)</f>
        <v>42111</v>
      </c>
      <c r="AC80" s="210">
        <f>_xll.qlDayCounterYearFraction(DayCounter,SettlementDate,AB80,,,Trigger)</f>
        <v>0.31666666666666665</v>
      </c>
      <c r="AD80" s="189">
        <f t="shared" si="13"/>
        <v>2.0998465363713192E-3</v>
      </c>
      <c r="AE80" s="189">
        <f t="shared" si="14"/>
        <v>2.1758508422154263E-3</v>
      </c>
      <c r="AF80" s="161">
        <f t="shared" si="15"/>
        <v>2.167705321142134E-3</v>
      </c>
    </row>
    <row r="81" spans="10:32" x14ac:dyDescent="0.2">
      <c r="J81" s="170"/>
      <c r="K81" s="170"/>
      <c r="AB81" s="188">
        <f>_xll.qlCalendarAdvance(Calendar,AB80,"1d","mf",,Trigger)</f>
        <v>42114</v>
      </c>
      <c r="AC81" s="210">
        <f>_xll.qlDayCounterYearFraction(DayCounter,SettlementDate,AB81,,,Trigger)</f>
        <v>0.32500000000000001</v>
      </c>
      <c r="AD81" s="189">
        <f t="shared" si="13"/>
        <v>2.0998465363713192E-3</v>
      </c>
      <c r="AE81" s="189">
        <f t="shared" si="14"/>
        <v>2.1857644473255271E-3</v>
      </c>
      <c r="AF81" s="161">
        <f t="shared" si="15"/>
        <v>2.177749675893808E-3</v>
      </c>
    </row>
    <row r="82" spans="10:32" x14ac:dyDescent="0.2">
      <c r="J82" s="170"/>
      <c r="K82" s="170"/>
      <c r="AB82" s="188">
        <f>_xll.qlCalendarAdvance(Calendar,AB81,"1d","mf",,Trigger)</f>
        <v>42115</v>
      </c>
      <c r="AC82" s="210">
        <f>_xll.qlDayCounterYearFraction(DayCounter,SettlementDate,AB82,,,Trigger)</f>
        <v>0.32777777777777778</v>
      </c>
      <c r="AD82" s="189">
        <f t="shared" si="13"/>
        <v>2.0998465363713192E-3</v>
      </c>
      <c r="AE82" s="189">
        <f t="shared" si="14"/>
        <v>2.1890689823622273E-3</v>
      </c>
      <c r="AF82" s="161">
        <f t="shared" si="15"/>
        <v>2.1811086899478299E-3</v>
      </c>
    </row>
    <row r="83" spans="10:32" x14ac:dyDescent="0.2">
      <c r="J83" s="170"/>
      <c r="K83" s="170"/>
      <c r="AB83" s="188">
        <f>_xll.qlCalendarAdvance(Calendar,AB82,"1d","mf",,Trigger)</f>
        <v>42116</v>
      </c>
      <c r="AC83" s="210">
        <f>_xll.qlDayCounterYearFraction(DayCounter,SettlementDate,AB83,,,Trigger)</f>
        <v>0.33055555555555555</v>
      </c>
      <c r="AD83" s="189">
        <f t="shared" si="13"/>
        <v>2.0998465363713192E-3</v>
      </c>
      <c r="AE83" s="189">
        <f t="shared" si="14"/>
        <v>2.1923735173989276E-3</v>
      </c>
      <c r="AF83" s="161">
        <f t="shared" si="15"/>
        <v>2.1844731519035849E-3</v>
      </c>
    </row>
    <row r="84" spans="10:32" x14ac:dyDescent="0.2">
      <c r="J84" s="170"/>
      <c r="K84" s="170"/>
      <c r="AB84" s="188">
        <f>_xll.qlCalendarAdvance(Calendar,AB83,"1d","mf",,Trigger)</f>
        <v>42117</v>
      </c>
      <c r="AC84" s="210">
        <f>_xll.qlDayCounterYearFraction(DayCounter,SettlementDate,AB84,,,Trigger)</f>
        <v>0.33333333333333331</v>
      </c>
      <c r="AD84" s="189">
        <f t="shared" si="13"/>
        <v>2.0998465363713192E-3</v>
      </c>
      <c r="AE84" s="189">
        <f t="shared" si="14"/>
        <v>2.1956780524356278E-3</v>
      </c>
      <c r="AF84" s="161">
        <f t="shared" si="15"/>
        <v>2.1878430617610716E-3</v>
      </c>
    </row>
    <row r="85" spans="10:32" x14ac:dyDescent="0.2">
      <c r="J85" s="170"/>
      <c r="K85" s="170"/>
      <c r="AB85" s="188">
        <f>_xll.qlCalendarAdvance(Calendar,AB84,"1d","mf",,Trigger)</f>
        <v>42118</v>
      </c>
      <c r="AC85" s="210">
        <f>_xll.qlDayCounterYearFraction(DayCounter,SettlementDate,AB85,,,Trigger)</f>
        <v>0.33611111111111114</v>
      </c>
      <c r="AD85" s="189">
        <f t="shared" si="13"/>
        <v>2.0998465363713192E-3</v>
      </c>
      <c r="AE85" s="189">
        <f t="shared" si="14"/>
        <v>2.1989825874723281E-3</v>
      </c>
      <c r="AF85" s="161">
        <f t="shared" si="15"/>
        <v>2.1912184195202905E-3</v>
      </c>
    </row>
    <row r="86" spans="10:32" x14ac:dyDescent="0.2">
      <c r="J86" s="170"/>
      <c r="K86" s="170"/>
      <c r="AB86" s="188">
        <f>_xll.qlCalendarAdvance(Calendar,AB85,"1d","mf",,Trigger)</f>
        <v>42121</v>
      </c>
      <c r="AC86" s="210">
        <f>_xll.qlDayCounterYearFraction(DayCounter,SettlementDate,AB86,,,Trigger)</f>
        <v>0.34444444444444444</v>
      </c>
      <c r="AD86" s="189">
        <f t="shared" si="13"/>
        <v>2.0998465363713192E-3</v>
      </c>
      <c r="AE86" s="189">
        <f t="shared" si="14"/>
        <v>2.2088961925824293E-3</v>
      </c>
      <c r="AF86" s="161">
        <f t="shared" si="15"/>
        <v>2.2013771802083413E-3</v>
      </c>
    </row>
    <row r="87" spans="10:32" x14ac:dyDescent="0.2">
      <c r="J87" s="170"/>
      <c r="K87" s="170"/>
      <c r="AB87" s="188">
        <f>_xll.qlCalendarAdvance(Calendar,AB86,"1d","mf",,Trigger)</f>
        <v>42122</v>
      </c>
      <c r="AC87" s="210">
        <f>_xll.qlDayCounterYearFraction(DayCounter,SettlementDate,AB87,,,Trigger)</f>
        <v>0.34722222222222221</v>
      </c>
      <c r="AD87" s="189">
        <f t="shared" si="13"/>
        <v>2.0998465363713192E-3</v>
      </c>
      <c r="AE87" s="189">
        <f t="shared" si="14"/>
        <v>2.2122007276191295E-3</v>
      </c>
      <c r="AF87" s="161">
        <f t="shared" si="15"/>
        <v>2.2047743295744889E-3</v>
      </c>
    </row>
    <row r="88" spans="10:32" x14ac:dyDescent="0.2">
      <c r="J88" s="170"/>
      <c r="K88" s="170"/>
      <c r="AB88" s="188">
        <f>_xll.qlCalendarAdvance(Calendar,AB87,"1d","mf",,Trigger)</f>
        <v>42123</v>
      </c>
      <c r="AC88" s="210">
        <f>_xll.qlDayCounterYearFraction(DayCounter,SettlementDate,AB88,,,Trigger)</f>
        <v>0.35</v>
      </c>
      <c r="AD88" s="189">
        <f t="shared" si="13"/>
        <v>2.0998465363713192E-3</v>
      </c>
      <c r="AE88" s="189">
        <f t="shared" si="14"/>
        <v>2.2155052626558298E-3</v>
      </c>
      <c r="AF88" s="161">
        <f t="shared" si="15"/>
        <v>2.208176926842369E-3</v>
      </c>
    </row>
    <row r="89" spans="10:32" x14ac:dyDescent="0.2">
      <c r="J89" s="170"/>
      <c r="K89" s="170"/>
      <c r="AB89" s="188">
        <f>_xll.qlCalendarAdvance(Calendar,AB88,"1d","mf",,Trigger)</f>
        <v>42124</v>
      </c>
      <c r="AC89" s="210">
        <f>_xll.qlDayCounterYearFraction(DayCounter,SettlementDate,AB89,,,Trigger)</f>
        <v>0.3527777777777778</v>
      </c>
      <c r="AD89" s="189">
        <f t="shared" si="13"/>
        <v>2.0998465363713192E-3</v>
      </c>
      <c r="AE89" s="189">
        <f t="shared" si="14"/>
        <v>2.2188097976925301E-3</v>
      </c>
      <c r="AF89" s="161">
        <f t="shared" si="15"/>
        <v>2.2115849720119817E-3</v>
      </c>
    </row>
    <row r="90" spans="10:32" x14ac:dyDescent="0.2">
      <c r="J90" s="170"/>
      <c r="K90" s="170"/>
      <c r="AB90" s="188">
        <f>_xll.qlCalendarAdvance(Calendar,AB89,"1d","mf",,Trigger)</f>
        <v>42128</v>
      </c>
      <c r="AC90" s="210">
        <f>_xll.qlDayCounterYearFraction(DayCounter,SettlementDate,AB90,,,Trigger)</f>
        <v>0.36388888888888887</v>
      </c>
      <c r="AD90" s="189">
        <f t="shared" si="13"/>
        <v>2.0998465363713192E-3</v>
      </c>
      <c r="AE90" s="189">
        <f t="shared" si="14"/>
        <v>2.2320279378393315E-3</v>
      </c>
      <c r="AF90" s="161">
        <f t="shared" si="15"/>
        <v>2.225271631707753E-3</v>
      </c>
    </row>
    <row r="91" spans="10:32" x14ac:dyDescent="0.2">
      <c r="J91" s="170"/>
      <c r="K91" s="170"/>
      <c r="AB91" s="188">
        <f>_xll.qlCalendarAdvance(Calendar,AB90,"1d","mf",,Trigger)</f>
        <v>42129</v>
      </c>
      <c r="AC91" s="210">
        <f>_xll.qlDayCounterYearFraction(DayCounter,SettlementDate,AB91,,,Trigger)</f>
        <v>0.36666666666666664</v>
      </c>
      <c r="AD91" s="189">
        <f t="shared" si="13"/>
        <v>2.0998465363713192E-3</v>
      </c>
      <c r="AE91" s="189">
        <f t="shared" si="14"/>
        <v>2.2353324728760318E-3</v>
      </c>
      <c r="AF91" s="161">
        <f t="shared" si="15"/>
        <v>2.2287069163860265E-3</v>
      </c>
    </row>
    <row r="92" spans="10:32" x14ac:dyDescent="0.2">
      <c r="J92" s="170"/>
      <c r="K92" s="170"/>
      <c r="AB92" s="188">
        <f>_xll.qlCalendarAdvance(Calendar,AB91,"1d","mf",,Trigger)</f>
        <v>42130</v>
      </c>
      <c r="AC92" s="210">
        <f>_xll.qlDayCounterYearFraction(DayCounter,SettlementDate,AB92,,,Trigger)</f>
        <v>0.36944444444444446</v>
      </c>
      <c r="AD92" s="189">
        <f t="shared" si="13"/>
        <v>2.0998465363713192E-3</v>
      </c>
      <c r="AE92" s="189">
        <f t="shared" si="14"/>
        <v>2.238637007912732E-3</v>
      </c>
      <c r="AF92" s="161">
        <f t="shared" si="15"/>
        <v>2.2321476489660323E-3</v>
      </c>
    </row>
    <row r="93" spans="10:32" x14ac:dyDescent="0.2">
      <c r="J93" s="170"/>
      <c r="K93" s="170"/>
      <c r="AB93" s="188">
        <f>_xll.qlCalendarAdvance(Calendar,AB92,"1d","mf",,Trigger)</f>
        <v>42131</v>
      </c>
      <c r="AC93" s="210">
        <f>_xll.qlDayCounterYearFraction(DayCounter,SettlementDate,AB93,,,Trigger)</f>
        <v>0.37222222222222223</v>
      </c>
      <c r="AD93" s="189">
        <f t="shared" si="13"/>
        <v>2.0998465363713192E-3</v>
      </c>
      <c r="AE93" s="189">
        <f t="shared" si="14"/>
        <v>2.2419415429494323E-3</v>
      </c>
      <c r="AF93" s="161">
        <f t="shared" si="15"/>
        <v>2.2355938294477701E-3</v>
      </c>
    </row>
    <row r="94" spans="10:32" x14ac:dyDescent="0.2">
      <c r="J94" s="170"/>
      <c r="K94" s="170"/>
      <c r="AB94" s="188">
        <f>_xll.qlCalendarAdvance(Calendar,AB93,"1d","mf",,Trigger)</f>
        <v>42132</v>
      </c>
      <c r="AC94" s="210">
        <f>_xll.qlDayCounterYearFraction(DayCounter,SettlementDate,AB94,,,Trigger)</f>
        <v>0.375</v>
      </c>
      <c r="AD94" s="189">
        <f t="shared" si="13"/>
        <v>2.0998465363713192E-3</v>
      </c>
      <c r="AE94" s="189">
        <f t="shared" si="14"/>
        <v>2.2452460779861325E-3</v>
      </c>
      <c r="AF94" s="161">
        <f t="shared" si="15"/>
        <v>2.2390454578312402E-3</v>
      </c>
    </row>
    <row r="95" spans="10:32" x14ac:dyDescent="0.2">
      <c r="J95" s="170"/>
      <c r="K95" s="170"/>
      <c r="AB95" s="188">
        <f>_xll.qlCalendarAdvance(Calendar,AB94,"1d","mf",,Trigger)</f>
        <v>42135</v>
      </c>
      <c r="AC95" s="210">
        <f>_xll.qlDayCounterYearFraction(DayCounter,SettlementDate,AB95,,,Trigger)</f>
        <v>0.38333333333333336</v>
      </c>
      <c r="AD95" s="189">
        <f t="shared" si="13"/>
        <v>2.0998465363713192E-3</v>
      </c>
      <c r="AE95" s="189">
        <f t="shared" si="14"/>
        <v>2.2551596830962333E-3</v>
      </c>
      <c r="AF95" s="161">
        <f t="shared" si="15"/>
        <v>2.2494330303920438E-3</v>
      </c>
    </row>
    <row r="96" spans="10:32" x14ac:dyDescent="0.2">
      <c r="J96" s="170"/>
      <c r="K96" s="170"/>
      <c r="AB96" s="188">
        <f>_xll.qlCalendarAdvance(Calendar,AB95,"1d","mf",,Trigger)</f>
        <v>42136</v>
      </c>
      <c r="AC96" s="210">
        <f>_xll.qlDayCounterYearFraction(DayCounter,SettlementDate,AB96,,,Trigger)</f>
        <v>0.38611111111111113</v>
      </c>
      <c r="AD96" s="189">
        <f t="shared" si="13"/>
        <v>2.0998465363713192E-3</v>
      </c>
      <c r="AE96" s="189">
        <f t="shared" si="14"/>
        <v>2.2584642181329335E-3</v>
      </c>
      <c r="AF96" s="161">
        <f t="shared" si="15"/>
        <v>2.252906450382443E-3</v>
      </c>
    </row>
    <row r="97" spans="10:32" x14ac:dyDescent="0.2">
      <c r="J97" s="170"/>
      <c r="K97" s="170"/>
      <c r="AB97" s="188">
        <f>_xll.qlCalendarAdvance(Calendar,AB96,"1d","mf",,Trigger)</f>
        <v>42137</v>
      </c>
      <c r="AC97" s="210">
        <f>_xll.qlDayCounterYearFraction(DayCounter,SettlementDate,AB97,,,Trigger)</f>
        <v>0.3888888888888889</v>
      </c>
      <c r="AD97" s="189">
        <f t="shared" si="13"/>
        <v>2.0998465363713192E-3</v>
      </c>
      <c r="AE97" s="189">
        <f t="shared" si="14"/>
        <v>2.2617687531696342E-3</v>
      </c>
      <c r="AF97" s="161">
        <f t="shared" si="15"/>
        <v>2.2563853182745739E-3</v>
      </c>
    </row>
    <row r="98" spans="10:32" x14ac:dyDescent="0.2">
      <c r="J98" s="170"/>
      <c r="K98" s="170"/>
      <c r="AB98" s="188">
        <f>_xll.qlCalendarAdvance(Calendar,AB97,"1d","mf",,Trigger)</f>
        <v>42138</v>
      </c>
      <c r="AC98" s="210">
        <f>_xll.qlDayCounterYearFraction(DayCounter,SettlementDate,AB98,,,Trigger)</f>
        <v>0.39166666666666666</v>
      </c>
      <c r="AD98" s="189">
        <f t="shared" si="13"/>
        <v>2.0998465363713192E-3</v>
      </c>
      <c r="AE98" s="189">
        <f t="shared" si="14"/>
        <v>2.2650732882063345E-3</v>
      </c>
      <c r="AF98" s="161">
        <f t="shared" si="15"/>
        <v>2.2598696340684369E-3</v>
      </c>
    </row>
    <row r="99" spans="10:32" x14ac:dyDescent="0.2">
      <c r="J99" s="170"/>
      <c r="K99" s="170"/>
      <c r="AB99" s="188">
        <f>_xll.qlCalendarAdvance(Calendar,AB98,"1d","mf",,Trigger)</f>
        <v>42139</v>
      </c>
      <c r="AC99" s="210">
        <f>_xll.qlDayCounterYearFraction(DayCounter,SettlementDate,AB99,,,Trigger)</f>
        <v>0.39444444444444443</v>
      </c>
      <c r="AD99" s="189">
        <f t="shared" ref="AD99:AD132" si="16">$S$13</f>
        <v>2.0998465363713192E-3</v>
      </c>
      <c r="AE99" s="189">
        <f t="shared" ref="AE99:AE132" si="17">$S$10+$S$9*AC99</f>
        <v>2.2683778232430347E-3</v>
      </c>
      <c r="AF99" s="161">
        <f t="shared" ref="AF99:AF132" si="18">($S$5+$S$4*AC99+$S$3*AC99^2)</f>
        <v>2.263359397764033E-3</v>
      </c>
    </row>
    <row r="100" spans="10:32" x14ac:dyDescent="0.2">
      <c r="J100" s="170"/>
      <c r="K100" s="170"/>
      <c r="AB100" s="188">
        <f>_xll.qlCalendarAdvance(Calendar,AB99,"1d","mf",,Trigger)</f>
        <v>42142</v>
      </c>
      <c r="AC100" s="210">
        <f>_xll.qlDayCounterYearFraction(DayCounter,SettlementDate,AB100,,,Trigger)</f>
        <v>0.40277777777777779</v>
      </c>
      <c r="AD100" s="189">
        <f t="shared" si="16"/>
        <v>2.0998465363713192E-3</v>
      </c>
      <c r="AE100" s="189">
        <f t="shared" si="17"/>
        <v>2.2782914283531355E-3</v>
      </c>
      <c r="AF100" s="161">
        <f t="shared" si="18"/>
        <v>2.273861376261213E-3</v>
      </c>
    </row>
    <row r="101" spans="10:32" x14ac:dyDescent="0.2">
      <c r="J101" s="170"/>
      <c r="K101" s="170"/>
      <c r="AB101" s="188">
        <f>_xll.qlCalendarAdvance(Calendar,AB100,"1d","mf",,Trigger)</f>
        <v>42143</v>
      </c>
      <c r="AC101" s="210">
        <f>_xll.qlDayCounterYearFraction(DayCounter,SettlementDate,AB101,,,Trigger)</f>
        <v>0.40555555555555556</v>
      </c>
      <c r="AD101" s="189">
        <f t="shared" si="16"/>
        <v>2.0998465363713192E-3</v>
      </c>
      <c r="AE101" s="189">
        <f t="shared" si="17"/>
        <v>2.2815959633898358E-3</v>
      </c>
      <c r="AF101" s="161">
        <f t="shared" si="18"/>
        <v>2.2773729315637373E-3</v>
      </c>
    </row>
    <row r="102" spans="10:32" x14ac:dyDescent="0.2">
      <c r="J102" s="170"/>
      <c r="K102" s="170"/>
      <c r="AB102" s="188">
        <f>_xll.qlCalendarAdvance(Calendar,AB101,"1d","mf",,Trigger)</f>
        <v>42144</v>
      </c>
      <c r="AC102" s="210">
        <f>_xll.qlDayCounterYearFraction(DayCounter,SettlementDate,AB102,,,Trigger)</f>
        <v>0.40833333333333333</v>
      </c>
      <c r="AD102" s="189">
        <f t="shared" si="16"/>
        <v>2.0998465363713192E-3</v>
      </c>
      <c r="AE102" s="189">
        <f t="shared" si="17"/>
        <v>2.284900498426536E-3</v>
      </c>
      <c r="AF102" s="161">
        <f t="shared" si="18"/>
        <v>2.2808899347679943E-3</v>
      </c>
    </row>
    <row r="103" spans="10:32" x14ac:dyDescent="0.2">
      <c r="J103" s="170"/>
      <c r="K103" s="170"/>
      <c r="AB103" s="188">
        <f>_xll.qlCalendarAdvance(Calendar,AB102,"1d","mf",,Trigger)</f>
        <v>42145</v>
      </c>
      <c r="AC103" s="210">
        <f>_xll.qlDayCounterYearFraction(DayCounter,SettlementDate,AB103,,,Trigger)</f>
        <v>0.41111111111111109</v>
      </c>
      <c r="AD103" s="189">
        <f t="shared" si="16"/>
        <v>2.0998465363713192E-3</v>
      </c>
      <c r="AE103" s="189">
        <f t="shared" si="17"/>
        <v>2.2882050334632363E-3</v>
      </c>
      <c r="AF103" s="161">
        <f t="shared" si="18"/>
        <v>2.2844123858739829E-3</v>
      </c>
    </row>
    <row r="104" spans="10:32" x14ac:dyDescent="0.2">
      <c r="J104" s="170"/>
      <c r="K104" s="170"/>
      <c r="AB104" s="188">
        <f>_xll.qlCalendarAdvance(Calendar,AB103,"1d","mf",,Trigger)</f>
        <v>42146</v>
      </c>
      <c r="AC104" s="210">
        <f>_xll.qlDayCounterYearFraction(DayCounter,SettlementDate,AB104,,,Trigger)</f>
        <v>0.41388888888888886</v>
      </c>
      <c r="AD104" s="189">
        <f t="shared" si="16"/>
        <v>2.0998465363713192E-3</v>
      </c>
      <c r="AE104" s="189">
        <f t="shared" si="17"/>
        <v>2.291509568499937E-3</v>
      </c>
      <c r="AF104" s="161">
        <f t="shared" si="18"/>
        <v>2.2879402848817046E-3</v>
      </c>
    </row>
    <row r="105" spans="10:32" x14ac:dyDescent="0.2">
      <c r="J105" s="170"/>
      <c r="K105" s="170"/>
      <c r="AB105" s="188">
        <f>_xll.qlCalendarAdvance(Calendar,AB104,"1d","mf",,Trigger)</f>
        <v>42149</v>
      </c>
      <c r="AC105" s="210">
        <f>_xll.qlDayCounterYearFraction(DayCounter,SettlementDate,AB105,,,Trigger)</f>
        <v>0.42222222222222222</v>
      </c>
      <c r="AD105" s="189">
        <f t="shared" si="16"/>
        <v>2.0998465363713192E-3</v>
      </c>
      <c r="AE105" s="189">
        <f t="shared" si="17"/>
        <v>2.3014231736100377E-3</v>
      </c>
      <c r="AF105" s="161">
        <f t="shared" si="18"/>
        <v>2.298556669315261E-3</v>
      </c>
    </row>
    <row r="106" spans="10:32" x14ac:dyDescent="0.2">
      <c r="J106" s="170"/>
      <c r="K106" s="170"/>
      <c r="AB106" s="188">
        <f>_xll.qlCalendarAdvance(Calendar,AB105,"1d","mf",,Trigger)</f>
        <v>42150</v>
      </c>
      <c r="AC106" s="210">
        <f>_xll.qlDayCounterYearFraction(DayCounter,SettlementDate,AB106,,,Trigger)</f>
        <v>0.42499999999999999</v>
      </c>
      <c r="AD106" s="189">
        <f t="shared" si="16"/>
        <v>2.0998465363713192E-3</v>
      </c>
      <c r="AE106" s="189">
        <f t="shared" si="17"/>
        <v>2.304727708646738E-3</v>
      </c>
      <c r="AF106" s="161">
        <f t="shared" si="18"/>
        <v>2.3021063599299109E-3</v>
      </c>
    </row>
    <row r="107" spans="10:32" x14ac:dyDescent="0.2">
      <c r="J107" s="170"/>
      <c r="K107" s="170"/>
      <c r="AB107" s="188">
        <f>_xll.qlCalendarAdvance(Calendar,AB106,"1d","mf",,Trigger)</f>
        <v>42151</v>
      </c>
      <c r="AC107" s="210">
        <f>_xll.qlDayCounterYearFraction(DayCounter,SettlementDate,AB107,,,Trigger)</f>
        <v>0.42777777777777776</v>
      </c>
      <c r="AD107" s="189">
        <f t="shared" si="16"/>
        <v>2.0998465363713192E-3</v>
      </c>
      <c r="AE107" s="189">
        <f t="shared" si="17"/>
        <v>2.3080322436834382E-3</v>
      </c>
      <c r="AF107" s="161">
        <f t="shared" si="18"/>
        <v>2.3056614984462934E-3</v>
      </c>
    </row>
    <row r="108" spans="10:32" x14ac:dyDescent="0.2">
      <c r="J108" s="170"/>
      <c r="K108" s="170"/>
      <c r="AB108" s="188">
        <f>_xll.qlCalendarAdvance(Calendar,AB107,"1d","mf",,Trigger)</f>
        <v>42152</v>
      </c>
      <c r="AC108" s="210">
        <f>_xll.qlDayCounterYearFraction(DayCounter,SettlementDate,AB108,,,Trigger)</f>
        <v>0.43055555555555558</v>
      </c>
      <c r="AD108" s="189">
        <f t="shared" si="16"/>
        <v>2.0998465363713192E-3</v>
      </c>
      <c r="AE108" s="189">
        <f t="shared" si="17"/>
        <v>2.3113367787201385E-3</v>
      </c>
      <c r="AF108" s="161">
        <f t="shared" si="18"/>
        <v>2.3092220848644077E-3</v>
      </c>
    </row>
    <row r="109" spans="10:32" x14ac:dyDescent="0.2">
      <c r="J109" s="170"/>
      <c r="K109" s="170"/>
      <c r="AB109" s="188">
        <f>_xll.qlCalendarAdvance(Calendar,AB108,"1d","mf",,Trigger)</f>
        <v>42153</v>
      </c>
      <c r="AC109" s="210">
        <f>_xll.qlDayCounterYearFraction(DayCounter,SettlementDate,AB109,,,Trigger)</f>
        <v>0.43333333333333335</v>
      </c>
      <c r="AD109" s="189">
        <f t="shared" si="16"/>
        <v>2.0998465363713192E-3</v>
      </c>
      <c r="AE109" s="189">
        <f t="shared" si="17"/>
        <v>2.3146413137568387E-3</v>
      </c>
      <c r="AF109" s="161">
        <f t="shared" si="18"/>
        <v>2.3127881191842541E-3</v>
      </c>
    </row>
    <row r="110" spans="10:32" x14ac:dyDescent="0.2">
      <c r="J110" s="170"/>
      <c r="K110" s="170"/>
      <c r="AB110" s="188">
        <f>_xll.qlCalendarAdvance(Calendar,AB109,"1d","mf",,Trigger)</f>
        <v>42156</v>
      </c>
      <c r="AC110" s="210">
        <f>_xll.qlDayCounterYearFraction(DayCounter,SettlementDate,AB110,,,Trigger)</f>
        <v>0.44166666666666665</v>
      </c>
      <c r="AD110" s="189">
        <f t="shared" si="16"/>
        <v>2.0998465363713192E-3</v>
      </c>
      <c r="AE110" s="189">
        <f t="shared" si="17"/>
        <v>2.3245549188669399E-3</v>
      </c>
      <c r="AF110" s="161">
        <f t="shared" si="18"/>
        <v>2.3235189095541877E-3</v>
      </c>
    </row>
    <row r="111" spans="10:32" x14ac:dyDescent="0.2">
      <c r="J111" s="170"/>
      <c r="K111" s="170"/>
      <c r="AB111" s="188">
        <f>_xll.qlCalendarAdvance(Calendar,AB110,"1d","mf",,Trigger)</f>
        <v>42157</v>
      </c>
      <c r="AC111" s="210">
        <f>_xll.qlDayCounterYearFraction(DayCounter,SettlementDate,AB111,,,Trigger)</f>
        <v>0.44444444444444442</v>
      </c>
      <c r="AD111" s="189">
        <f t="shared" si="16"/>
        <v>2.0998465363713192E-3</v>
      </c>
      <c r="AE111" s="189">
        <f t="shared" si="17"/>
        <v>2.3278594539036402E-3</v>
      </c>
      <c r="AF111" s="161">
        <f t="shared" si="18"/>
        <v>2.3271067354809633E-3</v>
      </c>
    </row>
    <row r="112" spans="10:32" x14ac:dyDescent="0.2">
      <c r="J112" s="170"/>
      <c r="K112" s="170"/>
      <c r="AB112" s="188">
        <f>_xll.qlCalendarAdvance(Calendar,AB111,"1d","mf",,Trigger)</f>
        <v>42158</v>
      </c>
      <c r="AC112" s="210">
        <f>_xll.qlDayCounterYearFraction(DayCounter,SettlementDate,AB112,,,Trigger)</f>
        <v>0.44722222222222224</v>
      </c>
      <c r="AD112" s="189">
        <f t="shared" si="16"/>
        <v>2.0998465363713192E-3</v>
      </c>
      <c r="AE112" s="189">
        <f t="shared" si="17"/>
        <v>2.3311639889403405E-3</v>
      </c>
      <c r="AF112" s="161">
        <f t="shared" si="18"/>
        <v>2.3307000093094705E-3</v>
      </c>
    </row>
    <row r="113" spans="10:32" x14ac:dyDescent="0.2">
      <c r="J113" s="157"/>
      <c r="K113" s="170"/>
      <c r="AB113" s="188">
        <f>_xll.qlCalendarAdvance(Calendar,AB112,"1d","mf",,Trigger)</f>
        <v>42159</v>
      </c>
      <c r="AC113" s="210">
        <f>_xll.qlDayCounterYearFraction(DayCounter,SettlementDate,AB113,,,Trigger)</f>
        <v>0.45</v>
      </c>
      <c r="AD113" s="189">
        <f t="shared" si="16"/>
        <v>2.0998465363713192E-3</v>
      </c>
      <c r="AE113" s="189">
        <f t="shared" si="17"/>
        <v>2.3344685239770407E-3</v>
      </c>
      <c r="AF113" s="161">
        <f t="shared" si="18"/>
        <v>2.3342987310397108E-3</v>
      </c>
    </row>
    <row r="114" spans="10:32" x14ac:dyDescent="0.2">
      <c r="J114" s="157"/>
      <c r="K114" s="170"/>
      <c r="AB114" s="188">
        <f>_xll.qlCalendarAdvance(Calendar,AB113,"1d","mf",,Trigger)</f>
        <v>42160</v>
      </c>
      <c r="AC114" s="210">
        <f>_xll.qlDayCounterYearFraction(DayCounter,SettlementDate,AB114,,,Trigger)</f>
        <v>0.45277777777777778</v>
      </c>
      <c r="AD114" s="189">
        <f t="shared" si="16"/>
        <v>2.0998465363713192E-3</v>
      </c>
      <c r="AE114" s="189">
        <f t="shared" si="17"/>
        <v>2.337773059013741E-3</v>
      </c>
      <c r="AF114" s="161">
        <f t="shared" si="18"/>
        <v>2.3379029006716828E-3</v>
      </c>
    </row>
    <row r="115" spans="10:32" x14ac:dyDescent="0.2">
      <c r="J115" s="157"/>
      <c r="K115" s="170"/>
      <c r="AB115" s="188">
        <f>_xll.qlCalendarAdvance(Calendar,AB114,"1d","mf",,Trigger)</f>
        <v>42163</v>
      </c>
      <c r="AC115" s="210">
        <f>_xll.qlDayCounterYearFraction(DayCounter,SettlementDate,AB115,,,Trigger)</f>
        <v>0.46111111111111114</v>
      </c>
      <c r="AD115" s="189">
        <f t="shared" si="16"/>
        <v>2.0998465363713192E-3</v>
      </c>
      <c r="AE115" s="189">
        <f t="shared" si="17"/>
        <v>2.3476866641238417E-3</v>
      </c>
      <c r="AF115" s="161">
        <f t="shared" si="18"/>
        <v>2.3487480969779928E-3</v>
      </c>
    </row>
    <row r="116" spans="10:32" x14ac:dyDescent="0.2">
      <c r="J116" s="157"/>
      <c r="K116" s="170"/>
      <c r="AB116" s="188">
        <f>_xll.qlCalendarAdvance(Calendar,AB115,"1d","mf",,Trigger)</f>
        <v>42164</v>
      </c>
      <c r="AC116" s="210">
        <f>_xll.qlDayCounterYearFraction(DayCounter,SettlementDate,AB116,,,Trigger)</f>
        <v>0.46388888888888891</v>
      </c>
      <c r="AD116" s="189">
        <f t="shared" si="16"/>
        <v>2.0998465363713192E-3</v>
      </c>
      <c r="AE116" s="189">
        <f t="shared" si="17"/>
        <v>2.3509911991605424E-3</v>
      </c>
      <c r="AF116" s="161">
        <f t="shared" si="18"/>
        <v>2.3523740582168939E-3</v>
      </c>
    </row>
    <row r="117" spans="10:32" x14ac:dyDescent="0.2">
      <c r="J117" s="157"/>
      <c r="K117" s="170"/>
      <c r="AB117" s="188">
        <f>_xll.qlCalendarAdvance(Calendar,AB116,"1d","mf",,Trigger)</f>
        <v>42165</v>
      </c>
      <c r="AC117" s="210">
        <f>_xll.qlDayCounterYearFraction(DayCounter,SettlementDate,AB117,,,Trigger)</f>
        <v>0.46666666666666667</v>
      </c>
      <c r="AD117" s="189">
        <f t="shared" si="16"/>
        <v>2.0998465363713192E-3</v>
      </c>
      <c r="AE117" s="189">
        <f t="shared" si="17"/>
        <v>2.3542957341972427E-3</v>
      </c>
      <c r="AF117" s="161">
        <f t="shared" si="18"/>
        <v>2.3560054673575272E-3</v>
      </c>
    </row>
    <row r="118" spans="10:32" x14ac:dyDescent="0.2">
      <c r="J118" s="157"/>
      <c r="K118" s="170"/>
      <c r="AB118" s="188">
        <f>_xll.qlCalendarAdvance(Calendar,AB117,"1d","mf",,Trigger)</f>
        <v>42166</v>
      </c>
      <c r="AC118" s="210">
        <f>_xll.qlDayCounterYearFraction(DayCounter,SettlementDate,AB118,,,Trigger)</f>
        <v>0.46944444444444444</v>
      </c>
      <c r="AD118" s="189">
        <f t="shared" si="16"/>
        <v>2.0998465363713192E-3</v>
      </c>
      <c r="AE118" s="189">
        <f t="shared" si="17"/>
        <v>2.3576002692339429E-3</v>
      </c>
      <c r="AF118" s="161">
        <f t="shared" si="18"/>
        <v>2.3596423243998927E-3</v>
      </c>
    </row>
    <row r="119" spans="10:32" x14ac:dyDescent="0.2">
      <c r="J119" s="157"/>
      <c r="K119" s="157"/>
      <c r="AB119" s="188">
        <f>_xll.qlCalendarAdvance(Calendar,AB118,"1d","mf",,Trigger)</f>
        <v>42167</v>
      </c>
      <c r="AC119" s="210">
        <f>_xll.qlDayCounterYearFraction(DayCounter,SettlementDate,AB119,,,Trigger)</f>
        <v>0.47222222222222221</v>
      </c>
      <c r="AD119" s="189">
        <f t="shared" si="16"/>
        <v>2.0998465363713192E-3</v>
      </c>
      <c r="AE119" s="189">
        <f t="shared" si="17"/>
        <v>2.3609048042706432E-3</v>
      </c>
      <c r="AF119" s="161">
        <f t="shared" si="18"/>
        <v>2.3632846293439903E-3</v>
      </c>
    </row>
    <row r="120" spans="10:32" x14ac:dyDescent="0.2">
      <c r="J120" s="157"/>
      <c r="K120" s="157"/>
      <c r="AB120" s="188">
        <f>_xll.qlCalendarAdvance(Calendar,AB119,"1d","mf",,Trigger)</f>
        <v>42170</v>
      </c>
      <c r="AC120" s="210">
        <f>_xll.qlDayCounterYearFraction(DayCounter,SettlementDate,AB120,,,Trigger)</f>
        <v>0.48055555555555557</v>
      </c>
      <c r="AD120" s="189">
        <f t="shared" si="16"/>
        <v>2.0998465363713192E-3</v>
      </c>
      <c r="AE120" s="189">
        <f t="shared" si="17"/>
        <v>2.3708184093807439E-3</v>
      </c>
      <c r="AF120" s="161">
        <f t="shared" si="18"/>
        <v>2.3742442315866767E-3</v>
      </c>
    </row>
    <row r="121" spans="10:32" x14ac:dyDescent="0.2">
      <c r="J121" s="157"/>
      <c r="K121" s="157"/>
      <c r="AB121" s="188">
        <f>_xll.qlCalendarAdvance(Calendar,AB120,"1d","mf",,Trigger)</f>
        <v>42171</v>
      </c>
      <c r="AC121" s="210">
        <f>_xll.qlDayCounterYearFraction(DayCounter,SettlementDate,AB121,,,Trigger)</f>
        <v>0.48333333333333334</v>
      </c>
      <c r="AD121" s="189">
        <f t="shared" si="16"/>
        <v>2.0998465363713192E-3</v>
      </c>
      <c r="AE121" s="189">
        <f t="shared" si="17"/>
        <v>2.3741229444174442E-3</v>
      </c>
      <c r="AF121" s="161">
        <f t="shared" si="18"/>
        <v>2.3779083281377034E-3</v>
      </c>
    </row>
    <row r="122" spans="10:32" x14ac:dyDescent="0.2">
      <c r="J122" s="157"/>
      <c r="K122" s="157"/>
      <c r="AB122" s="188">
        <f>_xll.qlCalendarAdvance(Calendar,AB121,"1d","mf",,Trigger)</f>
        <v>42172</v>
      </c>
      <c r="AC122" s="210">
        <f>_xll.qlDayCounterYearFraction(DayCounter,SettlementDate,AB122,,,Trigger)</f>
        <v>0.4861111111111111</v>
      </c>
      <c r="AD122" s="189">
        <f t="shared" si="16"/>
        <v>2.0998465363713192E-3</v>
      </c>
      <c r="AE122" s="189">
        <f t="shared" si="17"/>
        <v>2.3774274794541445E-3</v>
      </c>
      <c r="AF122" s="161">
        <f t="shared" si="18"/>
        <v>2.3815778725904623E-3</v>
      </c>
    </row>
    <row r="123" spans="10:32" x14ac:dyDescent="0.2">
      <c r="J123" s="157"/>
      <c r="K123" s="157"/>
      <c r="AB123" s="188">
        <f>_xll.qlCalendarAdvance(Calendar,AB122,"1d","mf",,Trigger)</f>
        <v>42173</v>
      </c>
      <c r="AC123" s="210">
        <f>_xll.qlDayCounterYearFraction(DayCounter,SettlementDate,AB123,,,Trigger)</f>
        <v>0.48888888888888887</v>
      </c>
      <c r="AD123" s="189">
        <f t="shared" si="16"/>
        <v>2.0998465363713192E-3</v>
      </c>
      <c r="AE123" s="189">
        <f t="shared" si="17"/>
        <v>2.3807320144908451E-3</v>
      </c>
      <c r="AF123" s="161">
        <f t="shared" si="18"/>
        <v>2.3852528649449529E-3</v>
      </c>
    </row>
    <row r="124" spans="10:32" x14ac:dyDescent="0.2">
      <c r="J124" s="157"/>
      <c r="K124" s="157"/>
      <c r="AB124" s="188">
        <f>_xll.qlCalendarAdvance(Calendar,AB123,"1d","mf",,Trigger)</f>
        <v>42174</v>
      </c>
      <c r="AC124" s="210">
        <f>_xll.qlDayCounterYearFraction(DayCounter,SettlementDate,AB124,,,Trigger)</f>
        <v>0.49166666666666664</v>
      </c>
      <c r="AD124" s="189">
        <f t="shared" si="16"/>
        <v>2.0998465363713192E-3</v>
      </c>
      <c r="AE124" s="189">
        <f t="shared" si="17"/>
        <v>2.384036549527545E-3</v>
      </c>
      <c r="AF124" s="161">
        <f t="shared" si="18"/>
        <v>2.3889333052011766E-3</v>
      </c>
    </row>
    <row r="125" spans="10:32" x14ac:dyDescent="0.2">
      <c r="J125" s="157"/>
      <c r="K125" s="157"/>
      <c r="AB125" s="188">
        <f>_xll.qlCalendarAdvance(Calendar,AB124,"1d","mf",,Trigger)</f>
        <v>42177</v>
      </c>
      <c r="AC125" s="210">
        <f>_xll.qlDayCounterYearFraction(DayCounter,SettlementDate,AB125,,,Trigger)</f>
        <v>0.5</v>
      </c>
      <c r="AD125" s="189">
        <f t="shared" si="16"/>
        <v>2.0998465363713192E-3</v>
      </c>
      <c r="AE125" s="189">
        <f t="shared" si="17"/>
        <v>2.3939501546376462E-3</v>
      </c>
      <c r="AF125" s="161">
        <f t="shared" si="18"/>
        <v>2.4000073133802393E-3</v>
      </c>
    </row>
    <row r="126" spans="10:32" x14ac:dyDescent="0.2">
      <c r="J126" s="157"/>
      <c r="K126" s="157"/>
      <c r="AB126" s="188">
        <f>_xll.qlCalendarAdvance(Calendar,AB125,"1d","mf",,Trigger)</f>
        <v>42178</v>
      </c>
      <c r="AC126" s="210">
        <f>_xll.qlDayCounterYearFraction(DayCounter,SettlementDate,AB126,,,Trigger)</f>
        <v>0.50277777777777777</v>
      </c>
      <c r="AD126" s="189">
        <f t="shared" si="16"/>
        <v>2.0998465363713192E-3</v>
      </c>
      <c r="AE126" s="189">
        <f t="shared" si="17"/>
        <v>2.3972546896743464E-3</v>
      </c>
      <c r="AF126" s="161">
        <f t="shared" si="18"/>
        <v>2.4037095452433912E-3</v>
      </c>
    </row>
    <row r="127" spans="10:32" x14ac:dyDescent="0.2">
      <c r="J127" s="157"/>
      <c r="K127" s="157"/>
      <c r="AB127" s="188">
        <f>_xll.qlCalendarAdvance(Calendar,AB126,"1d","mf",,Trigger)</f>
        <v>42179</v>
      </c>
      <c r="AC127" s="210">
        <f>_xll.qlDayCounterYearFraction(DayCounter,SettlementDate,AB127,,,Trigger)</f>
        <v>0.50555555555555554</v>
      </c>
      <c r="AD127" s="189">
        <f t="shared" si="16"/>
        <v>2.0998465363713192E-3</v>
      </c>
      <c r="AE127" s="189">
        <f t="shared" si="17"/>
        <v>2.4005592247110467E-3</v>
      </c>
      <c r="AF127" s="161">
        <f t="shared" si="18"/>
        <v>2.4074172250082757E-3</v>
      </c>
    </row>
    <row r="128" spans="10:32" x14ac:dyDescent="0.2">
      <c r="J128" s="157"/>
      <c r="K128" s="157"/>
      <c r="AB128" s="188">
        <f>_xll.qlCalendarAdvance(Calendar,AB127,"1d","mf",,Trigger)</f>
        <v>42180</v>
      </c>
      <c r="AC128" s="210">
        <f>_xll.qlDayCounterYearFraction(DayCounter,SettlementDate,AB128,,,Trigger)</f>
        <v>0.5083333333333333</v>
      </c>
      <c r="AD128" s="189">
        <f t="shared" si="16"/>
        <v>2.0998465363713192E-3</v>
      </c>
      <c r="AE128" s="189">
        <f t="shared" si="17"/>
        <v>2.4038637597477469E-3</v>
      </c>
      <c r="AF128" s="161">
        <f t="shared" si="18"/>
        <v>2.4111303526748919E-3</v>
      </c>
    </row>
    <row r="129" spans="11:32" x14ac:dyDescent="0.2">
      <c r="K129" s="157"/>
      <c r="AB129" s="188">
        <f>_xll.qlCalendarAdvance(Calendar,AB128,"1d","mf",,Trigger)</f>
        <v>42181</v>
      </c>
      <c r="AC129" s="210">
        <f>_xll.qlDayCounterYearFraction(DayCounter,SettlementDate,AB129,,,Trigger)</f>
        <v>0.51111111111111107</v>
      </c>
      <c r="AD129" s="189">
        <f t="shared" si="16"/>
        <v>2.0998465363713192E-3</v>
      </c>
      <c r="AE129" s="189">
        <f t="shared" si="17"/>
        <v>2.4071682947844472E-3</v>
      </c>
      <c r="AF129" s="161">
        <f t="shared" si="18"/>
        <v>2.4148489282432412E-3</v>
      </c>
    </row>
    <row r="130" spans="11:32" x14ac:dyDescent="0.2">
      <c r="K130" s="157"/>
      <c r="AB130" s="188">
        <f>_xll.qlCalendarAdvance(Calendar,AB129,"1d","mf",,Trigger)</f>
        <v>42184</v>
      </c>
      <c r="AC130" s="210">
        <f>_xll.qlDayCounterYearFraction(DayCounter,SettlementDate,AB130,,,Trigger)</f>
        <v>0.51944444444444449</v>
      </c>
      <c r="AD130" s="189">
        <f t="shared" si="16"/>
        <v>2.0998465363713192E-3</v>
      </c>
      <c r="AE130" s="189">
        <f t="shared" si="17"/>
        <v>2.4170818998945484E-3</v>
      </c>
      <c r="AF130" s="161">
        <f t="shared" si="18"/>
        <v>2.4260373423586807E-3</v>
      </c>
    </row>
    <row r="131" spans="11:32" x14ac:dyDescent="0.2">
      <c r="K131" s="157"/>
      <c r="AB131" s="188">
        <f>_xll.qlCalendarAdvance(Calendar,AB130,"1d","mf",,Trigger)</f>
        <v>42185</v>
      </c>
      <c r="AC131" s="210">
        <f>_xll.qlDayCounterYearFraction(DayCounter,SettlementDate,AB131,,,Trigger)</f>
        <v>0.52222222222222225</v>
      </c>
      <c r="AD131" s="189">
        <f t="shared" si="16"/>
        <v>2.0998465363713192E-3</v>
      </c>
      <c r="AE131" s="189">
        <f t="shared" si="17"/>
        <v>2.4203864349312486E-3</v>
      </c>
      <c r="AF131" s="161">
        <f t="shared" si="18"/>
        <v>2.4297777095339582E-3</v>
      </c>
    </row>
    <row r="132" spans="11:32" ht="12" thickBot="1" x14ac:dyDescent="0.25">
      <c r="K132" s="157"/>
      <c r="AB132" s="190">
        <f>_xll.qlCalendarAdvance(Calendar,AB131,"1d","mf",,Trigger)</f>
        <v>42186</v>
      </c>
      <c r="AC132" s="211">
        <f>_xll.qlDayCounterYearFraction(DayCounter,SettlementDate,AB132,,,Trigger)</f>
        <v>0.52500000000000002</v>
      </c>
      <c r="AD132" s="191">
        <f t="shared" si="16"/>
        <v>2.0998465363713192E-3</v>
      </c>
      <c r="AE132" s="191">
        <f t="shared" si="17"/>
        <v>2.4236909699679489E-3</v>
      </c>
      <c r="AF132" s="164">
        <f t="shared" si="18"/>
        <v>2.4335235246109683E-3</v>
      </c>
    </row>
    <row r="133" spans="11:32" x14ac:dyDescent="0.2">
      <c r="K133" s="157"/>
    </row>
    <row r="134" spans="11:32" x14ac:dyDescent="0.2">
      <c r="K134" s="15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150</v>
      </c>
      <c r="G2" s="166" t="s">
        <v>154</v>
      </c>
      <c r="H2" s="166" t="s">
        <v>155</v>
      </c>
      <c r="I2" s="166" t="s">
        <v>115</v>
      </c>
      <c r="J2" s="180" t="s">
        <v>116</v>
      </c>
      <c r="K2" s="166" t="s">
        <v>117</v>
      </c>
      <c r="L2" s="167" t="s">
        <v>125</v>
      </c>
      <c r="S2" s="206" t="s">
        <v>113</v>
      </c>
      <c r="W2" s="452" t="s">
        <v>112</v>
      </c>
      <c r="X2" s="452"/>
      <c r="Y2" s="452"/>
      <c r="AB2" s="165" t="s">
        <v>93</v>
      </c>
      <c r="AC2" s="165" t="s">
        <v>146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32" t="str">
        <f>$D$10&amp;"LastFixing"&amp;QuoteSuffix</f>
        <v>Euribor1YLastFixing_Quote</v>
      </c>
      <c r="D3" s="333">
        <f>_xll.qlCalendarAdvance(Calendar,_xll.qlLastFixingQuoteReferenceDate($C$3),_xll.qlInterestRateIndexFixingDays($D$10)&amp;"D","f",,LastFixingsTrigger)</f>
        <v>41997</v>
      </c>
      <c r="E3" s="333">
        <f>_xll.qlInterestRateIndexMaturity($D$10,D3)</f>
        <v>42362</v>
      </c>
      <c r="F3" s="432">
        <f>'1Y Delta'!W31</f>
        <v>3.9082270816644038E-3</v>
      </c>
      <c r="G3" s="353">
        <f>_xll.qlDayCounterYearFraction(DayCounter,SettlementDate,D3,,,Trigger)</f>
        <v>0</v>
      </c>
      <c r="H3" s="353">
        <f>_xll.qlDayCounterYearFraction(DayCounter,SettlementDate,E3,,,Trigger)</f>
        <v>1.0138888888888888</v>
      </c>
      <c r="I3" s="353">
        <f>H3-G3</f>
        <v>1.0138888888888888</v>
      </c>
      <c r="J3" s="353">
        <f>(H3^2-G3^2)/2</f>
        <v>0.51398533950617276</v>
      </c>
      <c r="K3" s="353">
        <f>(H3^3-G3^3)/3</f>
        <v>0.34741601651806114</v>
      </c>
      <c r="L3" s="334" t="b">
        <f>IF(D12="fixing",TRUE,FALSE)</f>
        <v>0</v>
      </c>
      <c r="N3" s="453" t="s">
        <v>109</v>
      </c>
      <c r="O3" s="172">
        <f t="array" ref="O3:O5">_xll.ohFilter(K3:K7,L3:L7)</f>
        <v>0.34741601651806114</v>
      </c>
      <c r="P3" s="173">
        <f t="array" ref="P3:P5">_xll.ohFilter(J3:J7,L3:L7)</f>
        <v>0.51398533950617276</v>
      </c>
      <c r="Q3" s="174">
        <f t="array" ref="Q3:Q5">_xll.ohFilter(I3:I7,L3:L7)</f>
        <v>1.0138888888888888</v>
      </c>
      <c r="R3" s="168"/>
      <c r="S3" s="176">
        <f t="array" ref="S3:S5">MMULT(W3:Y5,U3:U5)</f>
        <v>1.9629637719679668E-3</v>
      </c>
      <c r="T3" s="177"/>
      <c r="U3" s="160">
        <f t="array" ref="U3:U5">_xll.ohFilter(F3:F7,L3:L7)</f>
        <v>3.9082270816644038E-3</v>
      </c>
      <c r="W3" s="172">
        <f t="array" ref="W3:Y5">MINVERSE(O3:Q5)</f>
        <v>7.7679774055572901</v>
      </c>
      <c r="X3" s="173">
        <v>-15.367201084808887</v>
      </c>
      <c r="Y3" s="174">
        <v>7.6204476612339915</v>
      </c>
      <c r="AB3" s="185">
        <f>SettlementDate</f>
        <v>41997</v>
      </c>
      <c r="AC3" s="210">
        <f>_xll.qlDayCounterYearFraction(DayCounter,SettlementDate,AB3,,,Trigger)</f>
        <v>0</v>
      </c>
      <c r="AD3" s="186">
        <f t="shared" ref="AD3:AD66" si="0">$S$13</f>
        <v>3.8546897243813298E-3</v>
      </c>
      <c r="AE3" s="186">
        <f t="shared" ref="AE3:AE21" si="1">$S$10+$S$9*AC3</f>
        <v>3.4669156085642278E-3</v>
      </c>
      <c r="AF3" s="187">
        <f t="shared" ref="AF3:AF21" si="2">($S$5+$S$4*AC3+$S$3*AC3^2)</f>
        <v>4.0552482591385049E-3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41997</v>
      </c>
      <c r="E4" s="159">
        <f>_xll.qlInterestRateIndexMaturity($D$10,D4)</f>
        <v>42362</v>
      </c>
      <c r="F4" s="433">
        <f t="array" ref="F4:F7">Delta1Y</f>
        <v>3.9082270816644038E-3</v>
      </c>
      <c r="G4" s="210">
        <f>_xll.qlDayCounterYearFraction(DayCounter,SettlementDate,D4,,,Trigger)</f>
        <v>0</v>
      </c>
      <c r="H4" s="210">
        <f>_xll.qlDayCounterYearFraction(DayCounter,SettlementDate,E4,,,Trigger)</f>
        <v>1.0138888888888888</v>
      </c>
      <c r="I4" s="210">
        <f>H4-G4</f>
        <v>1.0138888888888888</v>
      </c>
      <c r="J4" s="210">
        <f>(H4^2-G4^2)/2</f>
        <v>0.51398533950617276</v>
      </c>
      <c r="K4" s="210">
        <f>(H4^3-G4^3)/3</f>
        <v>0.34741601651806114</v>
      </c>
      <c r="L4" s="192" t="b">
        <f>IF(D12="fixing",FALSE,TRUE)</f>
        <v>1</v>
      </c>
      <c r="N4" s="453"/>
      <c r="O4" s="172">
        <v>0.67222376543209872</v>
      </c>
      <c r="P4" s="173">
        <v>0.77097222222222217</v>
      </c>
      <c r="Q4" s="174">
        <v>1.0166666666666666</v>
      </c>
      <c r="R4" s="169" t="s">
        <v>39</v>
      </c>
      <c r="S4" s="176">
        <v>-1.7224404202639404E-3</v>
      </c>
      <c r="T4" s="169" t="s">
        <v>40</v>
      </c>
      <c r="U4" s="160">
        <v>4.1144329098669833E-3</v>
      </c>
      <c r="W4" s="172">
        <v>-13.76658217984874</v>
      </c>
      <c r="X4" s="173">
        <v>23.385200031336836</v>
      </c>
      <c r="Y4" s="174">
        <v>-9.656231464001344</v>
      </c>
      <c r="AB4" s="188">
        <f>_xll.qlCalendarAdvance(Calendar,AB3,"1d","mf",,Trigger)</f>
        <v>42002</v>
      </c>
      <c r="AC4" s="210">
        <f>_xll.qlDayCounterYearFraction(DayCounter,SettlementDate,AB4,,,Trigger)</f>
        <v>1.3888888888888888E-2</v>
      </c>
      <c r="AD4" s="189">
        <f t="shared" si="0"/>
        <v>3.8546897243813298E-3</v>
      </c>
      <c r="AE4" s="189">
        <f t="shared" si="1"/>
        <v>3.4775395569427783E-3</v>
      </c>
      <c r="AF4" s="161">
        <f t="shared" si="2"/>
        <v>4.0317041336587521E-3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42087</v>
      </c>
      <c r="E5" s="159">
        <f>_xll.qlInterestRateIndexMaturity($D$10,D5)</f>
        <v>42453</v>
      </c>
      <c r="F5" s="433">
        <v>4.1144329098669833E-3</v>
      </c>
      <c r="G5" s="210">
        <f>_xll.qlDayCounterYearFraction(DayCounter,SettlementDate,D5,,,Trigger)</f>
        <v>0.25</v>
      </c>
      <c r="H5" s="210">
        <f>_xll.qlDayCounterYearFraction(DayCounter,SettlementDate,E5,,,Trigger)</f>
        <v>1.2666666666666666</v>
      </c>
      <c r="I5" s="210">
        <f>H5-G5</f>
        <v>1.0166666666666666</v>
      </c>
      <c r="J5" s="210">
        <f>(H5^2-G5^2)/2</f>
        <v>0.77097222222222217</v>
      </c>
      <c r="K5" s="210">
        <f>(H5^3-G5^3)/3</f>
        <v>0.67222376543209872</v>
      </c>
      <c r="L5" s="192" t="b">
        <v>1</v>
      </c>
      <c r="N5" s="453"/>
      <c r="O5" s="172">
        <v>1.1326733539094649</v>
      </c>
      <c r="P5" s="173">
        <v>1.0307870370370371</v>
      </c>
      <c r="Q5" s="174">
        <v>1.0166666666666666</v>
      </c>
      <c r="R5" s="171"/>
      <c r="S5" s="176">
        <v>4.0552482591385049E-3</v>
      </c>
      <c r="T5" s="169"/>
      <c r="U5" s="160">
        <v>4.5707632320451863E-3</v>
      </c>
      <c r="W5" s="172">
        <v>5.3034427222107929</v>
      </c>
      <c r="X5" s="173">
        <v>-6.5893198602181755</v>
      </c>
      <c r="Y5" s="174">
        <v>2.2839739760462097</v>
      </c>
      <c r="AB5" s="188">
        <f>_xll.qlCalendarAdvance(Calendar,AB4,"1d","mf",,Trigger)</f>
        <v>42003</v>
      </c>
      <c r="AC5" s="210">
        <f>_xll.qlDayCounterYearFraction(DayCounter,SettlementDate,AB5,,,Trigger)</f>
        <v>1.6666666666666666E-2</v>
      </c>
      <c r="AD5" s="189">
        <f t="shared" si="0"/>
        <v>3.8546897243813298E-3</v>
      </c>
      <c r="AE5" s="189">
        <f t="shared" si="1"/>
        <v>3.4796643466184886E-3</v>
      </c>
      <c r="AF5" s="161">
        <f t="shared" si="2"/>
        <v>4.0270861865152087E-3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42179</v>
      </c>
      <c r="E6" s="159">
        <f>_xll.qlInterestRateIndexMaturity($D$10,D6)</f>
        <v>42545</v>
      </c>
      <c r="F6" s="433">
        <v>4.5707632320451863E-3</v>
      </c>
      <c r="G6" s="210">
        <f>_xll.qlDayCounterYearFraction(DayCounter,SettlementDate,D6,,,Trigger)</f>
        <v>0.50555555555555554</v>
      </c>
      <c r="H6" s="210">
        <f>_xll.qlDayCounterYearFraction(DayCounter,SettlementDate,E6,,,Trigger)</f>
        <v>1.5222222222222221</v>
      </c>
      <c r="I6" s="210">
        <f>H6-G6</f>
        <v>1.0166666666666666</v>
      </c>
      <c r="J6" s="210">
        <f>(H6^2-G6^2)/2</f>
        <v>1.0307870370370371</v>
      </c>
      <c r="K6" s="210">
        <f>(H6^3-G6^3)/3</f>
        <v>1.1326733539094649</v>
      </c>
      <c r="L6" s="192" t="b">
        <v>1</v>
      </c>
      <c r="S6" s="178"/>
      <c r="T6" s="207"/>
      <c r="U6" s="179"/>
      <c r="AB6" s="188">
        <f>_xll.qlCalendarAdvance(Calendar,AB5,"1d","mf",,Trigger)</f>
        <v>42004</v>
      </c>
      <c r="AC6" s="210">
        <f>_xll.qlDayCounterYearFraction(DayCounter,SettlementDate,AB6,,,Trigger)</f>
        <v>1.9444444444444445E-2</v>
      </c>
      <c r="AD6" s="189">
        <f t="shared" si="0"/>
        <v>3.8546897243813298E-3</v>
      </c>
      <c r="AE6" s="189">
        <f t="shared" si="1"/>
        <v>3.4817891362941989E-3</v>
      </c>
      <c r="AF6" s="161">
        <f t="shared" si="2"/>
        <v>4.0224985320224654E-3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42362</v>
      </c>
      <c r="E7" s="163">
        <f>_xll.qlInterestRateIndexMaturity($D$10,D7)</f>
        <v>42731</v>
      </c>
      <c r="F7" s="434">
        <v>5.0359961703303055E-3</v>
      </c>
      <c r="G7" s="211">
        <f>_xll.qlDayCounterYearFraction(DayCounter,SettlementDate,D7,,,Trigger)</f>
        <v>1.0138888888888888</v>
      </c>
      <c r="H7" s="211">
        <f>_xll.qlDayCounterYearFraction(DayCounter,SettlementDate,E7,,,Trigger)</f>
        <v>2.0388888888888888</v>
      </c>
      <c r="I7" s="211">
        <f>H7-G7</f>
        <v>1.0249999999999999</v>
      </c>
      <c r="J7" s="211">
        <f>(H7^2-G7^2)/2</f>
        <v>1.5645486111111109</v>
      </c>
      <c r="K7" s="211">
        <f>(H7^3-G7^3)/3</f>
        <v>2.4778505015432093</v>
      </c>
      <c r="L7" s="193" t="b">
        <v>0</v>
      </c>
      <c r="S7" s="178"/>
      <c r="T7" s="207"/>
      <c r="U7" s="179"/>
      <c r="AB7" s="188">
        <f>_xll.qlCalendarAdvance(Calendar,AB6,"1d","mf",,Trigger)</f>
        <v>42006</v>
      </c>
      <c r="AC7" s="210">
        <f>_xll.qlDayCounterYearFraction(DayCounter,SettlementDate,AB7,,,Trigger)</f>
        <v>2.5000000000000001E-2</v>
      </c>
      <c r="AD7" s="189">
        <f t="shared" si="0"/>
        <v>3.8546897243813298E-3</v>
      </c>
      <c r="AE7" s="189">
        <f t="shared" si="1"/>
        <v>3.4860387156456191E-3</v>
      </c>
      <c r="AF7" s="161">
        <f t="shared" si="2"/>
        <v>4.013414100989386E-3</v>
      </c>
    </row>
    <row r="8" spans="1:32" ht="12" customHeight="1" thickBot="1" x14ac:dyDescent="0.25">
      <c r="B8" s="403"/>
      <c r="C8" s="403"/>
      <c r="D8" s="404"/>
      <c r="E8" s="404"/>
      <c r="F8" s="405"/>
      <c r="G8" s="406"/>
      <c r="H8" s="406"/>
      <c r="I8" s="406"/>
      <c r="J8" s="406"/>
      <c r="K8" s="406"/>
      <c r="L8" s="407"/>
      <c r="S8" s="208" t="s">
        <v>114</v>
      </c>
      <c r="T8" s="207"/>
      <c r="U8" s="179"/>
      <c r="AB8" s="188">
        <f>_xll.qlCalendarAdvance(Calendar,AB7,"1d","mf",,Trigger)</f>
        <v>42009</v>
      </c>
      <c r="AC8" s="210">
        <f>_xll.qlDayCounterYearFraction(DayCounter,SettlementDate,AB8,,,Trigger)</f>
        <v>3.3333333333333333E-2</v>
      </c>
      <c r="AD8" s="189">
        <f t="shared" si="0"/>
        <v>3.8546897243813298E-3</v>
      </c>
      <c r="AE8" s="189">
        <f t="shared" si="1"/>
        <v>3.4924130846727495E-3</v>
      </c>
      <c r="AF8" s="161">
        <f t="shared" si="2"/>
        <v>4.0000146493207826E-3</v>
      </c>
    </row>
    <row r="9" spans="1:32" ht="12" customHeight="1" x14ac:dyDescent="0.2">
      <c r="C9" s="165" t="s">
        <v>162</v>
      </c>
      <c r="D9" s="203" t="s">
        <v>29</v>
      </c>
      <c r="N9" s="452" t="s">
        <v>110</v>
      </c>
      <c r="O9" s="209"/>
      <c r="P9" s="172">
        <f t="array" ref="P9:P10">_xll.ohFilter(J3:J7,L3:L7)</f>
        <v>0.51398533950617276</v>
      </c>
      <c r="Q9" s="174">
        <f t="array" ref="Q9:Q10">_xll.ohFilter(I3:I7,L3:L7)</f>
        <v>1.0138888888888888</v>
      </c>
      <c r="R9" s="454" t="s">
        <v>39</v>
      </c>
      <c r="S9" s="176">
        <f t="array" ref="S9:S10">MMULT(W9:X10,U9:U10)</f>
        <v>7.6492428325565173E-4</v>
      </c>
      <c r="T9" s="454" t="s">
        <v>40</v>
      </c>
      <c r="U9" s="160">
        <f t="array" ref="U9:U10">_xll.ohFilter(F3:F7,L3:L7)</f>
        <v>3.9082270816644038E-3</v>
      </c>
      <c r="W9" s="172">
        <f t="array" ref="W9:X10">MINVERSE(P9:Q10)</f>
        <v>-3.9234087640959654</v>
      </c>
      <c r="X9" s="174">
        <v>3.9126890680191999</v>
      </c>
      <c r="AB9" s="188">
        <f>_xll.qlCalendarAdvance(Calendar,AB8,"1d","mf",,Trigger)</f>
        <v>42010</v>
      </c>
      <c r="AC9" s="210">
        <f>_xll.qlDayCounterYearFraction(DayCounter,SettlementDate,AB9,,,Trigger)</f>
        <v>3.6111111111111108E-2</v>
      </c>
      <c r="AD9" s="189">
        <f t="shared" si="0"/>
        <v>3.8546897243813298E-3</v>
      </c>
      <c r="AE9" s="189">
        <f t="shared" si="1"/>
        <v>3.4945378743484598E-3</v>
      </c>
      <c r="AF9" s="161">
        <f t="shared" si="2"/>
        <v>3.9956087507328521E-3</v>
      </c>
    </row>
    <row r="10" spans="1:32" ht="12" customHeight="1" x14ac:dyDescent="0.2">
      <c r="C10" s="183" t="s">
        <v>124</v>
      </c>
      <c r="D10" s="204" t="str">
        <f>PROPER(Currency)&amp;IborType&amp;D9</f>
        <v>Euribor1Y</v>
      </c>
      <c r="N10" s="452"/>
      <c r="O10" s="209"/>
      <c r="P10" s="172">
        <v>0.77097222222222217</v>
      </c>
      <c r="Q10" s="174">
        <v>1.0166666666666666</v>
      </c>
      <c r="R10" s="454"/>
      <c r="S10" s="176">
        <v>3.4669156085642278E-3</v>
      </c>
      <c r="T10" s="454"/>
      <c r="U10" s="160">
        <v>4.1144329098669833E-3</v>
      </c>
      <c r="W10" s="172">
        <v>2.9752516461061069</v>
      </c>
      <c r="X10" s="174">
        <v>-1.983515985870844</v>
      </c>
      <c r="AB10" s="188">
        <f>_xll.qlCalendarAdvance(Calendar,AB9,"1d","mf",,Trigger)</f>
        <v>42011</v>
      </c>
      <c r="AC10" s="210">
        <f>_xll.qlDayCounterYearFraction(DayCounter,SettlementDate,AB10,,,Trigger)</f>
        <v>3.888888888888889E-2</v>
      </c>
      <c r="AD10" s="189">
        <f t="shared" si="0"/>
        <v>3.8546897243813298E-3</v>
      </c>
      <c r="AE10" s="189">
        <f t="shared" si="1"/>
        <v>3.4966626640241696E-3</v>
      </c>
      <c r="AF10" s="161">
        <f t="shared" si="2"/>
        <v>3.9912331447957234E-3</v>
      </c>
    </row>
    <row r="11" spans="1:32" ht="12" customHeight="1" x14ac:dyDescent="0.2">
      <c r="C11" s="183" t="s">
        <v>153</v>
      </c>
      <c r="D11" s="331" t="s">
        <v>102</v>
      </c>
      <c r="S11" s="178"/>
      <c r="T11" s="207"/>
      <c r="U11" s="179"/>
      <c r="AB11" s="188">
        <f>_xll.qlCalendarAdvance(Calendar,AB10,"1d","mf",,Trigger)</f>
        <v>42012</v>
      </c>
      <c r="AC11" s="210">
        <f>_xll.qlDayCounterYearFraction(DayCounter,SettlementDate,AB11,,,Trigger)</f>
        <v>4.1666666666666664E-2</v>
      </c>
      <c r="AD11" s="189">
        <f t="shared" si="0"/>
        <v>3.8546897243813298E-3</v>
      </c>
      <c r="AE11" s="189">
        <f t="shared" si="1"/>
        <v>3.4987874536998799E-3</v>
      </c>
      <c r="AF11" s="161">
        <f t="shared" si="2"/>
        <v>3.9868878315093966E-3</v>
      </c>
    </row>
    <row r="12" spans="1:32" ht="12" customHeight="1" thickBot="1" x14ac:dyDescent="0.25">
      <c r="C12" s="184" t="s">
        <v>152</v>
      </c>
      <c r="D12" s="362" t="s">
        <v>159</v>
      </c>
      <c r="S12" s="206" t="s">
        <v>37</v>
      </c>
      <c r="T12" s="207"/>
      <c r="U12" s="179"/>
      <c r="AB12" s="188">
        <f>_xll.qlCalendarAdvance(Calendar,AB11,"1d","mf",,Trigger)</f>
        <v>42013</v>
      </c>
      <c r="AC12" s="210">
        <f>_xll.qlDayCounterYearFraction(DayCounter,SettlementDate,AB12,,,Trigger)</f>
        <v>4.4444444444444446E-2</v>
      </c>
      <c r="AD12" s="189">
        <f t="shared" si="0"/>
        <v>3.8546897243813298E-3</v>
      </c>
      <c r="AE12" s="189">
        <f t="shared" si="1"/>
        <v>3.5009122433755902E-3</v>
      </c>
      <c r="AF12" s="161">
        <f t="shared" si="2"/>
        <v>3.9825728108738708E-3</v>
      </c>
    </row>
    <row r="13" spans="1:32" ht="12" customHeight="1" thickBot="1" x14ac:dyDescent="0.25">
      <c r="J13" s="366" t="str">
        <f>"Synthetic Deposits "&amp;D9</f>
        <v>Synthetic Deposits 1Y</v>
      </c>
      <c r="K13" s="367"/>
      <c r="L13" s="368"/>
      <c r="N13" s="358" t="s">
        <v>111</v>
      </c>
      <c r="Q13" s="175">
        <f t="array" ref="Q13">_xll.ohFilter(I3:I7,L3:L7)</f>
        <v>1.0138888888888888</v>
      </c>
      <c r="R13" s="358" t="s">
        <v>39</v>
      </c>
      <c r="S13" s="176">
        <f>MMULT(W13,U13)</f>
        <v>3.8546897243813298E-3</v>
      </c>
      <c r="T13" s="358" t="s">
        <v>40</v>
      </c>
      <c r="U13" s="160">
        <f t="array" ref="U13">_xll.ohFilter(F3:F7,L3:L7)</f>
        <v>3.9082270816644038E-3</v>
      </c>
      <c r="W13" s="175">
        <f>MINVERSE(Q13)</f>
        <v>0.98630136986301375</v>
      </c>
      <c r="AB13" s="188">
        <f>_xll.qlCalendarAdvance(Calendar,AB12,"1d","mf",,Trigger)</f>
        <v>42016</v>
      </c>
      <c r="AC13" s="210">
        <f>_xll.qlDayCounterYearFraction(DayCounter,SettlementDate,AB13,,,Trigger)</f>
        <v>5.2777777777777778E-2</v>
      </c>
      <c r="AD13" s="189">
        <f t="shared" si="0"/>
        <v>3.8546897243813298E-3</v>
      </c>
      <c r="AE13" s="189">
        <f t="shared" si="1"/>
        <v>3.5072866124027206E-3</v>
      </c>
      <c r="AF13" s="161">
        <f t="shared" si="2"/>
        <v>3.9698095048721089E-3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146</v>
      </c>
      <c r="G14" s="180" t="s">
        <v>147</v>
      </c>
      <c r="H14" s="166" t="s">
        <v>148</v>
      </c>
      <c r="I14" s="180" t="s">
        <v>149</v>
      </c>
      <c r="J14" s="372" t="s">
        <v>111</v>
      </c>
      <c r="K14" s="372" t="s">
        <v>110</v>
      </c>
      <c r="L14" s="372" t="s">
        <v>138</v>
      </c>
      <c r="AB14" s="188">
        <f>_xll.qlCalendarAdvance(Calendar,AB13,"1d","mf",,Trigger)</f>
        <v>42017</v>
      </c>
      <c r="AC14" s="210">
        <f>_xll.qlDayCounterYearFraction(DayCounter,SettlementDate,AB14,,,Trigger)</f>
        <v>5.5555555555555552E-2</v>
      </c>
      <c r="AD14" s="189">
        <f t="shared" si="0"/>
        <v>3.8546897243813298E-3</v>
      </c>
      <c r="AE14" s="189">
        <f t="shared" si="1"/>
        <v>3.5094114020784305E-3</v>
      </c>
      <c r="AF14" s="161">
        <f t="shared" si="2"/>
        <v>3.9656156548397922E-3</v>
      </c>
    </row>
    <row r="15" spans="1:32" ht="12" customHeight="1" x14ac:dyDescent="0.2">
      <c r="C15" s="200" t="s">
        <v>45</v>
      </c>
      <c r="D15" s="194">
        <f t="shared" ref="D15:D30" si="4">SettlementDate</f>
        <v>41997</v>
      </c>
      <c r="E15" s="195">
        <f>_xll.qlCalendarAdvance(Calendar,SettlementDate,C15,"Following",,Trigger)</f>
        <v>42002</v>
      </c>
      <c r="F15" s="357">
        <f>_xll.qlDayCounterYearFraction(DayCounter,D15,E15,,,Trigger)</f>
        <v>1.3888888888888888E-2</v>
      </c>
      <c r="G15" s="350">
        <f>_xll.qlYieldTSDiscount(Discounting,D15,,AllTriggers)</f>
        <v>1</v>
      </c>
      <c r="H15" s="422">
        <f>_xll.qlYieldTSDiscount(Discounting,E15,,AllTriggers)</f>
        <v>1.0000068056111346</v>
      </c>
      <c r="I15" s="364">
        <f>(G15/H15-1)/F15</f>
        <v>-4.9000066693771771E-4</v>
      </c>
      <c r="J15" s="360">
        <f>((1+I15*F15)*EXP($S$13*F15)-1)/F15</f>
        <v>3.3647660102005261E-3</v>
      </c>
      <c r="K15" s="360">
        <f>((1+F15*I15)*EXP($S$10*F15+0.5*$S$9*F15^2)-1)/F15</f>
        <v>2.9822870108802135E-3</v>
      </c>
      <c r="L15" s="360">
        <f>((1+F15*I15)*EXP($S$5*F15+0.5*$S$4*F15^2+1/3*$S$3*F15^3)-1)/F15</f>
        <v>3.5534984394534064E-3</v>
      </c>
      <c r="AB15" s="188">
        <f>_xll.qlCalendarAdvance(Calendar,AB14,"1d","mf",,Trigger)</f>
        <v>42018</v>
      </c>
      <c r="AC15" s="210">
        <f>_xll.qlDayCounterYearFraction(DayCounter,SettlementDate,AB15,,,Trigger)</f>
        <v>5.8333333333333334E-2</v>
      </c>
      <c r="AD15" s="189">
        <f t="shared" si="0"/>
        <v>3.8546897243813298E-3</v>
      </c>
      <c r="AE15" s="189">
        <f t="shared" si="1"/>
        <v>3.5115361917541408E-3</v>
      </c>
      <c r="AF15" s="161">
        <f t="shared" si="2"/>
        <v>3.9614520974582774E-3</v>
      </c>
    </row>
    <row r="16" spans="1:32" ht="12" customHeight="1" x14ac:dyDescent="0.2">
      <c r="C16" s="198" t="s">
        <v>46</v>
      </c>
      <c r="D16" s="159">
        <f>SettlementDate</f>
        <v>41997</v>
      </c>
      <c r="E16" s="196">
        <f>_xll.qlCalendarAdvance(Calendar,SettlementDate,C16,"Following",,Trigger)</f>
        <v>42004</v>
      </c>
      <c r="F16" s="210">
        <f>_xll.qlDayCounterYearFraction(DayCounter,D16,E16,,,Trigger)</f>
        <v>1.9444444444444445E-2</v>
      </c>
      <c r="G16" s="351">
        <f>_xll.qlYieldTSDiscount(Discounting,D16,,AllTriggers)</f>
        <v>1</v>
      </c>
      <c r="H16" s="423">
        <f>_xll.qlYieldTSDiscount(Discounting,E16,,AllTriggers)</f>
        <v>1.000009527868557</v>
      </c>
      <c r="I16" s="364">
        <f t="shared" ref="I16:I18" si="5">(G16/H16-1)/F16</f>
        <v>-4.8999999999236156E-4</v>
      </c>
      <c r="J16" s="361">
        <f t="shared" ref="J16:J18" si="6">((1+I16*F16)*EXP($S$13*F16)-1)/F16</f>
        <v>3.3647974589230095E-3</v>
      </c>
      <c r="K16" s="361">
        <f t="shared" ref="K16:K18" si="7">((1+F16*I16)*EXP($S$10*F16+0.5*$S$9*F16^2)-1)/F16</f>
        <v>2.9844366292560865E-3</v>
      </c>
      <c r="L16" s="361">
        <f t="shared" ref="L16:L18" si="8">((1+F16*I16)*EXP($S$5*F16+0.5*$S$4*F16^2+1/3*$S$3*F16^3)-1)/F16</f>
        <v>3.5488698069498425E-3</v>
      </c>
      <c r="AB16" s="188">
        <f>_xll.qlCalendarAdvance(Calendar,AB15,"1d","mf",,Trigger)</f>
        <v>42019</v>
      </c>
      <c r="AC16" s="210">
        <f>_xll.qlDayCounterYearFraction(DayCounter,SettlementDate,AB16,,,Trigger)</f>
        <v>6.1111111111111109E-2</v>
      </c>
      <c r="AD16" s="189">
        <f t="shared" si="0"/>
        <v>3.8546897243813298E-3</v>
      </c>
      <c r="AE16" s="189">
        <f t="shared" si="1"/>
        <v>3.5136609814298511E-3</v>
      </c>
      <c r="AF16" s="161">
        <f t="shared" si="2"/>
        <v>3.9573188327275645E-3</v>
      </c>
    </row>
    <row r="17" spans="3:32" ht="12" customHeight="1" x14ac:dyDescent="0.2">
      <c r="C17" s="198" t="s">
        <v>47</v>
      </c>
      <c r="D17" s="159">
        <f t="shared" si="4"/>
        <v>41997</v>
      </c>
      <c r="E17" s="196">
        <f>_xll.qlCalendarAdvance(Calendar,SettlementDate,C17,"Following",,Trigger)</f>
        <v>42011</v>
      </c>
      <c r="F17" s="210">
        <f>_xll.qlDayCounterYearFraction(DayCounter,D17,E17,,,Trigger)</f>
        <v>3.888888888888889E-2</v>
      </c>
      <c r="G17" s="351">
        <f>_xll.qlYieldTSDiscount(Discounting,D17,,AllTriggers)</f>
        <v>1</v>
      </c>
      <c r="H17" s="423">
        <f>_xll.qlYieldTSDiscount(Discounting,E17,,AllTriggers)</f>
        <v>1.0000035000122609</v>
      </c>
      <c r="I17" s="364">
        <f t="shared" si="5"/>
        <v>-9.0000000278081925E-5</v>
      </c>
      <c r="J17" s="361">
        <f t="shared" si="6"/>
        <v>3.7649651639754772E-3</v>
      </c>
      <c r="K17" s="361">
        <f t="shared" si="7"/>
        <v>3.3920126817583401E-3</v>
      </c>
      <c r="L17" s="361">
        <f t="shared" si="8"/>
        <v>3.933046516851414E-3</v>
      </c>
      <c r="AB17" s="188">
        <f>_xll.qlCalendarAdvance(Calendar,AB16,"1d","mf",,Trigger)</f>
        <v>42020</v>
      </c>
      <c r="AC17" s="210">
        <f>_xll.qlDayCounterYearFraction(DayCounter,SettlementDate,AB17,,,Trigger)</f>
        <v>6.3888888888888884E-2</v>
      </c>
      <c r="AD17" s="189">
        <f t="shared" si="0"/>
        <v>3.8546897243813298E-3</v>
      </c>
      <c r="AE17" s="189">
        <f t="shared" si="1"/>
        <v>3.5157857711055609E-3</v>
      </c>
      <c r="AF17" s="161">
        <f t="shared" si="2"/>
        <v>3.9532158606476533E-3</v>
      </c>
    </row>
    <row r="18" spans="3:32" ht="12" customHeight="1" x14ac:dyDescent="0.2">
      <c r="C18" s="198" t="s">
        <v>48</v>
      </c>
      <c r="D18" s="159">
        <f t="shared" si="4"/>
        <v>41997</v>
      </c>
      <c r="E18" s="196">
        <f>_xll.qlCalendarAdvance(Calendar,SettlementDate,C18,"Following",,Trigger)</f>
        <v>42018</v>
      </c>
      <c r="F18" s="210">
        <f>_xll.qlDayCounterYearFraction(DayCounter,D18,E18,,,Trigger)</f>
        <v>5.8333333333333334E-2</v>
      </c>
      <c r="G18" s="351">
        <f>_xll.qlYieldTSDiscount(Discounting,D18,,AllTriggers)</f>
        <v>1</v>
      </c>
      <c r="H18" s="423">
        <f>_xll.qlYieldTSDiscount(Discounting,E18,,AllTriggers)</f>
        <v>1.000014583546037</v>
      </c>
      <c r="I18" s="364">
        <f t="shared" si="5"/>
        <v>-2.5000000046127013E-4</v>
      </c>
      <c r="J18" s="361">
        <f t="shared" si="6"/>
        <v>3.6050669126540058E-3</v>
      </c>
      <c r="K18" s="361">
        <f t="shared" si="7"/>
        <v>3.2395301294079509E-3</v>
      </c>
      <c r="L18" s="361">
        <f t="shared" si="8"/>
        <v>3.7576468705223321E-3</v>
      </c>
      <c r="AB18" s="188">
        <f>_xll.qlCalendarAdvance(Calendar,AB17,"1d","mf",,Trigger)</f>
        <v>42023</v>
      </c>
      <c r="AC18" s="210">
        <f>_xll.qlDayCounterYearFraction(DayCounter,SettlementDate,AB18,,,Trigger)</f>
        <v>7.2222222222222215E-2</v>
      </c>
      <c r="AD18" s="189">
        <f t="shared" si="0"/>
        <v>3.8546897243813298E-3</v>
      </c>
      <c r="AE18" s="189">
        <f t="shared" si="1"/>
        <v>3.5221601401326913E-3</v>
      </c>
      <c r="AF18" s="161">
        <f t="shared" si="2"/>
        <v>3.941088700312732E-3</v>
      </c>
    </row>
    <row r="19" spans="3:32" ht="12" customHeight="1" x14ac:dyDescent="0.2">
      <c r="C19" s="198" t="s">
        <v>42</v>
      </c>
      <c r="D19" s="159">
        <f t="shared" si="4"/>
        <v>41997</v>
      </c>
      <c r="E19" s="196">
        <f>_xll.qlCalendarAdvance(Calendar,SettlementDate,C19,"Following",,Trigger)</f>
        <v>42030</v>
      </c>
      <c r="F19" s="210">
        <f>_xll.qlDayCounterYearFraction(DayCounter,D19,E19,,,Trigger)</f>
        <v>9.166666666666666E-2</v>
      </c>
      <c r="G19" s="351">
        <f>_xll.qlYieldTSDiscount(Discounting,D19,,AllTriggers)</f>
        <v>1</v>
      </c>
      <c r="H19" s="423">
        <f>_xll.qlYieldTSDiscount(Discounting,E19,,AllTriggers)</f>
        <v>1.0000330010890557</v>
      </c>
      <c r="I19" s="364">
        <f t="shared" ref="I19:I30" si="9">(G19/H19-1)/F19</f>
        <v>-3.6000000021503683E-4</v>
      </c>
      <c r="J19" s="361">
        <f t="shared" ref="J19:J30" si="10">((1+I19*F19)*EXP($S$13*F19)-1)/F19</f>
        <v>3.4952435978211327E-3</v>
      </c>
      <c r="K19" s="361">
        <f t="shared" ref="K19:K30" si="11">((1+F19*I19)*EXP($S$10*F19+0.5*$S$9*F19^2)-1)/F19</f>
        <v>3.1424212064769886E-3</v>
      </c>
      <c r="L19" s="361">
        <f t="shared" ref="L19:L30" si="12">((1+F19*I19)*EXP($S$5*F19+0.5*$S$4*F19^2+1/3*$S$3*F19^3)-1)/F19</f>
        <v>3.6223965297283397E-3</v>
      </c>
      <c r="AB19" s="188">
        <f>_xll.qlCalendarAdvance(Calendar,AB18,"1d","mf",,Trigger)</f>
        <v>42024</v>
      </c>
      <c r="AC19" s="210">
        <f>_xll.qlDayCounterYearFraction(DayCounter,SettlementDate,AB19,,,Trigger)</f>
        <v>7.4999999999999997E-2</v>
      </c>
      <c r="AD19" s="189">
        <f t="shared" si="0"/>
        <v>3.8546897243813298E-3</v>
      </c>
      <c r="AE19" s="189">
        <f t="shared" si="1"/>
        <v>3.5242849298084016E-3</v>
      </c>
      <c r="AF19" s="161">
        <f t="shared" si="2"/>
        <v>3.9371068988360292E-3</v>
      </c>
    </row>
    <row r="20" spans="3:32" ht="12" customHeight="1" x14ac:dyDescent="0.2">
      <c r="C20" s="198" t="s">
        <v>49</v>
      </c>
      <c r="D20" s="159">
        <f t="shared" si="4"/>
        <v>41997</v>
      </c>
      <c r="E20" s="196">
        <f>_xll.qlCalendarAdvance(Calendar,SettlementDate,C20,"Following",,Trigger)</f>
        <v>42059</v>
      </c>
      <c r="F20" s="210">
        <f>_xll.qlDayCounterYearFraction(DayCounter,D20,E20,,,Trigger)</f>
        <v>0.17222222222222222</v>
      </c>
      <c r="G20" s="351">
        <f>_xll.qlYieldTSDiscount(Discounting,D20,,AllTriggers)</f>
        <v>1</v>
      </c>
      <c r="H20" s="423">
        <f>_xll.qlYieldTSDiscount(Discounting,E20,,AllTriggers)</f>
        <v>1.0000396126804101</v>
      </c>
      <c r="I20" s="364">
        <f t="shared" si="9"/>
        <v>-2.3000000114201382E-4</v>
      </c>
      <c r="J20" s="361">
        <f t="shared" si="10"/>
        <v>3.6258167605710081E-3</v>
      </c>
      <c r="K20" s="361">
        <f t="shared" si="11"/>
        <v>3.3037190404623887E-3</v>
      </c>
      <c r="L20" s="361">
        <f t="shared" si="12"/>
        <v>3.6975067091201794E-3</v>
      </c>
      <c r="AB20" s="188">
        <f>_xll.qlCalendarAdvance(Calendar,AB19,"1d","mf",,Trigger)</f>
        <v>42025</v>
      </c>
      <c r="AC20" s="210">
        <f>_xll.qlDayCounterYearFraction(DayCounter,SettlementDate,AB20,,,Trigger)</f>
        <v>7.7777777777777779E-2</v>
      </c>
      <c r="AD20" s="189">
        <f t="shared" si="0"/>
        <v>3.8546897243813298E-3</v>
      </c>
      <c r="AE20" s="189">
        <f t="shared" si="1"/>
        <v>3.5264097194841119E-3</v>
      </c>
      <c r="AF20" s="161">
        <f t="shared" si="2"/>
        <v>3.9331553900101282E-3</v>
      </c>
    </row>
    <row r="21" spans="3:32" ht="12" customHeight="1" x14ac:dyDescent="0.2">
      <c r="C21" s="198" t="s">
        <v>43</v>
      </c>
      <c r="D21" s="159">
        <f t="shared" si="4"/>
        <v>41997</v>
      </c>
      <c r="E21" s="196">
        <f>_xll.qlCalendarAdvance(Calendar,SettlementDate,C21,"Following",,Trigger)</f>
        <v>42087</v>
      </c>
      <c r="F21" s="210">
        <f>_xll.qlDayCounterYearFraction(DayCounter,D21,E21,,,Trigger)</f>
        <v>0.25</v>
      </c>
      <c r="G21" s="351">
        <f>_xll.qlYieldTSDiscount(Discounting,D21,,AllTriggers)</f>
        <v>1</v>
      </c>
      <c r="H21" s="423">
        <f>_xll.qlYieldTSDiscount(Discounting,E21,,AllTriggers)</f>
        <v>1.000032501056171</v>
      </c>
      <c r="I21" s="364">
        <f t="shared" si="9"/>
        <v>-1.2999999954699248E-4</v>
      </c>
      <c r="J21" s="361">
        <f t="shared" si="10"/>
        <v>3.7264223129076512E-3</v>
      </c>
      <c r="K21" s="361">
        <f t="shared" si="11"/>
        <v>3.4340022351937449E-3</v>
      </c>
      <c r="L21" s="361">
        <f t="shared" si="12"/>
        <v>3.7525953194075257E-3</v>
      </c>
      <c r="AB21" s="188">
        <f>_xll.qlCalendarAdvance(Calendar,AB20,"1d","mf",,Trigger)</f>
        <v>42026</v>
      </c>
      <c r="AC21" s="210">
        <f>_xll.qlDayCounterYearFraction(DayCounter,SettlementDate,AB21,,,Trigger)</f>
        <v>8.0555555555555561E-2</v>
      </c>
      <c r="AD21" s="189">
        <f t="shared" si="0"/>
        <v>3.8546897243813298E-3</v>
      </c>
      <c r="AE21" s="189">
        <f t="shared" si="1"/>
        <v>3.5285345091598218E-3</v>
      </c>
      <c r="AF21" s="161">
        <f t="shared" si="2"/>
        <v>3.929234173835029E-3</v>
      </c>
    </row>
    <row r="22" spans="3:32" ht="12" customHeight="1" x14ac:dyDescent="0.2">
      <c r="C22" s="198" t="s">
        <v>50</v>
      </c>
      <c r="D22" s="159">
        <f t="shared" si="4"/>
        <v>41997</v>
      </c>
      <c r="E22" s="196">
        <f>_xll.qlCalendarAdvance(Calendar,SettlementDate,C22,"Following",,Trigger)</f>
        <v>42118</v>
      </c>
      <c r="F22" s="210">
        <f>_xll.qlDayCounterYearFraction(DayCounter,D22,E22,,,Trigger)</f>
        <v>0.33611111111111114</v>
      </c>
      <c r="G22" s="351">
        <f>_xll.qlYieldTSDiscount(Discounting,D22,,AllTriggers)</f>
        <v>1</v>
      </c>
      <c r="H22" s="423">
        <f>_xll.qlYieldTSDiscount(Discounting,E22,,AllTriggers)</f>
        <v>1.0000703556361346</v>
      </c>
      <c r="I22" s="364">
        <f t="shared" si="9"/>
        <v>-2.0930782780337147E-4</v>
      </c>
      <c r="J22" s="361">
        <f t="shared" si="10"/>
        <v>3.647608695321063E-3</v>
      </c>
      <c r="K22" s="361">
        <f t="shared" si="11"/>
        <v>3.3880778517625752E-3</v>
      </c>
      <c r="L22" s="361">
        <f t="shared" si="12"/>
        <v>3.6326023275171436E-3</v>
      </c>
      <c r="AB22" s="188">
        <f>_xll.qlCalendarAdvance(Calendar,AB21,"1d","mf",,Trigger)</f>
        <v>42027</v>
      </c>
      <c r="AC22" s="210">
        <f>_xll.qlDayCounterYearFraction(DayCounter,SettlementDate,AB22,,,Trigger)</f>
        <v>8.3333333333333329E-2</v>
      </c>
      <c r="AD22" s="189">
        <f t="shared" si="0"/>
        <v>3.8546897243813298E-3</v>
      </c>
      <c r="AE22" s="189">
        <f t="shared" ref="AE22:AE85" si="13">$S$10+$S$9*AC22</f>
        <v>3.5306592988355321E-3</v>
      </c>
      <c r="AF22" s="161">
        <f t="shared" ref="AF22:AF85" si="14">($S$5+$S$4*AC22+$S$3*AC22^2)</f>
        <v>3.9253432503107318E-3</v>
      </c>
    </row>
    <row r="23" spans="3:32" ht="12" customHeight="1" x14ac:dyDescent="0.2">
      <c r="C23" s="198" t="s">
        <v>51</v>
      </c>
      <c r="D23" s="159">
        <f t="shared" si="4"/>
        <v>41997</v>
      </c>
      <c r="E23" s="196">
        <f>_xll.qlCalendarAdvance(Calendar,SettlementDate,C23,"Following",,Trigger)</f>
        <v>42149</v>
      </c>
      <c r="F23" s="210">
        <f>_xll.qlDayCounterYearFraction(DayCounter,D23,E23,,,Trigger)</f>
        <v>0.42222222222222222</v>
      </c>
      <c r="G23" s="351">
        <f>_xll.qlYieldTSDiscount(Discounting,D23,,AllTriggers)</f>
        <v>1</v>
      </c>
      <c r="H23" s="423">
        <f>_xll.qlYieldTSDiscount(Discounting,E23,,AllTriggers)</f>
        <v>1.0001224594389224</v>
      </c>
      <c r="I23" s="364">
        <f t="shared" si="9"/>
        <v>-2.8999999999995403E-4</v>
      </c>
      <c r="J23" s="361">
        <f t="shared" si="10"/>
        <v>3.567355879695647E-3</v>
      </c>
      <c r="K23" s="361">
        <f t="shared" si="11"/>
        <v>3.3407357636018376E-3</v>
      </c>
      <c r="L23" s="361">
        <f t="shared" si="12"/>
        <v>3.5208655398935732E-3</v>
      </c>
      <c r="AB23" s="188">
        <f>_xll.qlCalendarAdvance(Calendar,AB22,"1d","mf",,Trigger)</f>
        <v>42030</v>
      </c>
      <c r="AC23" s="210">
        <f>_xll.qlDayCounterYearFraction(DayCounter,SettlementDate,AB23,,,Trigger)</f>
        <v>9.166666666666666E-2</v>
      </c>
      <c r="AD23" s="189">
        <f t="shared" si="0"/>
        <v>3.8546897243813298E-3</v>
      </c>
      <c r="AE23" s="189">
        <f t="shared" si="13"/>
        <v>3.5370336678626625E-3</v>
      </c>
      <c r="AF23" s="161">
        <f t="shared" si="14"/>
        <v>3.9138522356426527E-3</v>
      </c>
    </row>
    <row r="24" spans="3:32" ht="12" customHeight="1" x14ac:dyDescent="0.2">
      <c r="C24" s="198" t="s">
        <v>44</v>
      </c>
      <c r="D24" s="159">
        <f t="shared" si="4"/>
        <v>41997</v>
      </c>
      <c r="E24" s="196">
        <f>_xll.qlCalendarAdvance(Calendar,SettlementDate,C24,"Following",,Trigger)</f>
        <v>42179</v>
      </c>
      <c r="F24" s="210">
        <f>_xll.qlDayCounterYearFraction(DayCounter,D24,E24,,,Trigger)</f>
        <v>0.50555555555555554</v>
      </c>
      <c r="G24" s="351">
        <f>_xll.qlYieldTSDiscount(Discounting,D24,,AllTriggers)</f>
        <v>1</v>
      </c>
      <c r="H24" s="423">
        <f>_xll.qlYieldTSDiscount(Discounting,E24,,AllTriggers)</f>
        <v>1.0001719184397584</v>
      </c>
      <c r="I24" s="364">
        <f t="shared" si="9"/>
        <v>-3.3999999999972393E-4</v>
      </c>
      <c r="J24" s="361">
        <f t="shared" si="10"/>
        <v>3.517784873215541E-3</v>
      </c>
      <c r="K24" s="361">
        <f t="shared" si="11"/>
        <v>3.3230304288137877E-3</v>
      </c>
      <c r="L24" s="361">
        <f t="shared" si="12"/>
        <v>3.4500653077626968E-3</v>
      </c>
      <c r="AB24" s="188">
        <f>_xll.qlCalendarAdvance(Calendar,AB23,"1d","mf",,Trigger)</f>
        <v>42031</v>
      </c>
      <c r="AC24" s="210">
        <f>_xll.qlDayCounterYearFraction(DayCounter,SettlementDate,AB24,,,Trigger)</f>
        <v>9.4444444444444442E-2</v>
      </c>
      <c r="AD24" s="189">
        <f t="shared" si="0"/>
        <v>3.8546897243813298E-3</v>
      </c>
      <c r="AE24" s="189">
        <f t="shared" si="13"/>
        <v>3.5391584575383728E-3</v>
      </c>
      <c r="AF24" s="161">
        <f t="shared" si="14"/>
        <v>3.9100824827215629E-3</v>
      </c>
    </row>
    <row r="25" spans="3:32" ht="12" customHeight="1" x14ac:dyDescent="0.2">
      <c r="C25" s="198" t="s">
        <v>52</v>
      </c>
      <c r="D25" s="159">
        <f t="shared" si="4"/>
        <v>41997</v>
      </c>
      <c r="E25" s="196">
        <f>_xll.qlCalendarAdvance(Calendar,SettlementDate,C25,"Following",,Trigger)</f>
        <v>42209</v>
      </c>
      <c r="F25" s="210">
        <f>_xll.qlDayCounterYearFraction(DayCounter,D25,E25,,,Trigger)</f>
        <v>0.58888888888888891</v>
      </c>
      <c r="G25" s="351">
        <f>_xll.qlYieldTSDiscount(Discounting,D25,,AllTriggers)</f>
        <v>1</v>
      </c>
      <c r="H25" s="423">
        <f>_xll.qlYieldTSDiscount(Discounting,E25,,AllTriggers)</f>
        <v>1.0002291084167767</v>
      </c>
      <c r="I25" s="364">
        <f t="shared" si="9"/>
        <v>-3.8896291381140395E-4</v>
      </c>
      <c r="J25" s="361">
        <f t="shared" si="10"/>
        <v>3.4692212223164098E-3</v>
      </c>
      <c r="K25" s="361">
        <f t="shared" si="11"/>
        <v>3.306350527371642E-3</v>
      </c>
      <c r="L25" s="361">
        <f t="shared" si="12"/>
        <v>3.3893679575185158E-3</v>
      </c>
      <c r="AB25" s="188">
        <f>_xll.qlCalendarAdvance(Calendar,AB24,"1d","mf",,Trigger)</f>
        <v>42032</v>
      </c>
      <c r="AC25" s="210">
        <f>_xll.qlDayCounterYearFraction(DayCounter,SettlementDate,AB25,,,Trigger)</f>
        <v>9.7222222222222224E-2</v>
      </c>
      <c r="AD25" s="189">
        <f t="shared" si="0"/>
        <v>3.8546897243813298E-3</v>
      </c>
      <c r="AE25" s="189">
        <f t="shared" si="13"/>
        <v>3.5412832472140826E-3</v>
      </c>
      <c r="AF25" s="161">
        <f t="shared" si="14"/>
        <v>3.9063430224512757E-3</v>
      </c>
    </row>
    <row r="26" spans="3:32" ht="12" customHeight="1" x14ac:dyDescent="0.2">
      <c r="C26" s="198" t="s">
        <v>53</v>
      </c>
      <c r="D26" s="159">
        <f t="shared" si="4"/>
        <v>41997</v>
      </c>
      <c r="E26" s="196">
        <f>_xll.qlCalendarAdvance(Calendar,SettlementDate,C26,"Following",,Trigger)</f>
        <v>42240</v>
      </c>
      <c r="F26" s="210">
        <f>_xll.qlDayCounterYearFraction(DayCounter,D26,E26,,,Trigger)</f>
        <v>0.67500000000000004</v>
      </c>
      <c r="G26" s="351">
        <f>_xll.qlYieldTSDiscount(Discounting,D26,,AllTriggers)</f>
        <v>1</v>
      </c>
      <c r="H26" s="423">
        <f>_xll.qlYieldTSDiscount(Discounting,E26,,AllTriggers)</f>
        <v>1.0002903342695217</v>
      </c>
      <c r="I26" s="364">
        <f t="shared" si="9"/>
        <v>-4.3000000000007019E-4</v>
      </c>
      <c r="J26" s="361">
        <f t="shared" si="10"/>
        <v>3.4285885846599929E-3</v>
      </c>
      <c r="K26" s="361">
        <f t="shared" si="11"/>
        <v>3.2986821360711412E-3</v>
      </c>
      <c r="L26" s="361">
        <f t="shared" si="12"/>
        <v>3.3457596571565508E-3</v>
      </c>
      <c r="AB26" s="188">
        <f>_xll.qlCalendarAdvance(Calendar,AB25,"1d","mf",,Trigger)</f>
        <v>42033</v>
      </c>
      <c r="AC26" s="210">
        <f>_xll.qlDayCounterYearFraction(DayCounter,SettlementDate,AB26,,,Trigger)</f>
        <v>0.1</v>
      </c>
      <c r="AD26" s="189">
        <f t="shared" si="0"/>
        <v>3.8546897243813298E-3</v>
      </c>
      <c r="AE26" s="189">
        <f t="shared" si="13"/>
        <v>3.5434080368897929E-3</v>
      </c>
      <c r="AF26" s="161">
        <f t="shared" si="14"/>
        <v>3.9026338548317908E-3</v>
      </c>
    </row>
    <row r="27" spans="3:32" ht="12" customHeight="1" x14ac:dyDescent="0.2">
      <c r="C27" s="198" t="s">
        <v>54</v>
      </c>
      <c r="D27" s="159">
        <f t="shared" si="4"/>
        <v>41997</v>
      </c>
      <c r="E27" s="196">
        <f>_xll.qlCalendarAdvance(Calendar,SettlementDate,C27,"Following",,Trigger)</f>
        <v>42271</v>
      </c>
      <c r="F27" s="210">
        <f>_xll.qlDayCounterYearFraction(DayCounter,D27,E27,,,Trigger)</f>
        <v>0.76111111111111107</v>
      </c>
      <c r="G27" s="351">
        <f>_xll.qlYieldTSDiscount(Discounting,D27,,AllTriggers)</f>
        <v>1</v>
      </c>
      <c r="H27" s="423">
        <f>_xll.qlYieldTSDiscount(Discounting,E27,,AllTriggers)</f>
        <v>1.0003654668505559</v>
      </c>
      <c r="I27" s="364">
        <f t="shared" si="9"/>
        <v>-4.7999999999984795E-4</v>
      </c>
      <c r="J27" s="361">
        <f t="shared" si="10"/>
        <v>3.3789394791163638E-3</v>
      </c>
      <c r="K27" s="361">
        <f t="shared" si="11"/>
        <v>3.2820164835298932E-3</v>
      </c>
      <c r="L27" s="361">
        <f t="shared" si="12"/>
        <v>3.3028626274524851E-3</v>
      </c>
      <c r="AB27" s="188">
        <f>_xll.qlCalendarAdvance(Calendar,AB26,"1d","mf",,Trigger)</f>
        <v>42034</v>
      </c>
      <c r="AC27" s="210">
        <f>_xll.qlDayCounterYearFraction(DayCounter,SettlementDate,AB27,,,Trigger)</f>
        <v>0.10277777777777777</v>
      </c>
      <c r="AD27" s="189">
        <f t="shared" si="0"/>
        <v>3.8546897243813298E-3</v>
      </c>
      <c r="AE27" s="189">
        <f t="shared" si="13"/>
        <v>3.5455328265655032E-3</v>
      </c>
      <c r="AF27" s="161">
        <f t="shared" si="14"/>
        <v>3.8989549798631074E-3</v>
      </c>
    </row>
    <row r="28" spans="3:32" ht="12" customHeight="1" x14ac:dyDescent="0.2">
      <c r="C28" s="198" t="s">
        <v>55</v>
      </c>
      <c r="D28" s="159">
        <f t="shared" si="4"/>
        <v>41997</v>
      </c>
      <c r="E28" s="196">
        <f>_xll.qlCalendarAdvance(Calendar,SettlementDate,C28,"Following",,Trigger)</f>
        <v>42303</v>
      </c>
      <c r="F28" s="210">
        <f>_xll.qlDayCounterYearFraction(DayCounter,D28,E28,,,Trigger)</f>
        <v>0.85</v>
      </c>
      <c r="G28" s="351">
        <f>_xll.qlYieldTSDiscount(Discounting,D28,,AllTriggers)</f>
        <v>1</v>
      </c>
      <c r="H28" s="423">
        <f>_xll.qlYieldTSDiscount(Discounting,E28,,AllTriggers)</f>
        <v>1.0004342471085372</v>
      </c>
      <c r="I28" s="364">
        <f t="shared" si="9"/>
        <v>-5.1065719980774812E-4</v>
      </c>
      <c r="J28" s="361">
        <f t="shared" si="10"/>
        <v>3.3486784407691962E-3</v>
      </c>
      <c r="K28" s="361">
        <f t="shared" si="11"/>
        <v>3.2858204052832463E-3</v>
      </c>
      <c r="L28" s="361">
        <f t="shared" si="12"/>
        <v>3.2897812033978327E-3</v>
      </c>
      <c r="AB28" s="188">
        <f>_xll.qlCalendarAdvance(Calendar,AB27,"1d","mf",,Trigger)</f>
        <v>42037</v>
      </c>
      <c r="AC28" s="210">
        <f>_xll.qlDayCounterYearFraction(DayCounter,SettlementDate,AB28,,,Trigger)</f>
        <v>0.1111111111111111</v>
      </c>
      <c r="AD28" s="189">
        <f t="shared" si="0"/>
        <v>3.8546897243813298E-3</v>
      </c>
      <c r="AE28" s="189">
        <f t="shared" si="13"/>
        <v>3.5519071955926337E-3</v>
      </c>
      <c r="AF28" s="161">
        <f t="shared" si="14"/>
        <v>3.888100110861869E-3</v>
      </c>
    </row>
    <row r="29" spans="3:32" ht="12" customHeight="1" x14ac:dyDescent="0.2">
      <c r="C29" s="198" t="s">
        <v>56</v>
      </c>
      <c r="D29" s="159">
        <f t="shared" si="4"/>
        <v>41997</v>
      </c>
      <c r="E29" s="196">
        <f>_xll.qlCalendarAdvance(Calendar,SettlementDate,C29,"Following",,Trigger)</f>
        <v>42332</v>
      </c>
      <c r="F29" s="210">
        <f>_xll.qlDayCounterYearFraction(DayCounter,D29,E29,,,Trigger)</f>
        <v>0.93055555555555558</v>
      </c>
      <c r="G29" s="351">
        <f>_xll.qlYieldTSDiscount(Discounting,D29,,AllTriggers)</f>
        <v>1</v>
      </c>
      <c r="H29" s="423">
        <f>_xll.qlYieldTSDiscount(Discounting,E29,,AllTriggers)</f>
        <v>1.0005027526331982</v>
      </c>
      <c r="I29" s="364">
        <f t="shared" si="9"/>
        <v>-5.4000000000007774E-4</v>
      </c>
      <c r="J29" s="361">
        <f t="shared" si="10"/>
        <v>3.3196709298779592E-3</v>
      </c>
      <c r="K29" s="361">
        <f t="shared" si="11"/>
        <v>3.2877011022984428E-3</v>
      </c>
      <c r="L29" s="361">
        <f t="shared" si="12"/>
        <v>3.2853097292914837E-3</v>
      </c>
      <c r="AB29" s="188">
        <f>_xll.qlCalendarAdvance(Calendar,AB28,"1d","mf",,Trigger)</f>
        <v>42038</v>
      </c>
      <c r="AC29" s="210">
        <f>_xll.qlDayCounterYearFraction(DayCounter,SettlementDate,AB29,,,Trigger)</f>
        <v>0.11388888888888889</v>
      </c>
      <c r="AD29" s="189">
        <f t="shared" si="0"/>
        <v>3.8546897243813298E-3</v>
      </c>
      <c r="AE29" s="189">
        <f t="shared" si="13"/>
        <v>3.5540319852683435E-3</v>
      </c>
      <c r="AF29" s="161">
        <f t="shared" si="14"/>
        <v>3.8845424064963938E-3</v>
      </c>
    </row>
    <row r="30" spans="3:32" ht="12" customHeight="1" thickBot="1" x14ac:dyDescent="0.25">
      <c r="C30" s="199" t="s">
        <v>57</v>
      </c>
      <c r="D30" s="163">
        <f t="shared" si="4"/>
        <v>41997</v>
      </c>
      <c r="E30" s="197">
        <f>_xll.qlCalendarAdvance(Calendar,SettlementDate,C30,"Following",,Trigger)</f>
        <v>42362</v>
      </c>
      <c r="F30" s="211">
        <f>_xll.qlDayCounterYearFraction(DayCounter,D30,E30,,,Trigger)</f>
        <v>1.0138888888888888</v>
      </c>
      <c r="G30" s="352">
        <f>_xll.qlYieldTSDiscount(Discounting,D30,,AllTriggers)</f>
        <v>1</v>
      </c>
      <c r="H30" s="424">
        <f>_xll.qlYieldTSDiscount(Discounting,E30,,AllTriggers)</f>
        <v>1.000578250847469</v>
      </c>
      <c r="I30" s="365">
        <f t="shared" si="9"/>
        <v>-5.700000000000659E-4</v>
      </c>
      <c r="J30" s="373">
        <f t="shared" si="10"/>
        <v>3.2900000000000364E-3</v>
      </c>
      <c r="K30" s="373">
        <f t="shared" si="11"/>
        <v>3.2900000000000364E-3</v>
      </c>
      <c r="L30" s="373">
        <f t="shared" si="12"/>
        <v>3.2900000000000364E-3</v>
      </c>
      <c r="AB30" s="188">
        <f>_xll.qlCalendarAdvance(Calendar,AB29,"1d","mf",,Trigger)</f>
        <v>42039</v>
      </c>
      <c r="AC30" s="210">
        <f>_xll.qlDayCounterYearFraction(DayCounter,SettlementDate,AB30,,,Trigger)</f>
        <v>0.11666666666666667</v>
      </c>
      <c r="AD30" s="189">
        <f t="shared" si="0"/>
        <v>3.8546897243813298E-3</v>
      </c>
      <c r="AE30" s="189">
        <f t="shared" si="13"/>
        <v>3.5561567749440538E-3</v>
      </c>
      <c r="AF30" s="161">
        <f t="shared" si="14"/>
        <v>3.8810149947817204E-3</v>
      </c>
    </row>
    <row r="31" spans="3:32" ht="12" customHeight="1" thickBot="1" x14ac:dyDescent="0.25">
      <c r="AB31" s="188">
        <f>_xll.qlCalendarAdvance(Calendar,AB30,"1d","mf",,Trigger)</f>
        <v>42040</v>
      </c>
      <c r="AC31" s="210">
        <f>_xll.qlDayCounterYearFraction(DayCounter,SettlementDate,AB31,,,Trigger)</f>
        <v>0.11944444444444445</v>
      </c>
      <c r="AD31" s="189">
        <f t="shared" si="0"/>
        <v>3.8546897243813298E-3</v>
      </c>
      <c r="AE31" s="189">
        <f t="shared" si="13"/>
        <v>3.5582815646197641E-3</v>
      </c>
      <c r="AF31" s="161">
        <f t="shared" si="14"/>
        <v>3.877517875717849E-3</v>
      </c>
    </row>
    <row r="32" spans="3:32" ht="12" customHeight="1" x14ac:dyDescent="0.2">
      <c r="C32" s="212" t="s">
        <v>126</v>
      </c>
      <c r="AB32" s="188">
        <f>_xll.qlCalendarAdvance(Calendar,AB31,"1d","mf",,Trigger)</f>
        <v>42041</v>
      </c>
      <c r="AC32" s="210">
        <f>_xll.qlDayCounterYearFraction(DayCounter,SettlementDate,AB32,,,Trigger)</f>
        <v>0.12222222222222222</v>
      </c>
      <c r="AD32" s="189">
        <f t="shared" si="0"/>
        <v>3.8546897243813298E-3</v>
      </c>
      <c r="AE32" s="189">
        <f t="shared" si="13"/>
        <v>3.5604063542954739E-3</v>
      </c>
      <c r="AF32" s="161">
        <f t="shared" si="14"/>
        <v>3.8740510493047793E-3</v>
      </c>
    </row>
    <row r="33" spans="3:32" x14ac:dyDescent="0.2">
      <c r="C33" s="215" t="s">
        <v>109</v>
      </c>
      <c r="AB33" s="188">
        <f>_xll.qlCalendarAdvance(Calendar,AB32,"1d","mf",,Trigger)</f>
        <v>42044</v>
      </c>
      <c r="AC33" s="210">
        <f>_xll.qlDayCounterYearFraction(DayCounter,SettlementDate,AB33,,,Trigger)</f>
        <v>0.13055555555555556</v>
      </c>
      <c r="AD33" s="189">
        <f t="shared" si="0"/>
        <v>3.8546897243813298E-3</v>
      </c>
      <c r="AE33" s="189">
        <f t="shared" si="13"/>
        <v>3.5667807233226044E-3</v>
      </c>
      <c r="AF33" s="161">
        <f t="shared" si="14"/>
        <v>3.8638323259703828E-3</v>
      </c>
    </row>
    <row r="34" spans="3:32" x14ac:dyDescent="0.2">
      <c r="C34" s="189">
        <f t="shared" ref="C34:C49" si="15">IF($C$33="FLAT",J15,IF($C$33="linear",K15,L15))</f>
        <v>3.5534984394534064E-3</v>
      </c>
      <c r="AB34" s="188">
        <f>_xll.qlCalendarAdvance(Calendar,AB33,"1d","mf",,Trigger)</f>
        <v>42045</v>
      </c>
      <c r="AC34" s="210">
        <f>_xll.qlDayCounterYearFraction(DayCounter,SettlementDate,AB34,,,Trigger)</f>
        <v>0.13333333333333333</v>
      </c>
      <c r="AD34" s="189">
        <f t="shared" si="0"/>
        <v>3.8546897243813298E-3</v>
      </c>
      <c r="AE34" s="189">
        <f t="shared" si="13"/>
        <v>3.5689055129983147E-3</v>
      </c>
      <c r="AF34" s="161">
        <f t="shared" si="14"/>
        <v>3.8604866701605215E-3</v>
      </c>
    </row>
    <row r="35" spans="3:32" x14ac:dyDescent="0.2">
      <c r="C35" s="189">
        <f t="shared" si="15"/>
        <v>3.5488698069498425E-3</v>
      </c>
      <c r="AB35" s="188">
        <f>_xll.qlCalendarAdvance(Calendar,AB34,"1d","mf",,Trigger)</f>
        <v>42046</v>
      </c>
      <c r="AC35" s="210">
        <f>_xll.qlDayCounterYearFraction(DayCounter,SettlementDate,AB35,,,Trigger)</f>
        <v>0.1361111111111111</v>
      </c>
      <c r="AD35" s="189">
        <f t="shared" si="0"/>
        <v>3.8546897243813298E-3</v>
      </c>
      <c r="AE35" s="189">
        <f t="shared" si="13"/>
        <v>3.5710303026740249E-3</v>
      </c>
      <c r="AF35" s="161">
        <f t="shared" si="14"/>
        <v>3.8571713070014615E-3</v>
      </c>
    </row>
    <row r="36" spans="3:32" x14ac:dyDescent="0.2">
      <c r="C36" s="189">
        <f t="shared" si="15"/>
        <v>3.933046516851414E-3</v>
      </c>
      <c r="AB36" s="188">
        <f>_xll.qlCalendarAdvance(Calendar,AB35,"1d","mf",,Trigger)</f>
        <v>42047</v>
      </c>
      <c r="AC36" s="210">
        <f>_xll.qlDayCounterYearFraction(DayCounter,SettlementDate,AB36,,,Trigger)</f>
        <v>0.1388888888888889</v>
      </c>
      <c r="AD36" s="189">
        <f t="shared" si="0"/>
        <v>3.8546897243813298E-3</v>
      </c>
      <c r="AE36" s="189">
        <f t="shared" si="13"/>
        <v>3.5731550923497348E-3</v>
      </c>
      <c r="AF36" s="161">
        <f t="shared" si="14"/>
        <v>3.8538862364932043E-3</v>
      </c>
    </row>
    <row r="37" spans="3:32" x14ac:dyDescent="0.2">
      <c r="C37" s="189">
        <f t="shared" si="15"/>
        <v>3.7576468705223321E-3</v>
      </c>
      <c r="AB37" s="188">
        <f>_xll.qlCalendarAdvance(Calendar,AB36,"1d","mf",,Trigger)</f>
        <v>42048</v>
      </c>
      <c r="AC37" s="210">
        <f>_xll.qlDayCounterYearFraction(DayCounter,SettlementDate,AB37,,,Trigger)</f>
        <v>0.14166666666666666</v>
      </c>
      <c r="AD37" s="189">
        <f t="shared" si="0"/>
        <v>3.8546897243813298E-3</v>
      </c>
      <c r="AE37" s="189">
        <f t="shared" si="13"/>
        <v>3.5752798820254451E-3</v>
      </c>
      <c r="AF37" s="161">
        <f t="shared" si="14"/>
        <v>3.8506314586357485E-3</v>
      </c>
    </row>
    <row r="38" spans="3:32" x14ac:dyDescent="0.2">
      <c r="C38" s="189">
        <f t="shared" si="15"/>
        <v>3.6223965297283397E-3</v>
      </c>
      <c r="AB38" s="188">
        <f>_xll.qlCalendarAdvance(Calendar,AB37,"1d","mf",,Trigger)</f>
        <v>42051</v>
      </c>
      <c r="AC38" s="210">
        <f>_xll.qlDayCounterYearFraction(DayCounter,SettlementDate,AB38,,,Trigger)</f>
        <v>0.15</v>
      </c>
      <c r="AD38" s="189">
        <f t="shared" si="0"/>
        <v>3.8546897243813298E-3</v>
      </c>
      <c r="AE38" s="189">
        <f t="shared" si="13"/>
        <v>3.5816542510525755E-3</v>
      </c>
      <c r="AF38" s="161">
        <f t="shared" si="14"/>
        <v>3.841048880968193E-3</v>
      </c>
    </row>
    <row r="39" spans="3:32" x14ac:dyDescent="0.2">
      <c r="C39" s="189">
        <f t="shared" si="15"/>
        <v>3.6975067091201794E-3</v>
      </c>
      <c r="AB39" s="188">
        <f>_xll.qlCalendarAdvance(Calendar,AB38,"1d","mf",,Trigger)</f>
        <v>42052</v>
      </c>
      <c r="AC39" s="210">
        <f>_xll.qlDayCounterYearFraction(DayCounter,SettlementDate,AB39,,,Trigger)</f>
        <v>0.15277777777777779</v>
      </c>
      <c r="AD39" s="189">
        <f t="shared" si="0"/>
        <v>3.8546897243813298E-3</v>
      </c>
      <c r="AE39" s="189">
        <f t="shared" si="13"/>
        <v>3.5837790407282858E-3</v>
      </c>
      <c r="AF39" s="161">
        <f t="shared" si="14"/>
        <v>3.8379152737139451E-3</v>
      </c>
    </row>
    <row r="40" spans="3:32" x14ac:dyDescent="0.2">
      <c r="C40" s="189">
        <f t="shared" si="15"/>
        <v>3.7525953194075257E-3</v>
      </c>
      <c r="AB40" s="188">
        <f>_xll.qlCalendarAdvance(Calendar,AB39,"1d","mf",,Trigger)</f>
        <v>42053</v>
      </c>
      <c r="AC40" s="210">
        <f>_xll.qlDayCounterYearFraction(DayCounter,SettlementDate,AB40,,,Trigger)</f>
        <v>0.15555555555555556</v>
      </c>
      <c r="AD40" s="189">
        <f t="shared" si="0"/>
        <v>3.8546897243813298E-3</v>
      </c>
      <c r="AE40" s="189">
        <f t="shared" si="13"/>
        <v>3.5859038304039957E-3</v>
      </c>
      <c r="AF40" s="161">
        <f t="shared" si="14"/>
        <v>3.8348119591104994E-3</v>
      </c>
    </row>
    <row r="41" spans="3:32" x14ac:dyDescent="0.2">
      <c r="C41" s="189">
        <f t="shared" si="15"/>
        <v>3.6326023275171436E-3</v>
      </c>
      <c r="AB41" s="188">
        <f>_xll.qlCalendarAdvance(Calendar,AB40,"1d","mf",,Trigger)</f>
        <v>42054</v>
      </c>
      <c r="AC41" s="210">
        <f>_xll.qlDayCounterYearFraction(DayCounter,SettlementDate,AB41,,,Trigger)</f>
        <v>0.15833333333333333</v>
      </c>
      <c r="AD41" s="189">
        <f t="shared" si="0"/>
        <v>3.8546897243813298E-3</v>
      </c>
      <c r="AE41" s="189">
        <f t="shared" si="13"/>
        <v>3.5880286200797059E-3</v>
      </c>
      <c r="AF41" s="161">
        <f t="shared" si="14"/>
        <v>3.8317389371578556E-3</v>
      </c>
    </row>
    <row r="42" spans="3:32" x14ac:dyDescent="0.2">
      <c r="C42" s="189">
        <f t="shared" si="15"/>
        <v>3.5208655398935732E-3</v>
      </c>
      <c r="AB42" s="188">
        <f>_xll.qlCalendarAdvance(Calendar,AB41,"1d","mf",,Trigger)</f>
        <v>42055</v>
      </c>
      <c r="AC42" s="210">
        <f>_xll.qlDayCounterYearFraction(DayCounter,SettlementDate,AB42,,,Trigger)</f>
        <v>0.16111111111111112</v>
      </c>
      <c r="AD42" s="189">
        <f t="shared" si="0"/>
        <v>3.8546897243813298E-3</v>
      </c>
      <c r="AE42" s="189">
        <f t="shared" si="13"/>
        <v>3.5901534097554162E-3</v>
      </c>
      <c r="AF42" s="161">
        <f t="shared" si="14"/>
        <v>3.828696207856014E-3</v>
      </c>
    </row>
    <row r="43" spans="3:32" ht="11.25" customHeight="1" x14ac:dyDescent="0.2">
      <c r="C43" s="189">
        <f t="shared" si="15"/>
        <v>3.4500653077626968E-3</v>
      </c>
      <c r="M43" s="214"/>
      <c r="AB43" s="188">
        <f>_xll.qlCalendarAdvance(Calendar,AB42,"1d","mf",,Trigger)</f>
        <v>42058</v>
      </c>
      <c r="AC43" s="210">
        <f>_xll.qlDayCounterYearFraction(DayCounter,SettlementDate,AB43,,,Trigger)</f>
        <v>0.16944444444444445</v>
      </c>
      <c r="AD43" s="189">
        <f t="shared" si="0"/>
        <v>3.8546897243813298E-3</v>
      </c>
      <c r="AE43" s="189">
        <f t="shared" si="13"/>
        <v>3.5965277787825467E-3</v>
      </c>
      <c r="AF43" s="161">
        <f t="shared" si="14"/>
        <v>3.8197497758553005E-3</v>
      </c>
    </row>
    <row r="44" spans="3:32" x14ac:dyDescent="0.2">
      <c r="C44" s="189">
        <f t="shared" si="15"/>
        <v>3.3893679575185158E-3</v>
      </c>
      <c r="M44" s="214"/>
      <c r="AB44" s="188">
        <f>_xll.qlCalendarAdvance(Calendar,AB43,"1d","mf",,Trigger)</f>
        <v>42059</v>
      </c>
      <c r="AC44" s="210">
        <f>_xll.qlDayCounterYearFraction(DayCounter,SettlementDate,AB44,,,Trigger)</f>
        <v>0.17222222222222222</v>
      </c>
      <c r="AD44" s="189">
        <f t="shared" si="0"/>
        <v>3.8546897243813298E-3</v>
      </c>
      <c r="AE44" s="189">
        <f t="shared" si="13"/>
        <v>3.5986525684582565E-3</v>
      </c>
      <c r="AF44" s="161">
        <f t="shared" si="14"/>
        <v>3.8168282171566663E-3</v>
      </c>
    </row>
    <row r="45" spans="3:32" x14ac:dyDescent="0.2">
      <c r="C45" s="189">
        <f t="shared" si="15"/>
        <v>3.3457596571565508E-3</v>
      </c>
      <c r="M45" s="214"/>
      <c r="AB45" s="188">
        <f>_xll.qlCalendarAdvance(Calendar,AB44,"1d","mf",,Trigger)</f>
        <v>42060</v>
      </c>
      <c r="AC45" s="210">
        <f>_xll.qlDayCounterYearFraction(DayCounter,SettlementDate,AB45,,,Trigger)</f>
        <v>0.17499999999999999</v>
      </c>
      <c r="AD45" s="189">
        <f t="shared" si="0"/>
        <v>3.8546897243813298E-3</v>
      </c>
      <c r="AE45" s="189">
        <f t="shared" si="13"/>
        <v>3.6007773581339668E-3</v>
      </c>
      <c r="AF45" s="161">
        <f t="shared" si="14"/>
        <v>3.8139369511088345E-3</v>
      </c>
    </row>
    <row r="46" spans="3:32" x14ac:dyDescent="0.2">
      <c r="C46" s="189">
        <f t="shared" si="15"/>
        <v>3.3028626274524851E-3</v>
      </c>
      <c r="M46" s="214"/>
      <c r="AB46" s="188">
        <f>_xll.qlCalendarAdvance(Calendar,AB45,"1d","mf",,Trigger)</f>
        <v>42061</v>
      </c>
      <c r="AC46" s="210">
        <f>_xll.qlDayCounterYearFraction(DayCounter,SettlementDate,AB46,,,Trigger)</f>
        <v>0.17777777777777778</v>
      </c>
      <c r="AD46" s="189">
        <f t="shared" si="0"/>
        <v>3.8546897243813298E-3</v>
      </c>
      <c r="AE46" s="189">
        <f t="shared" si="13"/>
        <v>3.6029021478096771E-3</v>
      </c>
      <c r="AF46" s="161">
        <f t="shared" si="14"/>
        <v>3.8110759777118045E-3</v>
      </c>
    </row>
    <row r="47" spans="3:32" x14ac:dyDescent="0.2">
      <c r="C47" s="189">
        <f t="shared" si="15"/>
        <v>3.2897812033978327E-3</v>
      </c>
      <c r="M47" s="214"/>
      <c r="AB47" s="188">
        <f>_xll.qlCalendarAdvance(Calendar,AB46,"1d","mf",,Trigger)</f>
        <v>42062</v>
      </c>
      <c r="AC47" s="210">
        <f>_xll.qlDayCounterYearFraction(DayCounter,SettlementDate,AB47,,,Trigger)</f>
        <v>0.18055555555555555</v>
      </c>
      <c r="AD47" s="189">
        <f t="shared" si="0"/>
        <v>3.8546897243813298E-3</v>
      </c>
      <c r="AE47" s="189">
        <f t="shared" si="13"/>
        <v>3.605026937485387E-3</v>
      </c>
      <c r="AF47" s="161">
        <f t="shared" si="14"/>
        <v>3.8082452969655763E-3</v>
      </c>
    </row>
    <row r="48" spans="3:32" x14ac:dyDescent="0.2">
      <c r="C48" s="189">
        <f t="shared" si="15"/>
        <v>3.2853097292914837E-3</v>
      </c>
      <c r="AB48" s="188">
        <f>_xll.qlCalendarAdvance(Calendar,AB47,"1d","mf",,Trigger)</f>
        <v>42065</v>
      </c>
      <c r="AC48" s="210">
        <f>_xll.qlDayCounterYearFraction(DayCounter,SettlementDate,AB48,,,Trigger)</f>
        <v>0.18888888888888888</v>
      </c>
      <c r="AD48" s="189">
        <f t="shared" si="0"/>
        <v>3.8546897243813298E-3</v>
      </c>
      <c r="AE48" s="189">
        <f t="shared" si="13"/>
        <v>3.6114013065125174E-3</v>
      </c>
      <c r="AF48" s="161">
        <f t="shared" si="14"/>
        <v>3.7999350106317042E-3</v>
      </c>
    </row>
    <row r="49" spans="3:32" x14ac:dyDescent="0.2">
      <c r="C49" s="216">
        <f t="shared" si="15"/>
        <v>3.2900000000000364E-3</v>
      </c>
      <c r="AB49" s="188">
        <f>_xll.qlCalendarAdvance(Calendar,AB48,"1d","mf",,Trigger)</f>
        <v>42066</v>
      </c>
      <c r="AC49" s="210">
        <f>_xll.qlDayCounterYearFraction(DayCounter,SettlementDate,AB49,,,Trigger)</f>
        <v>0.19166666666666668</v>
      </c>
      <c r="AD49" s="189">
        <f t="shared" si="0"/>
        <v>3.8546897243813298E-3</v>
      </c>
      <c r="AE49" s="189">
        <f t="shared" si="13"/>
        <v>3.6135260961882277E-3</v>
      </c>
      <c r="AF49" s="161">
        <f t="shared" si="14"/>
        <v>3.7972255004886839E-3</v>
      </c>
    </row>
    <row r="50" spans="3:32" x14ac:dyDescent="0.2">
      <c r="I50" s="170"/>
      <c r="J50" s="170"/>
      <c r="AB50" s="188">
        <f>_xll.qlCalendarAdvance(Calendar,AB49,"1d","mf",,Trigger)</f>
        <v>42067</v>
      </c>
      <c r="AC50" s="210">
        <f>_xll.qlDayCounterYearFraction(DayCounter,SettlementDate,AB50,,,Trigger)</f>
        <v>0.19444444444444445</v>
      </c>
      <c r="AD50" s="189">
        <f t="shared" si="0"/>
        <v>3.8546897243813298E-3</v>
      </c>
      <c r="AE50" s="189">
        <f t="shared" si="13"/>
        <v>3.615650885863938E-3</v>
      </c>
      <c r="AF50" s="161">
        <f t="shared" si="14"/>
        <v>3.7945462829964659E-3</v>
      </c>
    </row>
    <row r="51" spans="3:32" x14ac:dyDescent="0.2">
      <c r="AB51" s="188">
        <f>_xll.qlCalendarAdvance(Calendar,AB50,"1d","mf",,Trigger)</f>
        <v>42068</v>
      </c>
      <c r="AC51" s="210">
        <f>_xll.qlDayCounterYearFraction(DayCounter,SettlementDate,AB51,,,Trigger)</f>
        <v>0.19722222222222222</v>
      </c>
      <c r="AD51" s="189">
        <f t="shared" si="0"/>
        <v>3.8546897243813298E-3</v>
      </c>
      <c r="AE51" s="189">
        <f t="shared" si="13"/>
        <v>3.6177756755396478E-3</v>
      </c>
      <c r="AF51" s="161">
        <f t="shared" si="14"/>
        <v>3.7918973581550497E-3</v>
      </c>
    </row>
    <row r="52" spans="3:32" x14ac:dyDescent="0.2">
      <c r="AB52" s="188">
        <f>_xll.qlCalendarAdvance(Calendar,AB51,"1d","mf",,Trigger)</f>
        <v>42069</v>
      </c>
      <c r="AC52" s="210">
        <f>_xll.qlDayCounterYearFraction(DayCounter,SettlementDate,AB52,,,Trigger)</f>
        <v>0.2</v>
      </c>
      <c r="AD52" s="189">
        <f t="shared" si="0"/>
        <v>3.8546897243813298E-3</v>
      </c>
      <c r="AE52" s="189">
        <f t="shared" si="13"/>
        <v>3.6199004652153581E-3</v>
      </c>
      <c r="AF52" s="161">
        <f t="shared" si="14"/>
        <v>3.7892787259644354E-3</v>
      </c>
    </row>
    <row r="53" spans="3:32" x14ac:dyDescent="0.2">
      <c r="AB53" s="188">
        <f>_xll.qlCalendarAdvance(Calendar,AB52,"1d","mf",,Trigger)</f>
        <v>42072</v>
      </c>
      <c r="AC53" s="210">
        <f>_xll.qlDayCounterYearFraction(DayCounter,SettlementDate,AB53,,,Trigger)</f>
        <v>0.20833333333333334</v>
      </c>
      <c r="AD53" s="189">
        <f t="shared" si="0"/>
        <v>3.8546897243813298E-3</v>
      </c>
      <c r="AE53" s="189">
        <f t="shared" si="13"/>
        <v>3.6262748342424885E-3</v>
      </c>
      <c r="AF53" s="161">
        <f t="shared" si="14"/>
        <v>3.7816045852974048E-3</v>
      </c>
    </row>
    <row r="54" spans="3:32" x14ac:dyDescent="0.2">
      <c r="AB54" s="188">
        <f>_xll.qlCalendarAdvance(Calendar,AB53,"1d","mf",,Trigger)</f>
        <v>42073</v>
      </c>
      <c r="AC54" s="210">
        <f>_xll.qlDayCounterYearFraction(DayCounter,SettlementDate,AB54,,,Trigger)</f>
        <v>0.21111111111111111</v>
      </c>
      <c r="AD54" s="189">
        <f t="shared" si="0"/>
        <v>3.8546897243813298E-3</v>
      </c>
      <c r="AE54" s="189">
        <f t="shared" si="13"/>
        <v>3.6283996239181988E-3</v>
      </c>
      <c r="AF54" s="161">
        <f t="shared" si="14"/>
        <v>3.7791071237099987E-3</v>
      </c>
    </row>
    <row r="55" spans="3:32" x14ac:dyDescent="0.2">
      <c r="AB55" s="188">
        <f>_xll.qlCalendarAdvance(Calendar,AB54,"1d","mf",,Trigger)</f>
        <v>42074</v>
      </c>
      <c r="AC55" s="210">
        <f>_xll.qlDayCounterYearFraction(DayCounter,SettlementDate,AB55,,,Trigger)</f>
        <v>0.21388888888888888</v>
      </c>
      <c r="AD55" s="189">
        <f t="shared" si="0"/>
        <v>3.8546897243813298E-3</v>
      </c>
      <c r="AE55" s="189">
        <f t="shared" si="13"/>
        <v>3.6305244135939087E-3</v>
      </c>
      <c r="AF55" s="161">
        <f t="shared" si="14"/>
        <v>3.7766399547733941E-3</v>
      </c>
    </row>
    <row r="56" spans="3:32" x14ac:dyDescent="0.2">
      <c r="AB56" s="188">
        <f>_xll.qlCalendarAdvance(Calendar,AB55,"1d","mf",,Trigger)</f>
        <v>42075</v>
      </c>
      <c r="AC56" s="210">
        <f>_xll.qlDayCounterYearFraction(DayCounter,SettlementDate,AB56,,,Trigger)</f>
        <v>0.21666666666666667</v>
      </c>
      <c r="AD56" s="189">
        <f t="shared" si="0"/>
        <v>3.8546897243813298E-3</v>
      </c>
      <c r="AE56" s="189">
        <f t="shared" si="13"/>
        <v>3.632649203269619E-3</v>
      </c>
      <c r="AF56" s="161">
        <f t="shared" si="14"/>
        <v>3.7742030784875921E-3</v>
      </c>
    </row>
    <row r="57" spans="3:32" x14ac:dyDescent="0.2">
      <c r="AB57" s="188">
        <f>_xll.qlCalendarAdvance(Calendar,AB56,"1d","mf",,Trigger)</f>
        <v>42076</v>
      </c>
      <c r="AC57" s="210">
        <f>_xll.qlDayCounterYearFraction(DayCounter,SettlementDate,AB57,,,Trigger)</f>
        <v>0.21944444444444444</v>
      </c>
      <c r="AD57" s="189">
        <f t="shared" si="0"/>
        <v>3.8546897243813298E-3</v>
      </c>
      <c r="AE57" s="189">
        <f t="shared" si="13"/>
        <v>3.6347739929453293E-3</v>
      </c>
      <c r="AF57" s="161">
        <f t="shared" si="14"/>
        <v>3.7717964948525916E-3</v>
      </c>
    </row>
    <row r="58" spans="3:32" x14ac:dyDescent="0.2">
      <c r="AB58" s="188">
        <f>_xll.qlCalendarAdvance(Calendar,AB57,"1d","mf",,Trigger)</f>
        <v>42079</v>
      </c>
      <c r="AC58" s="210">
        <f>_xll.qlDayCounterYearFraction(DayCounter,SettlementDate,AB58,,,Trigger)</f>
        <v>0.22777777777777777</v>
      </c>
      <c r="AD58" s="189">
        <f t="shared" si="0"/>
        <v>3.8546897243813298E-3</v>
      </c>
      <c r="AE58" s="189">
        <f t="shared" si="13"/>
        <v>3.6411483619724597E-3</v>
      </c>
      <c r="AF58" s="161">
        <f t="shared" si="14"/>
        <v>3.7647584998524021E-3</v>
      </c>
    </row>
    <row r="59" spans="3:32" x14ac:dyDescent="0.2">
      <c r="AB59" s="188">
        <f>_xll.qlCalendarAdvance(Calendar,AB58,"1d","mf",,Trigger)</f>
        <v>42080</v>
      </c>
      <c r="AC59" s="210">
        <f>_xll.qlDayCounterYearFraction(DayCounter,SettlementDate,AB59,,,Trigger)</f>
        <v>0.23055555555555557</v>
      </c>
      <c r="AD59" s="189">
        <f t="shared" si="0"/>
        <v>3.8546897243813298E-3</v>
      </c>
      <c r="AE59" s="189">
        <f t="shared" si="13"/>
        <v>3.6432731516481695E-3</v>
      </c>
      <c r="AF59" s="161">
        <f t="shared" si="14"/>
        <v>3.7624730868206094E-3</v>
      </c>
    </row>
    <row r="60" spans="3:32" x14ac:dyDescent="0.2">
      <c r="AB60" s="188">
        <f>_xll.qlCalendarAdvance(Calendar,AB59,"1d","mf",,Trigger)</f>
        <v>42081</v>
      </c>
      <c r="AC60" s="210">
        <f>_xll.qlDayCounterYearFraction(DayCounter,SettlementDate,AB60,,,Trigger)</f>
        <v>0.23333333333333334</v>
      </c>
      <c r="AD60" s="189">
        <f t="shared" si="0"/>
        <v>3.8546897243813298E-3</v>
      </c>
      <c r="AE60" s="189">
        <f t="shared" si="13"/>
        <v>3.6453979413238798E-3</v>
      </c>
      <c r="AF60" s="161">
        <f t="shared" si="14"/>
        <v>3.760217966439619E-3</v>
      </c>
    </row>
    <row r="61" spans="3:32" x14ac:dyDescent="0.2">
      <c r="AB61" s="188">
        <f>_xll.qlCalendarAdvance(Calendar,AB60,"1d","mf",,Trigger)</f>
        <v>42082</v>
      </c>
      <c r="AC61" s="210">
        <f>_xll.qlDayCounterYearFraction(DayCounter,SettlementDate,AB61,,,Trigger)</f>
        <v>0.2361111111111111</v>
      </c>
      <c r="AD61" s="189">
        <f t="shared" si="0"/>
        <v>3.8546897243813298E-3</v>
      </c>
      <c r="AE61" s="189">
        <f t="shared" si="13"/>
        <v>3.6475227309995901E-3</v>
      </c>
      <c r="AF61" s="161">
        <f t="shared" si="14"/>
        <v>3.7579931387094305E-3</v>
      </c>
    </row>
    <row r="62" spans="3:32" x14ac:dyDescent="0.2">
      <c r="AB62" s="188">
        <f>_xll.qlCalendarAdvance(Calendar,AB61,"1d","mf",,Trigger)</f>
        <v>42083</v>
      </c>
      <c r="AC62" s="210">
        <f>_xll.qlDayCounterYearFraction(DayCounter,SettlementDate,AB62,,,Trigger)</f>
        <v>0.2388888888888889</v>
      </c>
      <c r="AD62" s="189">
        <f t="shared" si="0"/>
        <v>3.8546897243813298E-3</v>
      </c>
      <c r="AE62" s="189">
        <f t="shared" si="13"/>
        <v>3.6496475206753E-3</v>
      </c>
      <c r="AF62" s="161">
        <f t="shared" si="14"/>
        <v>3.7557986036300442E-3</v>
      </c>
    </row>
    <row r="63" spans="3:32" x14ac:dyDescent="0.2">
      <c r="AB63" s="188">
        <f>_xll.qlCalendarAdvance(Calendar,AB62,"1d","mf",,Trigger)</f>
        <v>42086</v>
      </c>
      <c r="AC63" s="210">
        <f>_xll.qlDayCounterYearFraction(DayCounter,SettlementDate,AB63,,,Trigger)</f>
        <v>0.24722222222222223</v>
      </c>
      <c r="AD63" s="189">
        <f t="shared" si="0"/>
        <v>3.8546897243813298E-3</v>
      </c>
      <c r="AE63" s="189">
        <f t="shared" si="13"/>
        <v>3.6560218897024304E-3</v>
      </c>
      <c r="AF63" s="161">
        <f t="shared" si="14"/>
        <v>3.7493967542966966E-3</v>
      </c>
    </row>
    <row r="64" spans="3:32" x14ac:dyDescent="0.2">
      <c r="AB64" s="188">
        <f>_xll.qlCalendarAdvance(Calendar,AB63,"1d","mf",,Trigger)</f>
        <v>42087</v>
      </c>
      <c r="AC64" s="210">
        <f>_xll.qlDayCounterYearFraction(DayCounter,SettlementDate,AB64,,,Trigger)</f>
        <v>0.25</v>
      </c>
      <c r="AD64" s="189">
        <f t="shared" si="0"/>
        <v>3.8546897243813298E-3</v>
      </c>
      <c r="AE64" s="189">
        <f t="shared" si="13"/>
        <v>3.6581466793781407E-3</v>
      </c>
      <c r="AF64" s="161">
        <f t="shared" si="14"/>
        <v>3.7473233898205178E-3</v>
      </c>
    </row>
    <row r="65" spans="9:32" x14ac:dyDescent="0.2">
      <c r="AB65" s="188">
        <f>_xll.qlCalendarAdvance(Calendar,AB64,"1d","mf",,Trigger)</f>
        <v>42088</v>
      </c>
      <c r="AC65" s="210">
        <f>_xll.qlDayCounterYearFraction(DayCounter,SettlementDate,AB65,,,Trigger)</f>
        <v>0.25277777777777777</v>
      </c>
      <c r="AD65" s="189">
        <f t="shared" si="0"/>
        <v>3.8546897243813298E-3</v>
      </c>
      <c r="AE65" s="189">
        <f t="shared" si="13"/>
        <v>3.660271469053851E-3</v>
      </c>
      <c r="AF65" s="161">
        <f t="shared" si="14"/>
        <v>3.7452803179951412E-3</v>
      </c>
    </row>
    <row r="66" spans="9:32" x14ac:dyDescent="0.2">
      <c r="AB66" s="188">
        <f>_xll.qlCalendarAdvance(Calendar,AB65,"1d","mf",,Trigger)</f>
        <v>42089</v>
      </c>
      <c r="AC66" s="210">
        <f>_xll.qlDayCounterYearFraction(DayCounter,SettlementDate,AB66,,,Trigger)</f>
        <v>0.25555555555555554</v>
      </c>
      <c r="AD66" s="189">
        <f t="shared" si="0"/>
        <v>3.8546897243813298E-3</v>
      </c>
      <c r="AE66" s="189">
        <f t="shared" si="13"/>
        <v>3.6623962587295608E-3</v>
      </c>
      <c r="AF66" s="161">
        <f t="shared" si="14"/>
        <v>3.7432675388205665E-3</v>
      </c>
    </row>
    <row r="67" spans="9:32" x14ac:dyDescent="0.2">
      <c r="AB67" s="188">
        <f>_xll.qlCalendarAdvance(Calendar,AB66,"1d","mf",,Trigger)</f>
        <v>42090</v>
      </c>
      <c r="AC67" s="210">
        <f>_xll.qlDayCounterYearFraction(DayCounter,SettlementDate,AB67,,,Trigger)</f>
        <v>0.25833333333333336</v>
      </c>
      <c r="AD67" s="189">
        <f t="shared" ref="AD67:AD130" si="16">$S$13</f>
        <v>3.8546897243813298E-3</v>
      </c>
      <c r="AE67" s="189">
        <f t="shared" si="13"/>
        <v>3.6645210484052711E-3</v>
      </c>
      <c r="AF67" s="161">
        <f t="shared" si="14"/>
        <v>3.7412850522967936E-3</v>
      </c>
    </row>
    <row r="68" spans="9:32" x14ac:dyDescent="0.2">
      <c r="AB68" s="188">
        <f>_xll.qlCalendarAdvance(Calendar,AB67,"1d","mf",,Trigger)</f>
        <v>42093</v>
      </c>
      <c r="AC68" s="210">
        <f>_xll.qlDayCounterYearFraction(DayCounter,SettlementDate,AB68,,,Trigger)</f>
        <v>0.26666666666666666</v>
      </c>
      <c r="AD68" s="189">
        <f t="shared" si="16"/>
        <v>3.8546897243813298E-3</v>
      </c>
      <c r="AE68" s="189">
        <f t="shared" si="13"/>
        <v>3.6708954174324016E-3</v>
      </c>
      <c r="AF68" s="161">
        <f t="shared" si="14"/>
        <v>3.7355193486302875E-3</v>
      </c>
    </row>
    <row r="69" spans="9:32" x14ac:dyDescent="0.2">
      <c r="I69" s="170"/>
      <c r="AB69" s="188">
        <f>_xll.qlCalendarAdvance(Calendar,AB68,"1d","mf",,Trigger)</f>
        <v>42094</v>
      </c>
      <c r="AC69" s="210">
        <f>_xll.qlDayCounterYearFraction(DayCounter,SettlementDate,AB69,,,Trigger)</f>
        <v>0.26944444444444443</v>
      </c>
      <c r="AD69" s="189">
        <f t="shared" si="16"/>
        <v>3.8546897243813298E-3</v>
      </c>
      <c r="AE69" s="189">
        <f t="shared" si="13"/>
        <v>3.6730202071081118E-3</v>
      </c>
      <c r="AF69" s="161">
        <f t="shared" si="14"/>
        <v>3.7336580327097229E-3</v>
      </c>
    </row>
    <row r="70" spans="9:32" x14ac:dyDescent="0.2">
      <c r="I70" s="170"/>
      <c r="AB70" s="188">
        <f>_xll.qlCalendarAdvance(Calendar,AB69,"1d","mf",,Trigger)</f>
        <v>42095</v>
      </c>
      <c r="AC70" s="210">
        <f>_xll.qlDayCounterYearFraction(DayCounter,SettlementDate,AB70,,,Trigger)</f>
        <v>0.2722222222222222</v>
      </c>
      <c r="AD70" s="189">
        <f t="shared" si="16"/>
        <v>3.8546897243813298E-3</v>
      </c>
      <c r="AE70" s="189">
        <f t="shared" si="13"/>
        <v>3.6751449967838217E-3</v>
      </c>
      <c r="AF70" s="161">
        <f t="shared" si="14"/>
        <v>3.7318270094399597E-3</v>
      </c>
    </row>
    <row r="71" spans="9:32" x14ac:dyDescent="0.2">
      <c r="I71" s="170"/>
      <c r="AB71" s="188">
        <f>_xll.qlCalendarAdvance(Calendar,AB70,"1d","mf",,Trigger)</f>
        <v>42096</v>
      </c>
      <c r="AC71" s="210">
        <f>_xll.qlDayCounterYearFraction(DayCounter,SettlementDate,AB71,,,Trigger)</f>
        <v>0.27500000000000002</v>
      </c>
      <c r="AD71" s="189">
        <f t="shared" si="16"/>
        <v>3.8546897243813298E-3</v>
      </c>
      <c r="AE71" s="189">
        <f t="shared" si="13"/>
        <v>3.677269786459532E-3</v>
      </c>
      <c r="AF71" s="161">
        <f t="shared" si="14"/>
        <v>3.7300262788209988E-3</v>
      </c>
    </row>
    <row r="72" spans="9:32" x14ac:dyDescent="0.2">
      <c r="I72" s="170"/>
      <c r="AB72" s="188">
        <f>_xll.qlCalendarAdvance(Calendar,AB71,"1d","mf",,Trigger)</f>
        <v>42101</v>
      </c>
      <c r="AC72" s="210">
        <f>_xll.qlDayCounterYearFraction(DayCounter,SettlementDate,AB72,,,Trigger)</f>
        <v>0.28888888888888886</v>
      </c>
      <c r="AD72" s="189">
        <f t="shared" si="16"/>
        <v>3.8546897243813298E-3</v>
      </c>
      <c r="AE72" s="189">
        <f t="shared" si="13"/>
        <v>3.6878937348380826E-3</v>
      </c>
      <c r="AF72" s="161">
        <f t="shared" si="14"/>
        <v>3.7214770154882239E-3</v>
      </c>
    </row>
    <row r="73" spans="9:32" x14ac:dyDescent="0.2">
      <c r="I73" s="170"/>
      <c r="AB73" s="188">
        <f>_xll.qlCalendarAdvance(Calendar,AB72,"1d","mf",,Trigger)</f>
        <v>42102</v>
      </c>
      <c r="AC73" s="210">
        <f>_xll.qlDayCounterYearFraction(DayCounter,SettlementDate,AB73,,,Trigger)</f>
        <v>0.29166666666666669</v>
      </c>
      <c r="AD73" s="189">
        <f t="shared" si="16"/>
        <v>3.8546897243813298E-3</v>
      </c>
      <c r="AE73" s="189">
        <f t="shared" si="13"/>
        <v>3.6900185245137928E-3</v>
      </c>
      <c r="AF73" s="161">
        <f t="shared" si="14"/>
        <v>3.719858040774075E-3</v>
      </c>
    </row>
    <row r="74" spans="9:32" x14ac:dyDescent="0.2">
      <c r="I74" s="170"/>
      <c r="AB74" s="188">
        <f>_xll.qlCalendarAdvance(Calendar,AB73,"1d","mf",,Trigger)</f>
        <v>42103</v>
      </c>
      <c r="AC74" s="210">
        <f>_xll.qlDayCounterYearFraction(DayCounter,SettlementDate,AB74,,,Trigger)</f>
        <v>0.29444444444444445</v>
      </c>
      <c r="AD74" s="189">
        <f t="shared" si="16"/>
        <v>3.8546897243813298E-3</v>
      </c>
      <c r="AE74" s="189">
        <f t="shared" si="13"/>
        <v>3.6921433141895031E-3</v>
      </c>
      <c r="AF74" s="161">
        <f t="shared" si="14"/>
        <v>3.718269358710728E-3</v>
      </c>
    </row>
    <row r="75" spans="9:32" x14ac:dyDescent="0.2">
      <c r="I75" s="170"/>
      <c r="J75" s="170"/>
      <c r="AB75" s="188">
        <f>_xll.qlCalendarAdvance(Calendar,AB74,"1d","mf",,Trigger)</f>
        <v>42104</v>
      </c>
      <c r="AC75" s="210">
        <f>_xll.qlDayCounterYearFraction(DayCounter,SettlementDate,AB75,,,Trigger)</f>
        <v>0.29722222222222222</v>
      </c>
      <c r="AD75" s="189">
        <f t="shared" si="16"/>
        <v>3.8546897243813298E-3</v>
      </c>
      <c r="AE75" s="189">
        <f t="shared" si="13"/>
        <v>3.694268103865213E-3</v>
      </c>
      <c r="AF75" s="161">
        <f t="shared" si="14"/>
        <v>3.7167109692981832E-3</v>
      </c>
    </row>
    <row r="76" spans="9:32" x14ac:dyDescent="0.2">
      <c r="I76" s="170"/>
      <c r="J76" s="170"/>
      <c r="AB76" s="188">
        <f>_xll.qlCalendarAdvance(Calendar,AB75,"1d","mf",,Trigger)</f>
        <v>42107</v>
      </c>
      <c r="AC76" s="210">
        <f>_xll.qlDayCounterYearFraction(DayCounter,SettlementDate,AB76,,,Trigger)</f>
        <v>0.30555555555555558</v>
      </c>
      <c r="AD76" s="189">
        <f t="shared" si="16"/>
        <v>3.8546897243813298E-3</v>
      </c>
      <c r="AE76" s="189">
        <f t="shared" si="13"/>
        <v>3.7006424728923434E-3</v>
      </c>
      <c r="AF76" s="161">
        <f t="shared" si="14"/>
        <v>3.7122175569653591E-3</v>
      </c>
    </row>
    <row r="77" spans="9:32" x14ac:dyDescent="0.2">
      <c r="I77" s="170"/>
      <c r="J77" s="170"/>
      <c r="AB77" s="188">
        <f>_xll.qlCalendarAdvance(Calendar,AB76,"1d","mf",,Trigger)</f>
        <v>42108</v>
      </c>
      <c r="AC77" s="210">
        <f>_xll.qlDayCounterYearFraction(DayCounter,SettlementDate,AB77,,,Trigger)</f>
        <v>0.30833333333333335</v>
      </c>
      <c r="AD77" s="189">
        <f t="shared" si="16"/>
        <v>3.8546897243813298E-3</v>
      </c>
      <c r="AE77" s="189">
        <f t="shared" si="13"/>
        <v>3.7027672625680537E-3</v>
      </c>
      <c r="AF77" s="161">
        <f t="shared" si="14"/>
        <v>3.7107803381560226E-3</v>
      </c>
    </row>
    <row r="78" spans="9:32" x14ac:dyDescent="0.2">
      <c r="I78" s="170"/>
      <c r="J78" s="170"/>
      <c r="AB78" s="188">
        <f>_xll.qlCalendarAdvance(Calendar,AB77,"1d","mf",,Trigger)</f>
        <v>42109</v>
      </c>
      <c r="AC78" s="210">
        <f>_xll.qlDayCounterYearFraction(DayCounter,SettlementDate,AB78,,,Trigger)</f>
        <v>0.31111111111111112</v>
      </c>
      <c r="AD78" s="189">
        <f t="shared" si="16"/>
        <v>3.8546897243813298E-3</v>
      </c>
      <c r="AE78" s="189">
        <f t="shared" si="13"/>
        <v>3.704892052243764E-3</v>
      </c>
      <c r="AF78" s="161">
        <f t="shared" si="14"/>
        <v>3.7093734119974871E-3</v>
      </c>
    </row>
    <row r="79" spans="9:32" x14ac:dyDescent="0.2">
      <c r="I79" s="170"/>
      <c r="J79" s="170"/>
      <c r="AB79" s="188">
        <f>_xll.qlCalendarAdvance(Calendar,AB78,"1d","mf",,Trigger)</f>
        <v>42110</v>
      </c>
      <c r="AC79" s="210">
        <f>_xll.qlDayCounterYearFraction(DayCounter,SettlementDate,AB79,,,Trigger)</f>
        <v>0.31388888888888888</v>
      </c>
      <c r="AD79" s="189">
        <f t="shared" si="16"/>
        <v>3.8546897243813298E-3</v>
      </c>
      <c r="AE79" s="189">
        <f t="shared" si="13"/>
        <v>3.7070168419194739E-3</v>
      </c>
      <c r="AF79" s="161">
        <f t="shared" si="14"/>
        <v>3.7079967784897543E-3</v>
      </c>
    </row>
    <row r="80" spans="9:32" x14ac:dyDescent="0.2">
      <c r="I80" s="170"/>
      <c r="J80" s="170"/>
      <c r="AB80" s="188">
        <f>_xll.qlCalendarAdvance(Calendar,AB79,"1d","mf",,Trigger)</f>
        <v>42111</v>
      </c>
      <c r="AC80" s="210">
        <f>_xll.qlDayCounterYearFraction(DayCounter,SettlementDate,AB80,,,Trigger)</f>
        <v>0.31666666666666665</v>
      </c>
      <c r="AD80" s="189">
        <f t="shared" si="16"/>
        <v>3.8546897243813298E-3</v>
      </c>
      <c r="AE80" s="189">
        <f t="shared" si="13"/>
        <v>3.7091416315951841E-3</v>
      </c>
      <c r="AF80" s="161">
        <f t="shared" si="14"/>
        <v>3.7066504376328225E-3</v>
      </c>
    </row>
    <row r="81" spans="9:32" x14ac:dyDescent="0.2">
      <c r="I81" s="170"/>
      <c r="J81" s="170"/>
      <c r="AB81" s="188">
        <f>_xll.qlCalendarAdvance(Calendar,AB80,"1d","mf",,Trigger)</f>
        <v>42114</v>
      </c>
      <c r="AC81" s="210">
        <f>_xll.qlDayCounterYearFraction(DayCounter,SettlementDate,AB81,,,Trigger)</f>
        <v>0.32500000000000001</v>
      </c>
      <c r="AD81" s="189">
        <f t="shared" si="16"/>
        <v>3.8546897243813298E-3</v>
      </c>
      <c r="AE81" s="189">
        <f t="shared" si="13"/>
        <v>3.7155160006223146E-3</v>
      </c>
      <c r="AF81" s="161">
        <f t="shared" si="14"/>
        <v>3.7027931709668407E-3</v>
      </c>
    </row>
    <row r="82" spans="9:32" x14ac:dyDescent="0.2">
      <c r="I82" s="170"/>
      <c r="J82" s="170"/>
      <c r="AB82" s="188">
        <f>_xll.qlCalendarAdvance(Calendar,AB81,"1d","mf",,Trigger)</f>
        <v>42115</v>
      </c>
      <c r="AC82" s="210">
        <f>_xll.qlDayCounterYearFraction(DayCounter,SettlementDate,AB82,,,Trigger)</f>
        <v>0.32777777777777778</v>
      </c>
      <c r="AD82" s="189">
        <f t="shared" si="16"/>
        <v>3.8546897243813298E-3</v>
      </c>
      <c r="AE82" s="189">
        <f t="shared" si="13"/>
        <v>3.7176407902980249E-3</v>
      </c>
      <c r="AF82" s="161">
        <f t="shared" si="14"/>
        <v>3.7015680007131172E-3</v>
      </c>
    </row>
    <row r="83" spans="9:32" x14ac:dyDescent="0.2">
      <c r="I83" s="170"/>
      <c r="J83" s="170"/>
      <c r="AB83" s="188">
        <f>_xll.qlCalendarAdvance(Calendar,AB82,"1d","mf",,Trigger)</f>
        <v>42116</v>
      </c>
      <c r="AC83" s="210">
        <f>_xll.qlDayCounterYearFraction(DayCounter,SettlementDate,AB83,,,Trigger)</f>
        <v>0.33055555555555555</v>
      </c>
      <c r="AD83" s="189">
        <f t="shared" si="16"/>
        <v>3.8546897243813298E-3</v>
      </c>
      <c r="AE83" s="189">
        <f t="shared" si="13"/>
        <v>3.7197655799737347E-3</v>
      </c>
      <c r="AF83" s="161">
        <f t="shared" si="14"/>
        <v>3.7003731231101959E-3</v>
      </c>
    </row>
    <row r="84" spans="9:32" x14ac:dyDescent="0.2">
      <c r="I84" s="170"/>
      <c r="J84" s="170"/>
      <c r="AB84" s="188">
        <f>_xll.qlCalendarAdvance(Calendar,AB83,"1d","mf",,Trigger)</f>
        <v>42117</v>
      </c>
      <c r="AC84" s="210">
        <f>_xll.qlDayCounterYearFraction(DayCounter,SettlementDate,AB84,,,Trigger)</f>
        <v>0.33333333333333331</v>
      </c>
      <c r="AD84" s="189">
        <f t="shared" si="16"/>
        <v>3.8546897243813298E-3</v>
      </c>
      <c r="AE84" s="189">
        <f t="shared" si="13"/>
        <v>3.721890369649445E-3</v>
      </c>
      <c r="AF84" s="161">
        <f t="shared" si="14"/>
        <v>3.6992085381580765E-3</v>
      </c>
    </row>
    <row r="85" spans="9:32" x14ac:dyDescent="0.2">
      <c r="I85" s="170"/>
      <c r="J85" s="170"/>
      <c r="AB85" s="188">
        <f>_xll.qlCalendarAdvance(Calendar,AB84,"1d","mf",,Trigger)</f>
        <v>42118</v>
      </c>
      <c r="AC85" s="210">
        <f>_xll.qlDayCounterYearFraction(DayCounter,SettlementDate,AB85,,,Trigger)</f>
        <v>0.33611111111111114</v>
      </c>
      <c r="AD85" s="189">
        <f t="shared" si="16"/>
        <v>3.8546897243813298E-3</v>
      </c>
      <c r="AE85" s="189">
        <f t="shared" si="13"/>
        <v>3.7240151593251553E-3</v>
      </c>
      <c r="AF85" s="161">
        <f t="shared" si="14"/>
        <v>3.6980742458567594E-3</v>
      </c>
    </row>
    <row r="86" spans="9:32" x14ac:dyDescent="0.2">
      <c r="I86" s="170"/>
      <c r="J86" s="170"/>
      <c r="AB86" s="188">
        <f>_xll.qlCalendarAdvance(Calendar,AB85,"1d","mf",,Trigger)</f>
        <v>42121</v>
      </c>
      <c r="AC86" s="210">
        <f>_xll.qlDayCounterYearFraction(DayCounter,SettlementDate,AB86,,,Trigger)</f>
        <v>0.34444444444444444</v>
      </c>
      <c r="AD86" s="189">
        <f t="shared" si="16"/>
        <v>3.8546897243813298E-3</v>
      </c>
      <c r="AE86" s="189">
        <f t="shared" ref="AE86:AE145" si="17">$S$10+$S$9*AC86</f>
        <v>3.7303895283522857E-3</v>
      </c>
      <c r="AF86" s="161">
        <f t="shared" ref="AF86:AF145" si="18">($S$5+$S$4*AC86+$S$3*AC86^2)</f>
        <v>3.6948531248576187E-3</v>
      </c>
    </row>
    <row r="87" spans="9:32" x14ac:dyDescent="0.2">
      <c r="I87" s="170"/>
      <c r="J87" s="170"/>
      <c r="AB87" s="188">
        <f>_xll.qlCalendarAdvance(Calendar,AB86,"1d","mf",,Trigger)</f>
        <v>42122</v>
      </c>
      <c r="AC87" s="210">
        <f>_xll.qlDayCounterYearFraction(DayCounter,SettlementDate,AB87,,,Trigger)</f>
        <v>0.34722222222222221</v>
      </c>
      <c r="AD87" s="189">
        <f t="shared" si="16"/>
        <v>3.8546897243813298E-3</v>
      </c>
      <c r="AE87" s="189">
        <f t="shared" si="17"/>
        <v>3.7325143180279956E-3</v>
      </c>
      <c r="AF87" s="161">
        <f t="shared" si="18"/>
        <v>3.6938400031595094E-3</v>
      </c>
    </row>
    <row r="88" spans="9:32" x14ac:dyDescent="0.2">
      <c r="I88" s="170"/>
      <c r="J88" s="170"/>
      <c r="AB88" s="188">
        <f>_xll.qlCalendarAdvance(Calendar,AB87,"1d","mf",,Trigger)</f>
        <v>42123</v>
      </c>
      <c r="AC88" s="210">
        <f>_xll.qlDayCounterYearFraction(DayCounter,SettlementDate,AB88,,,Trigger)</f>
        <v>0.35</v>
      </c>
      <c r="AD88" s="189">
        <f t="shared" si="16"/>
        <v>3.8546897243813298E-3</v>
      </c>
      <c r="AE88" s="189">
        <f t="shared" si="17"/>
        <v>3.7346391077037059E-3</v>
      </c>
      <c r="AF88" s="161">
        <f t="shared" si="18"/>
        <v>3.692857174112202E-3</v>
      </c>
    </row>
    <row r="89" spans="9:32" x14ac:dyDescent="0.2">
      <c r="I89" s="170"/>
      <c r="J89" s="170"/>
      <c r="AB89" s="188">
        <f>_xll.qlCalendarAdvance(Calendar,AB88,"1d","mf",,Trigger)</f>
        <v>42124</v>
      </c>
      <c r="AC89" s="210">
        <f>_xll.qlDayCounterYearFraction(DayCounter,SettlementDate,AB89,,,Trigger)</f>
        <v>0.3527777777777778</v>
      </c>
      <c r="AD89" s="189">
        <f t="shared" si="16"/>
        <v>3.8546897243813298E-3</v>
      </c>
      <c r="AE89" s="189">
        <f t="shared" si="17"/>
        <v>3.7367638973794162E-3</v>
      </c>
      <c r="AF89" s="161">
        <f t="shared" si="18"/>
        <v>3.691904637715696E-3</v>
      </c>
    </row>
    <row r="90" spans="9:32" x14ac:dyDescent="0.2">
      <c r="I90" s="170"/>
      <c r="J90" s="170"/>
      <c r="AB90" s="188">
        <f>_xll.qlCalendarAdvance(Calendar,AB89,"1d","mf",,Trigger)</f>
        <v>42128</v>
      </c>
      <c r="AC90" s="210">
        <f>_xll.qlDayCounterYearFraction(DayCounter,SettlementDate,AB90,,,Trigger)</f>
        <v>0.36388888888888887</v>
      </c>
      <c r="AD90" s="189">
        <f t="shared" si="16"/>
        <v>3.8546897243813298E-3</v>
      </c>
      <c r="AE90" s="189">
        <f t="shared" si="17"/>
        <v>3.7452630560822564E-3</v>
      </c>
      <c r="AF90" s="161">
        <f t="shared" si="18"/>
        <v>3.6883974186376935E-3</v>
      </c>
    </row>
    <row r="91" spans="9:32" x14ac:dyDescent="0.2">
      <c r="I91" s="170"/>
      <c r="J91" s="170"/>
      <c r="AB91" s="188">
        <f>_xll.qlCalendarAdvance(Calendar,AB90,"1d","mf",,Trigger)</f>
        <v>42129</v>
      </c>
      <c r="AC91" s="210">
        <f>_xll.qlDayCounterYearFraction(DayCounter,SettlementDate,AB91,,,Trigger)</f>
        <v>0.36666666666666664</v>
      </c>
      <c r="AD91" s="189">
        <f t="shared" si="16"/>
        <v>3.8546897243813298E-3</v>
      </c>
      <c r="AE91" s="189">
        <f t="shared" si="17"/>
        <v>3.7473878457579667E-3</v>
      </c>
      <c r="AF91" s="161">
        <f t="shared" si="18"/>
        <v>3.6875963454951976E-3</v>
      </c>
    </row>
    <row r="92" spans="9:32" x14ac:dyDescent="0.2">
      <c r="I92" s="170"/>
      <c r="J92" s="170"/>
      <c r="AB92" s="188">
        <f>_xll.qlCalendarAdvance(Calendar,AB91,"1d","mf",,Trigger)</f>
        <v>42130</v>
      </c>
      <c r="AC92" s="210">
        <f>_xll.qlDayCounterYearFraction(DayCounter,SettlementDate,AB92,,,Trigger)</f>
        <v>0.36944444444444446</v>
      </c>
      <c r="AD92" s="189">
        <f t="shared" si="16"/>
        <v>3.8546897243813298E-3</v>
      </c>
      <c r="AE92" s="189">
        <f t="shared" si="17"/>
        <v>3.749512635433677E-3</v>
      </c>
      <c r="AF92" s="161">
        <f t="shared" si="18"/>
        <v>3.686825565003504E-3</v>
      </c>
    </row>
    <row r="93" spans="9:32" x14ac:dyDescent="0.2">
      <c r="I93" s="170"/>
      <c r="J93" s="170"/>
      <c r="AB93" s="188">
        <f>_xll.qlCalendarAdvance(Calendar,AB92,"1d","mf",,Trigger)</f>
        <v>42131</v>
      </c>
      <c r="AC93" s="210">
        <f>_xll.qlDayCounterYearFraction(DayCounter,SettlementDate,AB93,,,Trigger)</f>
        <v>0.37222222222222223</v>
      </c>
      <c r="AD93" s="189">
        <f t="shared" si="16"/>
        <v>3.8546897243813298E-3</v>
      </c>
      <c r="AE93" s="189">
        <f t="shared" si="17"/>
        <v>3.7516374251093869E-3</v>
      </c>
      <c r="AF93" s="161">
        <f t="shared" si="18"/>
        <v>3.6860850771626122E-3</v>
      </c>
    </row>
    <row r="94" spans="9:32" x14ac:dyDescent="0.2">
      <c r="I94" s="170"/>
      <c r="J94" s="170"/>
      <c r="AB94" s="188">
        <f>_xll.qlCalendarAdvance(Calendar,AB93,"1d","mf",,Trigger)</f>
        <v>42132</v>
      </c>
      <c r="AC94" s="210">
        <f>_xll.qlDayCounterYearFraction(DayCounter,SettlementDate,AB94,,,Trigger)</f>
        <v>0.375</v>
      </c>
      <c r="AD94" s="189">
        <f t="shared" si="16"/>
        <v>3.8546897243813298E-3</v>
      </c>
      <c r="AE94" s="189">
        <f t="shared" si="17"/>
        <v>3.7537622147850972E-3</v>
      </c>
      <c r="AF94" s="161">
        <f t="shared" si="18"/>
        <v>3.6853748819725227E-3</v>
      </c>
    </row>
    <row r="95" spans="9:32" x14ac:dyDescent="0.2">
      <c r="I95" s="170"/>
      <c r="J95" s="170"/>
      <c r="AB95" s="188">
        <f>_xll.qlCalendarAdvance(Calendar,AB94,"1d","mf",,Trigger)</f>
        <v>42135</v>
      </c>
      <c r="AC95" s="210">
        <f>_xll.qlDayCounterYearFraction(DayCounter,SettlementDate,AB95,,,Trigger)</f>
        <v>0.38333333333333336</v>
      </c>
      <c r="AD95" s="189">
        <f t="shared" si="16"/>
        <v>3.8546897243813298E-3</v>
      </c>
      <c r="AE95" s="189">
        <f t="shared" si="17"/>
        <v>3.7601365838122276E-3</v>
      </c>
      <c r="AF95" s="161">
        <f t="shared" si="18"/>
        <v>3.6834260523070654E-3</v>
      </c>
    </row>
    <row r="96" spans="9:32" x14ac:dyDescent="0.2">
      <c r="I96" s="170"/>
      <c r="J96" s="170"/>
      <c r="AB96" s="188">
        <f>_xll.qlCalendarAdvance(Calendar,AB95,"1d","mf",,Trigger)</f>
        <v>42136</v>
      </c>
      <c r="AC96" s="210">
        <f>_xll.qlDayCounterYearFraction(DayCounter,SettlementDate,AB96,,,Trigger)</f>
        <v>0.38611111111111113</v>
      </c>
      <c r="AD96" s="189">
        <f t="shared" si="16"/>
        <v>3.8546897243813298E-3</v>
      </c>
      <c r="AE96" s="189">
        <f t="shared" si="17"/>
        <v>3.7622613734879379E-3</v>
      </c>
      <c r="AF96" s="161">
        <f t="shared" si="18"/>
        <v>3.6828370277201834E-3</v>
      </c>
    </row>
    <row r="97" spans="9:32" x14ac:dyDescent="0.2">
      <c r="I97" s="170"/>
      <c r="J97" s="170"/>
      <c r="AB97" s="188">
        <f>_xll.qlCalendarAdvance(Calendar,AB96,"1d","mf",,Trigger)</f>
        <v>42137</v>
      </c>
      <c r="AC97" s="210">
        <f>_xll.qlDayCounterYearFraction(DayCounter,SettlementDate,AB97,,,Trigger)</f>
        <v>0.3888888888888889</v>
      </c>
      <c r="AD97" s="189">
        <f t="shared" si="16"/>
        <v>3.8546897243813298E-3</v>
      </c>
      <c r="AE97" s="189">
        <f t="shared" si="17"/>
        <v>3.7643861631636477E-3</v>
      </c>
      <c r="AF97" s="161">
        <f t="shared" si="18"/>
        <v>3.6822782957841036E-3</v>
      </c>
    </row>
    <row r="98" spans="9:32" x14ac:dyDescent="0.2">
      <c r="I98" s="170"/>
      <c r="J98" s="170"/>
      <c r="AB98" s="188">
        <f>_xll.qlCalendarAdvance(Calendar,AB97,"1d","mf",,Trigger)</f>
        <v>42138</v>
      </c>
      <c r="AC98" s="210">
        <f>_xll.qlDayCounterYearFraction(DayCounter,SettlementDate,AB98,,,Trigger)</f>
        <v>0.39166666666666666</v>
      </c>
      <c r="AD98" s="189">
        <f t="shared" si="16"/>
        <v>3.8546897243813298E-3</v>
      </c>
      <c r="AE98" s="189">
        <f t="shared" si="17"/>
        <v>3.766510952839358E-3</v>
      </c>
      <c r="AF98" s="161">
        <f t="shared" si="18"/>
        <v>3.6817498564988256E-3</v>
      </c>
    </row>
    <row r="99" spans="9:32" x14ac:dyDescent="0.2">
      <c r="I99" s="170"/>
      <c r="J99" s="170"/>
      <c r="AB99" s="188">
        <f>_xll.qlCalendarAdvance(Calendar,AB98,"1d","mf",,Trigger)</f>
        <v>42139</v>
      </c>
      <c r="AC99" s="210">
        <f>_xll.qlDayCounterYearFraction(DayCounter,SettlementDate,AB99,,,Trigger)</f>
        <v>0.39444444444444443</v>
      </c>
      <c r="AD99" s="189">
        <f t="shared" si="16"/>
        <v>3.8546897243813298E-3</v>
      </c>
      <c r="AE99" s="189">
        <f t="shared" si="17"/>
        <v>3.7686357425150683E-3</v>
      </c>
      <c r="AF99" s="161">
        <f t="shared" si="18"/>
        <v>3.6812517098643491E-3</v>
      </c>
    </row>
    <row r="100" spans="9:32" x14ac:dyDescent="0.2">
      <c r="I100" s="170"/>
      <c r="J100" s="170"/>
      <c r="AB100" s="188">
        <f>_xll.qlCalendarAdvance(Calendar,AB99,"1d","mf",,Trigger)</f>
        <v>42142</v>
      </c>
      <c r="AC100" s="210">
        <f>_xll.qlDayCounterYearFraction(DayCounter,SettlementDate,AB100,,,Trigger)</f>
        <v>0.40277777777777779</v>
      </c>
      <c r="AD100" s="189">
        <f t="shared" si="16"/>
        <v>3.8546897243813298E-3</v>
      </c>
      <c r="AE100" s="189">
        <f t="shared" si="17"/>
        <v>3.7750101115421987E-3</v>
      </c>
      <c r="AF100" s="161">
        <f t="shared" si="18"/>
        <v>3.6799390258657333E-3</v>
      </c>
    </row>
    <row r="101" spans="9:32" x14ac:dyDescent="0.2">
      <c r="I101" s="170"/>
      <c r="J101" s="170"/>
      <c r="AB101" s="188">
        <f>_xll.qlCalendarAdvance(Calendar,AB100,"1d","mf",,Trigger)</f>
        <v>42143</v>
      </c>
      <c r="AC101" s="210">
        <f>_xll.qlDayCounterYearFraction(DayCounter,SettlementDate,AB101,,,Trigger)</f>
        <v>0.40555555555555556</v>
      </c>
      <c r="AD101" s="189">
        <f t="shared" si="16"/>
        <v>3.8546897243813298E-3</v>
      </c>
      <c r="AE101" s="189">
        <f t="shared" si="17"/>
        <v>3.7771349012179086E-3</v>
      </c>
      <c r="AF101" s="161">
        <f t="shared" si="18"/>
        <v>3.6795620498344655E-3</v>
      </c>
    </row>
    <row r="102" spans="9:32" x14ac:dyDescent="0.2">
      <c r="I102" s="170"/>
      <c r="J102" s="170"/>
      <c r="AB102" s="188">
        <f>_xll.qlCalendarAdvance(Calendar,AB101,"1d","mf",,Trigger)</f>
        <v>42144</v>
      </c>
      <c r="AC102" s="210">
        <f>_xll.qlDayCounterYearFraction(DayCounter,SettlementDate,AB102,,,Trigger)</f>
        <v>0.40833333333333333</v>
      </c>
      <c r="AD102" s="189">
        <f t="shared" si="16"/>
        <v>3.8546897243813298E-3</v>
      </c>
      <c r="AE102" s="189">
        <f t="shared" si="17"/>
        <v>3.7792596908936189E-3</v>
      </c>
      <c r="AF102" s="161">
        <f t="shared" si="18"/>
        <v>3.6792153664539991E-3</v>
      </c>
    </row>
    <row r="103" spans="9:32" x14ac:dyDescent="0.2">
      <c r="I103" s="170"/>
      <c r="J103" s="170"/>
      <c r="AB103" s="188">
        <f>_xll.qlCalendarAdvance(Calendar,AB102,"1d","mf",,Trigger)</f>
        <v>42145</v>
      </c>
      <c r="AC103" s="210">
        <f>_xll.qlDayCounterYearFraction(DayCounter,SettlementDate,AB103,,,Trigger)</f>
        <v>0.41111111111111109</v>
      </c>
      <c r="AD103" s="189">
        <f t="shared" si="16"/>
        <v>3.8546897243813298E-3</v>
      </c>
      <c r="AE103" s="189">
        <f t="shared" si="17"/>
        <v>3.7813844805693292E-3</v>
      </c>
      <c r="AF103" s="161">
        <f t="shared" si="18"/>
        <v>3.678898975724335E-3</v>
      </c>
    </row>
    <row r="104" spans="9:32" x14ac:dyDescent="0.2">
      <c r="I104" s="170"/>
      <c r="J104" s="170"/>
      <c r="AB104" s="188">
        <f>_xll.qlCalendarAdvance(Calendar,AB103,"1d","mf",,Trigger)</f>
        <v>42146</v>
      </c>
      <c r="AC104" s="210">
        <f>_xll.qlDayCounterYearFraction(DayCounter,SettlementDate,AB104,,,Trigger)</f>
        <v>0.41388888888888886</v>
      </c>
      <c r="AD104" s="189">
        <f t="shared" si="16"/>
        <v>3.8546897243813298E-3</v>
      </c>
      <c r="AE104" s="189">
        <f t="shared" si="17"/>
        <v>3.783509270245039E-3</v>
      </c>
      <c r="AF104" s="161">
        <f t="shared" si="18"/>
        <v>3.6786128776454732E-3</v>
      </c>
    </row>
    <row r="105" spans="9:32" x14ac:dyDescent="0.2">
      <c r="I105" s="170"/>
      <c r="J105" s="170"/>
      <c r="AB105" s="188">
        <f>_xll.qlCalendarAdvance(Calendar,AB104,"1d","mf",,Trigger)</f>
        <v>42149</v>
      </c>
      <c r="AC105" s="210">
        <f>_xll.qlDayCounterYearFraction(DayCounter,SettlementDate,AB105,,,Trigger)</f>
        <v>0.42222222222222222</v>
      </c>
      <c r="AD105" s="189">
        <f t="shared" si="16"/>
        <v>3.8546897243813298E-3</v>
      </c>
      <c r="AE105" s="189">
        <f t="shared" si="17"/>
        <v>3.7898836392721695E-3</v>
      </c>
      <c r="AF105" s="161">
        <f t="shared" si="18"/>
        <v>3.6779363393136984E-3</v>
      </c>
    </row>
    <row r="106" spans="9:32" x14ac:dyDescent="0.2">
      <c r="I106" s="170"/>
      <c r="J106" s="170"/>
      <c r="AB106" s="188">
        <f>_xll.qlCalendarAdvance(Calendar,AB105,"1d","mf",,Trigger)</f>
        <v>42150</v>
      </c>
      <c r="AC106" s="210">
        <f>_xll.qlDayCounterYearFraction(DayCounter,SettlementDate,AB106,,,Trigger)</f>
        <v>0.42499999999999999</v>
      </c>
      <c r="AD106" s="189">
        <f t="shared" si="16"/>
        <v>3.8546897243813298E-3</v>
      </c>
      <c r="AE106" s="189">
        <f t="shared" si="17"/>
        <v>3.7920084289478797E-3</v>
      </c>
      <c r="AF106" s="161">
        <f t="shared" si="18"/>
        <v>3.6777714118380444E-3</v>
      </c>
    </row>
    <row r="107" spans="9:32" x14ac:dyDescent="0.2">
      <c r="I107" s="170"/>
      <c r="J107" s="170"/>
      <c r="AB107" s="188">
        <f>_xll.qlCalendarAdvance(Calendar,AB106,"1d","mf",,Trigger)</f>
        <v>42151</v>
      </c>
      <c r="AC107" s="210">
        <f>_xll.qlDayCounterYearFraction(DayCounter,SettlementDate,AB107,,,Trigger)</f>
        <v>0.42777777777777776</v>
      </c>
      <c r="AD107" s="189">
        <f t="shared" si="16"/>
        <v>3.8546897243813298E-3</v>
      </c>
      <c r="AE107" s="189">
        <f t="shared" si="17"/>
        <v>3.79413321862359E-3</v>
      </c>
      <c r="AF107" s="161">
        <f t="shared" si="18"/>
        <v>3.6776367770131923E-3</v>
      </c>
    </row>
    <row r="108" spans="9:32" x14ac:dyDescent="0.2">
      <c r="I108" s="170"/>
      <c r="J108" s="170"/>
      <c r="AB108" s="188">
        <f>_xll.qlCalendarAdvance(Calendar,AB107,"1d","mf",,Trigger)</f>
        <v>42152</v>
      </c>
      <c r="AC108" s="210">
        <f>_xll.qlDayCounterYearFraction(DayCounter,SettlementDate,AB108,,,Trigger)</f>
        <v>0.43055555555555558</v>
      </c>
      <c r="AD108" s="189">
        <f t="shared" si="16"/>
        <v>3.8546897243813298E-3</v>
      </c>
      <c r="AE108" s="189">
        <f t="shared" si="17"/>
        <v>3.7962580082992999E-3</v>
      </c>
      <c r="AF108" s="161">
        <f t="shared" si="18"/>
        <v>3.6775324348391415E-3</v>
      </c>
    </row>
    <row r="109" spans="9:32" x14ac:dyDescent="0.2">
      <c r="I109" s="170"/>
      <c r="J109" s="170"/>
      <c r="AB109" s="188">
        <f>_xll.qlCalendarAdvance(Calendar,AB108,"1d","mf",,Trigger)</f>
        <v>42153</v>
      </c>
      <c r="AC109" s="210">
        <f>_xll.qlDayCounterYearFraction(DayCounter,SettlementDate,AB109,,,Trigger)</f>
        <v>0.43333333333333335</v>
      </c>
      <c r="AD109" s="189">
        <f t="shared" si="16"/>
        <v>3.8546897243813298E-3</v>
      </c>
      <c r="AE109" s="189">
        <f t="shared" si="17"/>
        <v>3.7983827979750102E-3</v>
      </c>
      <c r="AF109" s="161">
        <f t="shared" si="18"/>
        <v>3.6774583853158935E-3</v>
      </c>
    </row>
    <row r="110" spans="9:32" x14ac:dyDescent="0.2">
      <c r="I110" s="170"/>
      <c r="J110" s="170"/>
      <c r="AB110" s="188">
        <f>_xll.qlCalendarAdvance(Calendar,AB109,"1d","mf",,Trigger)</f>
        <v>42156</v>
      </c>
      <c r="AC110" s="210">
        <f>_xll.qlDayCounterYearFraction(DayCounter,SettlementDate,AB110,,,Trigger)</f>
        <v>0.44166666666666665</v>
      </c>
      <c r="AD110" s="189">
        <f t="shared" si="16"/>
        <v>3.8546897243813298E-3</v>
      </c>
      <c r="AE110" s="189">
        <f t="shared" si="17"/>
        <v>3.8047571670021406E-3</v>
      </c>
      <c r="AF110" s="161">
        <f t="shared" si="18"/>
        <v>3.6774179926509602E-3</v>
      </c>
    </row>
    <row r="111" spans="9:32" x14ac:dyDescent="0.2">
      <c r="I111" s="170"/>
      <c r="J111" s="170"/>
      <c r="AB111" s="188">
        <f>_xll.qlCalendarAdvance(Calendar,AB110,"1d","mf",,Trigger)</f>
        <v>42157</v>
      </c>
      <c r="AC111" s="210">
        <f>_xll.qlDayCounterYearFraction(DayCounter,SettlementDate,AB111,,,Trigger)</f>
        <v>0.44444444444444442</v>
      </c>
      <c r="AD111" s="189">
        <f t="shared" si="16"/>
        <v>3.8546897243813298E-3</v>
      </c>
      <c r="AE111" s="189">
        <f t="shared" si="17"/>
        <v>3.8068819566778509E-3</v>
      </c>
      <c r="AF111" s="161">
        <f t="shared" si="18"/>
        <v>3.6774651137309201E-3</v>
      </c>
    </row>
    <row r="112" spans="9:32" x14ac:dyDescent="0.2">
      <c r="I112" s="170"/>
      <c r="J112" s="170"/>
      <c r="AB112" s="188">
        <f>_xll.qlCalendarAdvance(Calendar,AB111,"1d","mf",,Trigger)</f>
        <v>42158</v>
      </c>
      <c r="AC112" s="210">
        <f>_xll.qlDayCounterYearFraction(DayCounter,SettlementDate,AB112,,,Trigger)</f>
        <v>0.44722222222222224</v>
      </c>
      <c r="AD112" s="189">
        <f t="shared" si="16"/>
        <v>3.8546897243813298E-3</v>
      </c>
      <c r="AE112" s="189">
        <f t="shared" si="17"/>
        <v>3.8090067463535607E-3</v>
      </c>
      <c r="AF112" s="161">
        <f t="shared" si="18"/>
        <v>3.6775425274616813E-3</v>
      </c>
    </row>
    <row r="113" spans="9:32" x14ac:dyDescent="0.2">
      <c r="I113" s="170"/>
      <c r="J113" s="170"/>
      <c r="AB113" s="188">
        <f>_xll.qlCalendarAdvance(Calendar,AB112,"1d","mf",,Trigger)</f>
        <v>42159</v>
      </c>
      <c r="AC113" s="210">
        <f>_xll.qlDayCounterYearFraction(DayCounter,SettlementDate,AB113,,,Trigger)</f>
        <v>0.45</v>
      </c>
      <c r="AD113" s="189">
        <f t="shared" si="16"/>
        <v>3.8546897243813298E-3</v>
      </c>
      <c r="AE113" s="189">
        <f t="shared" si="17"/>
        <v>3.811131536029271E-3</v>
      </c>
      <c r="AF113" s="161">
        <f t="shared" si="18"/>
        <v>3.6776502338432449E-3</v>
      </c>
    </row>
    <row r="114" spans="9:32" x14ac:dyDescent="0.2">
      <c r="I114" s="170"/>
      <c r="J114" s="170"/>
      <c r="AB114" s="188">
        <f>_xll.qlCalendarAdvance(Calendar,AB113,"1d","mf",,Trigger)</f>
        <v>42160</v>
      </c>
      <c r="AC114" s="210">
        <f>_xll.qlDayCounterYearFraction(DayCounter,SettlementDate,AB114,,,Trigger)</f>
        <v>0.45277777777777778</v>
      </c>
      <c r="AD114" s="189">
        <f t="shared" si="16"/>
        <v>3.8546897243813298E-3</v>
      </c>
      <c r="AE114" s="189">
        <f t="shared" si="17"/>
        <v>3.8132563257049813E-3</v>
      </c>
      <c r="AF114" s="161">
        <f t="shared" si="18"/>
        <v>3.6777882328756107E-3</v>
      </c>
    </row>
    <row r="115" spans="9:32" x14ac:dyDescent="0.2">
      <c r="I115" s="170"/>
      <c r="J115" s="170"/>
      <c r="AB115" s="188">
        <f>_xll.qlCalendarAdvance(Calendar,AB114,"1d","mf",,Trigger)</f>
        <v>42163</v>
      </c>
      <c r="AC115" s="210">
        <f>_xll.qlDayCounterYearFraction(DayCounter,SettlementDate,AB115,,,Trigger)</f>
        <v>0.46111111111111114</v>
      </c>
      <c r="AD115" s="189">
        <f t="shared" si="16"/>
        <v>3.8546897243813298E-3</v>
      </c>
      <c r="AE115" s="189">
        <f t="shared" si="17"/>
        <v>3.8196306947321118E-3</v>
      </c>
      <c r="AF115" s="161">
        <f t="shared" si="18"/>
        <v>3.6783839858775189E-3</v>
      </c>
    </row>
    <row r="116" spans="9:32" x14ac:dyDescent="0.2">
      <c r="I116" s="170"/>
      <c r="J116" s="170"/>
      <c r="AB116" s="188">
        <f>_xll.qlCalendarAdvance(Calendar,AB115,"1d","mf",,Trigger)</f>
        <v>42164</v>
      </c>
      <c r="AC116" s="210">
        <f>_xll.qlDayCounterYearFraction(DayCounter,SettlementDate,AB116,,,Trigger)</f>
        <v>0.46388888888888891</v>
      </c>
      <c r="AD116" s="189">
        <f t="shared" si="16"/>
        <v>3.8546897243813298E-3</v>
      </c>
      <c r="AE116" s="189">
        <f t="shared" si="17"/>
        <v>3.8217554844078216E-3</v>
      </c>
      <c r="AF116" s="161">
        <f t="shared" si="18"/>
        <v>3.6786431555130925E-3</v>
      </c>
    </row>
    <row r="117" spans="9:32" x14ac:dyDescent="0.2">
      <c r="I117" s="170"/>
      <c r="J117" s="170"/>
      <c r="AB117" s="188">
        <f>_xll.qlCalendarAdvance(Calendar,AB116,"1d","mf",,Trigger)</f>
        <v>42165</v>
      </c>
      <c r="AC117" s="210">
        <f>_xll.qlDayCounterYearFraction(DayCounter,SettlementDate,AB117,,,Trigger)</f>
        <v>0.46666666666666667</v>
      </c>
      <c r="AD117" s="189">
        <f t="shared" si="16"/>
        <v>3.8546897243813298E-3</v>
      </c>
      <c r="AE117" s="189">
        <f t="shared" si="17"/>
        <v>3.8238802740835319E-3</v>
      </c>
      <c r="AF117" s="161">
        <f t="shared" si="18"/>
        <v>3.678932617799468E-3</v>
      </c>
    </row>
    <row r="118" spans="9:32" x14ac:dyDescent="0.2">
      <c r="I118" s="170"/>
      <c r="J118" s="170"/>
      <c r="AB118" s="188">
        <f>_xll.qlCalendarAdvance(Calendar,AB117,"1d","mf",,Trigger)</f>
        <v>42166</v>
      </c>
      <c r="AC118" s="210">
        <f>_xll.qlDayCounterYearFraction(DayCounter,SettlementDate,AB118,,,Trigger)</f>
        <v>0.46944444444444444</v>
      </c>
      <c r="AD118" s="189">
        <f t="shared" si="16"/>
        <v>3.8546897243813298E-3</v>
      </c>
      <c r="AE118" s="189">
        <f t="shared" si="17"/>
        <v>3.8260050637592422E-3</v>
      </c>
      <c r="AF118" s="161">
        <f t="shared" si="18"/>
        <v>3.6792523727366454E-3</v>
      </c>
    </row>
    <row r="119" spans="9:32" x14ac:dyDescent="0.2">
      <c r="I119" s="170"/>
      <c r="J119" s="170"/>
      <c r="AB119" s="188">
        <f>_xll.qlCalendarAdvance(Calendar,AB118,"1d","mf",,Trigger)</f>
        <v>42167</v>
      </c>
      <c r="AC119" s="210">
        <f>_xll.qlDayCounterYearFraction(DayCounter,SettlementDate,AB119,,,Trigger)</f>
        <v>0.47222222222222221</v>
      </c>
      <c r="AD119" s="189">
        <f t="shared" si="16"/>
        <v>3.8546897243813298E-3</v>
      </c>
      <c r="AE119" s="189">
        <f t="shared" si="17"/>
        <v>3.828129853434952E-3</v>
      </c>
      <c r="AF119" s="161">
        <f t="shared" si="18"/>
        <v>3.6796024203246246E-3</v>
      </c>
    </row>
    <row r="120" spans="9:32" x14ac:dyDescent="0.2">
      <c r="I120" s="170"/>
      <c r="J120" s="170"/>
      <c r="AB120" s="188">
        <f>_xll.qlCalendarAdvance(Calendar,AB119,"1d","mf",,Trigger)</f>
        <v>42170</v>
      </c>
      <c r="AC120" s="210">
        <f>_xll.qlDayCounterYearFraction(DayCounter,SettlementDate,AB120,,,Trigger)</f>
        <v>0.48055555555555557</v>
      </c>
      <c r="AD120" s="189">
        <f t="shared" si="16"/>
        <v>3.8546897243813298E-3</v>
      </c>
      <c r="AE120" s="189">
        <f t="shared" si="17"/>
        <v>3.8345042224620825E-3</v>
      </c>
      <c r="AF120" s="161">
        <f t="shared" si="18"/>
        <v>3.6808343189933747E-3</v>
      </c>
    </row>
    <row r="121" spans="9:32" x14ac:dyDescent="0.2">
      <c r="I121" s="170"/>
      <c r="J121" s="170"/>
      <c r="AB121" s="188">
        <f>_xll.qlCalendarAdvance(Calendar,AB120,"1d","mf",,Trigger)</f>
        <v>42171</v>
      </c>
      <c r="AC121" s="210">
        <f>_xll.qlDayCounterYearFraction(DayCounter,SettlementDate,AB121,,,Trigger)</f>
        <v>0.48333333333333334</v>
      </c>
      <c r="AD121" s="189">
        <f t="shared" si="16"/>
        <v>3.8546897243813298E-3</v>
      </c>
      <c r="AE121" s="189">
        <f t="shared" si="17"/>
        <v>3.8366290121377928E-3</v>
      </c>
      <c r="AF121" s="161">
        <f t="shared" si="18"/>
        <v>3.6813055371845613E-3</v>
      </c>
    </row>
    <row r="122" spans="9:32" x14ac:dyDescent="0.2">
      <c r="I122" s="157"/>
      <c r="J122" s="170"/>
      <c r="AB122" s="188">
        <f>_xll.qlCalendarAdvance(Calendar,AB121,"1d","mf",,Trigger)</f>
        <v>42172</v>
      </c>
      <c r="AC122" s="210">
        <f>_xll.qlDayCounterYearFraction(DayCounter,SettlementDate,AB122,,,Trigger)</f>
        <v>0.4861111111111111</v>
      </c>
      <c r="AD122" s="189">
        <f t="shared" si="16"/>
        <v>3.8546897243813298E-3</v>
      </c>
      <c r="AE122" s="189">
        <f t="shared" si="17"/>
        <v>3.838753801813503E-3</v>
      </c>
      <c r="AF122" s="161">
        <f t="shared" si="18"/>
        <v>3.6818070480265507E-3</v>
      </c>
    </row>
    <row r="123" spans="9:32" x14ac:dyDescent="0.2">
      <c r="I123" s="157"/>
      <c r="J123" s="170"/>
      <c r="AB123" s="188">
        <f>_xll.qlCalendarAdvance(Calendar,AB122,"1d","mf",,Trigger)</f>
        <v>42173</v>
      </c>
      <c r="AC123" s="210">
        <f>_xll.qlDayCounterYearFraction(DayCounter,SettlementDate,AB123,,,Trigger)</f>
        <v>0.48888888888888887</v>
      </c>
      <c r="AD123" s="189">
        <f t="shared" si="16"/>
        <v>3.8546897243813298E-3</v>
      </c>
      <c r="AE123" s="189">
        <f t="shared" si="17"/>
        <v>3.8408785914892129E-3</v>
      </c>
      <c r="AF123" s="161">
        <f t="shared" si="18"/>
        <v>3.6823388515193419E-3</v>
      </c>
    </row>
    <row r="124" spans="9:32" x14ac:dyDescent="0.2">
      <c r="I124" s="157"/>
      <c r="J124" s="170"/>
      <c r="AB124" s="188">
        <f>_xll.qlCalendarAdvance(Calendar,AB123,"1d","mf",,Trigger)</f>
        <v>42174</v>
      </c>
      <c r="AC124" s="210">
        <f>_xll.qlDayCounterYearFraction(DayCounter,SettlementDate,AB124,,,Trigger)</f>
        <v>0.49166666666666664</v>
      </c>
      <c r="AD124" s="189">
        <f t="shared" si="16"/>
        <v>3.8546897243813298E-3</v>
      </c>
      <c r="AE124" s="189">
        <f t="shared" si="17"/>
        <v>3.8430033811649232E-3</v>
      </c>
      <c r="AF124" s="161">
        <f t="shared" si="18"/>
        <v>3.6829009476629349E-3</v>
      </c>
    </row>
    <row r="125" spans="9:32" x14ac:dyDescent="0.2">
      <c r="I125" s="157"/>
      <c r="J125" s="170"/>
      <c r="AB125" s="188">
        <f>_xll.qlCalendarAdvance(Calendar,AB124,"1d","mf",,Trigger)</f>
        <v>42177</v>
      </c>
      <c r="AC125" s="210">
        <f>_xll.qlDayCounterYearFraction(DayCounter,SettlementDate,AB125,,,Trigger)</f>
        <v>0.5</v>
      </c>
      <c r="AD125" s="189">
        <f t="shared" si="16"/>
        <v>3.8546897243813298E-3</v>
      </c>
      <c r="AE125" s="189">
        <f t="shared" si="17"/>
        <v>3.8493777501920536E-3</v>
      </c>
      <c r="AF125" s="161">
        <f t="shared" si="18"/>
        <v>3.6847689919985264E-3</v>
      </c>
    </row>
    <row r="126" spans="9:32" x14ac:dyDescent="0.2">
      <c r="I126" s="157"/>
      <c r="J126" s="170"/>
      <c r="AB126" s="188">
        <f>_xll.qlCalendarAdvance(Calendar,AB125,"1d","mf",,Trigger)</f>
        <v>42178</v>
      </c>
      <c r="AC126" s="210">
        <f>_xll.qlDayCounterYearFraction(DayCounter,SettlementDate,AB126,,,Trigger)</f>
        <v>0.50277777777777777</v>
      </c>
      <c r="AD126" s="189">
        <f t="shared" si="16"/>
        <v>3.8546897243813298E-3</v>
      </c>
      <c r="AE126" s="189">
        <f t="shared" si="17"/>
        <v>3.8515025398677639E-3</v>
      </c>
      <c r="AF126" s="161">
        <f t="shared" si="18"/>
        <v>3.6854522587453278E-3</v>
      </c>
    </row>
    <row r="127" spans="9:32" x14ac:dyDescent="0.2">
      <c r="I127" s="157"/>
      <c r="J127" s="170"/>
      <c r="AB127" s="188">
        <f>_xll.qlCalendarAdvance(Calendar,AB126,"1d","mf",,Trigger)</f>
        <v>42179</v>
      </c>
      <c r="AC127" s="210">
        <f>_xll.qlDayCounterYearFraction(DayCounter,SettlementDate,AB127,,,Trigger)</f>
        <v>0.50555555555555554</v>
      </c>
      <c r="AD127" s="189">
        <f t="shared" si="16"/>
        <v>3.8546897243813298E-3</v>
      </c>
      <c r="AE127" s="189">
        <f t="shared" si="17"/>
        <v>3.8536273295434738E-3</v>
      </c>
      <c r="AF127" s="161">
        <f t="shared" si="18"/>
        <v>3.6861658181429305E-3</v>
      </c>
    </row>
    <row r="128" spans="9:32" x14ac:dyDescent="0.2">
      <c r="I128" s="157"/>
      <c r="J128" s="157"/>
      <c r="AB128" s="188">
        <f>_xll.qlCalendarAdvance(Calendar,AB127,"1d","mf",,Trigger)</f>
        <v>42180</v>
      </c>
      <c r="AC128" s="210">
        <f>_xll.qlDayCounterYearFraction(DayCounter,SettlementDate,AB128,,,Trigger)</f>
        <v>0.5083333333333333</v>
      </c>
      <c r="AD128" s="189">
        <f t="shared" si="16"/>
        <v>3.8546897243813298E-3</v>
      </c>
      <c r="AE128" s="189">
        <f t="shared" si="17"/>
        <v>3.8557521192191841E-3</v>
      </c>
      <c r="AF128" s="161">
        <f t="shared" si="18"/>
        <v>3.6869096701913355E-3</v>
      </c>
    </row>
    <row r="129" spans="9:32" x14ac:dyDescent="0.2">
      <c r="I129" s="157"/>
      <c r="J129" s="157"/>
      <c r="AB129" s="188">
        <f>_xll.qlCalendarAdvance(Calendar,AB128,"1d","mf",,Trigger)</f>
        <v>42181</v>
      </c>
      <c r="AC129" s="210">
        <f>_xll.qlDayCounterYearFraction(DayCounter,SettlementDate,AB129,,,Trigger)</f>
        <v>0.51111111111111107</v>
      </c>
      <c r="AD129" s="189">
        <f t="shared" si="16"/>
        <v>3.8546897243813298E-3</v>
      </c>
      <c r="AE129" s="189">
        <f t="shared" si="17"/>
        <v>3.8578769088948943E-3</v>
      </c>
      <c r="AF129" s="161">
        <f t="shared" si="18"/>
        <v>3.6876838148905424E-3</v>
      </c>
    </row>
    <row r="130" spans="9:32" x14ac:dyDescent="0.2">
      <c r="I130" s="157"/>
      <c r="J130" s="157"/>
      <c r="AB130" s="188">
        <f>_xll.qlCalendarAdvance(Calendar,AB129,"1d","mf",,Trigger)</f>
        <v>42184</v>
      </c>
      <c r="AC130" s="210">
        <f>_xll.qlDayCounterYearFraction(DayCounter,SettlementDate,AB130,,,Trigger)</f>
        <v>0.51944444444444449</v>
      </c>
      <c r="AD130" s="189">
        <f t="shared" si="16"/>
        <v>3.8546897243813298E-3</v>
      </c>
      <c r="AE130" s="189">
        <f t="shared" si="17"/>
        <v>3.8642512779220248E-3</v>
      </c>
      <c r="AF130" s="161">
        <f t="shared" si="18"/>
        <v>3.6901880048929754E-3</v>
      </c>
    </row>
    <row r="131" spans="9:32" x14ac:dyDescent="0.2">
      <c r="I131" s="157"/>
      <c r="J131" s="157"/>
      <c r="AB131" s="188">
        <f>_xll.qlCalendarAdvance(Calendar,AB130,"1d","mf",,Trigger)</f>
        <v>42185</v>
      </c>
      <c r="AC131" s="210">
        <f>_xll.qlDayCounterYearFraction(DayCounter,SettlementDate,AB131,,,Trigger)</f>
        <v>0.52222222222222225</v>
      </c>
      <c r="AD131" s="189">
        <f t="shared" ref="AD131:AD194" si="19">$S$13</f>
        <v>3.8546897243813298E-3</v>
      </c>
      <c r="AE131" s="189">
        <f t="shared" si="17"/>
        <v>3.8663760675977346E-3</v>
      </c>
      <c r="AF131" s="161">
        <f t="shared" si="18"/>
        <v>3.6910833201953901E-3</v>
      </c>
    </row>
    <row r="132" spans="9:32" x14ac:dyDescent="0.2">
      <c r="I132" s="157"/>
      <c r="J132" s="157"/>
      <c r="AB132" s="188">
        <f>_xll.qlCalendarAdvance(Calendar,AB131,"1d","mf",,Trigger)</f>
        <v>42186</v>
      </c>
      <c r="AC132" s="210">
        <f>_xll.qlDayCounterYearFraction(DayCounter,SettlementDate,AB132,,,Trigger)</f>
        <v>0.52500000000000002</v>
      </c>
      <c r="AD132" s="189">
        <f t="shared" si="19"/>
        <v>3.8546897243813298E-3</v>
      </c>
      <c r="AE132" s="189">
        <f t="shared" si="17"/>
        <v>3.8685008572734449E-3</v>
      </c>
      <c r="AF132" s="161">
        <f t="shared" si="18"/>
        <v>3.6920089281486067E-3</v>
      </c>
    </row>
    <row r="133" spans="9:32" x14ac:dyDescent="0.2">
      <c r="I133" s="157"/>
      <c r="J133" s="157"/>
      <c r="AB133" s="188">
        <f>_xll.qlCalendarAdvance(Calendar,AB132,"1d","mf",,Trigger)</f>
        <v>42187</v>
      </c>
      <c r="AC133" s="210">
        <f>_xll.qlDayCounterYearFraction(DayCounter,SettlementDate,AB133,,,Trigger)</f>
        <v>0.52777777777777779</v>
      </c>
      <c r="AD133" s="189">
        <f t="shared" si="19"/>
        <v>3.8546897243813298E-3</v>
      </c>
      <c r="AE133" s="189">
        <f t="shared" si="17"/>
        <v>3.8706256469491552E-3</v>
      </c>
      <c r="AF133" s="161">
        <f t="shared" si="18"/>
        <v>3.692964828752626E-3</v>
      </c>
    </row>
    <row r="134" spans="9:32" x14ac:dyDescent="0.2">
      <c r="I134" s="157"/>
      <c r="J134" s="157"/>
      <c r="AB134" s="188">
        <f>_xll.qlCalendarAdvance(Calendar,AB133,"1d","mf",,Trigger)</f>
        <v>42188</v>
      </c>
      <c r="AC134" s="210">
        <f>_xll.qlDayCounterYearFraction(DayCounter,SettlementDate,AB134,,,Trigger)</f>
        <v>0.53055555555555556</v>
      </c>
      <c r="AD134" s="189">
        <f t="shared" si="19"/>
        <v>3.8546897243813298E-3</v>
      </c>
      <c r="AE134" s="189">
        <f t="shared" si="17"/>
        <v>3.8727504366248651E-3</v>
      </c>
      <c r="AF134" s="161">
        <f t="shared" si="18"/>
        <v>3.6939510220074467E-3</v>
      </c>
    </row>
    <row r="135" spans="9:32" x14ac:dyDescent="0.2">
      <c r="I135" s="157"/>
      <c r="J135" s="157"/>
      <c r="AB135" s="188">
        <f>_xll.qlCalendarAdvance(Calendar,AB134,"1d","mf",,Trigger)</f>
        <v>42191</v>
      </c>
      <c r="AC135" s="210">
        <f>_xll.qlDayCounterYearFraction(DayCounter,SettlementDate,AB135,,,Trigger)</f>
        <v>0.53888888888888886</v>
      </c>
      <c r="AD135" s="189">
        <f t="shared" si="19"/>
        <v>3.8546897243813298E-3</v>
      </c>
      <c r="AE135" s="189">
        <f t="shared" si="17"/>
        <v>3.8791248056519955E-3</v>
      </c>
      <c r="AF135" s="161">
        <f t="shared" si="18"/>
        <v>3.6970913576767207E-3</v>
      </c>
    </row>
    <row r="136" spans="9:32" x14ac:dyDescent="0.2">
      <c r="I136" s="157"/>
      <c r="J136" s="157"/>
      <c r="AB136" s="188">
        <f>_xll.qlCalendarAdvance(Calendar,AB135,"1d","mf",,Trigger)</f>
        <v>42192</v>
      </c>
      <c r="AC136" s="210">
        <f>_xll.qlDayCounterYearFraction(DayCounter,SettlementDate,AB136,,,Trigger)</f>
        <v>0.54166666666666663</v>
      </c>
      <c r="AD136" s="189">
        <f t="shared" si="19"/>
        <v>3.8546897243813298E-3</v>
      </c>
      <c r="AE136" s="189">
        <f t="shared" si="17"/>
        <v>3.8812495953277058E-3</v>
      </c>
      <c r="AF136" s="161">
        <f t="shared" si="18"/>
        <v>3.6981987215347497E-3</v>
      </c>
    </row>
    <row r="137" spans="9:32" x14ac:dyDescent="0.2">
      <c r="I137" s="157"/>
      <c r="J137" s="157"/>
      <c r="AB137" s="188">
        <f>_xll.qlCalendarAdvance(Calendar,AB136,"1d","mf",,Trigger)</f>
        <v>42193</v>
      </c>
      <c r="AC137" s="210">
        <f>_xll.qlDayCounterYearFraction(DayCounter,SettlementDate,AB137,,,Trigger)</f>
        <v>0.5444444444444444</v>
      </c>
      <c r="AD137" s="189">
        <f t="shared" si="19"/>
        <v>3.8546897243813298E-3</v>
      </c>
      <c r="AE137" s="189">
        <f t="shared" si="17"/>
        <v>3.8833743850034161E-3</v>
      </c>
      <c r="AF137" s="161">
        <f t="shared" si="18"/>
        <v>3.6993363780435805E-3</v>
      </c>
    </row>
    <row r="138" spans="9:32" x14ac:dyDescent="0.2">
      <c r="J138" s="157"/>
      <c r="AB138" s="188">
        <f>_xll.qlCalendarAdvance(Calendar,AB137,"1d","mf",,Trigger)</f>
        <v>42194</v>
      </c>
      <c r="AC138" s="210">
        <f>_xll.qlDayCounterYearFraction(DayCounter,SettlementDate,AB138,,,Trigger)</f>
        <v>0.54722222222222228</v>
      </c>
      <c r="AD138" s="189">
        <f t="shared" si="19"/>
        <v>3.8546897243813298E-3</v>
      </c>
      <c r="AE138" s="189">
        <f t="shared" si="17"/>
        <v>3.8854991746791259E-3</v>
      </c>
      <c r="AF138" s="161">
        <f t="shared" si="18"/>
        <v>3.7005043272032132E-3</v>
      </c>
    </row>
    <row r="139" spans="9:32" x14ac:dyDescent="0.2">
      <c r="J139" s="157"/>
      <c r="AB139" s="188">
        <f>_xll.qlCalendarAdvance(Calendar,AB138,"1d","mf",,Trigger)</f>
        <v>42195</v>
      </c>
      <c r="AC139" s="210">
        <f>_xll.qlDayCounterYearFraction(DayCounter,SettlementDate,AB139,,,Trigger)</f>
        <v>0.55000000000000004</v>
      </c>
      <c r="AD139" s="189">
        <f t="shared" si="19"/>
        <v>3.8546897243813298E-3</v>
      </c>
      <c r="AE139" s="189">
        <f t="shared" si="17"/>
        <v>3.8876239643548362E-3</v>
      </c>
      <c r="AF139" s="161">
        <f t="shared" si="18"/>
        <v>3.7017025690136473E-3</v>
      </c>
    </row>
    <row r="140" spans="9:32" x14ac:dyDescent="0.2">
      <c r="J140" s="157"/>
      <c r="AB140" s="188">
        <f>_xll.qlCalendarAdvance(Calendar,AB139,"1d","mf",,Trigger)</f>
        <v>42198</v>
      </c>
      <c r="AC140" s="210">
        <f>_xll.qlDayCounterYearFraction(DayCounter,SettlementDate,AB140,,,Trigger)</f>
        <v>0.55833333333333335</v>
      </c>
      <c r="AD140" s="189">
        <f t="shared" si="19"/>
        <v>3.8546897243813298E-3</v>
      </c>
      <c r="AE140" s="189">
        <f t="shared" si="17"/>
        <v>3.8939983333819666E-3</v>
      </c>
      <c r="AF140" s="161">
        <f t="shared" si="18"/>
        <v>3.7054790503497637E-3</v>
      </c>
    </row>
    <row r="141" spans="9:32" x14ac:dyDescent="0.2">
      <c r="J141" s="157"/>
      <c r="AB141" s="188">
        <f>_xll.qlCalendarAdvance(Calendar,AB140,"1d","mf",,Trigger)</f>
        <v>42199</v>
      </c>
      <c r="AC141" s="210">
        <f>_xll.qlDayCounterYearFraction(DayCounter,SettlementDate,AB141,,,Trigger)</f>
        <v>0.56111111111111112</v>
      </c>
      <c r="AD141" s="189">
        <f t="shared" si="19"/>
        <v>3.8546897243813298E-3</v>
      </c>
      <c r="AE141" s="189">
        <f t="shared" si="17"/>
        <v>3.8961231230576769E-3</v>
      </c>
      <c r="AF141" s="161">
        <f t="shared" si="18"/>
        <v>3.7067984627634056E-3</v>
      </c>
    </row>
    <row r="142" spans="9:32" x14ac:dyDescent="0.2">
      <c r="J142" s="157"/>
      <c r="AB142" s="188">
        <f>_xll.qlCalendarAdvance(Calendar,AB141,"1d","mf",,Trigger)</f>
        <v>42200</v>
      </c>
      <c r="AC142" s="210">
        <f>_xll.qlDayCounterYearFraction(DayCounter,SettlementDate,AB142,,,Trigger)</f>
        <v>0.56388888888888888</v>
      </c>
      <c r="AD142" s="189">
        <f t="shared" si="19"/>
        <v>3.8546897243813298E-3</v>
      </c>
      <c r="AE142" s="189">
        <f t="shared" si="17"/>
        <v>3.8982479127333868E-3</v>
      </c>
      <c r="AF142" s="161">
        <f t="shared" si="18"/>
        <v>3.7081481678278507E-3</v>
      </c>
    </row>
    <row r="143" spans="9:32" x14ac:dyDescent="0.2">
      <c r="J143" s="157"/>
      <c r="AB143" s="188">
        <f>_xll.qlCalendarAdvance(Calendar,AB142,"1d","mf",,Trigger)</f>
        <v>42201</v>
      </c>
      <c r="AC143" s="210">
        <f>_xll.qlDayCounterYearFraction(DayCounter,SettlementDate,AB143,,,Trigger)</f>
        <v>0.56666666666666665</v>
      </c>
      <c r="AD143" s="189">
        <f t="shared" si="19"/>
        <v>3.8546897243813298E-3</v>
      </c>
      <c r="AE143" s="189">
        <f t="shared" si="17"/>
        <v>3.9003727024090971E-3</v>
      </c>
      <c r="AF143" s="161">
        <f t="shared" si="18"/>
        <v>3.7095281655430967E-3</v>
      </c>
    </row>
    <row r="144" spans="9:32" x14ac:dyDescent="0.2">
      <c r="AB144" s="188">
        <f>_xll.qlCalendarAdvance(Calendar,AB143,"1d","mf",,Trigger)</f>
        <v>42202</v>
      </c>
      <c r="AC144" s="210">
        <f>_xll.qlDayCounterYearFraction(DayCounter,SettlementDate,AB144,,,Trigger)</f>
        <v>0.56944444444444442</v>
      </c>
      <c r="AD144" s="189">
        <f t="shared" si="19"/>
        <v>3.8546897243813298E-3</v>
      </c>
      <c r="AE144" s="189">
        <f t="shared" si="17"/>
        <v>3.9024974920848074E-3</v>
      </c>
      <c r="AF144" s="161">
        <f t="shared" si="18"/>
        <v>3.7109384559091459E-3</v>
      </c>
    </row>
    <row r="145" spans="28:32" x14ac:dyDescent="0.2">
      <c r="AB145" s="188">
        <f>_xll.qlCalendarAdvance(Calendar,AB144,"1d","mf",,Trigger)</f>
        <v>42205</v>
      </c>
      <c r="AC145" s="210">
        <f>_xll.qlDayCounterYearFraction(DayCounter,SettlementDate,AB145,,,Trigger)</f>
        <v>0.57777777777777772</v>
      </c>
      <c r="AD145" s="189">
        <f t="shared" si="19"/>
        <v>3.8546897243813298E-3</v>
      </c>
      <c r="AE145" s="189">
        <f t="shared" si="17"/>
        <v>3.9088718611119374E-3</v>
      </c>
      <c r="AF145" s="161">
        <f t="shared" si="18"/>
        <v>3.7153510829121025E-3</v>
      </c>
    </row>
    <row r="146" spans="28:32" x14ac:dyDescent="0.2">
      <c r="AB146" s="188">
        <f>_xll.qlCalendarAdvance(Calendar,AB145,"1d","mf",,Trigger)</f>
        <v>42206</v>
      </c>
      <c r="AC146" s="210">
        <f>_xll.qlDayCounterYearFraction(DayCounter,SettlementDate,AB146,,,Trigger)</f>
        <v>0.5805555555555556</v>
      </c>
      <c r="AD146" s="189">
        <f t="shared" si="19"/>
        <v>3.8546897243813298E-3</v>
      </c>
      <c r="AE146" s="189">
        <f t="shared" ref="AE146:AE187" si="20">$S$10+$S$9*AC146</f>
        <v>3.9109966507876476E-3</v>
      </c>
      <c r="AF146" s="161">
        <f t="shared" ref="AF146:AF187" si="21">($S$5+$S$4*AC146+$S$3*AC146^2)</f>
        <v>3.7168825438813591E-3</v>
      </c>
    </row>
    <row r="147" spans="28:32" x14ac:dyDescent="0.2">
      <c r="AB147" s="188">
        <f>_xll.qlCalendarAdvance(Calendar,AB146,"1d","mf",,Trigger)</f>
        <v>42207</v>
      </c>
      <c r="AC147" s="210">
        <f>_xll.qlDayCounterYearFraction(DayCounter,SettlementDate,AB147,,,Trigger)</f>
        <v>0.58333333333333337</v>
      </c>
      <c r="AD147" s="189">
        <f t="shared" si="19"/>
        <v>3.8546897243813298E-3</v>
      </c>
      <c r="AE147" s="189">
        <f t="shared" si="20"/>
        <v>3.9131214404633579E-3</v>
      </c>
      <c r="AF147" s="161">
        <f t="shared" si="21"/>
        <v>3.7184442975014176E-3</v>
      </c>
    </row>
    <row r="148" spans="28:32" x14ac:dyDescent="0.2">
      <c r="AB148" s="188">
        <f>_xll.qlCalendarAdvance(Calendar,AB147,"1d","mf",,Trigger)</f>
        <v>42208</v>
      </c>
      <c r="AC148" s="210">
        <f>_xll.qlDayCounterYearFraction(DayCounter,SettlementDate,AB148,,,Trigger)</f>
        <v>0.58611111111111114</v>
      </c>
      <c r="AD148" s="189">
        <f t="shared" si="19"/>
        <v>3.8546897243813298E-3</v>
      </c>
      <c r="AE148" s="189">
        <f t="shared" si="20"/>
        <v>3.9152462301390682E-3</v>
      </c>
      <c r="AF148" s="161">
        <f t="shared" si="21"/>
        <v>3.7200363437722775E-3</v>
      </c>
    </row>
    <row r="149" spans="28:32" x14ac:dyDescent="0.2">
      <c r="AB149" s="188">
        <f>_xll.qlCalendarAdvance(Calendar,AB148,"1d","mf",,Trigger)</f>
        <v>42209</v>
      </c>
      <c r="AC149" s="210">
        <f>_xll.qlDayCounterYearFraction(DayCounter,SettlementDate,AB149,,,Trigger)</f>
        <v>0.58888888888888891</v>
      </c>
      <c r="AD149" s="189">
        <f t="shared" si="19"/>
        <v>3.8546897243813298E-3</v>
      </c>
      <c r="AE149" s="189">
        <f t="shared" si="20"/>
        <v>3.9173710198147785E-3</v>
      </c>
      <c r="AF149" s="161">
        <f t="shared" si="21"/>
        <v>3.7216586826939401E-3</v>
      </c>
    </row>
    <row r="150" spans="28:32" x14ac:dyDescent="0.2">
      <c r="AB150" s="188">
        <f>_xll.qlCalendarAdvance(Calendar,AB149,"1d","mf",,Trigger)</f>
        <v>42212</v>
      </c>
      <c r="AC150" s="210">
        <f>_xll.qlDayCounterYearFraction(DayCounter,SettlementDate,AB150,,,Trigger)</f>
        <v>0.59722222222222221</v>
      </c>
      <c r="AD150" s="189">
        <f t="shared" si="19"/>
        <v>3.8546897243813298E-3</v>
      </c>
      <c r="AE150" s="189">
        <f t="shared" si="20"/>
        <v>3.9237453888419085E-3</v>
      </c>
      <c r="AF150" s="161">
        <f t="shared" si="21"/>
        <v>3.7267074553637381E-3</v>
      </c>
    </row>
    <row r="151" spans="28:32" x14ac:dyDescent="0.2">
      <c r="AB151" s="188">
        <f>_xll.qlCalendarAdvance(Calendar,AB150,"1d","mf",,Trigger)</f>
        <v>42213</v>
      </c>
      <c r="AC151" s="210">
        <f>_xll.qlDayCounterYearFraction(DayCounter,SettlementDate,AB151,,,Trigger)</f>
        <v>0.6</v>
      </c>
      <c r="AD151" s="189">
        <f t="shared" si="19"/>
        <v>3.8546897243813298E-3</v>
      </c>
      <c r="AE151" s="189">
        <f t="shared" si="20"/>
        <v>3.9258701785176188E-3</v>
      </c>
      <c r="AF151" s="161">
        <f t="shared" si="21"/>
        <v>3.728450964888609E-3</v>
      </c>
    </row>
    <row r="152" spans="28:32" x14ac:dyDescent="0.2">
      <c r="AB152" s="188">
        <f>_xll.qlCalendarAdvance(Calendar,AB151,"1d","mf",,Trigger)</f>
        <v>42214</v>
      </c>
      <c r="AC152" s="210">
        <f>_xll.qlDayCounterYearFraction(DayCounter,SettlementDate,AB152,,,Trigger)</f>
        <v>0.60277777777777775</v>
      </c>
      <c r="AD152" s="189">
        <f t="shared" si="19"/>
        <v>3.8546897243813298E-3</v>
      </c>
      <c r="AE152" s="189">
        <f t="shared" si="20"/>
        <v>3.9279949681933291E-3</v>
      </c>
      <c r="AF152" s="161">
        <f t="shared" si="21"/>
        <v>3.7302247670642804E-3</v>
      </c>
    </row>
    <row r="153" spans="28:32" x14ac:dyDescent="0.2">
      <c r="AB153" s="188">
        <f>_xll.qlCalendarAdvance(Calendar,AB152,"1d","mf",,Trigger)</f>
        <v>42215</v>
      </c>
      <c r="AC153" s="210">
        <f>_xll.qlDayCounterYearFraction(DayCounter,SettlementDate,AB153,,,Trigger)</f>
        <v>0.60555555555555551</v>
      </c>
      <c r="AD153" s="189">
        <f t="shared" si="19"/>
        <v>3.8546897243813298E-3</v>
      </c>
      <c r="AE153" s="189">
        <f t="shared" si="20"/>
        <v>3.9301197578690394E-3</v>
      </c>
      <c r="AF153" s="161">
        <f t="shared" si="21"/>
        <v>3.732028861890755E-3</v>
      </c>
    </row>
    <row r="154" spans="28:32" x14ac:dyDescent="0.2">
      <c r="AB154" s="188">
        <f>_xll.qlCalendarAdvance(Calendar,AB153,"1d","mf",,Trigger)</f>
        <v>42216</v>
      </c>
      <c r="AC154" s="210">
        <f>_xll.qlDayCounterYearFraction(DayCounter,SettlementDate,AB154,,,Trigger)</f>
        <v>0.60833333333333328</v>
      </c>
      <c r="AD154" s="189">
        <f t="shared" si="19"/>
        <v>3.8546897243813298E-3</v>
      </c>
      <c r="AE154" s="189">
        <f t="shared" si="20"/>
        <v>3.9322445475447488E-3</v>
      </c>
      <c r="AF154" s="161">
        <f t="shared" si="21"/>
        <v>3.733863249368031E-3</v>
      </c>
    </row>
    <row r="155" spans="28:32" x14ac:dyDescent="0.2">
      <c r="AB155" s="188">
        <f>_xll.qlCalendarAdvance(Calendar,AB154,"1d","mf",,Trigger)</f>
        <v>42219</v>
      </c>
      <c r="AC155" s="210">
        <f>_xll.qlDayCounterYearFraction(DayCounter,SettlementDate,AB155,,,Trigger)</f>
        <v>0.6166666666666667</v>
      </c>
      <c r="AD155" s="189">
        <f t="shared" si="19"/>
        <v>3.8546897243813298E-3</v>
      </c>
      <c r="AE155" s="189">
        <f t="shared" si="20"/>
        <v>3.9386189165718797E-3</v>
      </c>
      <c r="AF155" s="161">
        <f t="shared" si="21"/>
        <v>3.7395481677046714E-3</v>
      </c>
    </row>
    <row r="156" spans="28:32" x14ac:dyDescent="0.2">
      <c r="AB156" s="188">
        <f>_xll.qlCalendarAdvance(Calendar,AB155,"1d","mf",,Trigger)</f>
        <v>42220</v>
      </c>
      <c r="AC156" s="210">
        <f>_xll.qlDayCounterYearFraction(DayCounter,SettlementDate,AB156,,,Trigger)</f>
        <v>0.61944444444444446</v>
      </c>
      <c r="AD156" s="189">
        <f t="shared" si="19"/>
        <v>3.8546897243813298E-3</v>
      </c>
      <c r="AE156" s="189">
        <f t="shared" si="20"/>
        <v>3.9407437062475899E-3</v>
      </c>
      <c r="AF156" s="161">
        <f t="shared" si="21"/>
        <v>3.7415037257851553E-3</v>
      </c>
    </row>
    <row r="157" spans="28:32" x14ac:dyDescent="0.2">
      <c r="AB157" s="188">
        <f>_xll.qlCalendarAdvance(Calendar,AB156,"1d","mf",,Trigger)</f>
        <v>42221</v>
      </c>
      <c r="AC157" s="210">
        <f>_xll.qlDayCounterYearFraction(DayCounter,SettlementDate,AB157,,,Trigger)</f>
        <v>0.62222222222222223</v>
      </c>
      <c r="AD157" s="189">
        <f t="shared" si="19"/>
        <v>3.8546897243813298E-3</v>
      </c>
      <c r="AE157" s="189">
        <f t="shared" si="20"/>
        <v>3.9428684959233002E-3</v>
      </c>
      <c r="AF157" s="161">
        <f t="shared" si="21"/>
        <v>3.7434895765164414E-3</v>
      </c>
    </row>
    <row r="158" spans="28:32" x14ac:dyDescent="0.2">
      <c r="AB158" s="188">
        <f>_xll.qlCalendarAdvance(Calendar,AB157,"1d","mf",,Trigger)</f>
        <v>42222</v>
      </c>
      <c r="AC158" s="210">
        <f>_xll.qlDayCounterYearFraction(DayCounter,SettlementDate,AB158,,,Trigger)</f>
        <v>0.625</v>
      </c>
      <c r="AD158" s="189">
        <f t="shared" si="19"/>
        <v>3.8546897243813298E-3</v>
      </c>
      <c r="AE158" s="189">
        <f t="shared" si="20"/>
        <v>3.9449932855990105E-3</v>
      </c>
      <c r="AF158" s="161">
        <f t="shared" si="21"/>
        <v>3.7455057198985293E-3</v>
      </c>
    </row>
    <row r="159" spans="28:32" x14ac:dyDescent="0.2">
      <c r="AB159" s="188">
        <f>_xll.qlCalendarAdvance(Calendar,AB158,"1d","mf",,Trigger)</f>
        <v>42223</v>
      </c>
      <c r="AC159" s="210">
        <f>_xll.qlDayCounterYearFraction(DayCounter,SettlementDate,AB159,,,Trigger)</f>
        <v>0.62777777777777777</v>
      </c>
      <c r="AD159" s="189">
        <f t="shared" si="19"/>
        <v>3.8546897243813298E-3</v>
      </c>
      <c r="AE159" s="189">
        <f t="shared" si="20"/>
        <v>3.9471180752747199E-3</v>
      </c>
      <c r="AF159" s="161">
        <f t="shared" si="21"/>
        <v>3.7475521559314192E-3</v>
      </c>
    </row>
    <row r="160" spans="28:32" x14ac:dyDescent="0.2">
      <c r="AB160" s="188">
        <f>_xll.qlCalendarAdvance(Calendar,AB159,"1d","mf",,Trigger)</f>
        <v>42226</v>
      </c>
      <c r="AC160" s="210">
        <f>_xll.qlDayCounterYearFraction(DayCounter,SettlementDate,AB160,,,Trigger)</f>
        <v>0.63611111111111107</v>
      </c>
      <c r="AD160" s="189">
        <f t="shared" si="19"/>
        <v>3.8546897243813298E-3</v>
      </c>
      <c r="AE160" s="189">
        <f t="shared" si="20"/>
        <v>3.9534924443018508E-3</v>
      </c>
      <c r="AF160" s="161">
        <f t="shared" si="21"/>
        <v>3.7538732199349006E-3</v>
      </c>
    </row>
    <row r="161" spans="28:32" x14ac:dyDescent="0.2">
      <c r="AB161" s="188">
        <f>_xll.qlCalendarAdvance(Calendar,AB160,"1d","mf",,Trigger)</f>
        <v>42227</v>
      </c>
      <c r="AC161" s="210">
        <f>_xll.qlDayCounterYearFraction(DayCounter,SettlementDate,AB161,,,Trigger)</f>
        <v>0.63888888888888884</v>
      </c>
      <c r="AD161" s="189">
        <f t="shared" si="19"/>
        <v>3.8546897243813298E-3</v>
      </c>
      <c r="AE161" s="189">
        <f t="shared" si="20"/>
        <v>3.9556172339775611E-3</v>
      </c>
      <c r="AF161" s="161">
        <f t="shared" si="21"/>
        <v>3.7560408265709987E-3</v>
      </c>
    </row>
    <row r="162" spans="28:32" x14ac:dyDescent="0.2">
      <c r="AB162" s="188">
        <f>_xll.qlCalendarAdvance(Calendar,AB161,"1d","mf",,Trigger)</f>
        <v>42228</v>
      </c>
      <c r="AC162" s="210">
        <f>_xll.qlDayCounterYearFraction(DayCounter,SettlementDate,AB162,,,Trigger)</f>
        <v>0.64166666666666672</v>
      </c>
      <c r="AD162" s="189">
        <f t="shared" si="19"/>
        <v>3.8546897243813298E-3</v>
      </c>
      <c r="AE162" s="189">
        <f t="shared" si="20"/>
        <v>3.9577420236532705E-3</v>
      </c>
      <c r="AF162" s="161">
        <f t="shared" si="21"/>
        <v>3.7582387258578986E-3</v>
      </c>
    </row>
    <row r="163" spans="28:32" x14ac:dyDescent="0.2">
      <c r="AB163" s="188">
        <f>_xll.qlCalendarAdvance(Calendar,AB162,"1d","mf",,Trigger)</f>
        <v>42229</v>
      </c>
      <c r="AC163" s="210">
        <f>_xll.qlDayCounterYearFraction(DayCounter,SettlementDate,AB163,,,Trigger)</f>
        <v>0.64444444444444449</v>
      </c>
      <c r="AD163" s="189">
        <f t="shared" si="19"/>
        <v>3.8546897243813298E-3</v>
      </c>
      <c r="AE163" s="189">
        <f t="shared" si="20"/>
        <v>3.9598668133289808E-3</v>
      </c>
      <c r="AF163" s="161">
        <f t="shared" si="21"/>
        <v>3.7604669177956E-3</v>
      </c>
    </row>
    <row r="164" spans="28:32" x14ac:dyDescent="0.2">
      <c r="AB164" s="188">
        <f>_xll.qlCalendarAdvance(Calendar,AB163,"1d","mf",,Trigger)</f>
        <v>42230</v>
      </c>
      <c r="AC164" s="210">
        <f>_xll.qlDayCounterYearFraction(DayCounter,SettlementDate,AB164,,,Trigger)</f>
        <v>0.64722222222222225</v>
      </c>
      <c r="AD164" s="189">
        <f t="shared" si="19"/>
        <v>3.8546897243813298E-3</v>
      </c>
      <c r="AE164" s="189">
        <f t="shared" si="20"/>
        <v>3.9619916030046911E-3</v>
      </c>
      <c r="AF164" s="161">
        <f t="shared" si="21"/>
        <v>3.7627254023841041E-3</v>
      </c>
    </row>
    <row r="165" spans="28:32" x14ac:dyDescent="0.2">
      <c r="AB165" s="188">
        <f>_xll.qlCalendarAdvance(Calendar,AB164,"1d","mf",,Trigger)</f>
        <v>42233</v>
      </c>
      <c r="AC165" s="210">
        <f>_xll.qlDayCounterYearFraction(DayCounter,SettlementDate,AB165,,,Trigger)</f>
        <v>0.65555555555555556</v>
      </c>
      <c r="AD165" s="189">
        <f t="shared" si="19"/>
        <v>3.8546897243813298E-3</v>
      </c>
      <c r="AE165" s="189">
        <f t="shared" si="20"/>
        <v>3.968365972031822E-3</v>
      </c>
      <c r="AF165" s="161">
        <f t="shared" si="21"/>
        <v>3.769682612054427E-3</v>
      </c>
    </row>
    <row r="166" spans="28:32" x14ac:dyDescent="0.2">
      <c r="AB166" s="188">
        <f>_xll.qlCalendarAdvance(Calendar,AB165,"1d","mf",,Trigger)</f>
        <v>42234</v>
      </c>
      <c r="AC166" s="210">
        <f>_xll.qlDayCounterYearFraction(DayCounter,SettlementDate,AB166,,,Trigger)</f>
        <v>0.65833333333333333</v>
      </c>
      <c r="AD166" s="189">
        <f t="shared" si="19"/>
        <v>3.8546897243813298E-3</v>
      </c>
      <c r="AE166" s="189">
        <f t="shared" si="20"/>
        <v>3.9704907617075322E-3</v>
      </c>
      <c r="AF166" s="161">
        <f t="shared" si="21"/>
        <v>3.7720622672461385E-3</v>
      </c>
    </row>
    <row r="167" spans="28:32" x14ac:dyDescent="0.2">
      <c r="AB167" s="188">
        <f>_xll.qlCalendarAdvance(Calendar,AB166,"1d","mf",,Trigger)</f>
        <v>42235</v>
      </c>
      <c r="AC167" s="210">
        <f>_xll.qlDayCounterYearFraction(DayCounter,SettlementDate,AB167,,,Trigger)</f>
        <v>0.66111111111111109</v>
      </c>
      <c r="AD167" s="189">
        <f t="shared" si="19"/>
        <v>3.8546897243813298E-3</v>
      </c>
      <c r="AE167" s="189">
        <f t="shared" si="20"/>
        <v>3.9726155513832417E-3</v>
      </c>
      <c r="AF167" s="161">
        <f t="shared" si="21"/>
        <v>3.7744722150886523E-3</v>
      </c>
    </row>
    <row r="168" spans="28:32" x14ac:dyDescent="0.2">
      <c r="AB168" s="188">
        <f>_xll.qlCalendarAdvance(Calendar,AB167,"1d","mf",,Trigger)</f>
        <v>42236</v>
      </c>
      <c r="AC168" s="210">
        <f>_xll.qlDayCounterYearFraction(DayCounter,SettlementDate,AB168,,,Trigger)</f>
        <v>0.66388888888888886</v>
      </c>
      <c r="AD168" s="189">
        <f t="shared" si="19"/>
        <v>3.8546897243813298E-3</v>
      </c>
      <c r="AE168" s="189">
        <f t="shared" si="20"/>
        <v>3.974740341058952E-3</v>
      </c>
      <c r="AF168" s="161">
        <f t="shared" si="21"/>
        <v>3.7769124555819679E-3</v>
      </c>
    </row>
    <row r="169" spans="28:32" x14ac:dyDescent="0.2">
      <c r="AB169" s="188">
        <f>_xll.qlCalendarAdvance(Calendar,AB168,"1d","mf",,Trigger)</f>
        <v>42237</v>
      </c>
      <c r="AC169" s="210">
        <f>_xll.qlDayCounterYearFraction(DayCounter,SettlementDate,AB169,,,Trigger)</f>
        <v>0.66666666666666663</v>
      </c>
      <c r="AD169" s="189">
        <f t="shared" si="19"/>
        <v>3.8546897243813298E-3</v>
      </c>
      <c r="AE169" s="189">
        <f t="shared" si="20"/>
        <v>3.9768651307346622E-3</v>
      </c>
      <c r="AF169" s="161">
        <f t="shared" si="21"/>
        <v>3.7793829887260853E-3</v>
      </c>
    </row>
    <row r="170" spans="28:32" x14ac:dyDescent="0.2">
      <c r="AB170" s="188">
        <f>_xll.qlCalendarAdvance(Calendar,AB169,"1d","mf",,Trigger)</f>
        <v>42240</v>
      </c>
      <c r="AC170" s="210">
        <f>_xll.qlDayCounterYearFraction(DayCounter,SettlementDate,AB170,,,Trigger)</f>
        <v>0.67500000000000004</v>
      </c>
      <c r="AD170" s="189">
        <f t="shared" si="19"/>
        <v>3.8546897243813298E-3</v>
      </c>
      <c r="AE170" s="189">
        <f t="shared" si="20"/>
        <v>3.9832394997617922E-3</v>
      </c>
      <c r="AF170" s="161">
        <f t="shared" si="21"/>
        <v>3.7869763440632497E-3</v>
      </c>
    </row>
    <row r="171" spans="28:32" x14ac:dyDescent="0.2">
      <c r="AB171" s="188">
        <f>_xll.qlCalendarAdvance(Calendar,AB170,"1d","mf",,Trigger)</f>
        <v>42241</v>
      </c>
      <c r="AC171" s="210">
        <f>_xll.qlDayCounterYearFraction(DayCounter,SettlementDate,AB171,,,Trigger)</f>
        <v>0.67777777777777781</v>
      </c>
      <c r="AD171" s="189">
        <f t="shared" si="19"/>
        <v>3.8546897243813298E-3</v>
      </c>
      <c r="AE171" s="189">
        <f t="shared" si="20"/>
        <v>3.9853642894375025E-3</v>
      </c>
      <c r="AF171" s="161">
        <f t="shared" si="21"/>
        <v>3.7895680478105759E-3</v>
      </c>
    </row>
    <row r="172" spans="28:32" x14ac:dyDescent="0.2">
      <c r="AB172" s="188">
        <f>_xll.qlCalendarAdvance(Calendar,AB171,"1d","mf",,Trigger)</f>
        <v>42242</v>
      </c>
      <c r="AC172" s="210">
        <f>_xll.qlDayCounterYearFraction(DayCounter,SettlementDate,AB172,,,Trigger)</f>
        <v>0.68055555555555558</v>
      </c>
      <c r="AD172" s="189">
        <f t="shared" si="19"/>
        <v>3.8546897243813298E-3</v>
      </c>
      <c r="AE172" s="189">
        <f t="shared" si="20"/>
        <v>3.9874890791132128E-3</v>
      </c>
      <c r="AF172" s="161">
        <f t="shared" si="21"/>
        <v>3.7921900442087026E-3</v>
      </c>
    </row>
    <row r="173" spans="28:32" x14ac:dyDescent="0.2">
      <c r="AB173" s="188">
        <f>_xll.qlCalendarAdvance(Calendar,AB172,"1d","mf",,Trigger)</f>
        <v>42243</v>
      </c>
      <c r="AC173" s="210">
        <f>_xll.qlDayCounterYearFraction(DayCounter,SettlementDate,AB173,,,Trigger)</f>
        <v>0.68333333333333335</v>
      </c>
      <c r="AD173" s="189">
        <f t="shared" si="19"/>
        <v>3.8546897243813298E-3</v>
      </c>
      <c r="AE173" s="189">
        <f t="shared" si="20"/>
        <v>3.9896138687889231E-3</v>
      </c>
      <c r="AF173" s="161">
        <f t="shared" si="21"/>
        <v>3.7948423332576325E-3</v>
      </c>
    </row>
    <row r="174" spans="28:32" x14ac:dyDescent="0.2">
      <c r="AB174" s="188">
        <f>_xll.qlCalendarAdvance(Calendar,AB173,"1d","mf",,Trigger)</f>
        <v>42244</v>
      </c>
      <c r="AC174" s="210">
        <f>_xll.qlDayCounterYearFraction(DayCounter,SettlementDate,AB174,,,Trigger)</f>
        <v>0.68611111111111112</v>
      </c>
      <c r="AD174" s="189">
        <f t="shared" si="19"/>
        <v>3.8546897243813298E-3</v>
      </c>
      <c r="AE174" s="189">
        <f t="shared" si="20"/>
        <v>3.9917386584646334E-3</v>
      </c>
      <c r="AF174" s="161">
        <f t="shared" si="21"/>
        <v>3.7975249149573634E-3</v>
      </c>
    </row>
    <row r="175" spans="28:32" x14ac:dyDescent="0.2">
      <c r="AB175" s="188">
        <f>_xll.qlCalendarAdvance(Calendar,AB174,"1d","mf",,Trigger)</f>
        <v>42247</v>
      </c>
      <c r="AC175" s="210">
        <f>_xll.qlDayCounterYearFraction(DayCounter,SettlementDate,AB175,,,Trigger)</f>
        <v>0.69444444444444442</v>
      </c>
      <c r="AD175" s="189">
        <f t="shared" si="19"/>
        <v>3.8546897243813298E-3</v>
      </c>
      <c r="AE175" s="189">
        <f t="shared" si="20"/>
        <v>3.9981130274917634E-3</v>
      </c>
      <c r="AF175" s="161">
        <f t="shared" si="21"/>
        <v>3.8057544159613701E-3</v>
      </c>
    </row>
    <row r="176" spans="28:32" x14ac:dyDescent="0.2">
      <c r="AB176" s="188">
        <f>_xll.qlCalendarAdvance(Calendar,AB175,"1d","mf",,Trigger)</f>
        <v>42248</v>
      </c>
      <c r="AC176" s="210">
        <f>_xll.qlDayCounterYearFraction(DayCounter,SettlementDate,AB176,,,Trigger)</f>
        <v>0.69722222222222219</v>
      </c>
      <c r="AD176" s="189">
        <f t="shared" si="19"/>
        <v>3.8546897243813298E-3</v>
      </c>
      <c r="AE176" s="189">
        <f t="shared" si="20"/>
        <v>4.0002378171674737E-3</v>
      </c>
      <c r="AF176" s="161">
        <f t="shared" si="21"/>
        <v>3.8085581682643088E-3</v>
      </c>
    </row>
    <row r="177" spans="28:32" x14ac:dyDescent="0.2">
      <c r="AB177" s="188">
        <f>_xll.qlCalendarAdvance(Calendar,AB176,"1d","mf",,Trigger)</f>
        <v>42249</v>
      </c>
      <c r="AC177" s="210">
        <f>_xll.qlDayCounterYearFraction(DayCounter,SettlementDate,AB177,,,Trigger)</f>
        <v>0.7</v>
      </c>
      <c r="AD177" s="189">
        <f t="shared" si="19"/>
        <v>3.8546897243813298E-3</v>
      </c>
      <c r="AE177" s="189">
        <f t="shared" si="20"/>
        <v>4.002362606843184E-3</v>
      </c>
      <c r="AF177" s="161">
        <f t="shared" si="21"/>
        <v>3.8113922132180507E-3</v>
      </c>
    </row>
    <row r="178" spans="28:32" x14ac:dyDescent="0.2">
      <c r="AB178" s="188">
        <f>_xll.qlCalendarAdvance(Calendar,AB177,"1d","mf",,Trigger)</f>
        <v>42250</v>
      </c>
      <c r="AC178" s="210">
        <f>_xll.qlDayCounterYearFraction(DayCounter,SettlementDate,AB178,,,Trigger)</f>
        <v>0.70277777777777772</v>
      </c>
      <c r="AD178" s="189">
        <f t="shared" si="19"/>
        <v>3.8546897243813298E-3</v>
      </c>
      <c r="AE178" s="189">
        <f t="shared" si="20"/>
        <v>4.0044873965188943E-3</v>
      </c>
      <c r="AF178" s="161">
        <f t="shared" si="21"/>
        <v>3.8142565508225935E-3</v>
      </c>
    </row>
    <row r="179" spans="28:32" x14ac:dyDescent="0.2">
      <c r="AB179" s="188">
        <f>_xll.qlCalendarAdvance(Calendar,AB178,"1d","mf",,Trigger)</f>
        <v>42251</v>
      </c>
      <c r="AC179" s="210">
        <f>_xll.qlDayCounterYearFraction(DayCounter,SettlementDate,AB179,,,Trigger)</f>
        <v>0.7055555555555556</v>
      </c>
      <c r="AD179" s="189">
        <f t="shared" si="19"/>
        <v>3.8546897243813298E-3</v>
      </c>
      <c r="AE179" s="189">
        <f t="shared" si="20"/>
        <v>4.0066121861946045E-3</v>
      </c>
      <c r="AF179" s="161">
        <f t="shared" si="21"/>
        <v>3.8171511810779391E-3</v>
      </c>
    </row>
    <row r="180" spans="28:32" x14ac:dyDescent="0.2">
      <c r="AB180" s="188">
        <f>_xll.qlCalendarAdvance(Calendar,AB179,"1d","mf",,Trigger)</f>
        <v>42254</v>
      </c>
      <c r="AC180" s="210">
        <f>_xll.qlDayCounterYearFraction(DayCounter,SettlementDate,AB180,,,Trigger)</f>
        <v>0.71388888888888891</v>
      </c>
      <c r="AD180" s="189">
        <f t="shared" si="19"/>
        <v>3.8546897243813298E-3</v>
      </c>
      <c r="AE180" s="189">
        <f t="shared" si="20"/>
        <v>4.0129865552217345E-3</v>
      </c>
      <c r="AF180" s="161">
        <f t="shared" si="21"/>
        <v>3.8260168277487868E-3</v>
      </c>
    </row>
    <row r="181" spans="28:32" x14ac:dyDescent="0.2">
      <c r="AB181" s="188">
        <f>_xll.qlCalendarAdvance(Calendar,AB180,"1d","mf",,Trigger)</f>
        <v>42255</v>
      </c>
      <c r="AC181" s="210">
        <f>_xll.qlDayCounterYearFraction(DayCounter,SettlementDate,AB181,,,Trigger)</f>
        <v>0.71666666666666667</v>
      </c>
      <c r="AD181" s="189">
        <f t="shared" si="19"/>
        <v>3.8546897243813298E-3</v>
      </c>
      <c r="AE181" s="189">
        <f t="shared" si="20"/>
        <v>4.0151113448974448E-3</v>
      </c>
      <c r="AF181" s="161">
        <f t="shared" si="21"/>
        <v>3.8290326286073394E-3</v>
      </c>
    </row>
    <row r="182" spans="28:32" x14ac:dyDescent="0.2">
      <c r="AB182" s="188">
        <f>_xll.qlCalendarAdvance(Calendar,AB181,"1d","mf",,Trigger)</f>
        <v>42256</v>
      </c>
      <c r="AC182" s="210">
        <f>_xll.qlDayCounterYearFraction(DayCounter,SettlementDate,AB182,,,Trigger)</f>
        <v>0.71944444444444444</v>
      </c>
      <c r="AD182" s="189">
        <f t="shared" si="19"/>
        <v>3.8546897243813298E-3</v>
      </c>
      <c r="AE182" s="189">
        <f t="shared" si="20"/>
        <v>4.0172361345731551E-3</v>
      </c>
      <c r="AF182" s="161">
        <f t="shared" si="21"/>
        <v>3.8320787221166946E-3</v>
      </c>
    </row>
    <row r="183" spans="28:32" x14ac:dyDescent="0.2">
      <c r="AB183" s="188">
        <f>_xll.qlCalendarAdvance(Calendar,AB182,"1d","mf",,Trigger)</f>
        <v>42257</v>
      </c>
      <c r="AC183" s="210">
        <f>_xll.qlDayCounterYearFraction(DayCounter,SettlementDate,AB183,,,Trigger)</f>
        <v>0.72222222222222221</v>
      </c>
      <c r="AD183" s="189">
        <f t="shared" si="19"/>
        <v>3.8546897243813298E-3</v>
      </c>
      <c r="AE183" s="189">
        <f t="shared" si="20"/>
        <v>4.0193609242488654E-3</v>
      </c>
      <c r="AF183" s="161">
        <f t="shared" si="21"/>
        <v>3.8351551082768513E-3</v>
      </c>
    </row>
    <row r="184" spans="28:32" x14ac:dyDescent="0.2">
      <c r="AB184" s="188">
        <f>_xll.qlCalendarAdvance(Calendar,AB183,"1d","mf",,Trigger)</f>
        <v>42258</v>
      </c>
      <c r="AC184" s="210">
        <f>_xll.qlDayCounterYearFraction(DayCounter,SettlementDate,AB184,,,Trigger)</f>
        <v>0.72499999999999998</v>
      </c>
      <c r="AD184" s="189">
        <f t="shared" si="19"/>
        <v>3.8546897243813298E-3</v>
      </c>
      <c r="AE184" s="189">
        <f t="shared" si="20"/>
        <v>4.0214857139245757E-3</v>
      </c>
      <c r="AF184" s="161">
        <f t="shared" si="21"/>
        <v>3.8382617870878107E-3</v>
      </c>
    </row>
    <row r="185" spans="28:32" x14ac:dyDescent="0.2">
      <c r="AB185" s="188">
        <f>_xll.qlCalendarAdvance(Calendar,AB184,"1d","mf",,Trigger)</f>
        <v>42261</v>
      </c>
      <c r="AC185" s="210">
        <f>_xll.qlDayCounterYearFraction(DayCounter,SettlementDate,AB185,,,Trigger)</f>
        <v>0.73333333333333328</v>
      </c>
      <c r="AD185" s="189">
        <f t="shared" si="19"/>
        <v>3.8546897243813298E-3</v>
      </c>
      <c r="AE185" s="189">
        <f t="shared" si="20"/>
        <v>4.0278600829517057E-3</v>
      </c>
      <c r="AF185" s="161">
        <f t="shared" si="21"/>
        <v>3.8477635794254995E-3</v>
      </c>
    </row>
    <row r="186" spans="28:32" x14ac:dyDescent="0.2">
      <c r="AB186" s="188">
        <f>_xll.qlCalendarAdvance(Calendar,AB185,"1d","mf",,Trigger)</f>
        <v>42262</v>
      </c>
      <c r="AC186" s="210">
        <f>_xll.qlDayCounterYearFraction(DayCounter,SettlementDate,AB186,,,Trigger)</f>
        <v>0.73611111111111116</v>
      </c>
      <c r="AD186" s="189">
        <f t="shared" si="19"/>
        <v>3.8546897243813298E-3</v>
      </c>
      <c r="AE186" s="189">
        <f t="shared" si="20"/>
        <v>4.029984872627416E-3</v>
      </c>
      <c r="AF186" s="161">
        <f t="shared" si="21"/>
        <v>3.8509914288396667E-3</v>
      </c>
    </row>
    <row r="187" spans="28:32" x14ac:dyDescent="0.2">
      <c r="AB187" s="188">
        <f>_xll.qlCalendarAdvance(Calendar,AB186,"1d","mf",,Trigger)</f>
        <v>42263</v>
      </c>
      <c r="AC187" s="210">
        <f>_xll.qlDayCounterYearFraction(DayCounter,SettlementDate,AB187,,,Trigger)</f>
        <v>0.73888888888888893</v>
      </c>
      <c r="AD187" s="189">
        <f t="shared" si="19"/>
        <v>3.8546897243813298E-3</v>
      </c>
      <c r="AE187" s="189">
        <f t="shared" si="20"/>
        <v>4.0321096623031263E-3</v>
      </c>
      <c r="AF187" s="161">
        <f t="shared" si="21"/>
        <v>3.8542495709046358E-3</v>
      </c>
    </row>
    <row r="188" spans="28:32" x14ac:dyDescent="0.2">
      <c r="AB188" s="188">
        <f>_xll.qlCalendarAdvance(Calendar,AB187,"1d","mf",,Trigger)</f>
        <v>42264</v>
      </c>
      <c r="AC188" s="210">
        <f>_xll.qlDayCounterYearFraction(DayCounter,SettlementDate,AB188,,,Trigger)</f>
        <v>0.7416666666666667</v>
      </c>
      <c r="AD188" s="189">
        <f t="shared" si="19"/>
        <v>3.8546897243813298E-3</v>
      </c>
      <c r="AE188" s="189">
        <f t="shared" ref="AE188:AE251" si="22">$S$10+$S$9*AC188</f>
        <v>4.0342344519788357E-3</v>
      </c>
      <c r="AF188" s="161">
        <f t="shared" ref="AF188:AF251" si="23">($S$5+$S$4*AC188+$S$3*AC188^2)</f>
        <v>3.8575380056204067E-3</v>
      </c>
    </row>
    <row r="189" spans="28:32" x14ac:dyDescent="0.2">
      <c r="AB189" s="188">
        <f>_xll.qlCalendarAdvance(Calendar,AB188,"1d","mf",,Trigger)</f>
        <v>42265</v>
      </c>
      <c r="AC189" s="210">
        <f>_xll.qlDayCounterYearFraction(DayCounter,SettlementDate,AB189,,,Trigger)</f>
        <v>0.74444444444444446</v>
      </c>
      <c r="AD189" s="189">
        <f t="shared" si="19"/>
        <v>3.8546897243813298E-3</v>
      </c>
      <c r="AE189" s="189">
        <f t="shared" si="22"/>
        <v>4.036359241654546E-3</v>
      </c>
      <c r="AF189" s="161">
        <f t="shared" si="23"/>
        <v>3.8608567329869795E-3</v>
      </c>
    </row>
    <row r="190" spans="28:32" x14ac:dyDescent="0.2">
      <c r="AB190" s="188">
        <f>_xll.qlCalendarAdvance(Calendar,AB189,"1d","mf",,Trigger)</f>
        <v>42268</v>
      </c>
      <c r="AC190" s="210">
        <f>_xll.qlDayCounterYearFraction(DayCounter,SettlementDate,AB190,,,Trigger)</f>
        <v>0.75277777777777777</v>
      </c>
      <c r="AD190" s="189">
        <f t="shared" si="19"/>
        <v>3.8546897243813298E-3</v>
      </c>
      <c r="AE190" s="189">
        <f t="shared" si="22"/>
        <v>4.0427336106816768E-3</v>
      </c>
      <c r="AF190" s="161">
        <f t="shared" si="23"/>
        <v>3.8709946709915097E-3</v>
      </c>
    </row>
    <row r="191" spans="28:32" x14ac:dyDescent="0.2">
      <c r="AB191" s="188">
        <f>_xll.qlCalendarAdvance(Calendar,AB190,"1d","mf",,Trigger)</f>
        <v>42269</v>
      </c>
      <c r="AC191" s="210">
        <f>_xll.qlDayCounterYearFraction(DayCounter,SettlementDate,AB191,,,Trigger)</f>
        <v>0.75555555555555554</v>
      </c>
      <c r="AD191" s="189">
        <f t="shared" si="19"/>
        <v>3.8546897243813298E-3</v>
      </c>
      <c r="AE191" s="189">
        <f t="shared" si="22"/>
        <v>4.0448584003573871E-3</v>
      </c>
      <c r="AF191" s="161">
        <f t="shared" si="23"/>
        <v>3.8744345689612908E-3</v>
      </c>
    </row>
    <row r="192" spans="28:32" x14ac:dyDescent="0.2">
      <c r="AB192" s="188">
        <f>_xll.qlCalendarAdvance(Calendar,AB191,"1d","mf",,Trigger)</f>
        <v>42270</v>
      </c>
      <c r="AC192" s="210">
        <f>_xll.qlDayCounterYearFraction(DayCounter,SettlementDate,AB192,,,Trigger)</f>
        <v>0.7583333333333333</v>
      </c>
      <c r="AD192" s="189">
        <f t="shared" si="19"/>
        <v>3.8546897243813298E-3</v>
      </c>
      <c r="AE192" s="189">
        <f t="shared" si="22"/>
        <v>4.0469831900330974E-3</v>
      </c>
      <c r="AF192" s="161">
        <f t="shared" si="23"/>
        <v>3.8779047595818733E-3</v>
      </c>
    </row>
    <row r="193" spans="28:32" x14ac:dyDescent="0.2">
      <c r="AB193" s="188">
        <f>_xll.qlCalendarAdvance(Calendar,AB192,"1d","mf",,Trigger)</f>
        <v>42271</v>
      </c>
      <c r="AC193" s="210">
        <f>_xll.qlDayCounterYearFraction(DayCounter,SettlementDate,AB193,,,Trigger)</f>
        <v>0.76111111111111107</v>
      </c>
      <c r="AD193" s="189">
        <f t="shared" si="19"/>
        <v>3.8546897243813298E-3</v>
      </c>
      <c r="AE193" s="189">
        <f t="shared" si="22"/>
        <v>4.0491079797088068E-3</v>
      </c>
      <c r="AF193" s="161">
        <f t="shared" si="23"/>
        <v>3.881405242853258E-3</v>
      </c>
    </row>
    <row r="194" spans="28:32" x14ac:dyDescent="0.2">
      <c r="AB194" s="188">
        <f>_xll.qlCalendarAdvance(Calendar,AB193,"1d","mf",,Trigger)</f>
        <v>42272</v>
      </c>
      <c r="AC194" s="210">
        <f>_xll.qlDayCounterYearFraction(DayCounter,SettlementDate,AB194,,,Trigger)</f>
        <v>0.76388888888888884</v>
      </c>
      <c r="AD194" s="189">
        <f t="shared" si="19"/>
        <v>3.8546897243813298E-3</v>
      </c>
      <c r="AE194" s="189">
        <f t="shared" si="22"/>
        <v>4.0512327693845171E-3</v>
      </c>
      <c r="AF194" s="161">
        <f t="shared" si="23"/>
        <v>3.884936018775445E-3</v>
      </c>
    </row>
    <row r="195" spans="28:32" x14ac:dyDescent="0.2">
      <c r="AB195" s="188">
        <f>_xll.qlCalendarAdvance(Calendar,AB194,"1d","mf",,Trigger)</f>
        <v>42275</v>
      </c>
      <c r="AC195" s="210">
        <f>_xll.qlDayCounterYearFraction(DayCounter,SettlementDate,AB195,,,Trigger)</f>
        <v>0.77222222222222225</v>
      </c>
      <c r="AD195" s="189">
        <f t="shared" ref="AD195:AD257" si="24">$S$13</f>
        <v>3.8546897243813298E-3</v>
      </c>
      <c r="AE195" s="189">
        <f t="shared" si="22"/>
        <v>4.057607138411648E-3</v>
      </c>
      <c r="AF195" s="161">
        <f t="shared" si="23"/>
        <v>3.8957101024468168E-3</v>
      </c>
    </row>
    <row r="196" spans="28:32" x14ac:dyDescent="0.2">
      <c r="AB196" s="188">
        <f>_xll.qlCalendarAdvance(Calendar,AB195,"1d","mf",,Trigger)</f>
        <v>42276</v>
      </c>
      <c r="AC196" s="210">
        <f>_xll.qlDayCounterYearFraction(DayCounter,SettlementDate,AB196,,,Trigger)</f>
        <v>0.77500000000000002</v>
      </c>
      <c r="AD196" s="189">
        <f t="shared" si="24"/>
        <v>3.8546897243813298E-3</v>
      </c>
      <c r="AE196" s="189">
        <f t="shared" si="22"/>
        <v>4.0597319280873574E-3</v>
      </c>
      <c r="AF196" s="161">
        <f t="shared" si="23"/>
        <v>3.8993620489722112E-3</v>
      </c>
    </row>
    <row r="197" spans="28:32" x14ac:dyDescent="0.2">
      <c r="AB197" s="188">
        <f>_xll.qlCalendarAdvance(Calendar,AB196,"1d","mf",,Trigger)</f>
        <v>42277</v>
      </c>
      <c r="AC197" s="210">
        <f>_xll.qlDayCounterYearFraction(DayCounter,SettlementDate,AB197,,,Trigger)</f>
        <v>0.77777777777777779</v>
      </c>
      <c r="AD197" s="189">
        <f t="shared" si="24"/>
        <v>3.8546897243813298E-3</v>
      </c>
      <c r="AE197" s="189">
        <f t="shared" si="22"/>
        <v>4.0618567177630677E-3</v>
      </c>
      <c r="AF197" s="161">
        <f t="shared" si="23"/>
        <v>3.9030442881484084E-3</v>
      </c>
    </row>
    <row r="198" spans="28:32" x14ac:dyDescent="0.2">
      <c r="AB198" s="188">
        <f>_xll.qlCalendarAdvance(Calendar,AB197,"1d","mf",,Trigger)</f>
        <v>42278</v>
      </c>
      <c r="AC198" s="210">
        <f>_xll.qlDayCounterYearFraction(DayCounter,SettlementDate,AB198,,,Trigger)</f>
        <v>0.78055555555555556</v>
      </c>
      <c r="AD198" s="189">
        <f t="shared" si="24"/>
        <v>3.8546897243813298E-3</v>
      </c>
      <c r="AE198" s="189">
        <f t="shared" si="22"/>
        <v>4.063981507438778E-3</v>
      </c>
      <c r="AF198" s="161">
        <f t="shared" si="23"/>
        <v>3.9067568199754061E-3</v>
      </c>
    </row>
    <row r="199" spans="28:32" x14ac:dyDescent="0.2">
      <c r="AB199" s="188">
        <f>_xll.qlCalendarAdvance(Calendar,AB198,"1d","mf",,Trigger)</f>
        <v>42279</v>
      </c>
      <c r="AC199" s="210">
        <f>_xll.qlDayCounterYearFraction(DayCounter,SettlementDate,AB199,,,Trigger)</f>
        <v>0.78333333333333333</v>
      </c>
      <c r="AD199" s="189">
        <f t="shared" si="24"/>
        <v>3.8546897243813298E-3</v>
      </c>
      <c r="AE199" s="189">
        <f t="shared" si="22"/>
        <v>4.0661062971144883E-3</v>
      </c>
      <c r="AF199" s="161">
        <f t="shared" si="23"/>
        <v>3.9104996444532065E-3</v>
      </c>
    </row>
    <row r="200" spans="28:32" x14ac:dyDescent="0.2">
      <c r="AB200" s="188">
        <f>_xll.qlCalendarAdvance(Calendar,AB199,"1d","mf",,Trigger)</f>
        <v>42282</v>
      </c>
      <c r="AC200" s="210">
        <f>_xll.qlDayCounterYearFraction(DayCounter,SettlementDate,AB200,,,Trigger)</f>
        <v>0.79166666666666663</v>
      </c>
      <c r="AD200" s="189">
        <f t="shared" si="24"/>
        <v>3.8546897243813298E-3</v>
      </c>
      <c r="AE200" s="189">
        <f t="shared" si="22"/>
        <v>4.0724806661416191E-3</v>
      </c>
      <c r="AF200" s="161">
        <f t="shared" si="23"/>
        <v>3.9219098737914206E-3</v>
      </c>
    </row>
    <row r="201" spans="28:32" x14ac:dyDescent="0.2">
      <c r="AB201" s="188">
        <f>_xll.qlCalendarAdvance(Calendar,AB200,"1d","mf",,Trigger)</f>
        <v>42283</v>
      </c>
      <c r="AC201" s="210">
        <f>_xll.qlDayCounterYearFraction(DayCounter,SettlementDate,AB201,,,Trigger)</f>
        <v>0.7944444444444444</v>
      </c>
      <c r="AD201" s="189">
        <f t="shared" si="24"/>
        <v>3.8546897243813298E-3</v>
      </c>
      <c r="AE201" s="189">
        <f t="shared" si="22"/>
        <v>4.0746054558173286E-3</v>
      </c>
      <c r="AF201" s="161">
        <f t="shared" si="23"/>
        <v>3.9257738688724285E-3</v>
      </c>
    </row>
    <row r="202" spans="28:32" x14ac:dyDescent="0.2">
      <c r="AB202" s="188">
        <f>_xll.qlCalendarAdvance(Calendar,AB201,"1d","mf",,Trigger)</f>
        <v>42284</v>
      </c>
      <c r="AC202" s="210">
        <f>_xll.qlDayCounterYearFraction(DayCounter,SettlementDate,AB202,,,Trigger)</f>
        <v>0.79722222222222228</v>
      </c>
      <c r="AD202" s="189">
        <f t="shared" si="24"/>
        <v>3.8546897243813298E-3</v>
      </c>
      <c r="AE202" s="189">
        <f t="shared" si="22"/>
        <v>4.0767302454930389E-3</v>
      </c>
      <c r="AF202" s="161">
        <f t="shared" si="23"/>
        <v>3.929668156604239E-3</v>
      </c>
    </row>
    <row r="203" spans="28:32" x14ac:dyDescent="0.2">
      <c r="AB203" s="188">
        <f>_xll.qlCalendarAdvance(Calendar,AB202,"1d","mf",,Trigger)</f>
        <v>42285</v>
      </c>
      <c r="AC203" s="210">
        <f>_xll.qlDayCounterYearFraction(DayCounter,SettlementDate,AB203,,,Trigger)</f>
        <v>0.8</v>
      </c>
      <c r="AD203" s="189">
        <f t="shared" si="24"/>
        <v>3.8546897243813298E-3</v>
      </c>
      <c r="AE203" s="189">
        <f t="shared" si="22"/>
        <v>4.0788550351687491E-3</v>
      </c>
      <c r="AF203" s="161">
        <f t="shared" si="23"/>
        <v>3.9335927369868514E-3</v>
      </c>
    </row>
    <row r="204" spans="28:32" x14ac:dyDescent="0.2">
      <c r="AB204" s="188">
        <f>_xll.qlCalendarAdvance(Calendar,AB203,"1d","mf",,Trigger)</f>
        <v>42286</v>
      </c>
      <c r="AC204" s="210">
        <f>_xll.qlDayCounterYearFraction(DayCounter,SettlementDate,AB204,,,Trigger)</f>
        <v>0.80277777777777781</v>
      </c>
      <c r="AD204" s="189">
        <f t="shared" si="24"/>
        <v>3.8546897243813298E-3</v>
      </c>
      <c r="AE204" s="189">
        <f t="shared" si="22"/>
        <v>4.0809798248444594E-3</v>
      </c>
      <c r="AF204" s="161">
        <f t="shared" si="23"/>
        <v>3.9375476100202665E-3</v>
      </c>
    </row>
    <row r="205" spans="28:32" x14ac:dyDescent="0.2">
      <c r="AB205" s="188">
        <f>_xll.qlCalendarAdvance(Calendar,AB204,"1d","mf",,Trigger)</f>
        <v>42289</v>
      </c>
      <c r="AC205" s="210">
        <f>_xll.qlDayCounterYearFraction(DayCounter,SettlementDate,AB205,,,Trigger)</f>
        <v>0.81111111111111112</v>
      </c>
      <c r="AD205" s="189">
        <f t="shared" si="24"/>
        <v>3.8546897243813298E-3</v>
      </c>
      <c r="AE205" s="189">
        <f t="shared" si="22"/>
        <v>4.0873541938715894E-3</v>
      </c>
      <c r="AF205" s="161">
        <f t="shared" si="23"/>
        <v>3.9495939850253204E-3</v>
      </c>
    </row>
    <row r="206" spans="28:32" x14ac:dyDescent="0.2">
      <c r="AB206" s="188">
        <f>_xll.qlCalendarAdvance(Calendar,AB205,"1d","mf",,Trigger)</f>
        <v>42290</v>
      </c>
      <c r="AC206" s="210">
        <f>_xll.qlDayCounterYearFraction(DayCounter,SettlementDate,AB206,,,Trigger)</f>
        <v>0.81388888888888888</v>
      </c>
      <c r="AD206" s="189">
        <f t="shared" si="24"/>
        <v>3.8546897243813298E-3</v>
      </c>
      <c r="AE206" s="189">
        <f t="shared" si="22"/>
        <v>4.0894789835472997E-3</v>
      </c>
      <c r="AF206" s="161">
        <f t="shared" si="23"/>
        <v>3.9536700286619429E-3</v>
      </c>
    </row>
    <row r="207" spans="28:32" x14ac:dyDescent="0.2">
      <c r="AB207" s="188">
        <f>_xll.qlCalendarAdvance(Calendar,AB206,"1d","mf",,Trigger)</f>
        <v>42291</v>
      </c>
      <c r="AC207" s="210">
        <f>_xll.qlDayCounterYearFraction(DayCounter,SettlementDate,AB207,,,Trigger)</f>
        <v>0.81666666666666665</v>
      </c>
      <c r="AD207" s="189">
        <f t="shared" si="24"/>
        <v>3.8546897243813298E-3</v>
      </c>
      <c r="AE207" s="189">
        <f t="shared" si="22"/>
        <v>4.09160377322301E-3</v>
      </c>
      <c r="AF207" s="161">
        <f t="shared" si="23"/>
        <v>3.9577763649493673E-3</v>
      </c>
    </row>
    <row r="208" spans="28:32" x14ac:dyDescent="0.2">
      <c r="AB208" s="188">
        <f>_xll.qlCalendarAdvance(Calendar,AB207,"1d","mf",,Trigger)</f>
        <v>42292</v>
      </c>
      <c r="AC208" s="210">
        <f>_xll.qlDayCounterYearFraction(DayCounter,SettlementDate,AB208,,,Trigger)</f>
        <v>0.81944444444444442</v>
      </c>
      <c r="AD208" s="189">
        <f t="shared" si="24"/>
        <v>3.8546897243813298E-3</v>
      </c>
      <c r="AE208" s="189">
        <f t="shared" si="22"/>
        <v>4.0937285628987203E-3</v>
      </c>
      <c r="AF208" s="161">
        <f t="shared" si="23"/>
        <v>3.9619129938875935E-3</v>
      </c>
    </row>
    <row r="209" spans="28:32" x14ac:dyDescent="0.2">
      <c r="AB209" s="188">
        <f>_xll.qlCalendarAdvance(Calendar,AB208,"1d","mf",,Trigger)</f>
        <v>42293</v>
      </c>
      <c r="AC209" s="210">
        <f>_xll.qlDayCounterYearFraction(DayCounter,SettlementDate,AB209,,,Trigger)</f>
        <v>0.82222222222222219</v>
      </c>
      <c r="AD209" s="189">
        <f t="shared" si="24"/>
        <v>3.8546897243813298E-3</v>
      </c>
      <c r="AE209" s="189">
        <f t="shared" si="22"/>
        <v>4.0958533525744306E-3</v>
      </c>
      <c r="AF209" s="161">
        <f t="shared" si="23"/>
        <v>3.9660799154766207E-3</v>
      </c>
    </row>
    <row r="210" spans="28:32" x14ac:dyDescent="0.2">
      <c r="AB210" s="188">
        <f>_xll.qlCalendarAdvance(Calendar,AB209,"1d","mf",,Trigger)</f>
        <v>42296</v>
      </c>
      <c r="AC210" s="210">
        <f>_xll.qlDayCounterYearFraction(DayCounter,SettlementDate,AB210,,,Trigger)</f>
        <v>0.8305555555555556</v>
      </c>
      <c r="AD210" s="189">
        <f t="shared" si="24"/>
        <v>3.8546897243813298E-3</v>
      </c>
      <c r="AE210" s="189">
        <f t="shared" si="22"/>
        <v>4.1022277216015606E-3</v>
      </c>
      <c r="AF210" s="161">
        <f t="shared" si="23"/>
        <v>3.9787624361485177E-3</v>
      </c>
    </row>
    <row r="211" spans="28:32" x14ac:dyDescent="0.2">
      <c r="AB211" s="188">
        <f>_xll.qlCalendarAdvance(Calendar,AB210,"1d","mf",,Trigger)</f>
        <v>42297</v>
      </c>
      <c r="AC211" s="210">
        <f>_xll.qlDayCounterYearFraction(DayCounter,SettlementDate,AB211,,,Trigger)</f>
        <v>0.83333333333333337</v>
      </c>
      <c r="AD211" s="189">
        <f t="shared" si="24"/>
        <v>3.8546897243813298E-3</v>
      </c>
      <c r="AE211" s="189">
        <f t="shared" si="22"/>
        <v>4.1043525112772709E-3</v>
      </c>
      <c r="AF211" s="161">
        <f t="shared" si="23"/>
        <v>3.9830505283407541E-3</v>
      </c>
    </row>
    <row r="212" spans="28:32" x14ac:dyDescent="0.2">
      <c r="AB212" s="188">
        <f>_xll.qlCalendarAdvance(Calendar,AB211,"1d","mf",,Trigger)</f>
        <v>42298</v>
      </c>
      <c r="AC212" s="210">
        <f>_xll.qlDayCounterYearFraction(DayCounter,SettlementDate,AB212,,,Trigger)</f>
        <v>0.83611111111111114</v>
      </c>
      <c r="AD212" s="189">
        <f t="shared" si="24"/>
        <v>3.8546897243813298E-3</v>
      </c>
      <c r="AE212" s="189">
        <f t="shared" si="22"/>
        <v>4.1064773009529812E-3</v>
      </c>
      <c r="AF212" s="161">
        <f t="shared" si="23"/>
        <v>3.9873689131837923E-3</v>
      </c>
    </row>
    <row r="213" spans="28:32" x14ac:dyDescent="0.2">
      <c r="AB213" s="188">
        <f>_xll.qlCalendarAdvance(Calendar,AB212,"1d","mf",,Trigger)</f>
        <v>42299</v>
      </c>
      <c r="AC213" s="210">
        <f>_xll.qlDayCounterYearFraction(DayCounter,SettlementDate,AB213,,,Trigger)</f>
        <v>0.83888888888888891</v>
      </c>
      <c r="AD213" s="189">
        <f t="shared" si="24"/>
        <v>3.8546897243813298E-3</v>
      </c>
      <c r="AE213" s="189">
        <f t="shared" si="22"/>
        <v>4.1086020906286914E-3</v>
      </c>
      <c r="AF213" s="161">
        <f t="shared" si="23"/>
        <v>3.9917175906776323E-3</v>
      </c>
    </row>
    <row r="214" spans="28:32" x14ac:dyDescent="0.2">
      <c r="AB214" s="188">
        <f>_xll.qlCalendarAdvance(Calendar,AB213,"1d","mf",,Trigger)</f>
        <v>42300</v>
      </c>
      <c r="AC214" s="210">
        <f>_xll.qlDayCounterYearFraction(DayCounter,SettlementDate,AB214,,,Trigger)</f>
        <v>0.84166666666666667</v>
      </c>
      <c r="AD214" s="189">
        <f t="shared" si="24"/>
        <v>3.8546897243813298E-3</v>
      </c>
      <c r="AE214" s="189">
        <f t="shared" si="22"/>
        <v>4.1107268803044009E-3</v>
      </c>
      <c r="AF214" s="161">
        <f t="shared" si="23"/>
        <v>3.9960965608222742E-3</v>
      </c>
    </row>
    <row r="215" spans="28:32" x14ac:dyDescent="0.2">
      <c r="AB215" s="188">
        <f>_xll.qlCalendarAdvance(Calendar,AB214,"1d","mf",,Trigger)</f>
        <v>42303</v>
      </c>
      <c r="AC215" s="210">
        <f>_xll.qlDayCounterYearFraction(DayCounter,SettlementDate,AB215,,,Trigger)</f>
        <v>0.85</v>
      </c>
      <c r="AD215" s="189">
        <f t="shared" si="24"/>
        <v>3.8546897243813298E-3</v>
      </c>
      <c r="AE215" s="189">
        <f t="shared" si="22"/>
        <v>4.1171012493315317E-3</v>
      </c>
      <c r="AF215" s="161">
        <f t="shared" si="23"/>
        <v>4.0094152271610119E-3</v>
      </c>
    </row>
    <row r="216" spans="28:32" x14ac:dyDescent="0.2">
      <c r="AB216" s="188">
        <f>_xll.qlCalendarAdvance(Calendar,AB215,"1d","mf",,Trigger)</f>
        <v>42304</v>
      </c>
      <c r="AC216" s="210">
        <f>_xll.qlDayCounterYearFraction(DayCounter,SettlementDate,AB216,,,Trigger)</f>
        <v>0.85277777777777775</v>
      </c>
      <c r="AD216" s="189">
        <f t="shared" si="24"/>
        <v>3.8546897243813298E-3</v>
      </c>
      <c r="AE216" s="189">
        <f t="shared" si="22"/>
        <v>4.119226039007242E-3</v>
      </c>
      <c r="AF216" s="161">
        <f t="shared" si="23"/>
        <v>4.0139153679088612E-3</v>
      </c>
    </row>
    <row r="217" spans="28:32" x14ac:dyDescent="0.2">
      <c r="AB217" s="188">
        <f>_xll.qlCalendarAdvance(Calendar,AB216,"1d","mf",,Trigger)</f>
        <v>42305</v>
      </c>
      <c r="AC217" s="210">
        <f>_xll.qlDayCounterYearFraction(DayCounter,SettlementDate,AB217,,,Trigger)</f>
        <v>0.85555555555555551</v>
      </c>
      <c r="AD217" s="189">
        <f t="shared" si="24"/>
        <v>3.8546897243813298E-3</v>
      </c>
      <c r="AE217" s="189">
        <f t="shared" si="22"/>
        <v>4.1213508286829523E-3</v>
      </c>
      <c r="AF217" s="161">
        <f t="shared" si="23"/>
        <v>4.0184458013075132E-3</v>
      </c>
    </row>
    <row r="218" spans="28:32" x14ac:dyDescent="0.2">
      <c r="AB218" s="188">
        <f>_xll.qlCalendarAdvance(Calendar,AB217,"1d","mf",,Trigger)</f>
        <v>42306</v>
      </c>
      <c r="AC218" s="210">
        <f>_xll.qlDayCounterYearFraction(DayCounter,SettlementDate,AB218,,,Trigger)</f>
        <v>0.85833333333333328</v>
      </c>
      <c r="AD218" s="189">
        <f t="shared" si="24"/>
        <v>3.8546897243813298E-3</v>
      </c>
      <c r="AE218" s="189">
        <f t="shared" si="22"/>
        <v>4.1234756183586626E-3</v>
      </c>
      <c r="AF218" s="161">
        <f t="shared" si="23"/>
        <v>4.0230065273569671E-3</v>
      </c>
    </row>
    <row r="219" spans="28:32" x14ac:dyDescent="0.2">
      <c r="AB219" s="188">
        <f>_xll.qlCalendarAdvance(Calendar,AB218,"1d","mf",,Trigger)</f>
        <v>42307</v>
      </c>
      <c r="AC219" s="210">
        <f>_xll.qlDayCounterYearFraction(DayCounter,SettlementDate,AB219,,,Trigger)</f>
        <v>0.86111111111111116</v>
      </c>
      <c r="AD219" s="189">
        <f t="shared" si="24"/>
        <v>3.8546897243813298E-3</v>
      </c>
      <c r="AE219" s="189">
        <f t="shared" si="22"/>
        <v>4.125600408034372E-3</v>
      </c>
      <c r="AF219" s="161">
        <f t="shared" si="23"/>
        <v>4.0275975460572228E-3</v>
      </c>
    </row>
    <row r="220" spans="28:32" x14ac:dyDescent="0.2">
      <c r="AB220" s="188">
        <f>_xll.qlCalendarAdvance(Calendar,AB219,"1d","mf",,Trigger)</f>
        <v>42310</v>
      </c>
      <c r="AC220" s="210">
        <f>_xll.qlDayCounterYearFraction(DayCounter,SettlementDate,AB220,,,Trigger)</f>
        <v>0.86944444444444446</v>
      </c>
      <c r="AD220" s="189">
        <f t="shared" si="24"/>
        <v>3.8546897243813298E-3</v>
      </c>
      <c r="AE220" s="189">
        <f t="shared" si="22"/>
        <v>4.1319747770615029E-3</v>
      </c>
      <c r="AF220" s="161">
        <f t="shared" si="23"/>
        <v>4.041552358062802E-3</v>
      </c>
    </row>
    <row r="221" spans="28:32" x14ac:dyDescent="0.2">
      <c r="AB221" s="188">
        <f>_xll.qlCalendarAdvance(Calendar,AB220,"1d","mf",,Trigger)</f>
        <v>42311</v>
      </c>
      <c r="AC221" s="210">
        <f>_xll.qlDayCounterYearFraction(DayCounter,SettlementDate,AB221,,,Trigger)</f>
        <v>0.87222222222222223</v>
      </c>
      <c r="AD221" s="189">
        <f t="shared" si="24"/>
        <v>3.8546897243813298E-3</v>
      </c>
      <c r="AE221" s="189">
        <f t="shared" si="22"/>
        <v>4.1340995667372132E-3</v>
      </c>
      <c r="AF221" s="161">
        <f t="shared" si="23"/>
        <v>4.046264547366266E-3</v>
      </c>
    </row>
    <row r="222" spans="28:32" x14ac:dyDescent="0.2">
      <c r="AB222" s="188">
        <f>_xll.qlCalendarAdvance(Calendar,AB221,"1d","mf",,Trigger)</f>
        <v>42312</v>
      </c>
      <c r="AC222" s="210">
        <f>_xll.qlDayCounterYearFraction(DayCounter,SettlementDate,AB222,,,Trigger)</f>
        <v>0.875</v>
      </c>
      <c r="AD222" s="189">
        <f t="shared" si="24"/>
        <v>3.8546897243813298E-3</v>
      </c>
      <c r="AE222" s="189">
        <f t="shared" si="22"/>
        <v>4.1362243564129226E-3</v>
      </c>
      <c r="AF222" s="161">
        <f t="shared" si="23"/>
        <v>4.0510070293205318E-3</v>
      </c>
    </row>
    <row r="223" spans="28:32" x14ac:dyDescent="0.2">
      <c r="AB223" s="188">
        <f>_xll.qlCalendarAdvance(Calendar,AB222,"1d","mf",,Trigger)</f>
        <v>42313</v>
      </c>
      <c r="AC223" s="210">
        <f>_xll.qlDayCounterYearFraction(DayCounter,SettlementDate,AB223,,,Trigger)</f>
        <v>0.87777777777777777</v>
      </c>
      <c r="AD223" s="189">
        <f t="shared" si="24"/>
        <v>3.8546897243813298E-3</v>
      </c>
      <c r="AE223" s="189">
        <f t="shared" si="22"/>
        <v>4.1383491460886329E-3</v>
      </c>
      <c r="AF223" s="161">
        <f t="shared" si="23"/>
        <v>4.0557798039255995E-3</v>
      </c>
    </row>
    <row r="224" spans="28:32" x14ac:dyDescent="0.2">
      <c r="AB224" s="188">
        <f>_xll.qlCalendarAdvance(Calendar,AB223,"1d","mf",,Trigger)</f>
        <v>42314</v>
      </c>
      <c r="AC224" s="210">
        <f>_xll.qlDayCounterYearFraction(DayCounter,SettlementDate,AB224,,,Trigger)</f>
        <v>0.88055555555555554</v>
      </c>
      <c r="AD224" s="189">
        <f t="shared" si="24"/>
        <v>3.8546897243813298E-3</v>
      </c>
      <c r="AE224" s="189">
        <f t="shared" si="22"/>
        <v>4.1404739357643432E-3</v>
      </c>
      <c r="AF224" s="161">
        <f t="shared" si="23"/>
        <v>4.0605828711814691E-3</v>
      </c>
    </row>
    <row r="225" spans="28:32" x14ac:dyDescent="0.2">
      <c r="AB225" s="188">
        <f>_xll.qlCalendarAdvance(Calendar,AB224,"1d","mf",,Trigger)</f>
        <v>42317</v>
      </c>
      <c r="AC225" s="210">
        <f>_xll.qlDayCounterYearFraction(DayCounter,SettlementDate,AB225,,,Trigger)</f>
        <v>0.88888888888888884</v>
      </c>
      <c r="AD225" s="189">
        <f t="shared" si="24"/>
        <v>3.8546897243813298E-3</v>
      </c>
      <c r="AE225" s="189">
        <f t="shared" si="22"/>
        <v>4.146848304791474E-3</v>
      </c>
      <c r="AF225" s="161">
        <f t="shared" si="23"/>
        <v>4.0751738288538897E-3</v>
      </c>
    </row>
    <row r="226" spans="28:32" x14ac:dyDescent="0.2">
      <c r="AB226" s="188">
        <f>_xll.qlCalendarAdvance(Calendar,AB225,"1d","mf",,Trigger)</f>
        <v>42318</v>
      </c>
      <c r="AC226" s="210">
        <f>_xll.qlDayCounterYearFraction(DayCounter,SettlementDate,AB226,,,Trigger)</f>
        <v>0.89166666666666672</v>
      </c>
      <c r="AD226" s="189">
        <f t="shared" si="24"/>
        <v>3.8546897243813298E-3</v>
      </c>
      <c r="AE226" s="189">
        <f t="shared" si="22"/>
        <v>4.1489730944671843E-3</v>
      </c>
      <c r="AF226" s="161">
        <f t="shared" si="23"/>
        <v>4.0800980667129675E-3</v>
      </c>
    </row>
    <row r="227" spans="28:32" x14ac:dyDescent="0.2">
      <c r="AB227" s="188">
        <f>_xll.qlCalendarAdvance(Calendar,AB226,"1d","mf",,Trigger)</f>
        <v>42319</v>
      </c>
      <c r="AC227" s="210">
        <f>_xll.qlDayCounterYearFraction(DayCounter,SettlementDate,AB227,,,Trigger)</f>
        <v>0.89444444444444449</v>
      </c>
      <c r="AD227" s="189">
        <f t="shared" si="24"/>
        <v>3.8546897243813298E-3</v>
      </c>
      <c r="AE227" s="189">
        <f t="shared" si="22"/>
        <v>4.1510978841428937E-3</v>
      </c>
      <c r="AF227" s="161">
        <f t="shared" si="23"/>
        <v>4.0850525972228463E-3</v>
      </c>
    </row>
    <row r="228" spans="28:32" x14ac:dyDescent="0.2">
      <c r="AB228" s="188">
        <f>_xll.qlCalendarAdvance(Calendar,AB227,"1d","mf",,Trigger)</f>
        <v>42320</v>
      </c>
      <c r="AC228" s="210">
        <f>_xll.qlDayCounterYearFraction(DayCounter,SettlementDate,AB228,,,Trigger)</f>
        <v>0.89722222222222225</v>
      </c>
      <c r="AD228" s="189">
        <f t="shared" si="24"/>
        <v>3.8546897243813298E-3</v>
      </c>
      <c r="AE228" s="189">
        <f t="shared" si="22"/>
        <v>4.153222673818604E-3</v>
      </c>
      <c r="AF228" s="161">
        <f t="shared" si="23"/>
        <v>4.0900374203835287E-3</v>
      </c>
    </row>
    <row r="229" spans="28:32" x14ac:dyDescent="0.2">
      <c r="AB229" s="188">
        <f>_xll.qlCalendarAdvance(Calendar,AB228,"1d","mf",,Trigger)</f>
        <v>42321</v>
      </c>
      <c r="AC229" s="210">
        <f>_xll.qlDayCounterYearFraction(DayCounter,SettlementDate,AB229,,,Trigger)</f>
        <v>0.9</v>
      </c>
      <c r="AD229" s="189">
        <f t="shared" si="24"/>
        <v>3.8546897243813298E-3</v>
      </c>
      <c r="AE229" s="189">
        <f t="shared" si="22"/>
        <v>4.1553474634943143E-3</v>
      </c>
      <c r="AF229" s="161">
        <f t="shared" si="23"/>
        <v>4.0950525361950121E-3</v>
      </c>
    </row>
    <row r="230" spans="28:32" x14ac:dyDescent="0.2">
      <c r="AB230" s="188">
        <f>_xll.qlCalendarAdvance(Calendar,AB229,"1d","mf",,Trigger)</f>
        <v>42324</v>
      </c>
      <c r="AC230" s="210">
        <f>_xll.qlDayCounterYearFraction(DayCounter,SettlementDate,AB230,,,Trigger)</f>
        <v>0.90833333333333333</v>
      </c>
      <c r="AD230" s="189">
        <f t="shared" si="24"/>
        <v>3.8546897243813298E-3</v>
      </c>
      <c r="AE230" s="189">
        <f t="shared" si="22"/>
        <v>4.1617218325214443E-3</v>
      </c>
      <c r="AF230" s="161">
        <f t="shared" si="23"/>
        <v>4.1102796395342742E-3</v>
      </c>
    </row>
    <row r="231" spans="28:32" x14ac:dyDescent="0.2">
      <c r="AB231" s="188">
        <f>_xll.qlCalendarAdvance(Calendar,AB230,"1d","mf",,Trigger)</f>
        <v>42325</v>
      </c>
      <c r="AC231" s="210">
        <f>_xll.qlDayCounterYearFraction(DayCounter,SettlementDate,AB231,,,Trigger)</f>
        <v>0.91111111111111109</v>
      </c>
      <c r="AD231" s="189">
        <f t="shared" si="24"/>
        <v>3.8546897243813298E-3</v>
      </c>
      <c r="AE231" s="189">
        <f t="shared" si="22"/>
        <v>4.1638466221971546E-3</v>
      </c>
      <c r="AF231" s="161">
        <f t="shared" si="23"/>
        <v>4.1154159259489649E-3</v>
      </c>
    </row>
    <row r="232" spans="28:32" x14ac:dyDescent="0.2">
      <c r="AB232" s="188">
        <f>_xll.qlCalendarAdvance(Calendar,AB231,"1d","mf",,Trigger)</f>
        <v>42326</v>
      </c>
      <c r="AC232" s="210">
        <f>_xll.qlDayCounterYearFraction(DayCounter,SettlementDate,AB232,,,Trigger)</f>
        <v>0.91388888888888886</v>
      </c>
      <c r="AD232" s="189">
        <f t="shared" si="24"/>
        <v>3.8546897243813298E-3</v>
      </c>
      <c r="AE232" s="189">
        <f t="shared" si="22"/>
        <v>4.1659714118728649E-3</v>
      </c>
      <c r="AF232" s="161">
        <f t="shared" si="23"/>
        <v>4.1205825050144584E-3</v>
      </c>
    </row>
    <row r="233" spans="28:32" x14ac:dyDescent="0.2">
      <c r="AB233" s="188">
        <f>_xll.qlCalendarAdvance(Calendar,AB232,"1d","mf",,Trigger)</f>
        <v>42327</v>
      </c>
      <c r="AC233" s="210">
        <f>_xll.qlDayCounterYearFraction(DayCounter,SettlementDate,AB233,,,Trigger)</f>
        <v>0.91666666666666663</v>
      </c>
      <c r="AD233" s="189">
        <f t="shared" si="24"/>
        <v>3.8546897243813298E-3</v>
      </c>
      <c r="AE233" s="189">
        <f t="shared" si="22"/>
        <v>4.1680962015485752E-3</v>
      </c>
      <c r="AF233" s="161">
        <f t="shared" si="23"/>
        <v>4.1257793767307538E-3</v>
      </c>
    </row>
    <row r="234" spans="28:32" x14ac:dyDescent="0.2">
      <c r="AB234" s="188">
        <f>_xll.qlCalendarAdvance(Calendar,AB233,"1d","mf",,Trigger)</f>
        <v>42328</v>
      </c>
      <c r="AC234" s="210">
        <f>_xll.qlDayCounterYearFraction(DayCounter,SettlementDate,AB234,,,Trigger)</f>
        <v>0.9194444444444444</v>
      </c>
      <c r="AD234" s="189">
        <f t="shared" si="24"/>
        <v>3.8546897243813298E-3</v>
      </c>
      <c r="AE234" s="189">
        <f t="shared" si="22"/>
        <v>4.1702209912242855E-3</v>
      </c>
      <c r="AF234" s="161">
        <f t="shared" si="23"/>
        <v>4.131006541097851E-3</v>
      </c>
    </row>
    <row r="235" spans="28:32" x14ac:dyDescent="0.2">
      <c r="AB235" s="188">
        <f>_xll.qlCalendarAdvance(Calendar,AB234,"1d","mf",,Trigger)</f>
        <v>42331</v>
      </c>
      <c r="AC235" s="210">
        <f>_xll.qlDayCounterYearFraction(DayCounter,SettlementDate,AB235,,,Trigger)</f>
        <v>0.92777777777777781</v>
      </c>
      <c r="AD235" s="189">
        <f t="shared" si="24"/>
        <v>3.8546897243813298E-3</v>
      </c>
      <c r="AE235" s="189">
        <f t="shared" si="22"/>
        <v>4.1765953602514155E-3</v>
      </c>
      <c r="AF235" s="161">
        <f t="shared" si="23"/>
        <v>4.1468697901039554E-3</v>
      </c>
    </row>
    <row r="236" spans="28:32" x14ac:dyDescent="0.2">
      <c r="AB236" s="188">
        <f>_xll.qlCalendarAdvance(Calendar,AB235,"1d","mf",,Trigger)</f>
        <v>42332</v>
      </c>
      <c r="AC236" s="210">
        <f>_xll.qlDayCounterYearFraction(DayCounter,SettlementDate,AB236,,,Trigger)</f>
        <v>0.93055555555555558</v>
      </c>
      <c r="AD236" s="189">
        <f t="shared" si="24"/>
        <v>3.8546897243813298E-3</v>
      </c>
      <c r="AE236" s="189">
        <f t="shared" si="22"/>
        <v>4.1787201499271258E-3</v>
      </c>
      <c r="AF236" s="161">
        <f t="shared" si="23"/>
        <v>4.15221812507426E-3</v>
      </c>
    </row>
    <row r="237" spans="28:32" x14ac:dyDescent="0.2">
      <c r="AB237" s="188">
        <f>_xll.qlCalendarAdvance(Calendar,AB236,"1d","mf",,Trigger)</f>
        <v>42333</v>
      </c>
      <c r="AC237" s="210">
        <f>_xll.qlDayCounterYearFraction(DayCounter,SettlementDate,AB237,,,Trigger)</f>
        <v>0.93333333333333335</v>
      </c>
      <c r="AD237" s="189">
        <f t="shared" si="24"/>
        <v>3.8546897243813298E-3</v>
      </c>
      <c r="AE237" s="189">
        <f t="shared" si="22"/>
        <v>4.180844939602836E-3</v>
      </c>
      <c r="AF237" s="161">
        <f t="shared" si="23"/>
        <v>4.1575967526953674E-3</v>
      </c>
    </row>
    <row r="238" spans="28:32" x14ac:dyDescent="0.2">
      <c r="AB238" s="188">
        <f>_xll.qlCalendarAdvance(Calendar,AB237,"1d","mf",,Trigger)</f>
        <v>42334</v>
      </c>
      <c r="AC238" s="210">
        <f>_xll.qlDayCounterYearFraction(DayCounter,SettlementDate,AB238,,,Trigger)</f>
        <v>0.93611111111111112</v>
      </c>
      <c r="AD238" s="189">
        <f t="shared" si="24"/>
        <v>3.8546897243813298E-3</v>
      </c>
      <c r="AE238" s="189">
        <f t="shared" si="22"/>
        <v>4.1829697292785463E-3</v>
      </c>
      <c r="AF238" s="161">
        <f t="shared" si="23"/>
        <v>4.1630056729672765E-3</v>
      </c>
    </row>
    <row r="239" spans="28:32" x14ac:dyDescent="0.2">
      <c r="AB239" s="188">
        <f>_xll.qlCalendarAdvance(Calendar,AB238,"1d","mf",,Trigger)</f>
        <v>42335</v>
      </c>
      <c r="AC239" s="210">
        <f>_xll.qlDayCounterYearFraction(DayCounter,SettlementDate,AB239,,,Trigger)</f>
        <v>0.93888888888888888</v>
      </c>
      <c r="AD239" s="189">
        <f t="shared" si="24"/>
        <v>3.8546897243813298E-3</v>
      </c>
      <c r="AE239" s="189">
        <f t="shared" si="22"/>
        <v>4.1850945189542566E-3</v>
      </c>
      <c r="AF239" s="161">
        <f t="shared" si="23"/>
        <v>4.1684448858899876E-3</v>
      </c>
    </row>
    <row r="240" spans="28:32" x14ac:dyDescent="0.2">
      <c r="AB240" s="188">
        <f>_xll.qlCalendarAdvance(Calendar,AB239,"1d","mf",,Trigger)</f>
        <v>42338</v>
      </c>
      <c r="AC240" s="210">
        <f>_xll.qlDayCounterYearFraction(DayCounter,SettlementDate,AB240,,,Trigger)</f>
        <v>0.94722222222222219</v>
      </c>
      <c r="AD240" s="189">
        <f t="shared" si="24"/>
        <v>3.8546897243813298E-3</v>
      </c>
      <c r="AE240" s="189">
        <f t="shared" si="22"/>
        <v>4.1914688879813866E-3</v>
      </c>
      <c r="AF240" s="161">
        <f t="shared" si="23"/>
        <v>4.1849442805629326E-3</v>
      </c>
    </row>
    <row r="241" spans="28:32" x14ac:dyDescent="0.2">
      <c r="AB241" s="188">
        <f>_xll.qlCalendarAdvance(Calendar,AB240,"1d","mf",,Trigger)</f>
        <v>42339</v>
      </c>
      <c r="AC241" s="210">
        <f>_xll.qlDayCounterYearFraction(DayCounter,SettlementDate,AB241,,,Trigger)</f>
        <v>0.95</v>
      </c>
      <c r="AD241" s="189">
        <f t="shared" si="24"/>
        <v>3.8546897243813298E-3</v>
      </c>
      <c r="AE241" s="189">
        <f t="shared" si="22"/>
        <v>4.1935936776570969E-3</v>
      </c>
      <c r="AF241" s="161">
        <f t="shared" si="23"/>
        <v>4.1905046640888519E-3</v>
      </c>
    </row>
    <row r="242" spans="28:32" x14ac:dyDescent="0.2">
      <c r="AB242" s="188">
        <f>_xll.qlCalendarAdvance(Calendar,AB241,"1d","mf",,Trigger)</f>
        <v>42340</v>
      </c>
      <c r="AC242" s="210">
        <f>_xll.qlDayCounterYearFraction(DayCounter,SettlementDate,AB242,,,Trigger)</f>
        <v>0.95277777777777772</v>
      </c>
      <c r="AD242" s="189">
        <f t="shared" si="24"/>
        <v>3.8546897243813298E-3</v>
      </c>
      <c r="AE242" s="189">
        <f t="shared" si="22"/>
        <v>4.1957184673328072E-3</v>
      </c>
      <c r="AF242" s="161">
        <f t="shared" si="23"/>
        <v>4.1960953402655722E-3</v>
      </c>
    </row>
    <row r="243" spans="28:32" x14ac:dyDescent="0.2">
      <c r="AB243" s="188">
        <f>_xll.qlCalendarAdvance(Calendar,AB242,"1d","mf",,Trigger)</f>
        <v>42341</v>
      </c>
      <c r="AC243" s="210">
        <f>_xll.qlDayCounterYearFraction(DayCounter,SettlementDate,AB243,,,Trigger)</f>
        <v>0.9555555555555556</v>
      </c>
      <c r="AD243" s="189">
        <f t="shared" si="24"/>
        <v>3.8546897243813298E-3</v>
      </c>
      <c r="AE243" s="189">
        <f t="shared" si="22"/>
        <v>4.1978432570085175E-3</v>
      </c>
      <c r="AF243" s="161">
        <f t="shared" si="23"/>
        <v>4.201716309093096E-3</v>
      </c>
    </row>
    <row r="244" spans="28:32" x14ac:dyDescent="0.2">
      <c r="AB244" s="188">
        <f>_xll.qlCalendarAdvance(Calendar,AB243,"1d","mf",,Trigger)</f>
        <v>42342</v>
      </c>
      <c r="AC244" s="210">
        <f>_xll.qlDayCounterYearFraction(DayCounter,SettlementDate,AB244,,,Trigger)</f>
        <v>0.95833333333333337</v>
      </c>
      <c r="AD244" s="189">
        <f t="shared" si="24"/>
        <v>3.8546897243813298E-3</v>
      </c>
      <c r="AE244" s="189">
        <f t="shared" si="22"/>
        <v>4.1999680466842278E-3</v>
      </c>
      <c r="AF244" s="161">
        <f t="shared" si="23"/>
        <v>4.2073675705714209E-3</v>
      </c>
    </row>
    <row r="245" spans="28:32" x14ac:dyDescent="0.2">
      <c r="AB245" s="188">
        <f>_xll.qlCalendarAdvance(Calendar,AB244,"1d","mf",,Trigger)</f>
        <v>42345</v>
      </c>
      <c r="AC245" s="210">
        <f>_xll.qlDayCounterYearFraction(DayCounter,SettlementDate,AB245,,,Trigger)</f>
        <v>0.96666666666666667</v>
      </c>
      <c r="AD245" s="189">
        <f t="shared" si="24"/>
        <v>3.8546897243813298E-3</v>
      </c>
      <c r="AE245" s="189">
        <f t="shared" si="22"/>
        <v>4.2063424157113578E-3</v>
      </c>
      <c r="AF245" s="161">
        <f t="shared" si="23"/>
        <v>4.2245031109112074E-3</v>
      </c>
    </row>
    <row r="246" spans="28:32" x14ac:dyDescent="0.2">
      <c r="AB246" s="188">
        <f>_xll.qlCalendarAdvance(Calendar,AB245,"1d","mf",,Trigger)</f>
        <v>42346</v>
      </c>
      <c r="AC246" s="210">
        <f>_xll.qlDayCounterYearFraction(DayCounter,SettlementDate,AB246,,,Trigger)</f>
        <v>0.96944444444444444</v>
      </c>
      <c r="AD246" s="189">
        <f t="shared" si="24"/>
        <v>3.8546897243813298E-3</v>
      </c>
      <c r="AE246" s="189">
        <f t="shared" si="22"/>
        <v>4.2084672053870681E-3</v>
      </c>
      <c r="AF246" s="161">
        <f t="shared" si="23"/>
        <v>4.2302755429927397E-3</v>
      </c>
    </row>
    <row r="247" spans="28:32" x14ac:dyDescent="0.2">
      <c r="AB247" s="188">
        <f>_xll.qlCalendarAdvance(Calendar,AB246,"1d","mf",,Trigger)</f>
        <v>42347</v>
      </c>
      <c r="AC247" s="210">
        <f>_xll.qlDayCounterYearFraction(DayCounter,SettlementDate,AB247,,,Trigger)</f>
        <v>0.97222222222222221</v>
      </c>
      <c r="AD247" s="189">
        <f t="shared" si="24"/>
        <v>3.8546897243813298E-3</v>
      </c>
      <c r="AE247" s="189">
        <f t="shared" si="22"/>
        <v>4.2105919950627783E-3</v>
      </c>
      <c r="AF247" s="161">
        <f t="shared" si="23"/>
        <v>4.2360782677250738E-3</v>
      </c>
    </row>
    <row r="248" spans="28:32" x14ac:dyDescent="0.2">
      <c r="AB248" s="188">
        <f>_xll.qlCalendarAdvance(Calendar,AB247,"1d","mf",,Trigger)</f>
        <v>42348</v>
      </c>
      <c r="AC248" s="210">
        <f>_xll.qlDayCounterYearFraction(DayCounter,SettlementDate,AB248,,,Trigger)</f>
        <v>0.97499999999999998</v>
      </c>
      <c r="AD248" s="189">
        <f t="shared" si="24"/>
        <v>3.8546897243813298E-3</v>
      </c>
      <c r="AE248" s="189">
        <f t="shared" si="22"/>
        <v>4.2127167847384878E-3</v>
      </c>
      <c r="AF248" s="161">
        <f t="shared" si="23"/>
        <v>4.2419112851082115E-3</v>
      </c>
    </row>
    <row r="249" spans="28:32" x14ac:dyDescent="0.2">
      <c r="AB249" s="188">
        <f>_xll.qlCalendarAdvance(Calendar,AB248,"1d","mf",,Trigger)</f>
        <v>42349</v>
      </c>
      <c r="AC249" s="210">
        <f>_xll.qlDayCounterYearFraction(DayCounter,SettlementDate,AB249,,,Trigger)</f>
        <v>0.97777777777777775</v>
      </c>
      <c r="AD249" s="189">
        <f t="shared" si="24"/>
        <v>3.8546897243813298E-3</v>
      </c>
      <c r="AE249" s="189">
        <f t="shared" si="22"/>
        <v>4.2148415744141981E-3</v>
      </c>
      <c r="AF249" s="161">
        <f t="shared" si="23"/>
        <v>4.2477745951421501E-3</v>
      </c>
    </row>
    <row r="250" spans="28:32" x14ac:dyDescent="0.2">
      <c r="AB250" s="188">
        <f>_xll.qlCalendarAdvance(Calendar,AB249,"1d","mf",,Trigger)</f>
        <v>42352</v>
      </c>
      <c r="AC250" s="210">
        <f>_xll.qlDayCounterYearFraction(DayCounter,SettlementDate,AB250,,,Trigger)</f>
        <v>0.98611111111111116</v>
      </c>
      <c r="AD250" s="189">
        <f t="shared" si="24"/>
        <v>3.8546897243813298E-3</v>
      </c>
      <c r="AE250" s="189">
        <f t="shared" si="22"/>
        <v>4.2212159434413289E-3</v>
      </c>
      <c r="AF250" s="161">
        <f t="shared" si="23"/>
        <v>4.2655462811487781E-3</v>
      </c>
    </row>
    <row r="251" spans="28:32" x14ac:dyDescent="0.2">
      <c r="AB251" s="188">
        <f>_xll.qlCalendarAdvance(Calendar,AB250,"1d","mf",,Trigger)</f>
        <v>42353</v>
      </c>
      <c r="AC251" s="210">
        <f>_xll.qlDayCounterYearFraction(DayCounter,SettlementDate,AB251,,,Trigger)</f>
        <v>0.98888888888888893</v>
      </c>
      <c r="AD251" s="189">
        <f t="shared" si="24"/>
        <v>3.8546897243813298E-3</v>
      </c>
      <c r="AE251" s="189">
        <f t="shared" si="22"/>
        <v>4.2233407331170392E-3</v>
      </c>
      <c r="AF251" s="161">
        <f t="shared" si="23"/>
        <v>4.2715307617859251E-3</v>
      </c>
    </row>
    <row r="252" spans="28:32" x14ac:dyDescent="0.2">
      <c r="AB252" s="188">
        <f>_xll.qlCalendarAdvance(Calendar,AB251,"1d","mf",,Trigger)</f>
        <v>42354</v>
      </c>
      <c r="AC252" s="210">
        <f>_xll.qlDayCounterYearFraction(DayCounter,SettlementDate,AB252,,,Trigger)</f>
        <v>0.9916666666666667</v>
      </c>
      <c r="AD252" s="189">
        <f t="shared" si="24"/>
        <v>3.8546897243813298E-3</v>
      </c>
      <c r="AE252" s="189">
        <f t="shared" ref="AE252:AE257" si="25">$S$10+$S$9*AC252</f>
        <v>4.2254655227927495E-3</v>
      </c>
      <c r="AF252" s="161">
        <f t="shared" ref="AF252:AF257" si="26">($S$5+$S$4*AC252+$S$3*AC252^2)</f>
        <v>4.2775455350738739E-3</v>
      </c>
    </row>
    <row r="253" spans="28:32" x14ac:dyDescent="0.2">
      <c r="AB253" s="188">
        <f>_xll.qlCalendarAdvance(Calendar,AB252,"1d","mf",,Trigger)</f>
        <v>42355</v>
      </c>
      <c r="AC253" s="210">
        <f>_xll.qlDayCounterYearFraction(DayCounter,SettlementDate,AB253,,,Trigger)</f>
        <v>0.99444444444444446</v>
      </c>
      <c r="AD253" s="189">
        <f t="shared" si="24"/>
        <v>3.8546897243813298E-3</v>
      </c>
      <c r="AE253" s="189">
        <f t="shared" si="25"/>
        <v>4.2275903124684589E-3</v>
      </c>
      <c r="AF253" s="161">
        <f t="shared" si="26"/>
        <v>4.2835906010126245E-3</v>
      </c>
    </row>
    <row r="254" spans="28:32" x14ac:dyDescent="0.2">
      <c r="AB254" s="188">
        <f>_xll.qlCalendarAdvance(Calendar,AB253,"1d","mf",,Trigger)</f>
        <v>42356</v>
      </c>
      <c r="AC254" s="210">
        <f>_xll.qlDayCounterYearFraction(DayCounter,SettlementDate,AB254,,,Trigger)</f>
        <v>0.99722222222222223</v>
      </c>
      <c r="AD254" s="189">
        <f t="shared" si="24"/>
        <v>3.8546897243813298E-3</v>
      </c>
      <c r="AE254" s="189">
        <f t="shared" si="25"/>
        <v>4.2297151021441692E-3</v>
      </c>
      <c r="AF254" s="161">
        <f t="shared" si="26"/>
        <v>4.289665959602177E-3</v>
      </c>
    </row>
    <row r="255" spans="28:32" x14ac:dyDescent="0.2">
      <c r="AB255" s="188">
        <f>_xll.qlCalendarAdvance(Calendar,AB254,"1d","mf",,Trigger)</f>
        <v>42359</v>
      </c>
      <c r="AC255" s="210">
        <f>_xll.qlDayCounterYearFraction(DayCounter,SettlementDate,AB255,,,Trigger)</f>
        <v>1.0055555555555555</v>
      </c>
      <c r="AD255" s="189">
        <f t="shared" si="24"/>
        <v>3.8546897243813298E-3</v>
      </c>
      <c r="AE255" s="189">
        <f t="shared" si="25"/>
        <v>4.2360894711713001E-3</v>
      </c>
      <c r="AF255" s="161">
        <f t="shared" si="26"/>
        <v>4.3080737912756465E-3</v>
      </c>
    </row>
    <row r="256" spans="28:32" x14ac:dyDescent="0.2">
      <c r="AB256" s="188">
        <f>_xll.qlCalendarAdvance(Calendar,AB255,"1d","mf",,Trigger)</f>
        <v>42360</v>
      </c>
      <c r="AC256" s="210">
        <f>_xll.qlDayCounterYearFraction(DayCounter,SettlementDate,AB256,,,Trigger)</f>
        <v>1.0083333333333333</v>
      </c>
      <c r="AD256" s="189">
        <f t="shared" si="24"/>
        <v>3.8546897243813298E-3</v>
      </c>
      <c r="AE256" s="189">
        <f t="shared" si="25"/>
        <v>4.2382142608470095E-3</v>
      </c>
      <c r="AF256" s="161">
        <f t="shared" si="26"/>
        <v>4.3142703204684073E-3</v>
      </c>
    </row>
    <row r="257" spans="28:32" ht="12" thickBot="1" x14ac:dyDescent="0.25">
      <c r="AB257" s="190">
        <f>_xll.qlCalendarAdvance(Calendar,AB256,"1d","mf",,Trigger)</f>
        <v>42361</v>
      </c>
      <c r="AC257" s="211">
        <f>_xll.qlDayCounterYearFraction(DayCounter,SettlementDate,AB257,,,Trigger)</f>
        <v>1.0111111111111111</v>
      </c>
      <c r="AD257" s="191">
        <f t="shared" si="24"/>
        <v>3.8546897243813298E-3</v>
      </c>
      <c r="AE257" s="191">
        <f t="shared" si="25"/>
        <v>4.2403390505227198E-3</v>
      </c>
      <c r="AF257" s="164">
        <f t="shared" si="26"/>
        <v>4.320497142311969E-3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2"/>
      <c r="B1" s="312" t="s">
        <v>92</v>
      </c>
      <c r="C1" s="312"/>
      <c r="D1" s="312" t="s">
        <v>93</v>
      </c>
      <c r="E1" s="312" t="s">
        <v>94</v>
      </c>
      <c r="F1" s="312" t="s">
        <v>36</v>
      </c>
      <c r="G1" s="312" t="s">
        <v>95</v>
      </c>
      <c r="H1" s="312" t="s">
        <v>96</v>
      </c>
    </row>
    <row r="2" spans="1:29" x14ac:dyDescent="0.2">
      <c r="A2" s="410">
        <v>0</v>
      </c>
      <c r="B2" s="411">
        <f>_xll.qlInterestRateIndexFixingDate(IborIndex1Y,D2)</f>
        <v>41995</v>
      </c>
      <c r="C2" s="410" t="str">
        <f>_xll.qlMakeDatedOIS(,D2,E2,OvernightIndex,0,DayCounter,0)</f>
        <v>obj_0055d#0004</v>
      </c>
      <c r="D2" s="411">
        <f>_xll.qlCalendarAdvance(Calendar,SettlementDate,A2&amp;"M","mf")</f>
        <v>41997</v>
      </c>
      <c r="E2" s="411">
        <f>_xll.qlInterestRateIndexMaturity(IborIndex1Y,D2)</f>
        <v>42362</v>
      </c>
      <c r="F2" s="412">
        <f>_xll.qlOvernightIndexedSwapFairRate(C2,_xll.ohTrigger(InterestRatesTrigger))</f>
        <v>-5.700000000000659E-4</v>
      </c>
      <c r="G2" s="413">
        <f>_xll.qlInterpolationInterpolate(BasisInterpolator,D2,TRUE,F2)</f>
        <v>3.8600000000001021E-3</v>
      </c>
      <c r="H2" s="412">
        <f t="shared" ref="H2:H33" si="0">F2+G2</f>
        <v>3.290000000000036E-3</v>
      </c>
      <c r="AA2" s="57"/>
      <c r="AB2" s="57"/>
      <c r="AC2" s="154"/>
    </row>
    <row r="3" spans="1:29" x14ac:dyDescent="0.2">
      <c r="A3" s="414">
        <v>1</v>
      </c>
      <c r="B3" s="415">
        <f>_xll.qlInterestRateIndexFixingDate(IborIndex1Y,D3)</f>
        <v>42026</v>
      </c>
      <c r="C3" s="414" t="str">
        <f>_xll.qlMakeDatedOIS(,D3,E3,OvernightIndex,0,DayCounter,0)</f>
        <v>obj_0056c#0004</v>
      </c>
      <c r="D3" s="415">
        <f>_xll.qlCalendarAdvance(Calendar,SettlementDate,A3&amp;"M","mf")</f>
        <v>42030</v>
      </c>
      <c r="E3" s="415">
        <f>_xll.qlInterestRateIndexMaturity(IborIndex1Y,D3)</f>
        <v>42395</v>
      </c>
      <c r="F3" s="416">
        <f>_xll.qlOvernightIndexedSwapFairRate(C3,_xll.ohTrigger(InterestRatesTrigger))</f>
        <v>-5.9781022636940114E-4</v>
      </c>
      <c r="G3" s="417">
        <f>_xll.qlInterpolationInterpolate(BasisInterpolator,D3,TRUE,F3)</f>
        <v>3.8663766300128517E-3</v>
      </c>
      <c r="H3" s="416">
        <f t="shared" si="0"/>
        <v>3.2685664036434508E-3</v>
      </c>
      <c r="AA3" s="57"/>
      <c r="AB3" s="57"/>
      <c r="AC3" s="154"/>
    </row>
    <row r="4" spans="1:29" x14ac:dyDescent="0.2">
      <c r="A4" s="414">
        <v>2</v>
      </c>
      <c r="B4" s="415">
        <f>_xll.qlInterestRateIndexFixingDate(IborIndex1Y,D4)</f>
        <v>42055</v>
      </c>
      <c r="C4" s="414" t="str">
        <f>_xll.qlMakeDatedOIS(,D4,E4,OvernightIndex,0,DayCounter,0)</f>
        <v>obj_00580#0003</v>
      </c>
      <c r="D4" s="415">
        <f>_xll.qlCalendarAdvance(Calendar,SettlementDate,A4&amp;"M","mf")</f>
        <v>42059</v>
      </c>
      <c r="E4" s="415">
        <f>_xll.qlInterestRateIndexMaturity(IborIndex1Y,D4)</f>
        <v>42424</v>
      </c>
      <c r="F4" s="416">
        <f>_xll.qlOvernightIndexedSwapFairRate(C4,_xll.ohTrigger(InterestRatesTrigger))</f>
        <v>-6.6335301389004503E-4</v>
      </c>
      <c r="G4" s="417">
        <f>_xll.qlInterpolationInterpolate(BasisInterpolator,D4,TRUE,F4)</f>
        <v>3.8722972041062929E-3</v>
      </c>
      <c r="H4" s="416">
        <f t="shared" si="0"/>
        <v>3.2089441902162477E-3</v>
      </c>
      <c r="AA4" s="57"/>
      <c r="AB4" s="57"/>
      <c r="AC4" s="154"/>
    </row>
    <row r="5" spans="1:29" x14ac:dyDescent="0.2">
      <c r="A5" s="414">
        <v>3</v>
      </c>
      <c r="B5" s="415">
        <f>_xll.qlInterestRateIndexFixingDate(IborIndex1Y,D5)</f>
        <v>42083</v>
      </c>
      <c r="C5" s="414" t="str">
        <f>_xll.qlMakeDatedOIS(,D5,E5,OvernightIndex,0,DayCounter,0)</f>
        <v>obj_00587#0003</v>
      </c>
      <c r="D5" s="415">
        <f>_xll.qlCalendarAdvance(Calendar,SettlementDate,A5&amp;"M","mf")</f>
        <v>42087</v>
      </c>
      <c r="E5" s="415">
        <f>_xll.qlInterestRateIndexMaturity(IborIndex1Y,D5)</f>
        <v>42453</v>
      </c>
      <c r="F5" s="416">
        <f>_xll.qlOvernightIndexedSwapFairRate(C5,_xll.ohTrigger(InterestRatesTrigger))</f>
        <v>-7.4038762551716986E-4</v>
      </c>
      <c r="G5" s="417">
        <f>_xll.qlInterpolationInterpolate(BasisInterpolator,D5,TRUE,F5)</f>
        <v>3.8785613560878823E-3</v>
      </c>
      <c r="H5" s="416">
        <f t="shared" si="0"/>
        <v>3.1381737305707126E-3</v>
      </c>
      <c r="AA5" s="57"/>
      <c r="AB5" s="57"/>
      <c r="AC5" s="154"/>
    </row>
    <row r="6" spans="1:29" x14ac:dyDescent="0.2">
      <c r="A6" s="414">
        <v>4</v>
      </c>
      <c r="B6" s="415">
        <f>_xll.qlInterestRateIndexFixingDate(IborIndex1Y,D6)</f>
        <v>42116</v>
      </c>
      <c r="C6" s="414" t="str">
        <f>_xll.qlMakeDatedOIS(,D6,E6,OvernightIndex,0,DayCounter,0)</f>
        <v>obj_00567#0004</v>
      </c>
      <c r="D6" s="415">
        <f>_xll.qlCalendarAdvance(Calendar,SettlementDate,A6&amp;"M","mf")</f>
        <v>42118</v>
      </c>
      <c r="E6" s="415">
        <f>_xll.qlInterestRateIndexMaturity(IborIndex1Y,D6)</f>
        <v>42485</v>
      </c>
      <c r="F6" s="416">
        <f>_xll.qlOvernightIndexedSwapFairRate(C6,_xll.ohTrigger(InterestRatesTrigger))</f>
        <v>-7.6048941958138715E-4</v>
      </c>
      <c r="G6" s="417">
        <f>_xll.qlInterpolationInterpolate(BasisInterpolator,D6,TRUE,F6)</f>
        <v>3.8864229481299821E-3</v>
      </c>
      <c r="H6" s="416">
        <f t="shared" si="0"/>
        <v>3.1259335285485951E-3</v>
      </c>
      <c r="AA6" s="57"/>
      <c r="AB6" s="57"/>
      <c r="AC6" s="154"/>
    </row>
    <row r="7" spans="1:29" x14ac:dyDescent="0.2">
      <c r="A7" s="414">
        <v>5</v>
      </c>
      <c r="B7" s="415">
        <f>_xll.qlInterestRateIndexFixingDate(IborIndex1Y,D7)</f>
        <v>42145</v>
      </c>
      <c r="C7" s="414" t="str">
        <f>_xll.qlMakeDatedOIS(,D7,E7,OvernightIndex,0,DayCounter,0)</f>
        <v>obj_00581#0003</v>
      </c>
      <c r="D7" s="415">
        <f>_xll.qlCalendarAdvance(Calendar,SettlementDate,A7&amp;"M","mf")</f>
        <v>42149</v>
      </c>
      <c r="E7" s="415">
        <f>_xll.qlInterestRateIndexMaturity(IborIndex1Y,D7)</f>
        <v>42515</v>
      </c>
      <c r="F7" s="416">
        <f>_xll.qlOvernightIndexedSwapFairRate(C7,_xll.ohTrigger(InterestRatesTrigger))</f>
        <v>-7.6703347979462566E-4</v>
      </c>
      <c r="G7" s="417">
        <f>_xll.qlInterpolationInterpolate(BasisInterpolator,D7,TRUE,F7)</f>
        <v>3.8955788146103451E-3</v>
      </c>
      <c r="H7" s="416">
        <f t="shared" si="0"/>
        <v>3.1285453348157194E-3</v>
      </c>
      <c r="AA7" s="57"/>
      <c r="AB7" s="57"/>
      <c r="AC7" s="154"/>
    </row>
    <row r="8" spans="1:29" x14ac:dyDescent="0.2">
      <c r="A8" s="414">
        <v>6</v>
      </c>
      <c r="B8" s="415">
        <f>_xll.qlInterestRateIndexFixingDate(IborIndex1Y,D8)</f>
        <v>42177</v>
      </c>
      <c r="C8" s="414" t="str">
        <f>_xll.qlMakeDatedOIS(,D8,E8,OvernightIndex,0,DayCounter,0)</f>
        <v>obj_00565#0004</v>
      </c>
      <c r="D8" s="415">
        <f>_xll.qlCalendarAdvance(Calendar,SettlementDate,A8&amp;"M","mf")</f>
        <v>42179</v>
      </c>
      <c r="E8" s="415">
        <f>_xll.qlInterestRateIndexMaturity(IborIndex1Y,D8)</f>
        <v>42545</v>
      </c>
      <c r="F8" s="416">
        <f>_xll.qlOvernightIndexedSwapFairRate(C8,_xll.ohTrigger(InterestRatesTrigger))</f>
        <v>-7.7410129771265663E-4</v>
      </c>
      <c r="G8" s="417">
        <f>_xll.qlInterpolationInterpolate(BasisInterpolator,D8,TRUE,F8)</f>
        <v>3.9059839761604281E-3</v>
      </c>
      <c r="H8" s="416">
        <f t="shared" si="0"/>
        <v>3.1318826784477714E-3</v>
      </c>
      <c r="AA8" s="57"/>
      <c r="AB8" s="57"/>
      <c r="AC8" s="154"/>
    </row>
    <row r="9" spans="1:29" x14ac:dyDescent="0.2">
      <c r="A9" s="414">
        <v>7</v>
      </c>
      <c r="B9" s="415">
        <f>_xll.qlInterestRateIndexFixingDate(IborIndex1Y,D9)</f>
        <v>42207</v>
      </c>
      <c r="C9" s="414" t="str">
        <f>_xll.qlMakeDatedOIS(,D9,E9,OvernightIndex,0,DayCounter,0)</f>
        <v>obj_00584#0003</v>
      </c>
      <c r="D9" s="415">
        <f>_xll.qlCalendarAdvance(Calendar,SettlementDate,A9&amp;"M","mf")</f>
        <v>42209</v>
      </c>
      <c r="E9" s="415">
        <f>_xll.qlInterestRateIndexMaturity(IborIndex1Y,D9)</f>
        <v>42576</v>
      </c>
      <c r="F9" s="416">
        <f>_xll.qlOvernightIndexedSwapFairRate(C9,_xll.ohTrigger(InterestRatesTrigger))</f>
        <v>-7.5761191980494883E-4</v>
      </c>
      <c r="G9" s="417">
        <f>_xll.qlInterpolationInterpolate(BasisInterpolator,D9,TRUE,F9)</f>
        <v>3.9182123259612778E-3</v>
      </c>
      <c r="H9" s="416">
        <f t="shared" si="0"/>
        <v>3.160600406156329E-3</v>
      </c>
      <c r="I9" s="154"/>
      <c r="AA9" s="57"/>
      <c r="AB9" s="57"/>
      <c r="AC9" s="154"/>
    </row>
    <row r="10" spans="1:29" x14ac:dyDescent="0.2">
      <c r="A10" s="414">
        <v>8</v>
      </c>
      <c r="B10" s="415">
        <f>_xll.qlInterestRateIndexFixingDate(IborIndex1Y,D10)</f>
        <v>42236</v>
      </c>
      <c r="C10" s="414" t="str">
        <f>_xll.qlMakeDatedOIS(,D10,E10,OvernightIndex,0,DayCounter,0)</f>
        <v>obj_00575#0004</v>
      </c>
      <c r="D10" s="415">
        <f>_xll.qlCalendarAdvance(Calendar,SettlementDate,A10&amp;"M","mf")</f>
        <v>42240</v>
      </c>
      <c r="E10" s="415">
        <f>_xll.qlInterestRateIndexMaturity(IborIndex1Y,D10)</f>
        <v>42606</v>
      </c>
      <c r="F10" s="416">
        <f>_xll.qlOvernightIndexedSwapFairRate(C10,_xll.ohTrigger(InterestRatesTrigger))</f>
        <v>-7.3995221814471832E-4</v>
      </c>
      <c r="G10" s="417">
        <f>_xll.qlInterpolationInterpolate(BasisInterpolator,D10,TRUE,F10)</f>
        <v>3.9330828747254354E-3</v>
      </c>
      <c r="H10" s="416">
        <f t="shared" si="0"/>
        <v>3.1931306565807171E-3</v>
      </c>
      <c r="I10" s="154"/>
      <c r="AA10" s="57"/>
      <c r="AB10" s="57"/>
      <c r="AC10" s="154"/>
    </row>
    <row r="11" spans="1:29" x14ac:dyDescent="0.2">
      <c r="A11" s="414">
        <v>9</v>
      </c>
      <c r="B11" s="415">
        <f>_xll.qlInterestRateIndexFixingDate(IborIndex1Y,D11)</f>
        <v>42269</v>
      </c>
      <c r="C11" s="414" t="str">
        <f>_xll.qlMakeDatedOIS(,D11,E11,OvernightIndex,0,DayCounter,0)</f>
        <v>obj_0056a#0004</v>
      </c>
      <c r="D11" s="415">
        <f>_xll.qlCalendarAdvance(Calendar,SettlementDate,A11&amp;"M","mf")</f>
        <v>42271</v>
      </c>
      <c r="E11" s="415">
        <f>_xll.qlInterestRateIndexMaturity(IborIndex1Y,D11)</f>
        <v>42639</v>
      </c>
      <c r="F11" s="416">
        <f>_xll.qlOvernightIndexedSwapFairRate(C11,_xll.ohTrigger(InterestRatesTrigger))</f>
        <v>-7.0674317417200052E-4</v>
      </c>
      <c r="G11" s="417">
        <f>_xll.qlInterpolationInterpolate(BasisInterpolator,D11,TRUE,F11)</f>
        <v>3.950552668849079E-3</v>
      </c>
      <c r="H11" s="416">
        <f t="shared" si="0"/>
        <v>3.2438094946770782E-3</v>
      </c>
      <c r="I11" s="154"/>
      <c r="AA11" s="57"/>
      <c r="AB11" s="57"/>
      <c r="AC11" s="154"/>
    </row>
    <row r="12" spans="1:29" x14ac:dyDescent="0.2">
      <c r="A12" s="414">
        <v>10</v>
      </c>
      <c r="B12" s="415">
        <f>_xll.qlInterestRateIndexFixingDate(IborIndex1Y,D12)</f>
        <v>42299</v>
      </c>
      <c r="C12" s="414" t="str">
        <f>_xll.qlMakeDatedOIS(,D12,E12,OvernightIndex,0,DayCounter,0)</f>
        <v>obj_00582#0003</v>
      </c>
      <c r="D12" s="415">
        <f>_xll.qlCalendarAdvance(Calendar,SettlementDate,A12&amp;"M","mf")</f>
        <v>42303</v>
      </c>
      <c r="E12" s="415">
        <f>_xll.qlInterestRateIndexMaturity(IborIndex1Y,D12)</f>
        <v>42669</v>
      </c>
      <c r="F12" s="416">
        <f>_xll.qlOvernightIndexedSwapFairRate(C12,_xll.ohTrigger(InterestRatesTrigger))</f>
        <v>-6.668715852585971E-4</v>
      </c>
      <c r="G12" s="417">
        <f>_xll.qlInterpolationInterpolate(BasisInterpolator,D12,TRUE,F12)</f>
        <v>3.9716639204732751E-3</v>
      </c>
      <c r="H12" s="416">
        <f t="shared" si="0"/>
        <v>3.304792335214678E-3</v>
      </c>
      <c r="I12" s="154"/>
      <c r="AA12" s="57"/>
      <c r="AB12" s="57"/>
      <c r="AC12" s="154"/>
    </row>
    <row r="13" spans="1:29" x14ac:dyDescent="0.2">
      <c r="A13" s="418">
        <v>11</v>
      </c>
      <c r="B13" s="419">
        <f>_xll.qlInterestRateIndexFixingDate(IborIndex1Y,D13)</f>
        <v>42328</v>
      </c>
      <c r="C13" s="418" t="str">
        <f>_xll.qlMakeDatedOIS(,D13,E13,OvernightIndex,0,DayCounter,0)</f>
        <v>obj_0057d#0003</v>
      </c>
      <c r="D13" s="419">
        <f>_xll.qlCalendarAdvance(Calendar,SettlementDate,A13&amp;"M","mf")</f>
        <v>42332</v>
      </c>
      <c r="E13" s="419">
        <f>_xll.qlInterestRateIndexMaturity(IborIndex1Y,D13)</f>
        <v>42698</v>
      </c>
      <c r="F13" s="420">
        <f>_xll.qlOvernightIndexedSwapFairRate(C13,_xll.ohTrigger(InterestRatesTrigger))</f>
        <v>-6.22615756568898E-4</v>
      </c>
      <c r="G13" s="421">
        <f>_xll.qlInterpolationInterpolate(BasisInterpolator,D13,TRUE,F13)</f>
        <v>3.9937987154102066E-3</v>
      </c>
      <c r="H13" s="420">
        <f t="shared" si="0"/>
        <v>3.3711829588413088E-3</v>
      </c>
      <c r="I13" s="154"/>
      <c r="AA13" s="57"/>
      <c r="AB13" s="57"/>
      <c r="AC13" s="154"/>
    </row>
    <row r="14" spans="1:29" x14ac:dyDescent="0.2">
      <c r="A14" s="410">
        <v>12</v>
      </c>
      <c r="B14" s="411">
        <f>_xll.qlInterestRateIndexFixingDate(IborIndex1Y,D14)</f>
        <v>42360</v>
      </c>
      <c r="C14" s="410" t="str">
        <f>_xll.qlMakeDatedOIS(,D14,E14,OvernightIndex,0,DayCounter,0)</f>
        <v>obj_00585#0003</v>
      </c>
      <c r="D14" s="411">
        <f>_xll.qlCalendarAdvance(Calendar,SettlementDate,A14&amp;"M","mf")</f>
        <v>42362</v>
      </c>
      <c r="E14" s="411">
        <f>_xll.qlInterestRateIndexMaturity(IborIndex1Y,D14)</f>
        <v>42731</v>
      </c>
      <c r="F14" s="412">
        <f>_xll.qlOvernightIndexedSwapFairRate(C14,_xll.ohTrigger(InterestRatesTrigger))</f>
        <v>-5.6999999999995412E-4</v>
      </c>
      <c r="G14" s="413">
        <f>_xll.qlInterpolationInterpolate(BasisInterpolator,D14,TRUE,F14)</f>
        <v>4.0199999999999724E-3</v>
      </c>
      <c r="H14" s="412">
        <f t="shared" si="0"/>
        <v>3.4500000000000182E-3</v>
      </c>
      <c r="I14" s="154"/>
      <c r="AA14" s="57"/>
      <c r="AB14" s="57"/>
      <c r="AC14" s="154"/>
    </row>
    <row r="15" spans="1:29" x14ac:dyDescent="0.2">
      <c r="A15" s="414">
        <v>13</v>
      </c>
      <c r="B15" s="415">
        <f>_xll.qlInterestRateIndexFixingDate(IborIndex1Y,D15)</f>
        <v>42390</v>
      </c>
      <c r="C15" s="414" t="str">
        <f>_xll.qlMakeDatedOIS(,D15,E15,OvernightIndex,0,DayCounter,0)</f>
        <v>obj_0055f#0004</v>
      </c>
      <c r="D15" s="415">
        <f>_xll.qlCalendarAdvance(Calendar,SettlementDate,A15&amp;"M","mf")</f>
        <v>42394</v>
      </c>
      <c r="E15" s="415">
        <f>_xll.qlInterestRateIndexMaturity(IborIndex1Y,D15)</f>
        <v>42760</v>
      </c>
      <c r="F15" s="416">
        <f>_xll.qlOvernightIndexedSwapFairRate(C15,_xll.ohTrigger(InterestRatesTrigger))</f>
        <v>-4.9044190332444627E-4</v>
      </c>
      <c r="G15" s="417">
        <f>_xll.qlInterpolationInterpolate(BasisInterpolator,D15,TRUE,F15)</f>
        <v>4.0518460247833434E-3</v>
      </c>
      <c r="H15" s="416">
        <f t="shared" si="0"/>
        <v>3.561404121458897E-3</v>
      </c>
      <c r="I15" s="154"/>
      <c r="AA15" s="57"/>
      <c r="AB15" s="57"/>
      <c r="AC15" s="154"/>
    </row>
    <row r="16" spans="1:29" x14ac:dyDescent="0.2">
      <c r="A16" s="414">
        <v>14</v>
      </c>
      <c r="B16" s="415">
        <f>_xll.qlInterestRateIndexFixingDate(IborIndex1Y,D16)</f>
        <v>42422</v>
      </c>
      <c r="C16" s="414" t="str">
        <f>_xll.qlMakeDatedOIS(,D16,E16,OvernightIndex,0,DayCounter,0)</f>
        <v>obj_00576#0004</v>
      </c>
      <c r="D16" s="415">
        <f>_xll.qlCalendarAdvance(Calendar,SettlementDate,A16&amp;"M","mf")</f>
        <v>42424</v>
      </c>
      <c r="E16" s="415">
        <f>_xll.qlInterestRateIndexMaturity(IborIndex1Y,D16)</f>
        <v>42790</v>
      </c>
      <c r="F16" s="416">
        <f>_xll.qlOvernightIndexedSwapFairRate(C16,_xll.ohTrigger(InterestRatesTrigger))</f>
        <v>-3.8892221953055963E-4</v>
      </c>
      <c r="G16" s="417">
        <f>_xll.qlInterpolationInterpolate(BasisInterpolator,D16,TRUE,F16)</f>
        <v>4.0850597925099243E-3</v>
      </c>
      <c r="H16" s="416">
        <f t="shared" si="0"/>
        <v>3.6961375729793649E-3</v>
      </c>
      <c r="I16" s="154"/>
      <c r="AA16" s="57"/>
      <c r="AB16" s="57"/>
      <c r="AC16" s="154"/>
    </row>
    <row r="17" spans="1:29" x14ac:dyDescent="0.2">
      <c r="A17" s="414">
        <v>15</v>
      </c>
      <c r="B17" s="415">
        <f>_xll.qlInterestRateIndexFixingDate(IborIndex1Y,D17)</f>
        <v>42451</v>
      </c>
      <c r="C17" s="414" t="str">
        <f>_xll.qlMakeDatedOIS(,D17,E17,OvernightIndex,0,DayCounter,0)</f>
        <v>obj_00564#0004</v>
      </c>
      <c r="D17" s="415">
        <f>_xll.qlCalendarAdvance(Calendar,SettlementDate,A17&amp;"M","mf")</f>
        <v>42453</v>
      </c>
      <c r="E17" s="415">
        <f>_xll.qlInterestRateIndexMaturity(IborIndex1Y,D17)</f>
        <v>42818</v>
      </c>
      <c r="F17" s="416">
        <f>_xll.qlOvernightIndexedSwapFairRate(C17,_xll.ohTrigger(InterestRatesTrigger))</f>
        <v>-2.9235089812678207E-4</v>
      </c>
      <c r="G17" s="417">
        <f>_xll.qlInterpolationInterpolate(BasisInterpolator,D17,TRUE,F17)</f>
        <v>4.1198813816909147E-3</v>
      </c>
      <c r="H17" s="416">
        <f t="shared" si="0"/>
        <v>3.8275304835641327E-3</v>
      </c>
      <c r="I17" s="154"/>
      <c r="AA17" s="57"/>
      <c r="AB17" s="57"/>
      <c r="AC17" s="154"/>
    </row>
    <row r="18" spans="1:29" x14ac:dyDescent="0.2">
      <c r="A18" s="414">
        <v>16</v>
      </c>
      <c r="B18" s="415">
        <f>_xll.qlInterestRateIndexFixingDate(IborIndex1Y,D18)</f>
        <v>42481</v>
      </c>
      <c r="C18" s="414" t="str">
        <f>_xll.qlMakeDatedOIS(,D18,E18,OvernightIndex,0,DayCounter,0)</f>
        <v>obj_0056d#0004</v>
      </c>
      <c r="D18" s="415">
        <f>_xll.qlCalendarAdvance(Calendar,SettlementDate,A18&amp;"M","mf")</f>
        <v>42485</v>
      </c>
      <c r="E18" s="415">
        <f>_xll.qlInterestRateIndexMaturity(IborIndex1Y,D18)</f>
        <v>42850</v>
      </c>
      <c r="F18" s="416">
        <f>_xll.qlOvernightIndexedSwapFairRate(C18,_xll.ohTrigger(InterestRatesTrigger))</f>
        <v>-2.0356440908591132E-4</v>
      </c>
      <c r="G18" s="417">
        <f>_xll.qlInterpolationInterpolate(BasisInterpolator,D18,TRUE,F18)</f>
        <v>4.1609756968129111E-3</v>
      </c>
      <c r="H18" s="416">
        <f t="shared" si="0"/>
        <v>3.9574112877269994E-3</v>
      </c>
      <c r="I18" s="154"/>
      <c r="AA18" s="57"/>
      <c r="AB18" s="57"/>
      <c r="AC18" s="154"/>
    </row>
    <row r="19" spans="1:29" x14ac:dyDescent="0.2">
      <c r="A19" s="414">
        <v>17</v>
      </c>
      <c r="B19" s="415">
        <f>_xll.qlInterestRateIndexFixingDate(IborIndex1Y,D19)</f>
        <v>42510</v>
      </c>
      <c r="C19" s="414" t="str">
        <f>_xll.qlMakeDatedOIS(,D19,E19,OvernightIndex,0,DayCounter,0)</f>
        <v>obj_00568#0004</v>
      </c>
      <c r="D19" s="415">
        <f>_xll.qlCalendarAdvance(Calendar,SettlementDate,A19&amp;"M","mf")</f>
        <v>42514</v>
      </c>
      <c r="E19" s="415">
        <f>_xll.qlInterestRateIndexMaturity(IborIndex1Y,D19)</f>
        <v>42879</v>
      </c>
      <c r="F19" s="416">
        <f>_xll.qlOvernightIndexedSwapFairRate(C19,_xll.ohTrigger(InterestRatesTrigger))</f>
        <v>-1.2309474766374309E-4</v>
      </c>
      <c r="G19" s="417">
        <f>_xll.qlInterpolationInterpolate(BasisInterpolator,D19,TRUE,F19)</f>
        <v>4.2002549595870353E-3</v>
      </c>
      <c r="H19" s="416">
        <f t="shared" si="0"/>
        <v>4.0771602119232921E-3</v>
      </c>
      <c r="I19" s="154"/>
      <c r="AA19" s="57"/>
      <c r="AB19" s="57"/>
      <c r="AC19" s="154"/>
    </row>
    <row r="20" spans="1:29" x14ac:dyDescent="0.2">
      <c r="A20" s="414">
        <v>18</v>
      </c>
      <c r="B20" s="415">
        <f>_xll.qlInterestRateIndexFixingDate(IborIndex1Y,D20)</f>
        <v>42543</v>
      </c>
      <c r="C20" s="414" t="str">
        <f>_xll.qlMakeDatedOIS(,D20,E20,OvernightIndex,0,DayCounter,0)</f>
        <v>obj_0057c#0003</v>
      </c>
      <c r="D20" s="415">
        <f>_xll.qlCalendarAdvance(Calendar,SettlementDate,A20&amp;"M","mf")</f>
        <v>42545</v>
      </c>
      <c r="E20" s="415">
        <f>_xll.qlInterestRateIndexMaturity(IborIndex1Y,D20)</f>
        <v>42912</v>
      </c>
      <c r="F20" s="416">
        <f>_xll.qlOvernightIndexedSwapFairRate(C20,_xll.ohTrigger(InterestRatesTrigger))</f>
        <v>-3.505012261464247E-5</v>
      </c>
      <c r="G20" s="417">
        <f>_xll.qlInterpolationInterpolate(BasisInterpolator,D20,TRUE,F20)</f>
        <v>4.2439742759386246E-3</v>
      </c>
      <c r="H20" s="416">
        <f t="shared" si="0"/>
        <v>4.2089241533239822E-3</v>
      </c>
      <c r="I20" s="154"/>
      <c r="AA20" s="57"/>
      <c r="AB20" s="57"/>
      <c r="AC20" s="154"/>
    </row>
    <row r="21" spans="1:29" x14ac:dyDescent="0.2">
      <c r="A21" s="414">
        <v>19</v>
      </c>
      <c r="B21" s="415">
        <f>_xll.qlInterestRateIndexFixingDate(IborIndex1Y,D21)</f>
        <v>42572</v>
      </c>
      <c r="C21" s="414" t="str">
        <f>_xll.qlMakeDatedOIS(,D21,E21,OvernightIndex,0,DayCounter,0)</f>
        <v>obj_00578#0003</v>
      </c>
      <c r="D21" s="415">
        <f>_xll.qlCalendarAdvance(Calendar,SettlementDate,A21&amp;"M","mf")</f>
        <v>42576</v>
      </c>
      <c r="E21" s="415">
        <f>_xll.qlInterestRateIndexMaturity(IborIndex1Y,D21)</f>
        <v>42941</v>
      </c>
      <c r="F21" s="416">
        <f>_xll.qlOvernightIndexedSwapFairRate(C21,_xll.ohTrigger(InterestRatesTrigger))</f>
        <v>3.3160991573729634E-5</v>
      </c>
      <c r="G21" s="417">
        <f>_xll.qlInterpolationInterpolate(BasisInterpolator,D21,TRUE,F21)</f>
        <v>4.2890621325049469E-3</v>
      </c>
      <c r="H21" s="416">
        <f t="shared" si="0"/>
        <v>4.3222231240786762E-3</v>
      </c>
      <c r="I21" s="154"/>
      <c r="AA21" s="57"/>
      <c r="AB21" s="57"/>
      <c r="AC21" s="154"/>
    </row>
    <row r="22" spans="1:29" x14ac:dyDescent="0.2">
      <c r="A22" s="414">
        <v>20</v>
      </c>
      <c r="B22" s="415">
        <f>_xll.qlInterestRateIndexFixingDate(IborIndex1Y,D22)</f>
        <v>42604</v>
      </c>
      <c r="C22" s="414" t="str">
        <f>_xll.qlMakeDatedOIS(,D22,E22,OvernightIndex,0,DayCounter,0)</f>
        <v>obj_0056f#0004</v>
      </c>
      <c r="D22" s="415">
        <f>_xll.qlCalendarAdvance(Calendar,SettlementDate,A22&amp;"M","mf")</f>
        <v>42606</v>
      </c>
      <c r="E22" s="415">
        <f>_xll.qlInterestRateIndexMaturity(IborIndex1Y,D22)</f>
        <v>42971</v>
      </c>
      <c r="F22" s="416">
        <f>_xll.qlOvernightIndexedSwapFairRate(C22,_xll.ohTrigger(InterestRatesTrigger))</f>
        <v>1.011294798598851E-4</v>
      </c>
      <c r="G22" s="417">
        <f>_xll.qlInterpolationInterpolate(BasisInterpolator,D22,TRUE,F22)</f>
        <v>4.3335939922757166E-3</v>
      </c>
      <c r="H22" s="416">
        <f t="shared" si="0"/>
        <v>4.4347234721356021E-3</v>
      </c>
      <c r="I22" s="154"/>
      <c r="AA22" s="57"/>
      <c r="AB22" s="57"/>
      <c r="AC22" s="154"/>
    </row>
    <row r="23" spans="1:29" x14ac:dyDescent="0.2">
      <c r="A23" s="414">
        <v>21</v>
      </c>
      <c r="B23" s="415">
        <f>_xll.qlInterestRateIndexFixingDate(IborIndex1Y,D23)</f>
        <v>42635</v>
      </c>
      <c r="C23" s="414" t="str">
        <f>_xll.qlMakeDatedOIS(,D23,E23,OvernightIndex,0,DayCounter,0)</f>
        <v>obj_00583#0003</v>
      </c>
      <c r="D23" s="415">
        <f>_xll.qlCalendarAdvance(Calendar,SettlementDate,A23&amp;"M","mf")</f>
        <v>42639</v>
      </c>
      <c r="E23" s="415">
        <f>_xll.qlInterestRateIndexMaturity(IborIndex1Y,D23)</f>
        <v>43004</v>
      </c>
      <c r="F23" s="416">
        <f>_xll.qlOvernightIndexedSwapFairRate(C23,_xll.ohTrigger(InterestRatesTrigger))</f>
        <v>1.7590022668396134E-4</v>
      </c>
      <c r="G23" s="417">
        <f>_xll.qlInterpolationInterpolate(BasisInterpolator,D23,TRUE,F23)</f>
        <v>4.3831301122430532E-3</v>
      </c>
      <c r="H23" s="416">
        <f t="shared" si="0"/>
        <v>4.5590303389270144E-3</v>
      </c>
      <c r="I23" s="154"/>
      <c r="AA23" s="57"/>
      <c r="AB23" s="57"/>
      <c r="AC23" s="154"/>
    </row>
    <row r="24" spans="1:29" x14ac:dyDescent="0.2">
      <c r="A24" s="414">
        <v>22</v>
      </c>
      <c r="B24" s="415">
        <f>_xll.qlInterestRateIndexFixingDate(IborIndex1Y,D24)</f>
        <v>42663</v>
      </c>
      <c r="C24" s="414" t="str">
        <f>_xll.qlMakeDatedOIS(,D24,E24,OvernightIndex,0,DayCounter,0)</f>
        <v>obj_0056b#0004</v>
      </c>
      <c r="D24" s="415">
        <f>_xll.qlCalendarAdvance(Calendar,SettlementDate,A24&amp;"M","mf")</f>
        <v>42667</v>
      </c>
      <c r="E24" s="415">
        <f>_xll.qlInterestRateIndexMaturity(IborIndex1Y,D24)</f>
        <v>43032</v>
      </c>
      <c r="F24" s="416">
        <f>_xll.qlOvernightIndexedSwapFairRate(C24,_xll.ohTrigger(InterestRatesTrigger))</f>
        <v>2.2380678173544494E-4</v>
      </c>
      <c r="G24" s="417">
        <f>_xll.qlInterpolationInterpolate(BasisInterpolator,D24,TRUE,F24)</f>
        <v>4.4252399881048506E-3</v>
      </c>
      <c r="H24" s="416">
        <f t="shared" si="0"/>
        <v>4.6490467698402952E-3</v>
      </c>
      <c r="I24" s="154"/>
      <c r="AA24" s="57"/>
      <c r="AB24" s="57"/>
      <c r="AC24" s="154"/>
    </row>
    <row r="25" spans="1:29" x14ac:dyDescent="0.2">
      <c r="A25" s="418">
        <v>23</v>
      </c>
      <c r="B25" s="419">
        <f>_xll.qlInterestRateIndexFixingDate(IborIndex1Y,D25)</f>
        <v>42696</v>
      </c>
      <c r="C25" s="418" t="str">
        <f>_xll.qlMakeDatedOIS(,D25,E25,OvernightIndex,0,DayCounter,0)</f>
        <v>obj_0055c#0004</v>
      </c>
      <c r="D25" s="419">
        <f>_xll.qlCalendarAdvance(Calendar,SettlementDate,A25&amp;"M","mf")</f>
        <v>42698</v>
      </c>
      <c r="E25" s="419">
        <f>_xll.qlInterestRateIndexMaturity(IborIndex1Y,D25)</f>
        <v>43063</v>
      </c>
      <c r="F25" s="420">
        <f>_xll.qlOvernightIndexedSwapFairRate(C25,_xll.ohTrigger(InterestRatesTrigger))</f>
        <v>2.7684889572985406E-4</v>
      </c>
      <c r="G25" s="421">
        <f>_xll.qlInterpolationInterpolate(BasisInterpolator,D25,TRUE,F25)</f>
        <v>4.471542116504479E-3</v>
      </c>
      <c r="H25" s="420">
        <f t="shared" si="0"/>
        <v>4.7483910122343327E-3</v>
      </c>
      <c r="I25" s="154"/>
      <c r="AA25" s="57"/>
      <c r="AB25" s="57"/>
      <c r="AC25" s="154"/>
    </row>
    <row r="26" spans="1:29" x14ac:dyDescent="0.2">
      <c r="A26" s="410">
        <v>24</v>
      </c>
      <c r="B26" s="411">
        <f>_xll.qlInterestRateIndexFixingDate(IborIndex1Y,D26)</f>
        <v>42726</v>
      </c>
      <c r="C26" s="410" t="str">
        <f>_xll.qlMakeDatedOIS(,D26,E26,OvernightIndex,0,DayCounter,0)</f>
        <v>obj_0058a#0003</v>
      </c>
      <c r="D26" s="411">
        <f>_xll.qlCalendarAdvance(Calendar,SettlementDate,A26&amp;"M","mf")</f>
        <v>42731</v>
      </c>
      <c r="E26" s="411">
        <f>_xll.qlInterestRateIndexMaturity(IborIndex1Y,D26)</f>
        <v>43096</v>
      </c>
      <c r="F26" s="412">
        <f>_xll.qlOvernightIndexedSwapFairRate(C26,_xll.ohTrigger(InterestRatesTrigger))</f>
        <v>3.333162154176941E-4</v>
      </c>
      <c r="G26" s="413">
        <f>_xll.qlInterpolationInterpolate(BasisInterpolator,D26,TRUE,F26)</f>
        <v>4.5199955921554364E-3</v>
      </c>
      <c r="H26" s="412">
        <f t="shared" si="0"/>
        <v>4.8533118075731307E-3</v>
      </c>
      <c r="I26" s="154"/>
      <c r="AA26" s="57"/>
      <c r="AB26" s="57"/>
      <c r="AC26" s="154"/>
    </row>
    <row r="27" spans="1:29" x14ac:dyDescent="0.2">
      <c r="A27" s="414">
        <v>25</v>
      </c>
      <c r="B27" s="415">
        <f>_xll.qlInterestRateIndexFixingDate(IborIndex1Y,D27)</f>
        <v>42755</v>
      </c>
      <c r="C27" s="414" t="str">
        <f>_xll.qlMakeDatedOIS(,D27,E27,OvernightIndex,0,DayCounter,0)</f>
        <v>obj_0057a#0003</v>
      </c>
      <c r="D27" s="415">
        <f>_xll.qlCalendarAdvance(Calendar,SettlementDate,A27&amp;"M","mf")</f>
        <v>42759</v>
      </c>
      <c r="E27" s="415">
        <f>_xll.qlInterestRateIndexMaturity(IborIndex1Y,D27)</f>
        <v>43124</v>
      </c>
      <c r="F27" s="416">
        <f>_xll.qlOvernightIndexedSwapFairRate(C27,_xll.ohTrigger(InterestRatesTrigger))</f>
        <v>4.2957116493043315E-4</v>
      </c>
      <c r="G27" s="417">
        <f>_xll.qlInterpolationInterpolate(BasisInterpolator,D27,TRUE,F27)</f>
        <v>4.5601167645543204E-3</v>
      </c>
      <c r="H27" s="416">
        <f t="shared" si="0"/>
        <v>4.9896879294847535E-3</v>
      </c>
      <c r="I27" s="154"/>
      <c r="AA27" s="57"/>
      <c r="AB27" s="57"/>
      <c r="AC27" s="154"/>
    </row>
    <row r="28" spans="1:29" x14ac:dyDescent="0.2">
      <c r="A28" s="414">
        <v>26</v>
      </c>
      <c r="B28" s="415">
        <f>_xll.qlInterestRateIndexFixingDate(IborIndex1Y,D28)</f>
        <v>42788</v>
      </c>
      <c r="C28" s="414" t="str">
        <f>_xll.qlMakeDatedOIS(,D28,E28,OvernightIndex,0,DayCounter,0)</f>
        <v>obj_00566#0004</v>
      </c>
      <c r="D28" s="415">
        <f>_xll.qlCalendarAdvance(Calendar,SettlementDate,A28&amp;"M","mf")</f>
        <v>42790</v>
      </c>
      <c r="E28" s="415">
        <f>_xll.qlInterestRateIndexMaturity(IborIndex1Y,D28)</f>
        <v>43157</v>
      </c>
      <c r="F28" s="416">
        <f>_xll.qlOvernightIndexedSwapFairRate(C28,_xll.ohTrigger(InterestRatesTrigger))</f>
        <v>5.4188441301267079E-4</v>
      </c>
      <c r="G28" s="417">
        <f>_xll.qlInterpolationInterpolate(BasisInterpolator,D28,TRUE,F28)</f>
        <v>4.603458772410157E-3</v>
      </c>
      <c r="H28" s="416">
        <f t="shared" si="0"/>
        <v>5.1453431854228283E-3</v>
      </c>
      <c r="I28" s="154"/>
      <c r="AA28" s="57"/>
      <c r="AB28" s="57"/>
      <c r="AC28" s="154"/>
    </row>
    <row r="29" spans="1:29" x14ac:dyDescent="0.2">
      <c r="A29" s="414">
        <v>27</v>
      </c>
      <c r="B29" s="415">
        <f>_xll.qlInterestRateIndexFixingDate(IborIndex1Y,D29)</f>
        <v>42816</v>
      </c>
      <c r="C29" s="414" t="str">
        <f>_xll.qlMakeDatedOIS(,D29,E29,OvernightIndex,0,DayCounter,0)</f>
        <v>obj_00588#0003</v>
      </c>
      <c r="D29" s="415">
        <f>_xll.qlCalendarAdvance(Calendar,SettlementDate,A29&amp;"M","mf")</f>
        <v>42818</v>
      </c>
      <c r="E29" s="415">
        <f>_xll.qlInterestRateIndexMaturity(IborIndex1Y,D29)</f>
        <v>43185</v>
      </c>
      <c r="F29" s="416">
        <f>_xll.qlOvernightIndexedSwapFairRate(C29,_xll.ohTrigger(InterestRatesTrigger))</f>
        <v>6.37635337275852E-4</v>
      </c>
      <c r="G29" s="417">
        <f>_xll.qlInterpolationInterpolate(BasisInterpolator,D29,TRUE,F29)</f>
        <v>4.6416981947484644E-3</v>
      </c>
      <c r="H29" s="416">
        <f t="shared" si="0"/>
        <v>5.2793335320243167E-3</v>
      </c>
      <c r="I29" s="154"/>
      <c r="AA29" s="57"/>
      <c r="AB29" s="57"/>
      <c r="AC29" s="154"/>
    </row>
    <row r="30" spans="1:29" x14ac:dyDescent="0.2">
      <c r="A30" s="414">
        <v>28</v>
      </c>
      <c r="B30" s="415">
        <f>_xll.qlInterestRateIndexFixingDate(IborIndex1Y,D30)</f>
        <v>42845</v>
      </c>
      <c r="C30" s="414" t="str">
        <f>_xll.qlMakeDatedOIS(,D30,E30,OvernightIndex,0,DayCounter,0)</f>
        <v>obj_00572#0004</v>
      </c>
      <c r="D30" s="415">
        <f>_xll.qlCalendarAdvance(Calendar,SettlementDate,A30&amp;"M","mf")</f>
        <v>42849</v>
      </c>
      <c r="E30" s="415">
        <f>_xll.qlInterestRateIndexMaturity(IborIndex1Y,D30)</f>
        <v>43214</v>
      </c>
      <c r="F30" s="416">
        <f>_xll.qlOvernightIndexedSwapFairRate(C30,_xll.ohTrigger(InterestRatesTrigger))</f>
        <v>7.3902568028569673E-4</v>
      </c>
      <c r="G30" s="417">
        <f>_xll.qlInterpolationInterpolate(BasisInterpolator,D30,TRUE,F30)</f>
        <v>4.683104045602059E-3</v>
      </c>
      <c r="H30" s="416">
        <f t="shared" si="0"/>
        <v>5.4221297258877556E-3</v>
      </c>
      <c r="I30" s="154"/>
      <c r="AA30" s="57"/>
      <c r="AB30" s="57"/>
      <c r="AC30" s="154"/>
    </row>
    <row r="31" spans="1:29" x14ac:dyDescent="0.2">
      <c r="A31" s="414">
        <v>29</v>
      </c>
      <c r="B31" s="415">
        <f>_xll.qlInterestRateIndexFixingDate(IborIndex1Y,D31)</f>
        <v>42877</v>
      </c>
      <c r="C31" s="414" t="str">
        <f>_xll.qlMakeDatedOIS(,D31,E31,OvernightIndex,0,DayCounter,0)</f>
        <v>obj_0057f#0003</v>
      </c>
      <c r="D31" s="415">
        <f>_xll.qlCalendarAdvance(Calendar,SettlementDate,A31&amp;"M","mf")</f>
        <v>42879</v>
      </c>
      <c r="E31" s="415">
        <f>_xll.qlInterestRateIndexMaturity(IborIndex1Y,D31)</f>
        <v>43244</v>
      </c>
      <c r="F31" s="416">
        <f>_xll.qlOvernightIndexedSwapFairRate(C31,_xll.ohTrigger(InterestRatesTrigger))</f>
        <v>8.4219875053619055E-4</v>
      </c>
      <c r="G31" s="417">
        <f>_xll.qlInterpolationInterpolate(BasisInterpolator,D31,TRUE,F31)</f>
        <v>4.7223171234502155E-3</v>
      </c>
      <c r="H31" s="416">
        <f t="shared" si="0"/>
        <v>5.5645158739864057E-3</v>
      </c>
      <c r="I31" s="154"/>
      <c r="AA31" s="57"/>
      <c r="AB31" s="57"/>
      <c r="AC31" s="154"/>
    </row>
    <row r="32" spans="1:29" x14ac:dyDescent="0.2">
      <c r="A32" s="414">
        <v>30</v>
      </c>
      <c r="B32" s="415">
        <f>_xll.qlInterestRateIndexFixingDate(IborIndex1Y,D32)</f>
        <v>42908</v>
      </c>
      <c r="C32" s="414" t="str">
        <f>_xll.qlMakeDatedOIS(,D32,E32,OvernightIndex,0,DayCounter,0)</f>
        <v>obj_00577#0004</v>
      </c>
      <c r="D32" s="415">
        <f>_xll.qlCalendarAdvance(Calendar,SettlementDate,A32&amp;"M","mf")</f>
        <v>42912</v>
      </c>
      <c r="E32" s="415">
        <f>_xll.qlInterestRateIndexMaturity(IborIndex1Y,D32)</f>
        <v>43277</v>
      </c>
      <c r="F32" s="416">
        <f>_xll.qlOvernightIndexedSwapFairRate(C32,_xll.ohTrigger(InterestRatesTrigger))</f>
        <v>9.557015838883424E-4</v>
      </c>
      <c r="G32" s="417">
        <f>_xll.qlInterpolationInterpolate(BasisInterpolator,D32,TRUE,F32)</f>
        <v>4.7645666517038528E-3</v>
      </c>
      <c r="H32" s="416">
        <f t="shared" si="0"/>
        <v>5.7202682355921956E-3</v>
      </c>
      <c r="I32" s="154"/>
      <c r="AA32" s="57"/>
      <c r="AB32" s="57"/>
      <c r="AC32" s="154"/>
    </row>
    <row r="33" spans="1:29" x14ac:dyDescent="0.2">
      <c r="A33" s="414">
        <v>31</v>
      </c>
      <c r="B33" s="415">
        <f>_xll.qlInterestRateIndexFixingDate(IborIndex1Y,D33)</f>
        <v>42936</v>
      </c>
      <c r="C33" s="414" t="str">
        <f>_xll.qlMakeDatedOIS(,D33,E33,OvernightIndex,0,DayCounter,0)</f>
        <v>obj_0057b#0003</v>
      </c>
      <c r="D33" s="415">
        <f>_xll.qlCalendarAdvance(Calendar,SettlementDate,A33&amp;"M","mf")</f>
        <v>42940</v>
      </c>
      <c r="E33" s="415">
        <f>_xll.qlInterestRateIndexMaturity(IborIndex1Y,D33)</f>
        <v>43305</v>
      </c>
      <c r="F33" s="416">
        <f>_xll.qlOvernightIndexedSwapFairRate(C33,_xll.ohTrigger(InterestRatesTrigger))</f>
        <v>1.0520172526049926E-3</v>
      </c>
      <c r="G33" s="417">
        <f>_xll.qlInterpolationInterpolate(BasisInterpolator,D33,TRUE,F33)</f>
        <v>4.799758459573685E-3</v>
      </c>
      <c r="H33" s="416">
        <f t="shared" si="0"/>
        <v>5.8517757121786772E-3</v>
      </c>
      <c r="I33" s="154"/>
      <c r="AA33" s="57"/>
      <c r="AB33" s="57"/>
      <c r="AC33" s="154"/>
    </row>
    <row r="34" spans="1:29" x14ac:dyDescent="0.2">
      <c r="A34" s="414">
        <v>32</v>
      </c>
      <c r="B34" s="415">
        <f>_xll.qlInterestRateIndexFixingDate(IborIndex1Y,D34)</f>
        <v>42969</v>
      </c>
      <c r="C34" s="414" t="str">
        <f>_xll.qlMakeDatedOIS(,D34,E34,OvernightIndex,0,DayCounter,0)</f>
        <v>obj_0056e#0004</v>
      </c>
      <c r="D34" s="415">
        <f>_xll.qlCalendarAdvance(Calendar,SettlementDate,A34&amp;"M","mf")</f>
        <v>42971</v>
      </c>
      <c r="E34" s="415">
        <f>_xll.qlInterestRateIndexMaturity(IborIndex1Y,D34)</f>
        <v>43336</v>
      </c>
      <c r="F34" s="416">
        <f>_xll.qlOvernightIndexedSwapFairRate(C34,_xll.ohTrigger(InterestRatesTrigger))</f>
        <v>1.1586634178167019E-3</v>
      </c>
      <c r="G34" s="417">
        <f>_xll.qlInterpolationInterpolate(BasisInterpolator,D34,TRUE,F34)</f>
        <v>4.8380945643901148E-3</v>
      </c>
      <c r="H34" s="416">
        <f t="shared" ref="H34:H50" si="1">F34+G34</f>
        <v>5.9967579822068169E-3</v>
      </c>
      <c r="I34" s="154"/>
      <c r="AA34" s="57"/>
      <c r="AB34" s="57"/>
      <c r="AC34" s="154"/>
    </row>
    <row r="35" spans="1:29" x14ac:dyDescent="0.2">
      <c r="A35" s="414">
        <v>33</v>
      </c>
      <c r="B35" s="415">
        <f>_xll.qlInterestRateIndexFixingDate(IborIndex1Y,D35)</f>
        <v>42999</v>
      </c>
      <c r="C35" s="414" t="str">
        <f>_xll.qlMakeDatedOIS(,D35,E35,OvernightIndex,0,DayCounter,0)</f>
        <v>obj_00571#0004</v>
      </c>
      <c r="D35" s="415">
        <f>_xll.qlCalendarAdvance(Calendar,SettlementDate,A35&amp;"M","mf")</f>
        <v>43003</v>
      </c>
      <c r="E35" s="415">
        <f>_xll.qlInterestRateIndexMaturity(IborIndex1Y,D35)</f>
        <v>43368</v>
      </c>
      <c r="F35" s="416">
        <f>_xll.qlOvernightIndexedSwapFairRate(C35,_xll.ohTrigger(InterestRatesTrigger))</f>
        <v>1.2687618643703047E-3</v>
      </c>
      <c r="G35" s="417">
        <f>_xll.qlInterpolationInterpolate(BasisInterpolator,D35,TRUE,F35)</f>
        <v>4.8770604564431488E-3</v>
      </c>
      <c r="H35" s="416">
        <f t="shared" si="1"/>
        <v>6.1458223208134535E-3</v>
      </c>
      <c r="I35" s="154"/>
      <c r="AA35" s="57"/>
      <c r="AB35" s="57"/>
      <c r="AC35" s="154"/>
    </row>
    <row r="36" spans="1:29" x14ac:dyDescent="0.2">
      <c r="A36" s="414">
        <v>34</v>
      </c>
      <c r="B36" s="415">
        <f>_xll.qlInterestRateIndexFixingDate(IborIndex1Y,D36)</f>
        <v>43028</v>
      </c>
      <c r="C36" s="414" t="str">
        <f>_xll.qlMakeDatedOIS(,D36,E36,OvernightIndex,0,DayCounter,0)</f>
        <v>obj_00563#0004</v>
      </c>
      <c r="D36" s="415">
        <f>_xll.qlCalendarAdvance(Calendar,SettlementDate,A36&amp;"M","mf")</f>
        <v>43032</v>
      </c>
      <c r="E36" s="415">
        <f>_xll.qlInterestRateIndexMaturity(IborIndex1Y,D36)</f>
        <v>43397</v>
      </c>
      <c r="F36" s="416">
        <f>_xll.qlOvernightIndexedSwapFairRate(C36,_xll.ohTrigger(InterestRatesTrigger))</f>
        <v>1.3685491848149114E-3</v>
      </c>
      <c r="G36" s="417">
        <f>_xll.qlInterpolationInterpolate(BasisInterpolator,D36,TRUE,F36)</f>
        <v>4.9119147927684723E-3</v>
      </c>
      <c r="H36" s="416">
        <f t="shared" si="1"/>
        <v>6.2804639775833841E-3</v>
      </c>
      <c r="I36" s="154"/>
      <c r="AA36" s="57"/>
      <c r="AB36" s="57"/>
      <c r="AC36" s="154"/>
    </row>
    <row r="37" spans="1:29" x14ac:dyDescent="0.2">
      <c r="A37" s="418">
        <v>35</v>
      </c>
      <c r="B37" s="419">
        <f>_xll.qlInterestRateIndexFixingDate(IborIndex1Y,D37)</f>
        <v>43061</v>
      </c>
      <c r="C37" s="418" t="str">
        <f>_xll.qlMakeDatedOIS(,D37,E37,OvernightIndex,0,DayCounter,0)</f>
        <v>obj_00560#0004</v>
      </c>
      <c r="D37" s="419">
        <f>_xll.qlCalendarAdvance(Calendar,SettlementDate,A37&amp;"M","mf")</f>
        <v>43063</v>
      </c>
      <c r="E37" s="419">
        <f>_xll.qlInterestRateIndexMaturity(IborIndex1Y,D37)</f>
        <v>43430</v>
      </c>
      <c r="F37" s="420">
        <f>_xll.qlOvernightIndexedSwapFairRate(C37,_xll.ohTrigger(InterestRatesTrigger))</f>
        <v>1.4758544920016772E-3</v>
      </c>
      <c r="G37" s="421">
        <f>_xll.qlInterpolationInterpolate(BasisInterpolator,D37,TRUE,F37)</f>
        <v>4.9487685993382215E-3</v>
      </c>
      <c r="H37" s="420">
        <f t="shared" si="1"/>
        <v>6.4246230913398983E-3</v>
      </c>
      <c r="I37" s="154"/>
      <c r="AA37" s="57"/>
      <c r="AB37" s="57"/>
      <c r="AC37" s="154"/>
    </row>
    <row r="38" spans="1:29" x14ac:dyDescent="0.2">
      <c r="A38" s="410">
        <v>36</v>
      </c>
      <c r="B38" s="411">
        <f>_xll.qlInterestRateIndexFixingDate(IborIndex1Y,D38)</f>
        <v>43090</v>
      </c>
      <c r="C38" s="410" t="str">
        <f>_xll.qlMakeDatedOIS(,D38,E38,OvernightIndex,0,DayCounter,0)</f>
        <v>obj_0055a#0004</v>
      </c>
      <c r="D38" s="411">
        <f>_xll.qlCalendarAdvance(Calendar,SettlementDate,A38&amp;"M","mf")</f>
        <v>43096</v>
      </c>
      <c r="E38" s="411">
        <f>_xll.qlInterestRateIndexMaturity(IborIndex1Y,D38)</f>
        <v>43461</v>
      </c>
      <c r="F38" s="412">
        <f>_xll.qlOvernightIndexedSwapFairRate(C38,_xll.ohTrigger(InterestRatesTrigger))</f>
        <v>1.6028828260810546E-3</v>
      </c>
      <c r="G38" s="413">
        <f>_xll.qlInterpolationInterpolate(BasisInterpolator,D38,TRUE,F38)</f>
        <v>4.9876303357866579E-3</v>
      </c>
      <c r="H38" s="412">
        <f t="shared" si="1"/>
        <v>6.5905131618677129E-3</v>
      </c>
      <c r="I38" s="154"/>
      <c r="AA38" s="57"/>
      <c r="AB38" s="57"/>
      <c r="AC38" s="154"/>
    </row>
    <row r="39" spans="1:29" x14ac:dyDescent="0.2">
      <c r="A39" s="414">
        <v>37</v>
      </c>
      <c r="B39" s="415">
        <f>_xll.qlInterestRateIndexFixingDate(IborIndex1Y,D39)</f>
        <v>43122</v>
      </c>
      <c r="C39" s="414" t="str">
        <f>_xll.qlMakeDatedOIS(,D39,E39,OvernightIndex,0,DayCounter,0)</f>
        <v>obj_00589#0003</v>
      </c>
      <c r="D39" s="415">
        <f>_xll.qlCalendarAdvance(Calendar,SettlementDate,A39&amp;"M","mf")</f>
        <v>43124</v>
      </c>
      <c r="E39" s="415">
        <f>_xll.qlInterestRateIndexMaturity(IborIndex1Y,D39)</f>
        <v>43489</v>
      </c>
      <c r="F39" s="416">
        <f>_xll.qlOvernightIndexedSwapFairRate(C39,_xll.ohTrigger(InterestRatesTrigger))</f>
        <v>1.7342840575292182E-3</v>
      </c>
      <c r="G39" s="417">
        <f>_xll.qlInterpolationInterpolate(BasisInterpolator,D39,TRUE,F39)</f>
        <v>5.020296076603971E-3</v>
      </c>
      <c r="H39" s="416">
        <f t="shared" si="1"/>
        <v>6.7545801341331894E-3</v>
      </c>
      <c r="I39" s="154"/>
      <c r="AA39" s="57"/>
      <c r="AB39" s="57"/>
      <c r="AC39" s="154"/>
    </row>
    <row r="40" spans="1:29" x14ac:dyDescent="0.2">
      <c r="A40" s="414">
        <v>38</v>
      </c>
      <c r="B40" s="415">
        <f>_xll.qlInterestRateIndexFixingDate(IborIndex1Y,D40)</f>
        <v>43153</v>
      </c>
      <c r="C40" s="414" t="str">
        <f>_xll.qlMakeDatedOIS(,D40,E40,OvernightIndex,0,DayCounter,0)</f>
        <v>obj_00573#0004</v>
      </c>
      <c r="D40" s="415">
        <f>_xll.qlCalendarAdvance(Calendar,SettlementDate,A40&amp;"M","mf")</f>
        <v>43157</v>
      </c>
      <c r="E40" s="415">
        <f>_xll.qlInterestRateIndexMaturity(IborIndex1Y,D40)</f>
        <v>43522</v>
      </c>
      <c r="F40" s="416">
        <f>_xll.qlOvernightIndexedSwapFairRate(C40,_xll.ohTrigger(InterestRatesTrigger))</f>
        <v>1.8891722326460044E-3</v>
      </c>
      <c r="G40" s="417">
        <f>_xll.qlInterpolationInterpolate(BasisInterpolator,D40,TRUE,F40)</f>
        <v>5.057957501793376E-3</v>
      </c>
      <c r="H40" s="416">
        <f t="shared" si="1"/>
        <v>6.9471297344393806E-3</v>
      </c>
      <c r="I40" s="154"/>
      <c r="AA40" s="57"/>
      <c r="AB40" s="57"/>
      <c r="AC40" s="154"/>
    </row>
    <row r="41" spans="1:29" x14ac:dyDescent="0.2">
      <c r="A41" s="414">
        <v>39</v>
      </c>
      <c r="B41" s="415">
        <f>_xll.qlInterestRateIndexFixingDate(IborIndex1Y,D41)</f>
        <v>43181</v>
      </c>
      <c r="C41" s="414" t="str">
        <f>_xll.qlMakeDatedOIS(,D41,E41,OvernightIndex,0,DayCounter,0)</f>
        <v>obj_00574#0004</v>
      </c>
      <c r="D41" s="415">
        <f>_xll.qlCalendarAdvance(Calendar,SettlementDate,A41&amp;"M","mf")</f>
        <v>43185</v>
      </c>
      <c r="E41" s="415">
        <f>_xll.qlInterestRateIndexMaturity(IborIndex1Y,D41)</f>
        <v>43550</v>
      </c>
      <c r="F41" s="416">
        <f>_xll.qlOvernightIndexedSwapFairRate(C41,_xll.ohTrigger(InterestRatesTrigger))</f>
        <v>2.020611543473379E-3</v>
      </c>
      <c r="G41" s="417">
        <f>_xll.qlInterpolationInterpolate(BasisInterpolator,D41,TRUE,F41)</f>
        <v>5.0887151384822575E-3</v>
      </c>
      <c r="H41" s="416">
        <f t="shared" si="1"/>
        <v>7.1093266819556369E-3</v>
      </c>
      <c r="I41" s="154"/>
      <c r="AA41" s="57"/>
      <c r="AB41" s="57"/>
      <c r="AC41" s="154"/>
    </row>
    <row r="42" spans="1:29" x14ac:dyDescent="0.2">
      <c r="A42" s="414">
        <v>40</v>
      </c>
      <c r="B42" s="415">
        <f>_xll.qlInterestRateIndexFixingDate(IborIndex1Y,D42)</f>
        <v>43210</v>
      </c>
      <c r="C42" s="414" t="str">
        <f>_xll.qlMakeDatedOIS(,D42,E42,OvernightIndex,0,DayCounter,0)</f>
        <v>obj_00569#0004</v>
      </c>
      <c r="D42" s="415">
        <f>_xll.qlCalendarAdvance(Calendar,SettlementDate,A42&amp;"M","mf")</f>
        <v>43214</v>
      </c>
      <c r="E42" s="415">
        <f>_xll.qlInterestRateIndexMaturity(IborIndex1Y,D42)</f>
        <v>43579</v>
      </c>
      <c r="F42" s="416">
        <f>_xll.qlOvernightIndexedSwapFairRate(C42,_xll.ohTrigger(InterestRatesTrigger))</f>
        <v>2.1567635459108585E-3</v>
      </c>
      <c r="G42" s="417">
        <f>_xll.qlInterpolationInterpolate(BasisInterpolator,D42,TRUE,F42)</f>
        <v>5.1189357766884616E-3</v>
      </c>
      <c r="H42" s="416">
        <f t="shared" si="1"/>
        <v>7.2756993225993206E-3</v>
      </c>
      <c r="I42" s="154"/>
      <c r="AA42" s="57"/>
      <c r="AB42" s="57"/>
      <c r="AC42" s="154"/>
    </row>
    <row r="43" spans="1:29" x14ac:dyDescent="0.2">
      <c r="A43" s="414">
        <v>41</v>
      </c>
      <c r="B43" s="415">
        <f>_xll.qlInterestRateIndexFixingDate(IborIndex1Y,D43)</f>
        <v>43242</v>
      </c>
      <c r="C43" s="414" t="str">
        <f>_xll.qlMakeDatedOIS(,D43,E43,OvernightIndex,0,DayCounter,0)</f>
        <v>obj_00586#0003</v>
      </c>
      <c r="D43" s="415">
        <f>_xll.qlCalendarAdvance(Calendar,SettlementDate,A43&amp;"M","mf")</f>
        <v>43244</v>
      </c>
      <c r="E43" s="415">
        <f>_xll.qlInterestRateIndexMaturity(IborIndex1Y,D43)</f>
        <v>43609</v>
      </c>
      <c r="F43" s="416">
        <f>_xll.qlOvernightIndexedSwapFairRate(C43,_xll.ohTrigger(InterestRatesTrigger))</f>
        <v>2.2976301827307409E-3</v>
      </c>
      <c r="G43" s="417">
        <f>_xll.qlInterpolationInterpolate(BasisInterpolator,D43,TRUE,F43)</f>
        <v>5.1479540043940413E-3</v>
      </c>
      <c r="H43" s="416">
        <f t="shared" si="1"/>
        <v>7.4455841871247826E-3</v>
      </c>
      <c r="I43" s="154"/>
      <c r="AA43" s="57"/>
      <c r="AB43" s="57"/>
      <c r="AC43" s="154"/>
    </row>
    <row r="44" spans="1:29" x14ac:dyDescent="0.2">
      <c r="A44" s="414">
        <v>42</v>
      </c>
      <c r="B44" s="415">
        <f>_xll.qlInterestRateIndexFixingDate(IborIndex1Y,D44)</f>
        <v>43272</v>
      </c>
      <c r="C44" s="414" t="str">
        <f>_xll.qlMakeDatedOIS(,D44,E44,OvernightIndex,0,DayCounter,0)</f>
        <v>obj_00579#0003</v>
      </c>
      <c r="D44" s="415">
        <f>_xll.qlCalendarAdvance(Calendar,SettlementDate,A44&amp;"M","mf")</f>
        <v>43276</v>
      </c>
      <c r="E44" s="415">
        <f>_xll.qlInterestRateIndexMaturity(IborIndex1Y,D44)</f>
        <v>43641</v>
      </c>
      <c r="F44" s="416">
        <f>_xll.qlOvernightIndexedSwapFairRate(C44,_xll.ohTrigger(InterestRatesTrigger))</f>
        <v>2.4479100559785484E-3</v>
      </c>
      <c r="G44" s="417">
        <f>_xll.qlInterpolationInterpolate(BasisInterpolator,D44,TRUE,F44)</f>
        <v>5.1758125974965957E-3</v>
      </c>
      <c r="H44" s="416">
        <f t="shared" si="1"/>
        <v>7.6237226534751441E-3</v>
      </c>
      <c r="I44" s="154"/>
      <c r="AA44" s="57"/>
      <c r="AB44" s="57"/>
      <c r="AC44" s="154"/>
    </row>
    <row r="45" spans="1:29" x14ac:dyDescent="0.2">
      <c r="A45" s="414">
        <v>43</v>
      </c>
      <c r="B45" s="415">
        <f>_xll.qlInterestRateIndexFixingDate(IborIndex1Y,D45)</f>
        <v>43301</v>
      </c>
      <c r="C45" s="414" t="str">
        <f>_xll.qlMakeDatedOIS(,D45,E45,OvernightIndex,0,DayCounter,0)</f>
        <v>obj_00570#0004</v>
      </c>
      <c r="D45" s="415">
        <f>_xll.qlCalendarAdvance(Calendar,SettlementDate,A45&amp;"M","mf")</f>
        <v>43305</v>
      </c>
      <c r="E45" s="415">
        <f>_xll.qlInterestRateIndexMaturity(IborIndex1Y,D45)</f>
        <v>43670</v>
      </c>
      <c r="F45" s="416">
        <f>_xll.qlOvernightIndexedSwapFairRate(C45,_xll.ohTrigger(InterestRatesTrigger))</f>
        <v>2.5841209233902923E-3</v>
      </c>
      <c r="G45" s="417">
        <f>_xll.qlInterpolationInterpolate(BasisInterpolator,D45,TRUE,F45)</f>
        <v>5.1977849289400208E-3</v>
      </c>
      <c r="H45" s="416">
        <f t="shared" si="1"/>
        <v>7.7819058523303127E-3</v>
      </c>
      <c r="I45" s="154"/>
      <c r="AA45" s="57"/>
      <c r="AB45" s="57"/>
      <c r="AC45" s="154"/>
    </row>
    <row r="46" spans="1:29" x14ac:dyDescent="0.2">
      <c r="A46" s="414">
        <v>44</v>
      </c>
      <c r="B46" s="415">
        <f>_xll.qlInterestRateIndexFixingDate(IborIndex1Y,D46)</f>
        <v>43334</v>
      </c>
      <c r="C46" s="414" t="str">
        <f>_xll.qlMakeDatedOIS(,D46,E46,OvernightIndex,0,DayCounter,0)</f>
        <v>obj_0055e#0004</v>
      </c>
      <c r="D46" s="415">
        <f>_xll.qlCalendarAdvance(Calendar,SettlementDate,A46&amp;"M","mf")</f>
        <v>43336</v>
      </c>
      <c r="E46" s="415">
        <f>_xll.qlInterestRateIndexMaturity(IborIndex1Y,D46)</f>
        <v>43703</v>
      </c>
      <c r="F46" s="416">
        <f>_xll.qlOvernightIndexedSwapFairRate(C46,_xll.ohTrigger(InterestRatesTrigger))</f>
        <v>2.7328905532191168E-3</v>
      </c>
      <c r="G46" s="417">
        <f>_xll.qlInterpolationInterpolate(BasisInterpolator,D46,TRUE,F46)</f>
        <v>5.2172815030140868E-3</v>
      </c>
      <c r="H46" s="416">
        <f t="shared" si="1"/>
        <v>7.950172056233204E-3</v>
      </c>
      <c r="I46" s="154"/>
      <c r="AA46" s="57"/>
      <c r="AB46" s="57"/>
      <c r="AC46" s="154"/>
    </row>
    <row r="47" spans="1:29" x14ac:dyDescent="0.2">
      <c r="A47" s="414">
        <v>45</v>
      </c>
      <c r="B47" s="415">
        <f>_xll.qlInterestRateIndexFixingDate(IborIndex1Y,D47)</f>
        <v>43363</v>
      </c>
      <c r="C47" s="414" t="str">
        <f>_xll.qlMakeDatedOIS(,D47,E47,OvernightIndex,0,DayCounter,0)</f>
        <v>obj_00561#0004</v>
      </c>
      <c r="D47" s="415">
        <f>_xll.qlCalendarAdvance(Calendar,SettlementDate,A47&amp;"M","mf")</f>
        <v>43367</v>
      </c>
      <c r="E47" s="415">
        <f>_xll.qlInterestRateIndexMaturity(IborIndex1Y,D47)</f>
        <v>43732</v>
      </c>
      <c r="F47" s="416">
        <f>_xll.qlOvernightIndexedSwapFairRate(C47,_xll.ohTrigger(InterestRatesTrigger))</f>
        <v>2.8753933099163894E-3</v>
      </c>
      <c r="G47" s="417">
        <f>_xll.qlInterpolationInterpolate(BasisInterpolator,D47,TRUE,F47)</f>
        <v>5.2320937098914227E-3</v>
      </c>
      <c r="H47" s="416">
        <f t="shared" si="1"/>
        <v>8.1074870198078117E-3</v>
      </c>
      <c r="I47" s="154"/>
      <c r="AA47" s="57"/>
      <c r="AB47" s="57"/>
      <c r="AC47" s="154"/>
    </row>
    <row r="48" spans="1:29" x14ac:dyDescent="0.2">
      <c r="A48" s="414">
        <v>46</v>
      </c>
      <c r="B48" s="415">
        <f>_xll.qlInterestRateIndexFixingDate(IborIndex1Y,D48)</f>
        <v>43395</v>
      </c>
      <c r="C48" s="414" t="str">
        <f>_xll.qlMakeDatedOIS(,D48,E48,OvernightIndex,0,DayCounter,0)</f>
        <v>obj_0057e#0003</v>
      </c>
      <c r="D48" s="415">
        <f>_xll.qlCalendarAdvance(Calendar,SettlementDate,A48&amp;"M","mf")</f>
        <v>43397</v>
      </c>
      <c r="E48" s="415">
        <f>_xll.qlInterestRateIndexMaturity(IborIndex1Y,D48)</f>
        <v>43762</v>
      </c>
      <c r="F48" s="416">
        <f>_xll.qlOvernightIndexedSwapFairRate(C48,_xll.ohTrigger(InterestRatesTrigger))</f>
        <v>3.0163623597316168E-3</v>
      </c>
      <c r="G48" s="417">
        <f>_xll.qlInterpolationInterpolate(BasisInterpolator,D48,TRUE,F48)</f>
        <v>5.2414286769849865E-3</v>
      </c>
      <c r="H48" s="416">
        <f t="shared" si="1"/>
        <v>8.2577910367166024E-3</v>
      </c>
      <c r="I48" s="154"/>
      <c r="AA48" s="57"/>
      <c r="AB48" s="57"/>
      <c r="AC48" s="154"/>
    </row>
    <row r="49" spans="1:29" x14ac:dyDescent="0.2">
      <c r="A49" s="418">
        <v>47</v>
      </c>
      <c r="B49" s="419">
        <f>_xll.qlInterestRateIndexFixingDate(IborIndex1Y,D49)</f>
        <v>43426</v>
      </c>
      <c r="C49" s="418" t="str">
        <f>_xll.qlMakeDatedOIS(,D49,E49,OvernightIndex,0,DayCounter,0)</f>
        <v>obj_00562#0004</v>
      </c>
      <c r="D49" s="419">
        <f>_xll.qlCalendarAdvance(Calendar,SettlementDate,A49&amp;"M","mf")</f>
        <v>43430</v>
      </c>
      <c r="E49" s="419">
        <f>_xll.qlInterestRateIndexMaturity(IborIndex1Y,D49)</f>
        <v>43795</v>
      </c>
      <c r="F49" s="420">
        <f>_xll.qlOvernightIndexedSwapFairRate(C49,_xll.ohTrigger(InterestRatesTrigger))</f>
        <v>3.1714515182519119E-3</v>
      </c>
      <c r="G49" s="421">
        <f>_xll.qlInterpolationInterpolate(BasisInterpolator,D49,TRUE,F49)</f>
        <v>5.2453914822059066E-3</v>
      </c>
      <c r="H49" s="420">
        <f t="shared" si="1"/>
        <v>8.4168430004578181E-3</v>
      </c>
      <c r="I49" s="154"/>
      <c r="AA49" s="57"/>
      <c r="AB49" s="57"/>
      <c r="AC49" s="154"/>
    </row>
    <row r="50" spans="1:29" x14ac:dyDescent="0.2">
      <c r="A50" s="418">
        <v>48</v>
      </c>
      <c r="B50" s="419">
        <f>_xll.qlInterestRateIndexFixingDate(IborIndex1Y,D50)</f>
        <v>43454</v>
      </c>
      <c r="C50" s="418" t="str">
        <f>_xll.qlMakeDatedOIS(,D50,E50,OvernightIndex,0,DayCounter,0)</f>
        <v>obj_0055b#0004</v>
      </c>
      <c r="D50" s="419">
        <f>_xll.qlCalendarAdvance(Calendar,SettlementDate,A50&amp;"M","mf")</f>
        <v>43458</v>
      </c>
      <c r="E50" s="419">
        <f>_xll.qlInterestRateIndexMaturity(IborIndex1Y,D50)</f>
        <v>43823</v>
      </c>
      <c r="F50" s="420">
        <f>_xll.qlOvernightIndexedSwapFairRate(C50,_xll.ohTrigger(InterestRatesTrigger))</f>
        <v>3.3030613851594498E-3</v>
      </c>
      <c r="G50" s="421">
        <f>_xll.qlInterpolationInterpolate(BasisInterpolator,D50,TRUE,F50)</f>
        <v>5.2430755942136651E-3</v>
      </c>
      <c r="H50" s="420">
        <f t="shared" si="1"/>
        <v>8.5461369793731149E-3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3"/>
      <c r="B2" s="314"/>
      <c r="C2" s="315" t="str">
        <f>Currency&amp;"_015_SyntheticQuotes"&amp;".xml"</f>
        <v>EUR_015_SyntheticQuotes.xml</v>
      </c>
      <c r="D2" s="320" t="str">
        <f>IF(Serialize,_xll.ohObjectSave(D3:D84,SerializationPath&amp;C2,FileOverwrite,Serialize),"---")</f>
        <v>---</v>
      </c>
      <c r="E2" s="320" t="s">
        <v>104</v>
      </c>
      <c r="F2" s="41"/>
      <c r="G2" s="324"/>
      <c r="H2" s="325" t="s">
        <v>58</v>
      </c>
      <c r="I2" s="42"/>
      <c r="J2" s="326" t="s">
        <v>59</v>
      </c>
      <c r="K2" s="42"/>
      <c r="L2" s="324" t="s">
        <v>60</v>
      </c>
      <c r="M2" s="327" t="s">
        <v>61</v>
      </c>
      <c r="N2" s="142">
        <f>_xll.ohTrigger(M3:M7)</f>
        <v>255</v>
      </c>
    </row>
    <row r="3" spans="1:14" x14ac:dyDescent="0.2">
      <c r="A3" s="316">
        <v>1</v>
      </c>
      <c r="B3" s="119" t="s">
        <v>62</v>
      </c>
      <c r="C3" s="120" t="str">
        <f t="shared" ref="C3" si="0">Currency&amp;$B3&amp;"_SYNTH"&amp;Tenor1M&amp;QuoteSuffix</f>
        <v>EURSND_SYNTH1M_Quote</v>
      </c>
      <c r="D3" s="121" t="str">
        <f>_xll.qlSimpleQuote(C3,,RateTickValue,Permanent,EvaluationDate,ObjectOverwrite)</f>
        <v>EURSND_SYNTH1M_Quote#0004</v>
      </c>
      <c r="E3" s="321" t="str">
        <f>_xll.ohRangeRetrieveError(D3)</f>
        <v/>
      </c>
      <c r="F3" s="41"/>
      <c r="G3" s="83" t="s">
        <v>62</v>
      </c>
      <c r="H3" s="84">
        <f>'1MSynthDepo'!C23</f>
        <v>2.6459183759186544E-4</v>
      </c>
      <c r="I3" s="44" t="s">
        <v>63</v>
      </c>
      <c r="J3" s="89">
        <v>-7.2268146798837307E-4</v>
      </c>
      <c r="K3" s="42"/>
      <c r="L3" s="92">
        <f t="array" ref="L3:L84">QuoteLive</f>
        <v>2.6459183759186544E-4</v>
      </c>
      <c r="M3" s="93" t="e">
        <f>_xll.qlSimpleQuoteSetValue(D3,ROUND($L3,6),EvaluationDate)</f>
        <v>#N/A</v>
      </c>
      <c r="N3" s="43"/>
    </row>
    <row r="4" spans="1:14" x14ac:dyDescent="0.2">
      <c r="A4" s="317" t="str">
        <f>_xll.qlPeriodEquivalent(Months1M&amp;"M")</f>
        <v>1M</v>
      </c>
      <c r="B4" s="122" t="s">
        <v>64</v>
      </c>
      <c r="C4" s="45" t="str">
        <f t="shared" ref="C4:C7" si="1">Currency&amp;$B4&amp;"_SYNTH"&amp;Tenor1M&amp;QuoteSuffix</f>
        <v>EURSWD_SYNTH1M_Quote</v>
      </c>
      <c r="D4" s="123" t="str">
        <f>_xll.qlSimpleQuote(C4,,RateTickValue,Permanent,EvaluationDate,ObjectOverwrite)</f>
        <v>EURSWD_SYNTH1M_Quote#0004</v>
      </c>
      <c r="E4" s="322" t="str">
        <f>_xll.ohRangeRetrieveError(D4)</f>
        <v/>
      </c>
      <c r="F4" s="41"/>
      <c r="G4" s="83" t="s">
        <v>64</v>
      </c>
      <c r="H4" s="84">
        <f>'1MSynthDepo'!C24</f>
        <v>2.5424435435818433E-4</v>
      </c>
      <c r="I4" s="44" t="s">
        <v>63</v>
      </c>
      <c r="J4" s="89">
        <v>3.8879337395262124E-5</v>
      </c>
      <c r="K4" s="42"/>
      <c r="L4" s="92">
        <v>2.5424435435818433E-4</v>
      </c>
      <c r="M4" s="93" t="e">
        <f>_xll.qlSimpleQuoteSetValue(D4,ROUND($L4,6),EvaluationDate)</f>
        <v>#N/A</v>
      </c>
      <c r="N4" s="43"/>
    </row>
    <row r="5" spans="1:14" x14ac:dyDescent="0.2">
      <c r="A5" s="128"/>
      <c r="B5" s="122" t="s">
        <v>65</v>
      </c>
      <c r="C5" s="45" t="str">
        <f t="shared" si="1"/>
        <v>EUR2WD_SYNTH1M_Quote</v>
      </c>
      <c r="D5" s="123" t="str">
        <f>_xll.qlSimpleQuote(C5,,RateTickValue,Permanent,EvaluationDate,ObjectOverwrite)</f>
        <v>EUR2WD_SYNTH1M_Quote#0004</v>
      </c>
      <c r="E5" s="322" t="str">
        <f>_xll.ohRangeRetrieveError(D5)</f>
        <v/>
      </c>
      <c r="F5" s="41"/>
      <c r="G5" s="83" t="s">
        <v>65</v>
      </c>
      <c r="H5" s="84">
        <f>'1MSynthDepo'!C25</f>
        <v>6.1892592334102299E-4</v>
      </c>
      <c r="I5" s="44" t="s">
        <v>63</v>
      </c>
      <c r="J5" s="89">
        <v>-6.441524711345688E-5</v>
      </c>
      <c r="K5" s="42"/>
      <c r="L5" s="92">
        <v>6.1892592334102299E-4</v>
      </c>
      <c r="M5" s="93" t="e">
        <f>_xll.qlSimpleQuoteSetValue(D5,ROUND($L5,6),EvaluationDate)</f>
        <v>#N/A</v>
      </c>
      <c r="N5" s="43"/>
    </row>
    <row r="6" spans="1:14" x14ac:dyDescent="0.2">
      <c r="A6" s="128"/>
      <c r="B6" s="122" t="s">
        <v>66</v>
      </c>
      <c r="C6" s="45" t="str">
        <f t="shared" si="1"/>
        <v>EUR3WD_SYNTH1M_Quote</v>
      </c>
      <c r="D6" s="123" t="str">
        <f>_xll.qlSimpleQuote(C6,,RateTickValue,Permanent,EvaluationDate,ObjectOverwrite)</f>
        <v>EUR3WD_SYNTH1M_Quote#0004</v>
      </c>
      <c r="E6" s="322" t="str">
        <f>_xll.ohRangeRetrieveError(D6)</f>
        <v/>
      </c>
      <c r="F6" s="41"/>
      <c r="G6" s="85" t="s">
        <v>66</v>
      </c>
      <c r="H6" s="84">
        <f>'1MSynthDepo'!C26</f>
        <v>4.2497794536799915E-4</v>
      </c>
      <c r="I6" s="44" t="s">
        <v>63</v>
      </c>
      <c r="J6" s="90">
        <v>3.1675359980657246E-5</v>
      </c>
      <c r="K6" s="42"/>
      <c r="L6" s="94">
        <v>4.2497794536799915E-4</v>
      </c>
      <c r="M6" s="95" t="e">
        <f>_xll.qlSimpleQuoteSetValue(D6,ROUND($L6,6),EvaluationDate)</f>
        <v>#N/A</v>
      </c>
      <c r="N6" s="43"/>
    </row>
    <row r="7" spans="1:14" ht="12" thickBot="1" x14ac:dyDescent="0.25">
      <c r="A7" s="129"/>
      <c r="B7" s="127" t="s">
        <v>67</v>
      </c>
      <c r="C7" s="82" t="str">
        <f t="shared" si="1"/>
        <v>EUR1MD_SYNTH1M_Quote</v>
      </c>
      <c r="D7" s="126" t="str">
        <f>_xll.qlSimpleQuote(C7,,RateTickValue,Permanent,EvaluationDate,ObjectOverwrite)</f>
        <v>EUR1MD_SYNTH1M_Quote#0004</v>
      </c>
      <c r="E7" s="323" t="str">
        <f>_xll.ohRangeRetrieveError(D7)</f>
        <v/>
      </c>
      <c r="F7" s="101"/>
      <c r="G7" s="87" t="s">
        <v>67</v>
      </c>
      <c r="H7" s="396">
        <f>'1MSynthDepo'!C27</f>
        <v>2.6000000000000773E-4</v>
      </c>
      <c r="I7" s="102" t="s">
        <v>63</v>
      </c>
      <c r="J7" s="91">
        <v>1.1971529473624584E-5</v>
      </c>
      <c r="K7" s="101"/>
      <c r="L7" s="96">
        <v>2.6000000000000773E-4</v>
      </c>
      <c r="M7" s="97" t="e">
        <f>_xll.qlSimpleQuoteSetValue(D7,ROUND($L7,6),EvaluationDate)</f>
        <v>#N/A</v>
      </c>
      <c r="N7" s="101"/>
    </row>
    <row r="8" spans="1:14" x14ac:dyDescent="0.2">
      <c r="A8" s="316">
        <v>3</v>
      </c>
      <c r="B8" s="119" t="s">
        <v>62</v>
      </c>
      <c r="C8" s="120" t="str">
        <f t="shared" ref="C8:C14" si="2">Currency&amp;$B8&amp;"_SYNTH"&amp;Tenor3M&amp;QuoteSuffix</f>
        <v>EURSND_SYNTH3M_Quote</v>
      </c>
      <c r="D8" s="121" t="str">
        <f>_xll.qlSimpleQuote(C8,,RateTickValue,Permanent,EvaluationDate,ObjectOverwrite)</f>
        <v>EURSND_SYNTH3M_Quote#0004</v>
      </c>
      <c r="E8" s="321"/>
      <c r="F8" s="49"/>
      <c r="G8" s="103" t="s">
        <v>62</v>
      </c>
      <c r="H8" s="104">
        <f>'3MSynthDepo'!C25</f>
        <v>2.7427673303748179E-4</v>
      </c>
      <c r="I8" s="50"/>
      <c r="J8" s="105">
        <v>4.1468384102572031E-4</v>
      </c>
      <c r="K8" s="48"/>
      <c r="L8" s="106">
        <v>2.7427673303748179E-4</v>
      </c>
      <c r="M8" s="107" t="e">
        <f>_xll.qlSimpleQuoteSetValue(D8,ROUND($L8,6),EvaluationDate)</f>
        <v>#N/A</v>
      </c>
      <c r="N8" s="143">
        <f>_xll.ohTrigger(M8:M14)</f>
        <v>255</v>
      </c>
    </row>
    <row r="9" spans="1:14" x14ac:dyDescent="0.2">
      <c r="A9" s="317" t="str">
        <f>_xll.qlPeriodEquivalent(Months3M&amp;"M")</f>
        <v>3M</v>
      </c>
      <c r="B9" s="122" t="s">
        <v>64</v>
      </c>
      <c r="C9" s="45" t="str">
        <f t="shared" si="2"/>
        <v>EURSWD_SYNTH3M_Quote</v>
      </c>
      <c r="D9" s="123" t="str">
        <f>_xll.qlSimpleQuote(C9,,RateTickValue,Permanent,EvaluationDate,ObjectOverwrite)</f>
        <v>EURSWD_SYNTH3M_Quote#0004</v>
      </c>
      <c r="E9" s="322"/>
      <c r="F9" s="49"/>
      <c r="G9" s="98" t="s">
        <v>64</v>
      </c>
      <c r="H9" s="84">
        <f>'3MSynthDepo'!C26</f>
        <v>2.7307131048941765E-4</v>
      </c>
      <c r="I9" s="50"/>
      <c r="J9" s="89">
        <v>1.089294466741616E-3</v>
      </c>
      <c r="K9" s="48"/>
      <c r="L9" s="92">
        <v>2.7307131048941765E-4</v>
      </c>
      <c r="M9" s="93" t="e">
        <f>_xll.qlSimpleQuoteSetValue(D9,ROUND($L9,6),EvaluationDate)</f>
        <v>#N/A</v>
      </c>
      <c r="N9" s="43"/>
    </row>
    <row r="10" spans="1:14" x14ac:dyDescent="0.2">
      <c r="A10" s="46"/>
      <c r="B10" s="122" t="s">
        <v>65</v>
      </c>
      <c r="C10" s="45" t="str">
        <f t="shared" si="2"/>
        <v>EUR2WD_SYNTH3M_Quote</v>
      </c>
      <c r="D10" s="123" t="str">
        <f>_xll.qlSimpleQuote(C10,,RateTickValue,Permanent,EvaluationDate,ObjectOverwrite)</f>
        <v>EUR2WD_SYNTH3M_Quote#0004</v>
      </c>
      <c r="E10" s="322"/>
      <c r="F10" s="49"/>
      <c r="G10" s="98" t="s">
        <v>65</v>
      </c>
      <c r="H10" s="84">
        <f>'3MSynthDepo'!C27</f>
        <v>6.7020856934504479E-4</v>
      </c>
      <c r="I10" s="50"/>
      <c r="J10" s="89">
        <v>8.9421415957627705E-4</v>
      </c>
      <c r="K10" s="48"/>
      <c r="L10" s="92">
        <v>6.7020856934504479E-4</v>
      </c>
      <c r="M10" s="93" t="e">
        <f>_xll.qlSimpleQuoteSetValue(D10,ROUND($L10,6),EvaluationDate)</f>
        <v>#N/A</v>
      </c>
      <c r="N10" s="43"/>
    </row>
    <row r="11" spans="1:14" x14ac:dyDescent="0.2">
      <c r="A11" s="46"/>
      <c r="B11" s="122" t="s">
        <v>66</v>
      </c>
      <c r="C11" s="45" t="str">
        <f t="shared" si="2"/>
        <v>EUR3WD_SYNTH3M_Quote</v>
      </c>
      <c r="D11" s="123" t="str">
        <f>_xll.qlSimpleQuote(C11,,RateTickValue,Permanent,EvaluationDate,ObjectOverwrite)</f>
        <v>EUR3WD_SYNTH3M_Quote#0004</v>
      </c>
      <c r="E11" s="322"/>
      <c r="F11" s="49"/>
      <c r="G11" s="99" t="s">
        <v>66</v>
      </c>
      <c r="H11" s="86">
        <f>'3MSynthDepo'!C28</f>
        <v>5.0942777420840248E-4</v>
      </c>
      <c r="I11" s="50"/>
      <c r="J11" s="90">
        <v>9.0893346892098993E-4</v>
      </c>
      <c r="K11" s="48"/>
      <c r="L11" s="94">
        <v>5.0942777420840248E-4</v>
      </c>
      <c r="M11" s="95" t="e">
        <f>_xll.qlSimpleQuoteSetValue(D11,ROUND($L11,6),EvaluationDate)</f>
        <v>#N/A</v>
      </c>
      <c r="N11" s="43"/>
    </row>
    <row r="12" spans="1:14" x14ac:dyDescent="0.2">
      <c r="A12" s="46"/>
      <c r="B12" s="122" t="s">
        <v>67</v>
      </c>
      <c r="C12" s="45" t="str">
        <f t="shared" si="2"/>
        <v>EUR1MD_SYNTH3M_Quote</v>
      </c>
      <c r="D12" s="124" t="str">
        <f>_xll.qlSimpleQuote(C12,,RateTickValue,Permanent,EvaluationDate,ObjectOverwrite)</f>
        <v>EUR1MD_SYNTH3M_Quote#0004</v>
      </c>
      <c r="E12" s="322"/>
      <c r="F12" s="49"/>
      <c r="G12" s="98" t="s">
        <v>67</v>
      </c>
      <c r="H12" s="84">
        <f>'3MSynthDepo'!C29</f>
        <v>4.0296386959601E-4</v>
      </c>
      <c r="I12" s="50"/>
      <c r="J12" s="89">
        <v>7.6571691908287973E-4</v>
      </c>
      <c r="K12" s="48"/>
      <c r="L12" s="92">
        <v>4.0296386959601E-4</v>
      </c>
      <c r="M12" s="93" t="e">
        <f>_xll.qlSimpleQuoteSetValue(D12,ROUND($L12,6),EvaluationDate)</f>
        <v>#N/A</v>
      </c>
      <c r="N12" s="43"/>
    </row>
    <row r="13" spans="1:14" x14ac:dyDescent="0.2">
      <c r="A13" s="46"/>
      <c r="B13" s="122" t="s">
        <v>68</v>
      </c>
      <c r="C13" s="45" t="str">
        <f t="shared" si="2"/>
        <v>EUR2MD_SYNTH3M_Quote</v>
      </c>
      <c r="D13" s="124" t="str">
        <f>_xll.qlSimpleQuote(C13,,RateTickValue,Permanent,EvaluationDate,ObjectOverwrite)</f>
        <v>EUR2MD_SYNTH3M_Quote#0004</v>
      </c>
      <c r="E13" s="322"/>
      <c r="F13" s="49"/>
      <c r="G13" s="98" t="s">
        <v>68</v>
      </c>
      <c r="H13" s="84">
        <f>'3MSynthDepo'!C30</f>
        <v>5.6695875475699974E-4</v>
      </c>
      <c r="I13" s="50"/>
      <c r="J13" s="89">
        <v>7.4085490671904261E-4</v>
      </c>
      <c r="K13" s="48"/>
      <c r="L13" s="92">
        <v>5.6695875475699974E-4</v>
      </c>
      <c r="M13" s="93" t="e">
        <f>_xll.qlSimpleQuoteSetValue(D13,ROUND($L13,6),EvaluationDate)</f>
        <v>#N/A</v>
      </c>
      <c r="N13" s="43"/>
    </row>
    <row r="14" spans="1:14" ht="12" thickBot="1" x14ac:dyDescent="0.25">
      <c r="A14" s="46"/>
      <c r="B14" s="125" t="s">
        <v>69</v>
      </c>
      <c r="C14" s="82" t="str">
        <f t="shared" si="2"/>
        <v>EUR3MD_SYNTH3M_Quote</v>
      </c>
      <c r="D14" s="126" t="str">
        <f>_xll.qlSimpleQuote(C14,,RateTickValue,Permanent,EvaluationDate,ObjectOverwrite)</f>
        <v>EUR3MD_SYNTH3M_Quote#0004</v>
      </c>
      <c r="E14" s="323"/>
      <c r="F14" s="49"/>
      <c r="G14" s="100" t="s">
        <v>69</v>
      </c>
      <c r="H14" s="88">
        <f>'3MSynthDepo'!C31</f>
        <v>7.3392056760468449E-4</v>
      </c>
      <c r="I14" s="50"/>
      <c r="J14" s="91">
        <v>8.2668403181896809E-4</v>
      </c>
      <c r="K14" s="48"/>
      <c r="L14" s="96">
        <v>7.3392056760468449E-4</v>
      </c>
      <c r="M14" s="97" t="e">
        <f>_xll.qlSimpleQuoteSetValue(D14,ROUND($L14,6),EvaluationDate)</f>
        <v>#N/A</v>
      </c>
      <c r="N14" s="43"/>
    </row>
    <row r="15" spans="1:14" x14ac:dyDescent="0.2">
      <c r="A15" s="316">
        <v>6</v>
      </c>
      <c r="B15" s="130" t="s">
        <v>62</v>
      </c>
      <c r="C15" s="120" t="str">
        <f t="shared" ref="C15:C24" si="3">Currency&amp;$B15&amp;"_SYNTH"&amp;Tenor6M&amp;QuoteSuffix</f>
        <v>EURSND_SYNTH6M_Quote</v>
      </c>
      <c r="D15" s="121" t="str">
        <f>_xll.qlSimpleQuote(C15,,RateTickValue,Permanent,EvaluationDate,ObjectOverwrite)</f>
        <v>EURSND_SYNTH6M_Quote#0004</v>
      </c>
      <c r="E15" s="321" t="str">
        <f>_xll.ohRangeRetrieveError(D15)</f>
        <v/>
      </c>
      <c r="F15" s="49"/>
      <c r="G15" s="103" t="s">
        <v>62</v>
      </c>
      <c r="H15" s="104">
        <f>'6MSynthDepo'!C28</f>
        <v>1.3391819305805797E-3</v>
      </c>
      <c r="I15" s="50"/>
      <c r="J15" s="105">
        <v>-3.0034421194091721E-4</v>
      </c>
      <c r="K15" s="48"/>
      <c r="L15" s="106">
        <v>1.3391819305805797E-3</v>
      </c>
      <c r="M15" s="107" t="e">
        <f>_xll.qlSimpleQuoteSetValue(D15,ROUND($L15,6),EvaluationDate)</f>
        <v>#N/A</v>
      </c>
      <c r="N15" s="144">
        <f>_xll.ohTrigger(M15:M24)</f>
        <v>255</v>
      </c>
    </row>
    <row r="16" spans="1:14" x14ac:dyDescent="0.2">
      <c r="A16" s="317" t="str">
        <f>_xll.qlPeriodEquivalent(Months6M&amp;"M")</f>
        <v>6M</v>
      </c>
      <c r="B16" s="131" t="s">
        <v>64</v>
      </c>
      <c r="C16" s="45" t="str">
        <f t="shared" si="3"/>
        <v>EURSWD_SYNTH6M_Quote</v>
      </c>
      <c r="D16" s="123" t="str">
        <f>_xll.qlSimpleQuote(C16,,RateTickValue,Permanent,EvaluationDate,ObjectOverwrite)</f>
        <v>EURSWD_SYNTH6M_Quote#0004</v>
      </c>
      <c r="E16" s="322" t="str">
        <f>_xll.ohRangeRetrieveError(D16)</f>
        <v/>
      </c>
      <c r="F16" s="49"/>
      <c r="G16" s="98" t="s">
        <v>64</v>
      </c>
      <c r="H16" s="84">
        <f>'6MSynthDepo'!C29</f>
        <v>1.3419276608888403E-3</v>
      </c>
      <c r="I16" s="50"/>
      <c r="J16" s="89">
        <v>4.6464757071643499E-4</v>
      </c>
      <c r="K16" s="48"/>
      <c r="L16" s="92">
        <v>1.3419276608888403E-3</v>
      </c>
      <c r="M16" s="93" t="e">
        <f>_xll.qlSimpleQuoteSetValue(D16,ROUND($L16,6),EvaluationDate)</f>
        <v>#N/A</v>
      </c>
      <c r="N16" s="51"/>
    </row>
    <row r="17" spans="1:14" x14ac:dyDescent="0.2">
      <c r="A17" s="133"/>
      <c r="B17" s="131" t="s">
        <v>65</v>
      </c>
      <c r="C17" s="45" t="str">
        <f t="shared" si="3"/>
        <v>EUR2WD_SYNTH6M_Quote</v>
      </c>
      <c r="D17" s="123" t="str">
        <f>_xll.qlSimpleQuote(C17,,RateTickValue,Permanent,EvaluationDate,ObjectOverwrite)</f>
        <v>EUR2WD_SYNTH6M_Quote#0004</v>
      </c>
      <c r="E17" s="322" t="str">
        <f>_xll.ohRangeRetrieveError(D17)</f>
        <v/>
      </c>
      <c r="F17" s="47"/>
      <c r="G17" s="98" t="s">
        <v>65</v>
      </c>
      <c r="H17" s="84">
        <f>'6MSynthDepo'!C30</f>
        <v>1.7516215597522334E-3</v>
      </c>
      <c r="I17" s="50"/>
      <c r="J17" s="89">
        <v>3.7158652098158635E-4</v>
      </c>
      <c r="K17" s="48"/>
      <c r="L17" s="92">
        <v>1.7516215597522334E-3</v>
      </c>
      <c r="M17" s="93" t="e">
        <f>_xll.qlSimpleQuoteSetValue(D17,ROUND($L17,6),EvaluationDate)</f>
        <v>#N/A</v>
      </c>
      <c r="N17" s="51"/>
    </row>
    <row r="18" spans="1:14" x14ac:dyDescent="0.2">
      <c r="A18" s="134"/>
      <c r="B18" s="131" t="s">
        <v>66</v>
      </c>
      <c r="C18" s="45" t="str">
        <f t="shared" si="3"/>
        <v>EUR3WD_SYNTH6M_Quote</v>
      </c>
      <c r="D18" s="123" t="str">
        <f>_xll.qlSimpleQuote(C18,,RateTickValue,Permanent,EvaluationDate,ObjectOverwrite)</f>
        <v>EUR3WD_SYNTH6M_Quote#0004</v>
      </c>
      <c r="E18" s="322" t="str">
        <f>_xll.ohRangeRetrieveError(D18)</f>
        <v/>
      </c>
      <c r="F18" s="47"/>
      <c r="G18" s="98" t="s">
        <v>66</v>
      </c>
      <c r="H18" s="84">
        <f>'6MSynthDepo'!C31</f>
        <v>1.6013735836839516E-3</v>
      </c>
      <c r="I18" s="50"/>
      <c r="J18" s="89">
        <v>4.8462718726811308E-4</v>
      </c>
      <c r="K18" s="48"/>
      <c r="L18" s="92">
        <v>1.6013735836839516E-3</v>
      </c>
      <c r="M18" s="93" t="e">
        <f>_xll.qlSimpleQuoteSetValue(D18,ROUND($L18,6),EvaluationDate)</f>
        <v>#N/A</v>
      </c>
      <c r="N18" s="51"/>
    </row>
    <row r="19" spans="1:14" x14ac:dyDescent="0.2">
      <c r="A19" s="134"/>
      <c r="B19" s="131" t="s">
        <v>67</v>
      </c>
      <c r="C19" s="45" t="str">
        <f t="shared" si="3"/>
        <v>EUR1MD_SYNTH6M_Quote</v>
      </c>
      <c r="D19" s="123" t="str">
        <f>_xll.qlSimpleQuote(C19,,RateTickValue,Permanent,EvaluationDate,ObjectOverwrite)</f>
        <v>EUR1MD_SYNTH6M_Quote#0004</v>
      </c>
      <c r="E19" s="322" t="str">
        <f>_xll.ohRangeRetrieveError(D19)</f>
        <v/>
      </c>
      <c r="F19" s="47"/>
      <c r="G19" s="391" t="s">
        <v>67</v>
      </c>
      <c r="H19" s="392">
        <f>'6MSynthDepo'!C32</f>
        <v>1.5083006233415379E-3</v>
      </c>
      <c r="I19" s="389"/>
      <c r="J19" s="393">
        <v>5.1420940780660626E-4</v>
      </c>
      <c r="K19" s="390"/>
      <c r="L19" s="394">
        <v>1.5083006233415379E-3</v>
      </c>
      <c r="M19" s="395" t="e">
        <f>_xll.qlSimpleQuoteSetValue(D19,ROUND($L19,6),EvaluationDate)</f>
        <v>#N/A</v>
      </c>
      <c r="N19" s="51"/>
    </row>
    <row r="20" spans="1:14" x14ac:dyDescent="0.2">
      <c r="A20" s="134"/>
      <c r="B20" s="131" t="s">
        <v>68</v>
      </c>
      <c r="C20" s="45" t="str">
        <f t="shared" si="3"/>
        <v>EUR2MD_SYNTH6M_Quote</v>
      </c>
      <c r="D20" s="123" t="str">
        <f>_xll.qlSimpleQuote(C20,,RateTickValue,Permanent,EvaluationDate,ObjectOverwrite)</f>
        <v>EUR2MD_SYNTH6M_Quote#0004</v>
      </c>
      <c r="E20" s="322" t="str">
        <f>_xll.ohRangeRetrieveError(D20)</f>
        <v/>
      </c>
      <c r="F20" s="47"/>
      <c r="G20" s="98" t="s">
        <v>68</v>
      </c>
      <c r="H20" s="84">
        <f>'6MSynthDepo'!C33</f>
        <v>1.6803661824084427E-3</v>
      </c>
      <c r="I20" s="50"/>
      <c r="J20" s="89">
        <v>8.1824348655893634E-4</v>
      </c>
      <c r="K20" s="48"/>
      <c r="L20" s="92">
        <v>1.6803661824084427E-3</v>
      </c>
      <c r="M20" s="93" t="e">
        <f>_xll.qlSimpleQuoteSetValue(D20,ROUND($L20,6),EvaluationDate)</f>
        <v>#N/A</v>
      </c>
      <c r="N20" s="51"/>
    </row>
    <row r="21" spans="1:14" x14ac:dyDescent="0.2">
      <c r="A21" s="134"/>
      <c r="B21" s="131" t="s">
        <v>69</v>
      </c>
      <c r="C21" s="45" t="str">
        <f t="shared" si="3"/>
        <v>EUR3MD_SYNTH6M_Quote</v>
      </c>
      <c r="D21" s="123" t="str">
        <f>_xll.qlSimpleQuote(C21,,RateTickValue,Permanent,EvaluationDate,ObjectOverwrite)</f>
        <v>EUR3MD_SYNTH6M_Quote#0004</v>
      </c>
      <c r="E21" s="322" t="str">
        <f>_xll.ohRangeRetrieveError(D21)</f>
        <v/>
      </c>
      <c r="F21" s="47"/>
      <c r="G21" s="98" t="s">
        <v>69</v>
      </c>
      <c r="H21" s="84">
        <f>'6MSynthDepo'!C34</f>
        <v>1.8224693527519875E-3</v>
      </c>
      <c r="I21" s="50"/>
      <c r="J21" s="89">
        <v>1.1908777193457023E-3</v>
      </c>
      <c r="K21" s="48"/>
      <c r="L21" s="92">
        <v>1.8224693527519875E-3</v>
      </c>
      <c r="M21" s="93" t="e">
        <f>_xll.qlSimpleQuoteSetValue(D21,ROUND($L21,6),EvaluationDate)</f>
        <v>#N/A</v>
      </c>
      <c r="N21" s="51"/>
    </row>
    <row r="22" spans="1:14" x14ac:dyDescent="0.2">
      <c r="A22" s="134"/>
      <c r="B22" s="131" t="s">
        <v>70</v>
      </c>
      <c r="C22" s="45" t="str">
        <f t="shared" si="3"/>
        <v>EUR4MD_SYNTH6M_Quote</v>
      </c>
      <c r="D22" s="123" t="str">
        <f>_xll.qlSimpleQuote(C22,,RateTickValue,Permanent,EvaluationDate,ObjectOverwrite)</f>
        <v>EUR4MD_SYNTH6M_Quote#0004</v>
      </c>
      <c r="E22" s="322" t="str">
        <f>_xll.ohRangeRetrieveError(D22)</f>
        <v/>
      </c>
      <c r="F22" s="47"/>
      <c r="G22" s="98" t="s">
        <v>70</v>
      </c>
      <c r="H22" s="84">
        <f>'6MSynthDepo'!C35</f>
        <v>1.79136214391264E-3</v>
      </c>
      <c r="I22" s="50"/>
      <c r="J22" s="89">
        <v>1.4859395290376387E-3</v>
      </c>
      <c r="K22" s="48"/>
      <c r="L22" s="92">
        <v>1.79136214391264E-3</v>
      </c>
      <c r="M22" s="93" t="e">
        <f>_xll.qlSimpleQuoteSetValue(D22,ROUND($L22,6),EvaluationDate)</f>
        <v>#N/A</v>
      </c>
      <c r="N22" s="51"/>
    </row>
    <row r="23" spans="1:14" x14ac:dyDescent="0.2">
      <c r="A23" s="134"/>
      <c r="B23" s="131" t="s">
        <v>71</v>
      </c>
      <c r="C23" s="45" t="str">
        <f t="shared" si="3"/>
        <v>EUR5MD_SYNTH6M_Quote</v>
      </c>
      <c r="D23" s="123" t="str">
        <f>_xll.qlSimpleQuote(C23,,RateTickValue,Permanent,EvaluationDate,ObjectOverwrite)</f>
        <v>EUR5MD_SYNTH6M_Quote#0004</v>
      </c>
      <c r="E23" s="322" t="str">
        <f>_xll.ohRangeRetrieveError(D23)</f>
        <v/>
      </c>
      <c r="F23" s="47"/>
      <c r="G23" s="98" t="s">
        <v>71</v>
      </c>
      <c r="H23" s="84">
        <f>'6MSynthDepo'!C36</f>
        <v>1.7606015613413322E-3</v>
      </c>
      <c r="I23" s="50"/>
      <c r="J23" s="89">
        <v>1.666421336793596E-3</v>
      </c>
      <c r="K23" s="48"/>
      <c r="L23" s="92">
        <v>1.7606015613413322E-3</v>
      </c>
      <c r="M23" s="93" t="e">
        <f>_xll.qlSimpleQuoteSetValue(D23,ROUND($L23,6),EvaluationDate)</f>
        <v>#N/A</v>
      </c>
      <c r="N23" s="51"/>
    </row>
    <row r="24" spans="1:14" ht="12" thickBot="1" x14ac:dyDescent="0.25">
      <c r="A24" s="135"/>
      <c r="B24" s="127" t="s">
        <v>72</v>
      </c>
      <c r="C24" s="82" t="str">
        <f t="shared" si="3"/>
        <v>EUR6MD_SYNTH6M_Quote</v>
      </c>
      <c r="D24" s="132" t="str">
        <f>_xll.qlSimpleQuote(C24,,RateTickValue,Permanent,EvaluationDate,ObjectOverwrite)</f>
        <v>EUR6MD_SYNTH6M_Quote#0004</v>
      </c>
      <c r="E24" s="323" t="str">
        <f>_xll.ohRangeRetrieveError(D24)</f>
        <v/>
      </c>
      <c r="F24" s="47"/>
      <c r="G24" s="100" t="s">
        <v>72</v>
      </c>
      <c r="H24" s="88">
        <f>'6MSynthDepo'!C37</f>
        <v>1.76060038602549E-3</v>
      </c>
      <c r="I24" s="50"/>
      <c r="J24" s="91">
        <v>1.7354869612805641E-3</v>
      </c>
      <c r="K24" s="48"/>
      <c r="L24" s="96">
        <v>1.76060038602549E-3</v>
      </c>
      <c r="M24" s="97" t="e">
        <f>_xll.qlSimpleQuoteSetValue(D24,ROUND($L24,6),EvaluationDate)</f>
        <v>#N/A</v>
      </c>
      <c r="N24" s="51"/>
    </row>
    <row r="25" spans="1:14" x14ac:dyDescent="0.2">
      <c r="A25" s="316">
        <v>12</v>
      </c>
      <c r="B25" s="119" t="s">
        <v>62</v>
      </c>
      <c r="C25" s="120" t="str">
        <f t="shared" ref="C25:C40" si="4">Currency&amp;$B25&amp;"_SYNTH"&amp;Tenor12M&amp;QuoteSuffix</f>
        <v>EURSND_SYNTH1Y_Quote</v>
      </c>
      <c r="D25" s="121" t="str">
        <f>_xll.qlSimpleQuote(C25,,RateTickValue,Permanent,EvaluationDate,ObjectOverwrite)</f>
        <v>EURSND_SYNTH1Y_Quote#0004</v>
      </c>
      <c r="E25" s="321" t="str">
        <f>_xll.ohRangeRetrieveError(D25)</f>
        <v/>
      </c>
      <c r="F25" s="49"/>
      <c r="G25" s="108" t="s">
        <v>62</v>
      </c>
      <c r="H25" s="104">
        <f>'1YSynthDepo'!C34</f>
        <v>3.5534984394534064E-3</v>
      </c>
      <c r="I25" s="50"/>
      <c r="J25" s="105">
        <v>3.2741444829742505E-3</v>
      </c>
      <c r="K25" s="48"/>
      <c r="L25" s="106">
        <v>3.5534984394534064E-3</v>
      </c>
      <c r="M25" s="107" t="e">
        <f>_xll.qlSimpleQuoteSetValue(D25,ROUND($L25,6),EvaluationDate)</f>
        <v>#N/A</v>
      </c>
      <c r="N25" s="144">
        <f>_xll.ohTrigger(M25:M40)</f>
        <v>255</v>
      </c>
    </row>
    <row r="26" spans="1:14" x14ac:dyDescent="0.2">
      <c r="A26" s="317" t="str">
        <f>_xll.qlPeriodEquivalent(Months12M&amp;"M")</f>
        <v>1Y</v>
      </c>
      <c r="B26" s="122" t="s">
        <v>64</v>
      </c>
      <c r="C26" s="45" t="str">
        <f t="shared" si="4"/>
        <v>EURSWD_SYNTH1Y_Quote</v>
      </c>
      <c r="D26" s="123" t="str">
        <f>_xll.qlSimpleQuote(C26,,RateTickValue,Permanent,EvaluationDate,ObjectOverwrite)</f>
        <v>EURSWD_SYNTH1Y_Quote#0004</v>
      </c>
      <c r="E26" s="322" t="str">
        <f>_xll.ohRangeRetrieveError(D26)</f>
        <v/>
      </c>
      <c r="F26" s="49"/>
      <c r="G26" s="109" t="s">
        <v>64</v>
      </c>
      <c r="H26" s="84">
        <f>'1YSynthDepo'!C35</f>
        <v>3.5488698069498425E-3</v>
      </c>
      <c r="I26" s="50"/>
      <c r="J26" s="89">
        <v>3.9376267112637264E-3</v>
      </c>
      <c r="K26" s="48"/>
      <c r="L26" s="92">
        <v>3.5488698069498425E-3</v>
      </c>
      <c r="M26" s="93" t="e">
        <f>_xll.qlSimpleQuoteSetValue(D26,ROUND($L26,6),EvaluationDate)</f>
        <v>#N/A</v>
      </c>
      <c r="N26" s="51"/>
    </row>
    <row r="27" spans="1:14" x14ac:dyDescent="0.2">
      <c r="A27" s="134"/>
      <c r="B27" s="122" t="s">
        <v>65</v>
      </c>
      <c r="C27" s="45" t="str">
        <f t="shared" si="4"/>
        <v>EUR2WD_SYNTH1Y_Quote</v>
      </c>
      <c r="D27" s="123" t="str">
        <f>_xll.qlSimpleQuote(C27,,RateTickValue,Permanent,EvaluationDate,ObjectOverwrite)</f>
        <v>EUR2WD_SYNTH1Y_Quote#0004</v>
      </c>
      <c r="E27" s="322" t="str">
        <f>_xll.ohRangeRetrieveError(D27)</f>
        <v/>
      </c>
      <c r="F27" s="47"/>
      <c r="G27" s="109" t="s">
        <v>65</v>
      </c>
      <c r="H27" s="84">
        <f>'1YSynthDepo'!C36</f>
        <v>3.933046516851414E-3</v>
      </c>
      <c r="I27" s="50"/>
      <c r="J27" s="89">
        <v>3.7298706984018842E-3</v>
      </c>
      <c r="K27" s="48"/>
      <c r="L27" s="92">
        <v>3.933046516851414E-3</v>
      </c>
      <c r="M27" s="93" t="e">
        <f>_xll.qlSimpleQuoteSetValue(D27,ROUND($L27,6),EvaluationDate)</f>
        <v>#N/A</v>
      </c>
      <c r="N27" s="51"/>
    </row>
    <row r="28" spans="1:14" x14ac:dyDescent="0.2">
      <c r="A28" s="134"/>
      <c r="B28" s="122" t="s">
        <v>66</v>
      </c>
      <c r="C28" s="45" t="str">
        <f t="shared" si="4"/>
        <v>EUR3WD_SYNTH1Y_Quote</v>
      </c>
      <c r="D28" s="123" t="str">
        <f>_xll.qlSimpleQuote(C28,,RateTickValue,Permanent,EvaluationDate,ObjectOverwrite)</f>
        <v>EUR3WD_SYNTH1Y_Quote#0004</v>
      </c>
      <c r="E28" s="322" t="str">
        <f>_xll.ohRangeRetrieveError(D28)</f>
        <v/>
      </c>
      <c r="F28" s="47"/>
      <c r="G28" s="109" t="s">
        <v>66</v>
      </c>
      <c r="H28" s="84">
        <f>'1YSynthDepo'!C37</f>
        <v>3.7576468705223321E-3</v>
      </c>
      <c r="I28" s="50"/>
      <c r="J28" s="89">
        <v>3.7322886820057022E-3</v>
      </c>
      <c r="K28" s="48"/>
      <c r="L28" s="92">
        <v>3.7576468705223321E-3</v>
      </c>
      <c r="M28" s="93" t="e">
        <f>_xll.qlSimpleQuoteSetValue(D28,ROUND($L28,6),EvaluationDate)</f>
        <v>#N/A</v>
      </c>
      <c r="N28" s="51"/>
    </row>
    <row r="29" spans="1:14" x14ac:dyDescent="0.2">
      <c r="A29" s="134"/>
      <c r="B29" s="122" t="s">
        <v>67</v>
      </c>
      <c r="C29" s="45" t="str">
        <f t="shared" si="4"/>
        <v>EUR1MD_SYNTH1Y_Quote</v>
      </c>
      <c r="D29" s="123" t="str">
        <f>_xll.qlSimpleQuote(C29,,RateTickValue,Permanent,EvaluationDate,ObjectOverwrite)</f>
        <v>EUR1MD_SYNTH1Y_Quote#0004</v>
      </c>
      <c r="E29" s="322" t="str">
        <f>_xll.ohRangeRetrieveError(D29)</f>
        <v/>
      </c>
      <c r="F29" s="47"/>
      <c r="G29" s="110" t="s">
        <v>67</v>
      </c>
      <c r="H29" s="86">
        <f>'1YSynthDepo'!C38</f>
        <v>3.6223965297283397E-3</v>
      </c>
      <c r="I29" s="50"/>
      <c r="J29" s="90">
        <v>3.5671443455276941E-3</v>
      </c>
      <c r="K29" s="48"/>
      <c r="L29" s="94">
        <v>3.6223965297283397E-3</v>
      </c>
      <c r="M29" s="95" t="e">
        <f>_xll.qlSimpleQuoteSetValue(D29,ROUND($L29,6),EvaluationDate)</f>
        <v>#N/A</v>
      </c>
      <c r="N29" s="51"/>
    </row>
    <row r="30" spans="1:14" x14ac:dyDescent="0.2">
      <c r="A30" s="134"/>
      <c r="B30" s="122" t="s">
        <v>68</v>
      </c>
      <c r="C30" s="45" t="str">
        <f t="shared" si="4"/>
        <v>EUR2MD_SYNTH1Y_Quote</v>
      </c>
      <c r="D30" s="123" t="str">
        <f>_xll.qlSimpleQuote(C30,,RateTickValue,Permanent,EvaluationDate,ObjectOverwrite)</f>
        <v>EUR2MD_SYNTH1Y_Quote#0004</v>
      </c>
      <c r="E30" s="322" t="str">
        <f>_xll.ohRangeRetrieveError(D30)</f>
        <v/>
      </c>
      <c r="F30" s="47"/>
      <c r="G30" s="109" t="s">
        <v>68</v>
      </c>
      <c r="H30" s="84">
        <f>'1YSynthDepo'!C39</f>
        <v>3.6975067091201794E-3</v>
      </c>
      <c r="I30" s="50"/>
      <c r="J30" s="89">
        <v>3.4993270593571572E-3</v>
      </c>
      <c r="K30" s="48"/>
      <c r="L30" s="92">
        <v>3.6975067091201794E-3</v>
      </c>
      <c r="M30" s="93" t="e">
        <f>_xll.qlSimpleQuoteSetValue(D30,ROUND($L30,6),EvaluationDate)</f>
        <v>#N/A</v>
      </c>
      <c r="N30" s="144"/>
    </row>
    <row r="31" spans="1:14" x14ac:dyDescent="0.2">
      <c r="A31" s="134"/>
      <c r="B31" s="122" t="s">
        <v>69</v>
      </c>
      <c r="C31" s="45" t="str">
        <f t="shared" si="4"/>
        <v>EUR3MD_SYNTH1Y_Quote</v>
      </c>
      <c r="D31" s="123" t="str">
        <f>_xll.qlSimpleQuote(C31,,RateTickValue,Permanent,EvaluationDate,ObjectOverwrite)</f>
        <v>EUR3MD_SYNTH1Y_Quote#0004</v>
      </c>
      <c r="E31" s="322" t="str">
        <f>_xll.ohRangeRetrieveError(D31)</f>
        <v/>
      </c>
      <c r="F31" s="47"/>
      <c r="G31" s="109" t="s">
        <v>69</v>
      </c>
      <c r="H31" s="84">
        <f>'1YSynthDepo'!C40</f>
        <v>3.7525953194075257E-3</v>
      </c>
      <c r="I31" s="50"/>
      <c r="J31" s="89">
        <v>3.5456229020878484E-3</v>
      </c>
      <c r="K31" s="48"/>
      <c r="L31" s="92">
        <v>3.7525953194075257E-3</v>
      </c>
      <c r="M31" s="93" t="e">
        <f>_xll.qlSimpleQuoteSetValue(D31,ROUND($L31,6),EvaluationDate)</f>
        <v>#N/A</v>
      </c>
      <c r="N31" s="51"/>
    </row>
    <row r="32" spans="1:14" x14ac:dyDescent="0.2">
      <c r="A32" s="134"/>
      <c r="B32" s="122" t="s">
        <v>70</v>
      </c>
      <c r="C32" s="45" t="str">
        <f t="shared" si="4"/>
        <v>EUR4MD_SYNTH1Y_Quote</v>
      </c>
      <c r="D32" s="123" t="str">
        <f>_xll.qlSimpleQuote(C32,,RateTickValue,Permanent,EvaluationDate,ObjectOverwrite)</f>
        <v>EUR4MD_SYNTH1Y_Quote#0004</v>
      </c>
      <c r="E32" s="322" t="str">
        <f>_xll.ohRangeRetrieveError(D32)</f>
        <v/>
      </c>
      <c r="F32" s="47"/>
      <c r="G32" s="109" t="s">
        <v>70</v>
      </c>
      <c r="H32" s="84">
        <f>'1YSynthDepo'!C41</f>
        <v>3.6326023275171436E-3</v>
      </c>
      <c r="I32" s="50"/>
      <c r="J32" s="89">
        <v>3.6033508135462355E-3</v>
      </c>
      <c r="K32" s="48"/>
      <c r="L32" s="92">
        <v>3.6326023275171436E-3</v>
      </c>
      <c r="M32" s="93" t="e">
        <f>_xll.qlSimpleQuoteSetValue(D32,ROUND($L32,6),EvaluationDate)</f>
        <v>#N/A</v>
      </c>
      <c r="N32" s="51"/>
    </row>
    <row r="33" spans="1:14" x14ac:dyDescent="0.2">
      <c r="A33" s="134"/>
      <c r="B33" s="122" t="s">
        <v>71</v>
      </c>
      <c r="C33" s="45" t="str">
        <f t="shared" si="4"/>
        <v>EUR5MD_SYNTH1Y_Quote</v>
      </c>
      <c r="D33" s="123" t="str">
        <f>_xll.qlSimpleQuote(C33,,RateTickValue,Permanent,EvaluationDate,ObjectOverwrite)</f>
        <v>EUR5MD_SYNTH1Y_Quote#0004</v>
      </c>
      <c r="E33" s="322" t="str">
        <f>_xll.ohRangeRetrieveError(D33)</f>
        <v/>
      </c>
      <c r="F33" s="49"/>
      <c r="G33" s="109" t="s">
        <v>71</v>
      </c>
      <c r="H33" s="84">
        <f>'1YSynthDepo'!C42</f>
        <v>3.5208655398935732E-3</v>
      </c>
      <c r="I33" s="50"/>
      <c r="J33" s="89">
        <v>3.5874219876094902E-3</v>
      </c>
      <c r="K33" s="48"/>
      <c r="L33" s="92">
        <v>3.5208655398935732E-3</v>
      </c>
      <c r="M33" s="93" t="e">
        <f>_xll.qlSimpleQuoteSetValue(D33,ROUND($L33,6),EvaluationDate)</f>
        <v>#N/A</v>
      </c>
      <c r="N33" s="51"/>
    </row>
    <row r="34" spans="1:14" x14ac:dyDescent="0.2">
      <c r="A34" s="134"/>
      <c r="B34" s="122" t="s">
        <v>72</v>
      </c>
      <c r="C34" s="45" t="str">
        <f t="shared" si="4"/>
        <v>EUR6MD_SYNTH1Y_Quote</v>
      </c>
      <c r="D34" s="123" t="str">
        <f>_xll.qlSimpleQuote(C34,,RateTickValue,Permanent,EvaluationDate,ObjectOverwrite)</f>
        <v>EUR6MD_SYNTH1Y_Quote#0004</v>
      </c>
      <c r="E34" s="322" t="str">
        <f>_xll.ohRangeRetrieveError(D34)</f>
        <v/>
      </c>
      <c r="F34" s="49"/>
      <c r="G34" s="109" t="s">
        <v>72</v>
      </c>
      <c r="H34" s="84">
        <f>'1YSynthDepo'!C43</f>
        <v>3.4500653077626968E-3</v>
      </c>
      <c r="I34" s="50"/>
      <c r="J34" s="89">
        <v>3.5605829939326472E-3</v>
      </c>
      <c r="K34" s="48"/>
      <c r="L34" s="92">
        <v>3.4500653077626968E-3</v>
      </c>
      <c r="M34" s="93" t="e">
        <f>_xll.qlSimpleQuoteSetValue(D34,ROUND($L34,6),EvaluationDate)</f>
        <v>#N/A</v>
      </c>
      <c r="N34" s="51"/>
    </row>
    <row r="35" spans="1:14" x14ac:dyDescent="0.2">
      <c r="A35" s="134"/>
      <c r="B35" s="122" t="s">
        <v>73</v>
      </c>
      <c r="C35" s="45" t="str">
        <f t="shared" si="4"/>
        <v>EUR7MD_SYNTH1Y_Quote</v>
      </c>
      <c r="D35" s="123" t="str">
        <f>_xll.qlSimpleQuote(C35,,RateTickValue,Permanent,EvaluationDate,ObjectOverwrite)</f>
        <v>EUR7MD_SYNTH1Y_Quote#0004</v>
      </c>
      <c r="E35" s="322" t="str">
        <f>_xll.ohRangeRetrieveError(D35)</f>
        <v/>
      </c>
      <c r="F35" s="49"/>
      <c r="G35" s="109" t="s">
        <v>73</v>
      </c>
      <c r="H35" s="84">
        <f>'1YSynthDepo'!C44</f>
        <v>3.3893679575185158E-3</v>
      </c>
      <c r="I35" s="50"/>
      <c r="J35" s="89">
        <v>3.5391910896233206E-3</v>
      </c>
      <c r="K35" s="48"/>
      <c r="L35" s="92">
        <v>3.3893679575185158E-3</v>
      </c>
      <c r="M35" s="93" t="e">
        <f>_xll.qlSimpleQuoteSetValue(D35,ROUND($L35,6),EvaluationDate)</f>
        <v>#N/A</v>
      </c>
      <c r="N35" s="51"/>
    </row>
    <row r="36" spans="1:14" x14ac:dyDescent="0.2">
      <c r="A36" s="134"/>
      <c r="B36" s="122" t="s">
        <v>74</v>
      </c>
      <c r="C36" s="45" t="str">
        <f t="shared" si="4"/>
        <v>EUR8MD_SYNTH1Y_Quote</v>
      </c>
      <c r="D36" s="123" t="str">
        <f>_xll.qlSimpleQuote(C36,,RateTickValue,Permanent,EvaluationDate,ObjectOverwrite)</f>
        <v>EUR8MD_SYNTH1Y_Quote#0004</v>
      </c>
      <c r="E36" s="322" t="str">
        <f>_xll.ohRangeRetrieveError(D36)</f>
        <v/>
      </c>
      <c r="F36" s="49"/>
      <c r="G36" s="109" t="s">
        <v>74</v>
      </c>
      <c r="H36" s="84">
        <f>'1YSynthDepo'!C45</f>
        <v>3.3457596571565508E-3</v>
      </c>
      <c r="I36" s="50"/>
      <c r="J36" s="89">
        <v>3.5320133927629347E-3</v>
      </c>
      <c r="K36" s="48"/>
      <c r="L36" s="92">
        <v>3.3457596571565508E-3</v>
      </c>
      <c r="M36" s="93" t="e">
        <f>_xll.qlSimpleQuoteSetValue(D36,ROUND($L36,6),EvaluationDate)</f>
        <v>#N/A</v>
      </c>
      <c r="N36" s="51"/>
    </row>
    <row r="37" spans="1:14" x14ac:dyDescent="0.2">
      <c r="A37" s="136"/>
      <c r="B37" s="122" t="s">
        <v>75</v>
      </c>
      <c r="C37" s="45" t="str">
        <f t="shared" si="4"/>
        <v>EUR9MD_SYNTH1Y_Quote</v>
      </c>
      <c r="D37" s="123" t="str">
        <f>_xll.qlSimpleQuote(C37,,RateTickValue,Permanent,EvaluationDate,ObjectOverwrite)</f>
        <v>EUR9MD_SYNTH1Y_Quote#0004</v>
      </c>
      <c r="E37" s="322" t="str">
        <f>_xll.ohRangeRetrieveError(D37)</f>
        <v/>
      </c>
      <c r="F37" s="49"/>
      <c r="G37" s="109" t="s">
        <v>75</v>
      </c>
      <c r="H37" s="84">
        <f>'1YSynthDepo'!C46</f>
        <v>3.3028626274524851E-3</v>
      </c>
      <c r="I37" s="50"/>
      <c r="J37" s="89">
        <v>3.5246192513979009E-3</v>
      </c>
      <c r="K37" s="48"/>
      <c r="L37" s="92">
        <v>3.3028626274524851E-3</v>
      </c>
      <c r="M37" s="93" t="e">
        <f>_xll.qlSimpleQuoteSetValue(D37,ROUND($L37,6),EvaluationDate)</f>
        <v>#N/A</v>
      </c>
      <c r="N37" s="51"/>
    </row>
    <row r="38" spans="1:14" x14ac:dyDescent="0.2">
      <c r="A38" s="137"/>
      <c r="B38" s="122" t="s">
        <v>76</v>
      </c>
      <c r="C38" s="45" t="str">
        <f t="shared" si="4"/>
        <v>EUR10MD_SYNTH1Y_Quote</v>
      </c>
      <c r="D38" s="123" t="str">
        <f>_xll.qlSimpleQuote(C38,,RateTickValue,Permanent,EvaluationDate,ObjectOverwrite)</f>
        <v>EUR10MD_SYNTH1Y_Quote#0004</v>
      </c>
      <c r="E38" s="322" t="str">
        <f>_xll.ohRangeRetrieveError(D38)</f>
        <v/>
      </c>
      <c r="F38" s="49"/>
      <c r="G38" s="109" t="s">
        <v>76</v>
      </c>
      <c r="H38" s="84">
        <f>'1YSynthDepo'!C47</f>
        <v>3.2897812033978327E-3</v>
      </c>
      <c r="I38" s="50"/>
      <c r="J38" s="89">
        <v>3.5124690786614873E-3</v>
      </c>
      <c r="K38" s="48"/>
      <c r="L38" s="92">
        <v>3.2897812033978327E-3</v>
      </c>
      <c r="M38" s="93" t="e">
        <f>_xll.qlSimpleQuoteSetValue(D38,ROUND($L38,6),EvaluationDate)</f>
        <v>#N/A</v>
      </c>
      <c r="N38" s="51"/>
    </row>
    <row r="39" spans="1:14" x14ac:dyDescent="0.2">
      <c r="A39" s="134"/>
      <c r="B39" s="122" t="s">
        <v>77</v>
      </c>
      <c r="C39" s="45" t="str">
        <f t="shared" si="4"/>
        <v>EUR11MD_SYNTH1Y_Quote</v>
      </c>
      <c r="D39" s="123" t="str">
        <f>_xll.qlSimpleQuote(C39,,RateTickValue,Permanent,EvaluationDate,ObjectOverwrite)</f>
        <v>EUR11MD_SYNTH1Y_Quote#0004</v>
      </c>
      <c r="E39" s="322" t="str">
        <f>_xll.ohRangeRetrieveError(D39)</f>
        <v/>
      </c>
      <c r="F39" s="49"/>
      <c r="G39" s="109" t="s">
        <v>77</v>
      </c>
      <c r="H39" s="84">
        <f>'1YSynthDepo'!C48</f>
        <v>3.2853097292914837E-3</v>
      </c>
      <c r="I39" s="50"/>
      <c r="J39" s="89">
        <v>3.526495177091726E-3</v>
      </c>
      <c r="K39" s="48"/>
      <c r="L39" s="92">
        <v>3.2853097292914837E-3</v>
      </c>
      <c r="M39" s="93" t="e">
        <f>_xll.qlSimpleQuoteSetValue(D39,ROUND($L39,6),EvaluationDate)</f>
        <v>#N/A</v>
      </c>
      <c r="N39" s="51"/>
    </row>
    <row r="40" spans="1:14" ht="12" thickBot="1" x14ac:dyDescent="0.25">
      <c r="A40" s="138"/>
      <c r="B40" s="127" t="s">
        <v>78</v>
      </c>
      <c r="C40" s="82" t="str">
        <f t="shared" si="4"/>
        <v>EUR1YD_SYNTH1Y_Quote</v>
      </c>
      <c r="D40" s="132" t="str">
        <f>_xll.qlSimpleQuote(C40,,RateTickValue,Permanent,EvaluationDate,ObjectOverwrite)</f>
        <v>EUR1YD_SYNTH1Y_Quote#0004</v>
      </c>
      <c r="E40" s="323" t="str">
        <f>_xll.ohRangeRetrieveError(D40)</f>
        <v/>
      </c>
      <c r="F40" s="49"/>
      <c r="G40" s="139" t="s">
        <v>78</v>
      </c>
      <c r="H40" s="88">
        <f>'1YSynthDepo'!C49</f>
        <v>3.2900000000000364E-3</v>
      </c>
      <c r="I40" s="50"/>
      <c r="J40" s="91">
        <v>3.5462405279165373E-3</v>
      </c>
      <c r="K40" s="48"/>
      <c r="L40" s="96">
        <v>3.2900000000000364E-3</v>
      </c>
      <c r="M40" s="97" t="e">
        <f>_xll.qlSimpleQuoteSetValue(D40,ROUND($L40,6),EvaluationDate)</f>
        <v>#N/A</v>
      </c>
      <c r="N40" s="144"/>
    </row>
    <row r="41" spans="1:14" x14ac:dyDescent="0.2">
      <c r="A41" s="318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EUR1x13F_SYNTH1Y_Quote</v>
      </c>
      <c r="D41" s="123" t="str">
        <f>_xll.qlSimpleQuote(C41,,RateTickValue,Permanent,Trigger,ObjectOverwrite)</f>
        <v>EUR1x13F_SYNTH1Y_Quote#0004</v>
      </c>
      <c r="E41" s="322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3.2685664036434508E-3</v>
      </c>
      <c r="I41" s="58"/>
      <c r="J41" s="115">
        <v>3.5154655213764001E-3</v>
      </c>
      <c r="K41" s="59"/>
      <c r="L41" s="117">
        <v>3.2685664036434508E-3</v>
      </c>
      <c r="M41" s="118" t="e">
        <f>_xll.qlSimpleQuoteSetValue(D41,ROUND(L41,6),EvaluationDate)</f>
        <v>#N/A</v>
      </c>
      <c r="N41" s="144">
        <f>_xll.ohTrigger(M41:M84)</f>
        <v>255</v>
      </c>
    </row>
    <row r="42" spans="1:14" x14ac:dyDescent="0.2">
      <c r="A42" s="318">
        <v>2</v>
      </c>
      <c r="B42" s="122" t="str">
        <f t="shared" si="5"/>
        <v>2x14F</v>
      </c>
      <c r="C42" s="45" t="str">
        <f t="shared" si="6"/>
        <v>EUR2x14F_SYNTH1Y_Quote</v>
      </c>
      <c r="D42" s="123" t="str">
        <f>_xll.qlSimpleQuote(C42,,RateTickValue,Permanent,Trigger,ObjectOverwrite)</f>
        <v>EUR2x14F_SYNTH1Y_Quote#0004</v>
      </c>
      <c r="E42" s="322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3.2089441902162477E-3</v>
      </c>
      <c r="I42" s="59"/>
      <c r="J42" s="115">
        <v>3.532295049804414E-3</v>
      </c>
      <c r="K42" s="59"/>
      <c r="L42" s="117">
        <v>3.2089441902162477E-3</v>
      </c>
      <c r="M42" s="118" t="e">
        <f>_xll.qlSimpleQuoteSetValue(D42,ROUND(L42,6),EvaluationDate)</f>
        <v>#N/A</v>
      </c>
      <c r="N42" s="51"/>
    </row>
    <row r="43" spans="1:14" x14ac:dyDescent="0.2">
      <c r="A43" s="318">
        <v>3</v>
      </c>
      <c r="B43" s="122" t="str">
        <f t="shared" si="5"/>
        <v>3x15F</v>
      </c>
      <c r="C43" s="45" t="str">
        <f t="shared" si="6"/>
        <v>EUR3x15F_SYNTH1Y_Quote</v>
      </c>
      <c r="D43" s="123" t="str">
        <f>_xll.qlSimpleQuote(C43,,RateTickValue,Permanent,Trigger,ObjectOverwrite)</f>
        <v>EUR3x15F_SYNTH1Y_Quote#0004</v>
      </c>
      <c r="E43" s="322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3.1381737305707126E-3</v>
      </c>
      <c r="I43" s="59"/>
      <c r="J43" s="115">
        <v>3.4850405815286247E-3</v>
      </c>
      <c r="K43" s="59"/>
      <c r="L43" s="117">
        <v>3.1381737305707126E-3</v>
      </c>
      <c r="M43" s="118" t="e">
        <f>_xll.qlSimpleQuoteSetValue(D43,ROUND(L43,6),EvaluationDate)</f>
        <v>#N/A</v>
      </c>
      <c r="N43" s="51"/>
    </row>
    <row r="44" spans="1:14" x14ac:dyDescent="0.2">
      <c r="A44" s="318">
        <v>4</v>
      </c>
      <c r="B44" s="122" t="str">
        <f t="shared" si="5"/>
        <v>4x16F</v>
      </c>
      <c r="C44" s="45" t="str">
        <f t="shared" si="6"/>
        <v>EUR4x16F_SYNTH1Y_Quote</v>
      </c>
      <c r="D44" s="123" t="str">
        <f>_xll.qlSimpleQuote(C44,,RateTickValue,Permanent,Trigger,ObjectOverwrite)</f>
        <v>EUR4x16F_SYNTH1Y_Quote#0004</v>
      </c>
      <c r="E44" s="322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3.1259335285485951E-3</v>
      </c>
      <c r="I44" s="59"/>
      <c r="J44" s="115">
        <v>3.4415012724434762E-3</v>
      </c>
      <c r="K44" s="59"/>
      <c r="L44" s="117">
        <v>3.1259335285485951E-3</v>
      </c>
      <c r="M44" s="118" t="e">
        <f>_xll.qlSimpleQuoteSetValue(D44,ROUND(L44,6),EvaluationDate)</f>
        <v>#N/A</v>
      </c>
      <c r="N44" s="51"/>
    </row>
    <row r="45" spans="1:14" x14ac:dyDescent="0.2">
      <c r="A45" s="318">
        <v>5</v>
      </c>
      <c r="B45" s="122" t="str">
        <f t="shared" si="5"/>
        <v>5x17F</v>
      </c>
      <c r="C45" s="45" t="str">
        <f t="shared" si="6"/>
        <v>EUR5x17F_SYNTH1Y_Quote</v>
      </c>
      <c r="D45" s="123" t="str">
        <f>_xll.qlSimpleQuote(C45,,RateTickValue,Permanent,Trigger,ObjectOverwrite)</f>
        <v>EUR5x17F_SYNTH1Y_Quote#0004</v>
      </c>
      <c r="E45" s="322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3.1285453348157194E-3</v>
      </c>
      <c r="I45" s="59"/>
      <c r="J45" s="115">
        <v>3.4396668017846748E-3</v>
      </c>
      <c r="K45" s="59"/>
      <c r="L45" s="117">
        <v>3.1285453348157194E-3</v>
      </c>
      <c r="M45" s="118" t="e">
        <f>_xll.qlSimpleQuoteSetValue(D45,ROUND(L45,6),EvaluationDate)</f>
        <v>#N/A</v>
      </c>
      <c r="N45" s="51"/>
    </row>
    <row r="46" spans="1:14" x14ac:dyDescent="0.2">
      <c r="A46" s="318">
        <v>6</v>
      </c>
      <c r="B46" s="122" t="str">
        <f t="shared" si="5"/>
        <v>6x18F</v>
      </c>
      <c r="C46" s="45" t="str">
        <f t="shared" si="6"/>
        <v>EUR6x18F_SYNTH1Y_Quote</v>
      </c>
      <c r="D46" s="123" t="str">
        <f>_xll.qlSimpleQuote(C46,,RateTickValue,Permanent,Trigger,ObjectOverwrite)</f>
        <v>EUR6x18F_SYNTH1Y_Quote#0004</v>
      </c>
      <c r="E46" s="322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3.1318826784477714E-3</v>
      </c>
      <c r="I46" s="59"/>
      <c r="J46" s="115">
        <v>3.4605640887299519E-3</v>
      </c>
      <c r="K46" s="59"/>
      <c r="L46" s="117">
        <v>3.1318826784477714E-3</v>
      </c>
      <c r="M46" s="118" t="e">
        <f>_xll.qlSimpleQuoteSetValue(D46,ROUND(L46,6),EvaluationDate)</f>
        <v>#N/A</v>
      </c>
      <c r="N46" s="51"/>
    </row>
    <row r="47" spans="1:14" x14ac:dyDescent="0.2">
      <c r="A47" s="318">
        <v>7</v>
      </c>
      <c r="B47" s="122" t="str">
        <f t="shared" si="5"/>
        <v>7x19F</v>
      </c>
      <c r="C47" s="45" t="str">
        <f t="shared" si="6"/>
        <v>EUR7x19F_SYNTH1Y_Quote</v>
      </c>
      <c r="D47" s="123" t="str">
        <f>_xll.qlSimpleQuote(C47,,RateTickValue,Permanent,Trigger,ObjectOverwrite)</f>
        <v>EUR7x19F_SYNTH1Y_Quote#0004</v>
      </c>
      <c r="E47" s="322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3.160600406156329E-3</v>
      </c>
      <c r="I47" s="59"/>
      <c r="J47" s="115">
        <v>3.4944777323652411E-3</v>
      </c>
      <c r="K47" s="59"/>
      <c r="L47" s="117">
        <v>3.160600406156329E-3</v>
      </c>
      <c r="M47" s="118" t="e">
        <f>_xll.qlSimpleQuoteSetValue(D47,ROUND(L47,6),EvaluationDate)</f>
        <v>#N/A</v>
      </c>
      <c r="N47" s="51"/>
    </row>
    <row r="48" spans="1:14" x14ac:dyDescent="0.2">
      <c r="A48" s="318">
        <v>8</v>
      </c>
      <c r="B48" s="122" t="str">
        <f t="shared" si="5"/>
        <v>8x20F</v>
      </c>
      <c r="C48" s="45" t="str">
        <f t="shared" si="6"/>
        <v>EUR8x20F_SYNTH1Y_Quote</v>
      </c>
      <c r="D48" s="123" t="str">
        <f>_xll.qlSimpleQuote(C48,,RateTickValue,Permanent,Trigger,ObjectOverwrite)</f>
        <v>EUR8x20F_SYNTH1Y_Quote#0004</v>
      </c>
      <c r="E48" s="322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3.1931306565807171E-3</v>
      </c>
      <c r="I48" s="59"/>
      <c r="J48" s="115">
        <v>3.5321172705571544E-3</v>
      </c>
      <c r="K48" s="59"/>
      <c r="L48" s="117">
        <v>3.1931306565807171E-3</v>
      </c>
      <c r="M48" s="118" t="e">
        <f>_xll.qlSimpleQuoteSetValue(D48,ROUND(L48,6),EvaluationDate)</f>
        <v>#N/A</v>
      </c>
      <c r="N48" s="51"/>
    </row>
    <row r="49" spans="1:14" x14ac:dyDescent="0.2">
      <c r="A49" s="318">
        <v>9</v>
      </c>
      <c r="B49" s="122" t="str">
        <f t="shared" si="5"/>
        <v>9x21F</v>
      </c>
      <c r="C49" s="45" t="str">
        <f t="shared" si="6"/>
        <v>EUR9x21F_SYNTH1Y_Quote</v>
      </c>
      <c r="D49" s="123" t="str">
        <f>_xll.qlSimpleQuote(C49,,RateTickValue,Permanent,Trigger,ObjectOverwrite)</f>
        <v>EUR9x21F_SYNTH1Y_Quote#0004</v>
      </c>
      <c r="E49" s="322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3.2438094946770782E-3</v>
      </c>
      <c r="I49" s="59"/>
      <c r="J49" s="115">
        <v>3.5813365788215775E-3</v>
      </c>
      <c r="K49" s="59"/>
      <c r="L49" s="117">
        <v>3.2438094946770782E-3</v>
      </c>
      <c r="M49" s="118" t="e">
        <f>_xll.qlSimpleQuoteSetValue(D49,ROUND(L49,6),EvaluationDate)</f>
        <v>#N/A</v>
      </c>
      <c r="N49" s="51"/>
    </row>
    <row r="50" spans="1:14" x14ac:dyDescent="0.2">
      <c r="A50" s="318">
        <v>10</v>
      </c>
      <c r="B50" s="122" t="str">
        <f t="shared" si="5"/>
        <v>10x22F</v>
      </c>
      <c r="C50" s="45" t="str">
        <f t="shared" si="6"/>
        <v>EUR10x22F_SYNTH1Y_Quote</v>
      </c>
      <c r="D50" s="123" t="str">
        <f>_xll.qlSimpleQuote(C50,,RateTickValue,Permanent,Trigger,ObjectOverwrite)</f>
        <v>EUR10x22F_SYNTH1Y_Quote#0004</v>
      </c>
      <c r="E50" s="322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3.304792335214678E-3</v>
      </c>
      <c r="I50" s="59"/>
      <c r="J50" s="115">
        <v>3.6543872266933592E-3</v>
      </c>
      <c r="K50" s="59"/>
      <c r="L50" s="117">
        <v>3.304792335214678E-3</v>
      </c>
      <c r="M50" s="118" t="e">
        <f>_xll.qlSimpleQuoteSetValue(D50,ROUND(L50,6),EvaluationDate)</f>
        <v>#N/A</v>
      </c>
      <c r="N50" s="51"/>
    </row>
    <row r="51" spans="1:14" x14ac:dyDescent="0.2">
      <c r="A51" s="318">
        <v>11</v>
      </c>
      <c r="B51" s="122" t="str">
        <f t="shared" si="5"/>
        <v>11x23F</v>
      </c>
      <c r="C51" s="45" t="str">
        <f t="shared" si="6"/>
        <v>EUR11x23F_SYNTH1Y_Quote</v>
      </c>
      <c r="D51" s="123" t="str">
        <f>_xll.qlSimpleQuote(C51,,RateTickValue,Permanent,Trigger,ObjectOverwrite)</f>
        <v>EUR11x23F_SYNTH1Y_Quote#0004</v>
      </c>
      <c r="E51" s="322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3.3711829588413088E-3</v>
      </c>
      <c r="I51" s="59"/>
      <c r="J51" s="115">
        <v>3.7194370522021635E-3</v>
      </c>
      <c r="K51" s="59"/>
      <c r="L51" s="117">
        <v>3.3711829588413088E-3</v>
      </c>
      <c r="M51" s="118" t="e">
        <f>_xll.qlSimpleQuoteSetValue(D51,ROUND(L51,6),EvaluationDate)</f>
        <v>#N/A</v>
      </c>
      <c r="N51" s="51"/>
    </row>
    <row r="52" spans="1:14" x14ac:dyDescent="0.2">
      <c r="A52" s="318">
        <v>13</v>
      </c>
      <c r="B52" s="122" t="str">
        <f t="shared" si="5"/>
        <v>13x25F</v>
      </c>
      <c r="C52" s="45" t="str">
        <f t="shared" si="6"/>
        <v>EUR13x25F_SYNTH1Y_Quote</v>
      </c>
      <c r="D52" s="123" t="str">
        <f>_xll.qlSimpleQuote(C52,,RateTickValue,Permanent,Trigger,ObjectOverwrite)</f>
        <v>EUR13x25F_SYNTH1Y_Quote#0004</v>
      </c>
      <c r="E52" s="322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3.561404121458897E-3</v>
      </c>
      <c r="I52" s="59"/>
      <c r="J52" s="115">
        <v>3.8720283583146007E-3</v>
      </c>
      <c r="K52" s="59"/>
      <c r="L52" s="117">
        <v>3.561404121458897E-3</v>
      </c>
      <c r="M52" s="118" t="e">
        <f>_xll.qlSimpleQuoteSetValue(D52,ROUND(L52,6),EvaluationDate)</f>
        <v>#N/A</v>
      </c>
      <c r="N52" s="51"/>
    </row>
    <row r="53" spans="1:14" x14ac:dyDescent="0.2">
      <c r="A53" s="318">
        <v>14</v>
      </c>
      <c r="B53" s="122" t="str">
        <f t="shared" si="5"/>
        <v>14x26F</v>
      </c>
      <c r="C53" s="45" t="str">
        <f t="shared" si="6"/>
        <v>EUR14x26F_SYNTH1Y_Quote</v>
      </c>
      <c r="D53" s="123" t="str">
        <f>_xll.qlSimpleQuote(C53,,RateTickValue,Permanent,Trigger,ObjectOverwrite)</f>
        <v>EUR14x26F_SYNTH1Y_Quote#0004</v>
      </c>
      <c r="E53" s="322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3.6961375729793649E-3</v>
      </c>
      <c r="I53" s="59"/>
      <c r="J53" s="115">
        <v>3.9171599819746638E-3</v>
      </c>
      <c r="K53" s="59"/>
      <c r="L53" s="117">
        <v>3.6961375729793649E-3</v>
      </c>
      <c r="M53" s="118" t="e">
        <f>_xll.qlSimpleQuoteSetValue(D53,ROUND(L53,6),EvaluationDate)</f>
        <v>#N/A</v>
      </c>
      <c r="N53" s="51"/>
    </row>
    <row r="54" spans="1:14" x14ac:dyDescent="0.2">
      <c r="A54" s="318">
        <v>15</v>
      </c>
      <c r="B54" s="122" t="str">
        <f t="shared" si="5"/>
        <v>15x27F</v>
      </c>
      <c r="C54" s="45" t="str">
        <f t="shared" si="6"/>
        <v>EUR15x27F_SYNTH1Y_Quote</v>
      </c>
      <c r="D54" s="123" t="str">
        <f>_xll.qlSimpleQuote(C54,,RateTickValue,Permanent,Trigger,ObjectOverwrite)</f>
        <v>EUR15x27F_SYNTH1Y_Quote#0004</v>
      </c>
      <c r="E54" s="322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3.8275304835641327E-3</v>
      </c>
      <c r="I54" s="59"/>
      <c r="J54" s="115">
        <v>4.0267198538210588E-3</v>
      </c>
      <c r="K54" s="59"/>
      <c r="L54" s="117">
        <v>3.8275304835641327E-3</v>
      </c>
      <c r="M54" s="118" t="e">
        <f>_xll.qlSimpleQuoteSetValue(D54,ROUND(L54,6),EvaluationDate)</f>
        <v>#N/A</v>
      </c>
      <c r="N54" s="51"/>
    </row>
    <row r="55" spans="1:14" x14ac:dyDescent="0.2">
      <c r="A55" s="318">
        <v>16</v>
      </c>
      <c r="B55" s="122" t="str">
        <f t="shared" si="5"/>
        <v>16x28F</v>
      </c>
      <c r="C55" s="45" t="str">
        <f t="shared" si="6"/>
        <v>EUR16x28F_SYNTH1Y_Quote</v>
      </c>
      <c r="D55" s="123" t="str">
        <f>_xll.qlSimpleQuote(C55,,RateTickValue,Permanent,Trigger,ObjectOverwrite)</f>
        <v>EUR16x28F_SYNTH1Y_Quote#0004</v>
      </c>
      <c r="E55" s="322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3.9574112877269994E-3</v>
      </c>
      <c r="I55" s="59"/>
      <c r="J55" s="115">
        <v>4.1329970922189185E-3</v>
      </c>
      <c r="K55" s="59"/>
      <c r="L55" s="117">
        <v>3.9574112877269994E-3</v>
      </c>
      <c r="M55" s="118" t="e">
        <f>_xll.qlSimpleQuoteSetValue(D55,ROUND(L55,6),EvaluationDate)</f>
        <v>#N/A</v>
      </c>
      <c r="N55" s="51"/>
    </row>
    <row r="56" spans="1:14" x14ac:dyDescent="0.2">
      <c r="A56" s="318">
        <v>17</v>
      </c>
      <c r="B56" s="122" t="str">
        <f t="shared" si="5"/>
        <v>17x29F</v>
      </c>
      <c r="C56" s="45" t="str">
        <f t="shared" si="6"/>
        <v>EUR17x29F_SYNTH1Y_Quote</v>
      </c>
      <c r="D56" s="123" t="str">
        <f>_xll.qlSimpleQuote(C56,,RateTickValue,Permanent,Trigger,ObjectOverwrite)</f>
        <v>EUR17x29F_SYNTH1Y_Quote#0004</v>
      </c>
      <c r="E56" s="322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4.0771602119232921E-3</v>
      </c>
      <c r="I56" s="59"/>
      <c r="J56" s="115">
        <v>4.2134721254825282E-3</v>
      </c>
      <c r="K56" s="59"/>
      <c r="L56" s="117">
        <v>4.0771602119232921E-3</v>
      </c>
      <c r="M56" s="118" t="e">
        <f>_xll.qlSimpleQuoteSetValue(D56,ROUND(L56,6),EvaluationDate)</f>
        <v>#N/A</v>
      </c>
      <c r="N56" s="51"/>
    </row>
    <row r="57" spans="1:14" x14ac:dyDescent="0.2">
      <c r="A57" s="318">
        <v>18</v>
      </c>
      <c r="B57" s="122" t="str">
        <f t="shared" si="5"/>
        <v>18x30F</v>
      </c>
      <c r="C57" s="45" t="str">
        <f t="shared" si="6"/>
        <v>EUR18x30F_SYNTH1Y_Quote</v>
      </c>
      <c r="D57" s="123" t="str">
        <f>_xll.qlSimpleQuote(C57,,RateTickValue,Permanent,Trigger,ObjectOverwrite)</f>
        <v>EUR18x30F_SYNTH1Y_Quote#0004</v>
      </c>
      <c r="E57" s="322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4.2089241533239822E-3</v>
      </c>
      <c r="I57" s="59"/>
      <c r="J57" s="115">
        <v>4.3008791705088749E-3</v>
      </c>
      <c r="K57" s="59"/>
      <c r="L57" s="117">
        <v>4.2089241533239822E-3</v>
      </c>
      <c r="M57" s="118" t="e">
        <f>_xll.qlSimpleQuoteSetValue(D57,ROUND(L57,6),EvaluationDate)</f>
        <v>#N/A</v>
      </c>
      <c r="N57" s="51"/>
    </row>
    <row r="58" spans="1:14" x14ac:dyDescent="0.2">
      <c r="A58" s="318">
        <v>19</v>
      </c>
      <c r="B58" s="122" t="str">
        <f t="shared" si="5"/>
        <v>19x31F</v>
      </c>
      <c r="C58" s="45" t="str">
        <f t="shared" si="6"/>
        <v>EUR19x31F_SYNTH1Y_Quote</v>
      </c>
      <c r="D58" s="123" t="str">
        <f>_xll.qlSimpleQuote(C58,,RateTickValue,Permanent,Trigger,ObjectOverwrite)</f>
        <v>EUR19x31F_SYNTH1Y_Quote#0004</v>
      </c>
      <c r="E58" s="322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4.3222231240786762E-3</v>
      </c>
      <c r="I58" s="59"/>
      <c r="J58" s="115">
        <v>4.4018605292064873E-3</v>
      </c>
      <c r="K58" s="59"/>
      <c r="L58" s="117">
        <v>4.3222231240786762E-3</v>
      </c>
      <c r="M58" s="118" t="e">
        <f>_xll.qlSimpleQuoteSetValue(D58,ROUND(L58,6),EvaluationDate)</f>
        <v>#N/A</v>
      </c>
      <c r="N58" s="51"/>
    </row>
    <row r="59" spans="1:14" x14ac:dyDescent="0.2">
      <c r="A59" s="318">
        <v>20</v>
      </c>
      <c r="B59" s="122" t="str">
        <f t="shared" si="5"/>
        <v>20x32F</v>
      </c>
      <c r="C59" s="45" t="str">
        <f t="shared" si="6"/>
        <v>EUR20x32F_SYNTH1Y_Quote</v>
      </c>
      <c r="D59" s="123" t="str">
        <f>_xll.qlSimpleQuote(C59,,RateTickValue,Permanent,Trigger,ObjectOverwrite)</f>
        <v>EUR20x32F_SYNTH1Y_Quote#0004</v>
      </c>
      <c r="E59" s="322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4.4347234721356021E-3</v>
      </c>
      <c r="I59" s="59"/>
      <c r="J59" s="115">
        <v>4.4919660238962921E-3</v>
      </c>
      <c r="K59" s="59"/>
      <c r="L59" s="117">
        <v>4.4347234721356021E-3</v>
      </c>
      <c r="M59" s="118" t="e">
        <f>_xll.qlSimpleQuoteSetValue(D59,ROUND(L59,6),EvaluationDate)</f>
        <v>#N/A</v>
      </c>
      <c r="N59" s="51"/>
    </row>
    <row r="60" spans="1:14" x14ac:dyDescent="0.2">
      <c r="A60" s="318">
        <v>21</v>
      </c>
      <c r="B60" s="122" t="str">
        <f t="shared" si="5"/>
        <v>21x33F</v>
      </c>
      <c r="C60" s="45" t="str">
        <f t="shared" si="6"/>
        <v>EUR21x33F_SYNTH1Y_Quote</v>
      </c>
      <c r="D60" s="123" t="str">
        <f>_xll.qlSimpleQuote(C60,,RateTickValue,Permanent,Trigger,ObjectOverwrite)</f>
        <v>EUR21x33F_SYNTH1Y_Quote#0004</v>
      </c>
      <c r="E60" s="322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4.5590303389270144E-3</v>
      </c>
      <c r="I60" s="59"/>
      <c r="J60" s="115">
        <v>4.5954939536650523E-3</v>
      </c>
      <c r="K60" s="59"/>
      <c r="L60" s="117">
        <v>4.5590303389270144E-3</v>
      </c>
      <c r="M60" s="118" t="e">
        <f>_xll.qlSimpleQuoteSetValue(D60,ROUND(L60,6),EvaluationDate)</f>
        <v>#N/A</v>
      </c>
      <c r="N60" s="51"/>
    </row>
    <row r="61" spans="1:14" x14ac:dyDescent="0.2">
      <c r="A61" s="318">
        <v>22</v>
      </c>
      <c r="B61" s="122" t="str">
        <f t="shared" si="5"/>
        <v>22x34F</v>
      </c>
      <c r="C61" s="45" t="str">
        <f t="shared" si="6"/>
        <v>EUR22x34F_SYNTH1Y_Quote</v>
      </c>
      <c r="D61" s="123" t="str">
        <f>_xll.qlSimpleQuote(C61,,RateTickValue,Permanent,Trigger,ObjectOverwrite)</f>
        <v>EUR22x34F_SYNTH1Y_Quote#0004</v>
      </c>
      <c r="E61" s="322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4.6490467698402952E-3</v>
      </c>
      <c r="I61" s="59"/>
      <c r="J61" s="115">
        <v>4.7058631429596973E-3</v>
      </c>
      <c r="K61" s="59"/>
      <c r="L61" s="117">
        <v>4.6490467698402952E-3</v>
      </c>
      <c r="M61" s="118" t="e">
        <f>_xll.qlSimpleQuoteSetValue(D61,ROUND(L61,6),EvaluationDate)</f>
        <v>#N/A</v>
      </c>
      <c r="N61" s="51"/>
    </row>
    <row r="62" spans="1:14" x14ac:dyDescent="0.2">
      <c r="A62" s="318">
        <v>23</v>
      </c>
      <c r="B62" s="122" t="str">
        <f t="shared" si="5"/>
        <v>23x35F</v>
      </c>
      <c r="C62" s="45" t="str">
        <f t="shared" si="6"/>
        <v>EUR23x35F_SYNTH1Y_Quote</v>
      </c>
      <c r="D62" s="123" t="str">
        <f>_xll.qlSimpleQuote(C62,,RateTickValue,Permanent,Trigger,ObjectOverwrite)</f>
        <v>EUR23x35F_SYNTH1Y_Quote#0004</v>
      </c>
      <c r="E62" s="322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4.7483910122343327E-3</v>
      </c>
      <c r="I62" s="59"/>
      <c r="J62" s="115">
        <v>4.8096995743170268E-3</v>
      </c>
      <c r="K62" s="59"/>
      <c r="L62" s="117">
        <v>4.7483910122343327E-3</v>
      </c>
      <c r="M62" s="118" t="e">
        <f>_xll.qlSimpleQuoteSetValue(D62,ROUND(L62,6),EvaluationDate)</f>
        <v>#N/A</v>
      </c>
      <c r="N62" s="51"/>
    </row>
    <row r="63" spans="1:14" x14ac:dyDescent="0.2">
      <c r="A63" s="318">
        <v>25</v>
      </c>
      <c r="B63" s="122" t="str">
        <f t="shared" si="5"/>
        <v>25x37F</v>
      </c>
      <c r="C63" s="45" t="str">
        <f t="shared" si="6"/>
        <v>EUR25x37F_SYNTH1Y_Quote</v>
      </c>
      <c r="D63" s="123" t="str">
        <f>_xll.qlSimpleQuote(C63,,RateTickValue,Permanent,Trigger,ObjectOverwrite)</f>
        <v>EUR25x37F_SYNTH1Y_Quote#0004</v>
      </c>
      <c r="E63" s="322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4.9896879294847535E-3</v>
      </c>
      <c r="I63" s="59"/>
      <c r="J63" s="115">
        <v>5.0522302397286488E-3</v>
      </c>
      <c r="K63" s="59"/>
      <c r="L63" s="117">
        <v>4.9896879294847535E-3</v>
      </c>
      <c r="M63" s="118" t="e">
        <f>_xll.qlSimpleQuoteSetValue(D63,ROUND(L63,6),EvaluationDate)</f>
        <v>#N/A</v>
      </c>
      <c r="N63" s="51"/>
    </row>
    <row r="64" spans="1:14" x14ac:dyDescent="0.2">
      <c r="A64" s="318">
        <v>26</v>
      </c>
      <c r="B64" s="122" t="str">
        <f t="shared" si="5"/>
        <v>26x38F</v>
      </c>
      <c r="C64" s="45" t="str">
        <f t="shared" si="6"/>
        <v>EUR26x38F_SYNTH1Y_Quote</v>
      </c>
      <c r="D64" s="123" t="str">
        <f>_xll.qlSimpleQuote(C64,,RateTickValue,Permanent,Trigger,ObjectOverwrite)</f>
        <v>EUR26x38F_SYNTH1Y_Quote#0004</v>
      </c>
      <c r="E64" s="322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5.1453431854228283E-3</v>
      </c>
      <c r="I64" s="59"/>
      <c r="J64" s="115">
        <v>5.1723447587727405E-3</v>
      </c>
      <c r="K64" s="59"/>
      <c r="L64" s="117">
        <v>5.1453431854228283E-3</v>
      </c>
      <c r="M64" s="118" t="e">
        <f>_xll.qlSimpleQuoteSetValue(D64,ROUND(L64,6),EvaluationDate)</f>
        <v>#N/A</v>
      </c>
      <c r="N64" s="51"/>
    </row>
    <row r="65" spans="1:14" x14ac:dyDescent="0.2">
      <c r="A65" s="318">
        <v>27</v>
      </c>
      <c r="B65" s="122" t="str">
        <f t="shared" si="5"/>
        <v>27x39F</v>
      </c>
      <c r="C65" s="45" t="str">
        <f t="shared" si="6"/>
        <v>EUR27x39F_SYNTH1Y_Quote</v>
      </c>
      <c r="D65" s="123" t="str">
        <f>_xll.qlSimpleQuote(C65,,RateTickValue,Permanent,Trigger,ObjectOverwrite)</f>
        <v>EUR27x39F_SYNTH1Y_Quote#0004</v>
      </c>
      <c r="E65" s="322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5.2793335320243167E-3</v>
      </c>
      <c r="I65" s="59"/>
      <c r="J65" s="115">
        <v>5.3150282994908178E-3</v>
      </c>
      <c r="K65" s="59"/>
      <c r="L65" s="117">
        <v>5.2793335320243167E-3</v>
      </c>
      <c r="M65" s="118" t="e">
        <f>_xll.qlSimpleQuoteSetValue(D65,ROUND(L65,6),EvaluationDate)</f>
        <v>#N/A</v>
      </c>
      <c r="N65" s="51"/>
    </row>
    <row r="66" spans="1:14" x14ac:dyDescent="0.2">
      <c r="A66" s="318">
        <v>28</v>
      </c>
      <c r="B66" s="122" t="str">
        <f t="shared" si="5"/>
        <v>28x40F</v>
      </c>
      <c r="C66" s="45" t="str">
        <f t="shared" si="6"/>
        <v>EUR28x40F_SYNTH1Y_Quote</v>
      </c>
      <c r="D66" s="123" t="str">
        <f>_xll.qlSimpleQuote(C66,,RateTickValue,Permanent,Trigger,ObjectOverwrite)</f>
        <v>EUR28x40F_SYNTH1Y_Quote#0004</v>
      </c>
      <c r="E66" s="322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5.4221297258877556E-3</v>
      </c>
      <c r="I66" s="59"/>
      <c r="J66" s="115">
        <v>5.4407488203351683E-3</v>
      </c>
      <c r="K66" s="59"/>
      <c r="L66" s="117">
        <v>5.4221297258877556E-3</v>
      </c>
      <c r="M66" s="118" t="e">
        <f>_xll.qlSimpleQuoteSetValue(D66,ROUND(L66,6),EvaluationDate)</f>
        <v>#N/A</v>
      </c>
      <c r="N66" s="51"/>
    </row>
    <row r="67" spans="1:14" x14ac:dyDescent="0.2">
      <c r="A67" s="318">
        <v>29</v>
      </c>
      <c r="B67" s="122" t="str">
        <f t="shared" si="5"/>
        <v>29x41F</v>
      </c>
      <c r="C67" s="45" t="str">
        <f t="shared" si="6"/>
        <v>EUR29x41F_SYNTH1Y_Quote</v>
      </c>
      <c r="D67" s="123" t="str">
        <f>_xll.qlSimpleQuote(C67,,RateTickValue,Permanent,Trigger,ObjectOverwrite)</f>
        <v>EUR29x41F_SYNTH1Y_Quote#0004</v>
      </c>
      <c r="E67" s="322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5.5645158739864057E-3</v>
      </c>
      <c r="I67" s="59"/>
      <c r="J67" s="115">
        <v>5.5751222575614514E-3</v>
      </c>
      <c r="K67" s="59"/>
      <c r="L67" s="117">
        <v>5.5645158739864057E-3</v>
      </c>
      <c r="M67" s="118" t="e">
        <f>_xll.qlSimpleQuoteSetValue(D67,ROUND(L67,6),EvaluationDate)</f>
        <v>#N/A</v>
      </c>
      <c r="N67" s="51"/>
    </row>
    <row r="68" spans="1:14" x14ac:dyDescent="0.2">
      <c r="A68" s="318">
        <v>30</v>
      </c>
      <c r="B68" s="122" t="str">
        <f t="shared" si="5"/>
        <v>30x42F</v>
      </c>
      <c r="C68" s="45" t="str">
        <f t="shared" si="6"/>
        <v>EUR30x42F_SYNTH1Y_Quote</v>
      </c>
      <c r="D68" s="123" t="str">
        <f>_xll.qlSimpleQuote(C68,,RateTickValue,Permanent,Trigger,ObjectOverwrite)</f>
        <v>EUR30x42F_SYNTH1Y_Quote#0004</v>
      </c>
      <c r="E68" s="322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5.7202682355921956E-3</v>
      </c>
      <c r="I68" s="59"/>
      <c r="J68" s="115">
        <v>5.718231965587536E-3</v>
      </c>
      <c r="K68" s="59"/>
      <c r="L68" s="117">
        <v>5.7202682355921956E-3</v>
      </c>
      <c r="M68" s="118" t="e">
        <f>_xll.qlSimpleQuoteSetValue(D68,ROUND(L68,6),EvaluationDate)</f>
        <v>#N/A</v>
      </c>
      <c r="N68" s="51"/>
    </row>
    <row r="69" spans="1:14" x14ac:dyDescent="0.2">
      <c r="A69" s="318">
        <v>31</v>
      </c>
      <c r="B69" s="122" t="str">
        <f t="shared" si="5"/>
        <v>31x43F</v>
      </c>
      <c r="C69" s="45" t="str">
        <f t="shared" si="6"/>
        <v>EUR31x43F_SYNTH1Y_Quote</v>
      </c>
      <c r="D69" s="123" t="str">
        <f>_xll.qlSimpleQuote(C69,,RateTickValue,Permanent,Trigger,ObjectOverwrite)</f>
        <v>EUR31x43F_SYNTH1Y_Quote#0004</v>
      </c>
      <c r="E69" s="322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5.8517757121786772E-3</v>
      </c>
      <c r="I69" s="59"/>
      <c r="J69" s="115">
        <v>5.8750651022078052E-3</v>
      </c>
      <c r="K69" s="59"/>
      <c r="L69" s="117">
        <v>5.8517757121786772E-3</v>
      </c>
      <c r="M69" s="118" t="e">
        <f>_xll.qlSimpleQuoteSetValue(D69,ROUND(L69,6),EvaluationDate)</f>
        <v>#N/A</v>
      </c>
      <c r="N69" s="51"/>
    </row>
    <row r="70" spans="1:14" x14ac:dyDescent="0.2">
      <c r="A70" s="318">
        <v>32</v>
      </c>
      <c r="B70" s="122" t="str">
        <f t="shared" si="5"/>
        <v>32x44F</v>
      </c>
      <c r="C70" s="45" t="str">
        <f t="shared" si="6"/>
        <v>EUR32x44F_SYNTH1Y_Quote</v>
      </c>
      <c r="D70" s="123" t="str">
        <f>_xll.qlSimpleQuote(C70,,RateTickValue,Permanent,Trigger,ObjectOverwrite)</f>
        <v>EUR32x44F_SYNTH1Y_Quote#0004</v>
      </c>
      <c r="E70" s="322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5.9967579822068169E-3</v>
      </c>
      <c r="I70" s="59"/>
      <c r="J70" s="115">
        <v>6.0205538315344842E-3</v>
      </c>
      <c r="K70" s="59"/>
      <c r="L70" s="117">
        <v>5.9967579822068169E-3</v>
      </c>
      <c r="M70" s="118" t="e">
        <f>_xll.qlSimpleQuoteSetValue(D70,ROUND(L70,6),EvaluationDate)</f>
        <v>#N/A</v>
      </c>
      <c r="N70" s="51"/>
    </row>
    <row r="71" spans="1:14" x14ac:dyDescent="0.2">
      <c r="A71" s="318">
        <v>33</v>
      </c>
      <c r="B71" s="122" t="str">
        <f t="shared" si="5"/>
        <v>33x45F</v>
      </c>
      <c r="C71" s="45" t="str">
        <f t="shared" si="6"/>
        <v>EUR33x45F_SYNTH1Y_Quote</v>
      </c>
      <c r="D71" s="123" t="str">
        <f>_xll.qlSimpleQuote(C71,,RateTickValue,Permanent,Trigger,ObjectOverwrite)</f>
        <v>EUR33x45F_SYNTH1Y_Quote#0004</v>
      </c>
      <c r="E71" s="322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6.1458223208134535E-3</v>
      </c>
      <c r="I71" s="59"/>
      <c r="J71" s="115">
        <v>6.1834206352431283E-3</v>
      </c>
      <c r="K71" s="59"/>
      <c r="L71" s="117">
        <v>6.1458223208134535E-3</v>
      </c>
      <c r="M71" s="118" t="e">
        <f>_xll.qlSimpleQuoteSetValue(D71,ROUND(L71,6),EvaluationDate)</f>
        <v>#N/A</v>
      </c>
      <c r="N71" s="51"/>
    </row>
    <row r="72" spans="1:14" x14ac:dyDescent="0.2">
      <c r="A72" s="318">
        <v>34</v>
      </c>
      <c r="B72" s="122" t="str">
        <f t="shared" si="5"/>
        <v>34x46F</v>
      </c>
      <c r="C72" s="45" t="str">
        <f t="shared" si="6"/>
        <v>EUR34x46F_SYNTH1Y_Quote</v>
      </c>
      <c r="D72" s="123" t="str">
        <f>_xll.qlSimpleQuote(C72,,RateTickValue,Permanent,Trigger,ObjectOverwrite)</f>
        <v>EUR34x46F_SYNTH1Y_Quote#0004</v>
      </c>
      <c r="E72" s="322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6.2804639775833841E-3</v>
      </c>
      <c r="I72" s="59"/>
      <c r="J72" s="115">
        <v>6.3407127429901894E-3</v>
      </c>
      <c r="K72" s="59"/>
      <c r="L72" s="117">
        <v>6.2804639775833841E-3</v>
      </c>
      <c r="M72" s="118" t="e">
        <f>_xll.qlSimpleQuoteSetValue(D72,ROUND(L72,6),EvaluationDate)</f>
        <v>#N/A</v>
      </c>
      <c r="N72" s="51"/>
    </row>
    <row r="73" spans="1:14" x14ac:dyDescent="0.2">
      <c r="A73" s="318">
        <v>35</v>
      </c>
      <c r="B73" s="122" t="str">
        <f t="shared" si="5"/>
        <v>35x47F</v>
      </c>
      <c r="C73" s="45" t="str">
        <f t="shared" si="6"/>
        <v>EUR35x47F_SYNTH1Y_Quote</v>
      </c>
      <c r="D73" s="123" t="str">
        <f>_xll.qlSimpleQuote(C73,,RateTickValue,Permanent,Trigger,ObjectOverwrite)</f>
        <v>EUR35x47F_SYNTH1Y_Quote#0004</v>
      </c>
      <c r="E73" s="322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6.4246230913398983E-3</v>
      </c>
      <c r="I73" s="59"/>
      <c r="J73" s="115">
        <v>6.4993179723235994E-3</v>
      </c>
      <c r="K73" s="59"/>
      <c r="L73" s="117">
        <v>6.4246230913398983E-3</v>
      </c>
      <c r="M73" s="118" t="e">
        <f>_xll.qlSimpleQuoteSetValue(D73,ROUND(L73,6),EvaluationDate)</f>
        <v>#N/A</v>
      </c>
      <c r="N73" s="51"/>
    </row>
    <row r="74" spans="1:14" x14ac:dyDescent="0.2">
      <c r="A74" s="318">
        <v>37</v>
      </c>
      <c r="B74" s="122" t="str">
        <f t="shared" si="5"/>
        <v>37x49F</v>
      </c>
      <c r="C74" s="45" t="str">
        <f t="shared" si="6"/>
        <v>EUR37x49F_SYNTH1Y_Quote</v>
      </c>
      <c r="D74" s="123" t="str">
        <f>_xll.qlSimpleQuote(C74,,RateTickValue,Permanent,Trigger,ObjectOverwrite)</f>
        <v>EUR37x49F_SYNTH1Y_Quote#0004</v>
      </c>
      <c r="E74" s="322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6.7545801341331894E-3</v>
      </c>
      <c r="I74" s="59"/>
      <c r="J74" s="115">
        <v>6.8382405101225429E-3</v>
      </c>
      <c r="K74" s="59"/>
      <c r="L74" s="117">
        <v>6.7545801341331894E-3</v>
      </c>
      <c r="M74" s="118" t="e">
        <f>_xll.qlSimpleQuoteSetValue(D74,ROUND(L74,6),EvaluationDate)</f>
        <v>#N/A</v>
      </c>
      <c r="N74" s="51"/>
    </row>
    <row r="75" spans="1:14" x14ac:dyDescent="0.2">
      <c r="A75" s="318">
        <v>38</v>
      </c>
      <c r="B75" s="122" t="str">
        <f t="shared" si="5"/>
        <v>38x50F</v>
      </c>
      <c r="C75" s="45" t="str">
        <f t="shared" si="6"/>
        <v>EUR38x50F_SYNTH1Y_Quote</v>
      </c>
      <c r="D75" s="123" t="str">
        <f>_xll.qlSimpleQuote(C75,,RateTickValue,Permanent,Trigger,ObjectOverwrite)</f>
        <v>EUR38x50F_SYNTH1Y_Quote#0004</v>
      </c>
      <c r="E75" s="322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6.9471297344393806E-3</v>
      </c>
      <c r="I75" s="59"/>
      <c r="J75" s="115">
        <v>6.9968675313510668E-3</v>
      </c>
      <c r="K75" s="59"/>
      <c r="L75" s="117">
        <v>6.9471297344393806E-3</v>
      </c>
      <c r="M75" s="118" t="e">
        <f>_xll.qlSimpleQuoteSetValue(D75,ROUND(L75,6),EvaluationDate)</f>
        <v>#N/A</v>
      </c>
      <c r="N75" s="51"/>
    </row>
    <row r="76" spans="1:14" x14ac:dyDescent="0.2">
      <c r="A76" s="318">
        <v>39</v>
      </c>
      <c r="B76" s="122" t="str">
        <f t="shared" si="5"/>
        <v>39x51F</v>
      </c>
      <c r="C76" s="45" t="str">
        <f t="shared" si="6"/>
        <v>EUR39x51F_SYNTH1Y_Quote</v>
      </c>
      <c r="D76" s="123" t="str">
        <f>_xll.qlSimpleQuote(C76,,RateTickValue,Permanent,Trigger,ObjectOverwrite)</f>
        <v>EUR39x51F_SYNTH1Y_Quote#0004</v>
      </c>
      <c r="E76" s="322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7.1093266819556369E-3</v>
      </c>
      <c r="I76" s="59"/>
      <c r="J76" s="115">
        <v>7.1743604365316314E-3</v>
      </c>
      <c r="K76" s="59"/>
      <c r="L76" s="117">
        <v>7.1093266819556369E-3</v>
      </c>
      <c r="M76" s="118" t="e">
        <f>_xll.qlSimpleQuoteSetValue(D76,ROUND(L76,6),EvaluationDate)</f>
        <v>#N/A</v>
      </c>
      <c r="N76" s="51"/>
    </row>
    <row r="77" spans="1:14" x14ac:dyDescent="0.2">
      <c r="A77" s="318">
        <v>40</v>
      </c>
      <c r="B77" s="122" t="str">
        <f t="shared" si="5"/>
        <v>40x52F</v>
      </c>
      <c r="C77" s="45" t="str">
        <f t="shared" si="6"/>
        <v>EUR40x52F_SYNTH1Y_Quote</v>
      </c>
      <c r="D77" s="123" t="str">
        <f>_xll.qlSimpleQuote(C77,,RateTickValue,Permanent,Trigger,ObjectOverwrite)</f>
        <v>EUR40x52F_SYNTH1Y_Quote#0004</v>
      </c>
      <c r="E77" s="322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7.2756993225993206E-3</v>
      </c>
      <c r="I77" s="59"/>
      <c r="J77" s="115">
        <v>7.332157716471617E-3</v>
      </c>
      <c r="K77" s="59"/>
      <c r="L77" s="117">
        <v>7.2756993225993206E-3</v>
      </c>
      <c r="M77" s="118" t="e">
        <f>_xll.qlSimpleQuoteSetValue(D77,ROUND(L77,6),EvaluationDate)</f>
        <v>#N/A</v>
      </c>
      <c r="N77" s="51"/>
    </row>
    <row r="78" spans="1:14" x14ac:dyDescent="0.2">
      <c r="A78" s="318">
        <v>41</v>
      </c>
      <c r="B78" s="122" t="str">
        <f t="shared" si="5"/>
        <v>41x53F</v>
      </c>
      <c r="C78" s="45" t="str">
        <f t="shared" si="6"/>
        <v>EUR41x53F_SYNTH1Y_Quote</v>
      </c>
      <c r="D78" s="123" t="str">
        <f>_xll.qlSimpleQuote(C78,,RateTickValue,Permanent,Trigger,ObjectOverwrite)</f>
        <v>EUR41x53F_SYNTH1Y_Quote#0004</v>
      </c>
      <c r="E78" s="322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7.4455841871247826E-3</v>
      </c>
      <c r="I78" s="59"/>
      <c r="J78" s="115">
        <v>7.5042013523346496E-3</v>
      </c>
      <c r="K78" s="59"/>
      <c r="L78" s="117">
        <v>7.4455841871247826E-3</v>
      </c>
      <c r="M78" s="118" t="e">
        <f>_xll.qlSimpleQuoteSetValue(D78,ROUND(L78,6),EvaluationDate)</f>
        <v>#N/A</v>
      </c>
      <c r="N78" s="51"/>
    </row>
    <row r="79" spans="1:14" x14ac:dyDescent="0.2">
      <c r="A79" s="318">
        <v>42</v>
      </c>
      <c r="B79" s="122" t="str">
        <f t="shared" si="5"/>
        <v>42x54F</v>
      </c>
      <c r="C79" s="45" t="str">
        <f t="shared" si="6"/>
        <v>EUR42x54F_SYNTH1Y_Quote</v>
      </c>
      <c r="D79" s="123" t="str">
        <f>_xll.qlSimpleQuote(C79,,RateTickValue,Permanent,Trigger,ObjectOverwrite)</f>
        <v>EUR42x54F_SYNTH1Y_Quote#0004</v>
      </c>
      <c r="E79" s="322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7.6237226534751441E-3</v>
      </c>
      <c r="I79" s="59"/>
      <c r="J79" s="115">
        <v>7.6856320593296189E-3</v>
      </c>
      <c r="K79" s="59"/>
      <c r="L79" s="117">
        <v>7.6237226534751441E-3</v>
      </c>
      <c r="M79" s="118" t="e">
        <f>_xll.qlSimpleQuoteSetValue(D79,ROUND(L79,6),EvaluationDate)</f>
        <v>#N/A</v>
      </c>
      <c r="N79" s="51"/>
    </row>
    <row r="80" spans="1:14" x14ac:dyDescent="0.2">
      <c r="A80" s="318">
        <v>43</v>
      </c>
      <c r="B80" s="122" t="str">
        <f t="shared" si="5"/>
        <v>43x55F</v>
      </c>
      <c r="C80" s="45" t="str">
        <f t="shared" si="6"/>
        <v>EUR43x55F_SYNTH1Y_Quote</v>
      </c>
      <c r="D80" s="123" t="str">
        <f>_xll.qlSimpleQuote(C80,,RateTickValue,Permanent,Trigger,ObjectOverwrite)</f>
        <v>EUR43x55F_SYNTH1Y_Quote#0004</v>
      </c>
      <c r="E80" s="322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7.7819058523303127E-3</v>
      </c>
      <c r="I80" s="59"/>
      <c r="J80" s="115">
        <v>7.8651831595265478E-3</v>
      </c>
      <c r="K80" s="59"/>
      <c r="L80" s="117">
        <v>7.7819058523303127E-3</v>
      </c>
      <c r="M80" s="118" t="e">
        <f>_xll.qlSimpleQuoteSetValue(D80,ROUND(L80,6),EvaluationDate)</f>
        <v>#N/A</v>
      </c>
      <c r="N80" s="51"/>
    </row>
    <row r="81" spans="1:14" x14ac:dyDescent="0.2">
      <c r="A81" s="318">
        <v>44</v>
      </c>
      <c r="B81" s="122" t="str">
        <f t="shared" si="5"/>
        <v>44x56F</v>
      </c>
      <c r="C81" s="45" t="str">
        <f t="shared" si="6"/>
        <v>EUR44x56F_SYNTH1Y_Quote</v>
      </c>
      <c r="D81" s="123" t="str">
        <f>_xll.qlSimpleQuote(C81,,RateTickValue,Permanent,Trigger,ObjectOverwrite)</f>
        <v>EUR44x56F_SYNTH1Y_Quote#0004</v>
      </c>
      <c r="E81" s="322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7.950172056233204E-3</v>
      </c>
      <c r="I81" s="59"/>
      <c r="J81" s="115">
        <v>8.0490387340789171E-3</v>
      </c>
      <c r="K81" s="59"/>
      <c r="L81" s="117">
        <v>7.950172056233204E-3</v>
      </c>
      <c r="M81" s="118" t="e">
        <f>_xll.qlSimpleQuoteSetValue(D81,ROUND(L81,6),EvaluationDate)</f>
        <v>#N/A</v>
      </c>
      <c r="N81" s="51"/>
    </row>
    <row r="82" spans="1:14" x14ac:dyDescent="0.2">
      <c r="A82" s="318">
        <v>45</v>
      </c>
      <c r="B82" s="122" t="str">
        <f t="shared" si="5"/>
        <v>45x57F</v>
      </c>
      <c r="C82" s="45" t="str">
        <f t="shared" si="6"/>
        <v>EUR45x57F_SYNTH1Y_Quote</v>
      </c>
      <c r="D82" s="123" t="str">
        <f>_xll.qlSimpleQuote(C82,,RateTickValue,Permanent,Trigger,ObjectOverwrite)</f>
        <v>EUR45x57F_SYNTH1Y_Quote#0004</v>
      </c>
      <c r="E82" s="322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8.1074870198078117E-3</v>
      </c>
      <c r="I82" s="59"/>
      <c r="J82" s="115">
        <v>8.2567479453787476E-3</v>
      </c>
      <c r="K82" s="59"/>
      <c r="L82" s="117">
        <v>8.1074870198078117E-3</v>
      </c>
      <c r="M82" s="118" t="e">
        <f>_xll.qlSimpleQuoteSetValue(D82,ROUND(L82,6),EvaluationDate)</f>
        <v>#N/A</v>
      </c>
      <c r="N82" s="51"/>
    </row>
    <row r="83" spans="1:14" x14ac:dyDescent="0.2">
      <c r="A83" s="318">
        <v>46</v>
      </c>
      <c r="B83" s="122" t="str">
        <f t="shared" si="5"/>
        <v>46x58F</v>
      </c>
      <c r="C83" s="45" t="str">
        <f t="shared" si="6"/>
        <v>EUR46x58F_SYNTH1Y_Quote</v>
      </c>
      <c r="D83" s="123" t="str">
        <f>_xll.qlSimpleQuote(C83,,RateTickValue,Permanent,Trigger,ObjectOverwrite)</f>
        <v>EUR46x58F_SYNTH1Y_Quote#0004</v>
      </c>
      <c r="E83" s="322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8.2577910367166024E-3</v>
      </c>
      <c r="I83" s="59"/>
      <c r="J83" s="115">
        <v>8.4444284280895728E-3</v>
      </c>
      <c r="K83" s="59"/>
      <c r="L83" s="117">
        <v>8.2577910367166024E-3</v>
      </c>
      <c r="M83" s="118" t="e">
        <f>_xll.qlSimpleQuoteSetValue(D83,ROUND(L83,6),EvaluationDate)</f>
        <v>#N/A</v>
      </c>
      <c r="N83" s="51"/>
    </row>
    <row r="84" spans="1:14" ht="12" thickBot="1" x14ac:dyDescent="0.25">
      <c r="A84" s="319">
        <v>47</v>
      </c>
      <c r="B84" s="125" t="str">
        <f t="shared" si="5"/>
        <v>47x59F</v>
      </c>
      <c r="C84" s="82" t="str">
        <f t="shared" si="6"/>
        <v>EUR47x59F_SYNTH1Y_Quote</v>
      </c>
      <c r="D84" s="132" t="str">
        <f>_xll.qlSimpleQuote(C84,,RateTickValue,Permanent,Trigger,ObjectOverwrite)</f>
        <v>EUR47x59F_SYNTH1Y_Quote#0004</v>
      </c>
      <c r="E84" s="323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8.4168430004578181E-3</v>
      </c>
      <c r="I84" s="59"/>
      <c r="J84" s="116">
        <v>8.6440616440412316E-3</v>
      </c>
      <c r="K84" s="59"/>
      <c r="L84" s="140">
        <v>8.4168430004578181E-3</v>
      </c>
      <c r="M84" s="141" t="e">
        <f>_xll.qlSimpleQuoteSetValue(D84,ROUND(L84,6),EvaluationDate)</f>
        <v>#N/A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7" hidden="1" customWidth="1" outlineLevel="1"/>
    <col min="5" max="5" width="4.6640625" style="257" hidden="1" customWidth="1" outlineLevel="1"/>
    <col min="6" max="6" width="8.1640625" style="36" hidden="1" customWidth="1" outlineLevel="1"/>
    <col min="7" max="7" width="22.5" style="36" hidden="1" customWidth="1" outlineLevel="1"/>
    <col min="8" max="8" width="12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9" hidden="1" customWidth="1" outlineLevel="1"/>
    <col min="12" max="12" width="0.3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42</v>
      </c>
      <c r="K1" s="36" t="str">
        <f>_xll.qlEuribor(,J1,,,Trigger)</f>
        <v>obj_004f2#0004</v>
      </c>
      <c r="L1" s="36" t="str">
        <f>_xll.ohRangeRetrieveError(K1)</f>
        <v/>
      </c>
    </row>
    <row r="2" spans="1:20" ht="24" customHeight="1" x14ac:dyDescent="0.2">
      <c r="A2" s="228"/>
      <c r="B2" s="229" t="s">
        <v>127</v>
      </c>
      <c r="C2" s="229"/>
      <c r="D2" s="230"/>
      <c r="E2" s="230"/>
      <c r="F2" s="229" t="s">
        <v>128</v>
      </c>
      <c r="G2" s="229" t="s">
        <v>129</v>
      </c>
      <c r="H2" s="229" t="s">
        <v>130</v>
      </c>
      <c r="I2" s="229" t="s">
        <v>131</v>
      </c>
      <c r="J2" s="229" t="s">
        <v>79</v>
      </c>
      <c r="K2" s="229" t="s">
        <v>80</v>
      </c>
      <c r="L2" s="231" t="s">
        <v>38</v>
      </c>
      <c r="M2" s="232"/>
      <c r="N2" s="232"/>
      <c r="O2" s="233" t="s">
        <v>132</v>
      </c>
      <c r="P2" s="233" t="s">
        <v>81</v>
      </c>
      <c r="Q2" s="233" t="s">
        <v>131</v>
      </c>
      <c r="R2" s="233" t="s">
        <v>82</v>
      </c>
      <c r="S2" s="229" t="s">
        <v>83</v>
      </c>
      <c r="T2" s="229" t="s">
        <v>84</v>
      </c>
    </row>
    <row r="3" spans="1:20" ht="11.25" customHeight="1" x14ac:dyDescent="0.2">
      <c r="A3" s="234"/>
      <c r="B3" s="235" t="s">
        <v>135</v>
      </c>
      <c r="C3" s="279"/>
      <c r="D3" s="280"/>
      <c r="E3" s="280"/>
      <c r="F3" s="277"/>
      <c r="G3" s="277"/>
      <c r="H3" s="277"/>
      <c r="I3" s="281"/>
      <c r="J3" s="265" t="str">
        <f>PROPER((Currency))&amp;IborType&amp;J1&amp;"LastFixing"&amp;QuoteSuffix</f>
        <v>Euribor1MLastFixing_Quote</v>
      </c>
      <c r="K3" s="278" t="str">
        <f>_xll.qlDepositRateHelper(,J3,K1,,Trigger)</f>
        <v>obj_00554#0004</v>
      </c>
      <c r="L3" s="289" t="str">
        <f>_xll.ohRangeRetrieveError(K3)</f>
        <v/>
      </c>
      <c r="M3" s="243"/>
      <c r="N3" s="243"/>
      <c r="O3" s="242" t="str">
        <f>_xll.qlRateHelperQuoteName(K3,Trigger)</f>
        <v>Euribor1MLastFixing_Quote</v>
      </c>
      <c r="P3" s="244">
        <f>_xll.qlQuoteValue(J3,AllTriggers)</f>
        <v>2.6000000000000003E-4</v>
      </c>
      <c r="Q3" s="295" t="str">
        <f>IF(ISBLANK(I3),"--",_xll.qlSwapRateHelperSpread(K3,AllTriggers))</f>
        <v>--</v>
      </c>
      <c r="R3" s="242" t="b">
        <v>1</v>
      </c>
      <c r="S3" s="245">
        <f>_xll.qlRateHelperEarliestDate(K3,Trigger)</f>
        <v>41997</v>
      </c>
      <c r="T3" s="245">
        <f>_xll.qlRateHelperLatestDate(K3,Trigger)</f>
        <v>42030</v>
      </c>
    </row>
    <row r="4" spans="1:20" ht="11.25" customHeight="1" x14ac:dyDescent="0.2">
      <c r="A4" s="234"/>
      <c r="B4" s="282" t="s">
        <v>135</v>
      </c>
      <c r="C4" s="283" t="s">
        <v>49</v>
      </c>
      <c r="D4" s="284">
        <v>2</v>
      </c>
      <c r="E4" s="284" t="s">
        <v>136</v>
      </c>
      <c r="F4" s="282" t="s">
        <v>137</v>
      </c>
      <c r="G4" s="285" t="s">
        <v>133</v>
      </c>
      <c r="H4" s="285" t="s">
        <v>15</v>
      </c>
      <c r="I4" s="286">
        <v>0</v>
      </c>
      <c r="J4" s="287" t="str">
        <f t="shared" ref="J4:J9" si="0">Currency&amp;$D4&amp;$E4&amp;"_Quote"</f>
        <v>EUR2X1S_Quote</v>
      </c>
      <c r="K4" s="288" t="str">
        <f>_xll.qlSwapRateHelper2(,$J4,C4,Calendar,$F4,$G4,$H4,$K$1,$I4,B4,Discounting,Permanent,Trigger,ObjectOverwrite)</f>
        <v>obj_004fc#0004</v>
      </c>
      <c r="L4" s="289" t="str">
        <f>_xll.ohRangeRetrieveError(K4)</f>
        <v/>
      </c>
      <c r="M4" s="243"/>
      <c r="N4" s="243"/>
      <c r="O4" s="242" t="str">
        <f>_xll.qlRateHelperQuoteName(K4,Trigger)</f>
        <v>EUR2X1S_Quote</v>
      </c>
      <c r="P4" s="244">
        <f>_xll.qlQuoteValue(J4,AllTriggers)</f>
        <v>2.6000000000000003E-4</v>
      </c>
      <c r="Q4" s="328">
        <f>IF(ISBLANK(I4),"--",_xll.qlSwapRateHelperSpread(K4,AllTriggers))</f>
        <v>0</v>
      </c>
      <c r="R4" s="242" t="b">
        <v>1</v>
      </c>
      <c r="S4" s="245">
        <f>_xll.qlRateHelperEarliestDate(K4,Trigger)</f>
        <v>41997</v>
      </c>
      <c r="T4" s="245">
        <f>_xll.qlRateHelperLatestDate(K4,Trigger)</f>
        <v>42059</v>
      </c>
    </row>
    <row r="5" spans="1:20" ht="11.25" customHeight="1" x14ac:dyDescent="0.2">
      <c r="A5" s="234"/>
      <c r="B5" s="235" t="s">
        <v>135</v>
      </c>
      <c r="C5" s="236" t="s">
        <v>43</v>
      </c>
      <c r="D5" s="237">
        <v>3</v>
      </c>
      <c r="E5" s="237" t="s">
        <v>136</v>
      </c>
      <c r="F5" s="235" t="s">
        <v>137</v>
      </c>
      <c r="G5" s="238" t="s">
        <v>133</v>
      </c>
      <c r="H5" s="238" t="s">
        <v>15</v>
      </c>
      <c r="I5" s="239">
        <v>0</v>
      </c>
      <c r="J5" s="240" t="str">
        <f t="shared" si="0"/>
        <v>EUR3X1S_Quote</v>
      </c>
      <c r="K5" s="241" t="str">
        <f>_xll.qlSwapRateHelper2(,$J5,C5,Calendar,$F5,$G5,$H5,$K$1,$I5,B5,Discounting,Permanent,Trigger,ObjectOverwrite)</f>
        <v>obj_004fb#0004</v>
      </c>
      <c r="L5" s="242" t="str">
        <f>_xll.ohRangeRetrieveError(K5)</f>
        <v/>
      </c>
      <c r="M5" s="243"/>
      <c r="N5" s="243"/>
      <c r="O5" s="242" t="str">
        <f>_xll.qlRateHelperQuoteName(K5,Trigger)</f>
        <v>EUR3X1S_Quote</v>
      </c>
      <c r="P5" s="244">
        <f>_xll.qlQuoteValue(J5,AllTriggers)</f>
        <v>2.8000000000000003E-4</v>
      </c>
      <c r="Q5" s="328">
        <f>IF(ISBLANK(I5),"--",_xll.qlSwapRateHelperSpread(K5,AllTriggers))</f>
        <v>0</v>
      </c>
      <c r="R5" s="242" t="b">
        <v>1</v>
      </c>
      <c r="S5" s="245">
        <f>_xll.qlRateHelperEarliestDate(K5,Trigger)</f>
        <v>41997</v>
      </c>
      <c r="T5" s="245">
        <f>_xll.qlRateHelperLatestDate(K5,Trigger)</f>
        <v>42087</v>
      </c>
    </row>
    <row r="6" spans="1:20" ht="11.25" customHeight="1" x14ac:dyDescent="0.2">
      <c r="A6" s="228"/>
      <c r="B6" s="235" t="s">
        <v>135</v>
      </c>
      <c r="C6" s="236" t="s">
        <v>50</v>
      </c>
      <c r="D6" s="237">
        <v>4</v>
      </c>
      <c r="E6" s="237" t="s">
        <v>136</v>
      </c>
      <c r="F6" s="235" t="s">
        <v>137</v>
      </c>
      <c r="G6" s="238" t="s">
        <v>133</v>
      </c>
      <c r="H6" s="238" t="s">
        <v>15</v>
      </c>
      <c r="I6" s="239">
        <v>0</v>
      </c>
      <c r="J6" s="240" t="str">
        <f t="shared" si="0"/>
        <v>EUR4X1S_Quote</v>
      </c>
      <c r="K6" s="241" t="str">
        <f>_xll.qlSwapRateHelper2(,$J6,C6,Calendar,$F6,$G6,$H6,$K$1,$I6,B6,Discounting,Permanent,Trigger,ObjectOverwrite)</f>
        <v>obj_004ff#0004</v>
      </c>
      <c r="L6" s="242" t="str">
        <f>_xll.ohRangeRetrieveError(K6)</f>
        <v/>
      </c>
      <c r="M6" s="243"/>
      <c r="N6" s="243"/>
      <c r="O6" s="242" t="str">
        <f>_xll.qlRateHelperQuoteName(K6,Trigger)</f>
        <v>EUR4X1S_Quote</v>
      </c>
      <c r="P6" s="244">
        <f>_xll.qlQuoteValue(J6,AllTriggers)</f>
        <v>2.1999999999999998E-4</v>
      </c>
      <c r="Q6" s="328">
        <f>IF(ISBLANK(I6),"--",_xll.qlSwapRateHelperSpread(K6,AllTriggers))</f>
        <v>0</v>
      </c>
      <c r="R6" s="242" t="b">
        <v>1</v>
      </c>
      <c r="S6" s="245">
        <f>_xll.qlRateHelperEarliestDate(K6,Trigger)</f>
        <v>41997</v>
      </c>
      <c r="T6" s="245">
        <f>_xll.qlRateHelperLatestDate(K6,Trigger)</f>
        <v>42118</v>
      </c>
    </row>
    <row r="7" spans="1:20" ht="11.25" customHeight="1" x14ac:dyDescent="0.2">
      <c r="A7" s="228"/>
      <c r="B7" s="235" t="s">
        <v>135</v>
      </c>
      <c r="C7" s="236" t="s">
        <v>51</v>
      </c>
      <c r="D7" s="237">
        <v>5</v>
      </c>
      <c r="E7" s="237" t="s">
        <v>136</v>
      </c>
      <c r="F7" s="235" t="s">
        <v>137</v>
      </c>
      <c r="G7" s="238" t="s">
        <v>133</v>
      </c>
      <c r="H7" s="238" t="s">
        <v>15</v>
      </c>
      <c r="I7" s="239">
        <v>0</v>
      </c>
      <c r="J7" s="240" t="str">
        <f t="shared" si="0"/>
        <v>EUR5X1S_Quote</v>
      </c>
      <c r="K7" s="241" t="str">
        <f>_xll.qlSwapRateHelper2(,$J7,C7,Calendar,$F7,$G7,$H7,$K$1,$I7,B7,Discounting,Permanent,Trigger,ObjectOverwrite)</f>
        <v>obj_004fe#0004</v>
      </c>
      <c r="L7" s="242" t="str">
        <f>_xll.ohRangeRetrieveError(K7)</f>
        <v/>
      </c>
      <c r="M7" s="243"/>
      <c r="N7" s="243"/>
      <c r="O7" s="242" t="str">
        <f>_xll.qlRateHelperQuoteName(K7,Trigger)</f>
        <v>EUR5X1S_Quote</v>
      </c>
      <c r="P7" s="244">
        <f>_xll.qlQuoteValue(J7,AllTriggers)</f>
        <v>1.7000000000000001E-4</v>
      </c>
      <c r="Q7" s="328">
        <f>IF(ISBLANK(I7),"--",_xll.qlSwapRateHelperSpread(K7,AllTriggers))</f>
        <v>0</v>
      </c>
      <c r="R7" s="242" t="b">
        <v>1</v>
      </c>
      <c r="S7" s="245">
        <f>_xll.qlRateHelperEarliestDate(K7,Trigger)</f>
        <v>41997</v>
      </c>
      <c r="T7" s="245">
        <f>_xll.qlRateHelperLatestDate(K7,Trigger)</f>
        <v>42149</v>
      </c>
    </row>
    <row r="8" spans="1:20" ht="11.25" customHeight="1" x14ac:dyDescent="0.2">
      <c r="A8" s="228"/>
      <c r="B8" s="235" t="s">
        <v>135</v>
      </c>
      <c r="C8" s="236" t="s">
        <v>44</v>
      </c>
      <c r="D8" s="237">
        <v>6</v>
      </c>
      <c r="E8" s="237" t="s">
        <v>136</v>
      </c>
      <c r="F8" s="235" t="s">
        <v>137</v>
      </c>
      <c r="G8" s="238" t="s">
        <v>133</v>
      </c>
      <c r="H8" s="238" t="s">
        <v>15</v>
      </c>
      <c r="I8" s="239">
        <v>0</v>
      </c>
      <c r="J8" s="240" t="str">
        <f t="shared" si="0"/>
        <v>EUR6X1S_Quote</v>
      </c>
      <c r="K8" s="241" t="str">
        <f>_xll.qlSwapRateHelper2(,$J8,C8,Calendar,$F8,$G8,$H8,$K$1,$I8,B8,Discounting,Permanent,Trigger,ObjectOverwrite)</f>
        <v>obj_004fa#0004</v>
      </c>
      <c r="L8" s="242" t="str">
        <f>_xll.ohRangeRetrieveError(K8)</f>
        <v/>
      </c>
      <c r="M8" s="243"/>
      <c r="N8" s="243"/>
      <c r="O8" s="242" t="str">
        <f>_xll.qlRateHelperQuoteName(K8,Trigger)</f>
        <v>EUR6X1S_Quote</v>
      </c>
      <c r="P8" s="244">
        <f>_xll.qlQuoteValue(J8,AllTriggers)</f>
        <v>1.2999999999999999E-4</v>
      </c>
      <c r="Q8" s="328">
        <f>IF(ISBLANK(I8),"--",_xll.qlSwapRateHelperSpread(K8,AllTriggers))</f>
        <v>0</v>
      </c>
      <c r="R8" s="242" t="b">
        <v>0</v>
      </c>
      <c r="S8" s="245">
        <f>_xll.qlRateHelperEarliestDate(K8,Trigger)</f>
        <v>41997</v>
      </c>
      <c r="T8" s="245">
        <f>_xll.qlRateHelperLatestDate(K8,Trigger)</f>
        <v>42179</v>
      </c>
    </row>
    <row r="9" spans="1:20" ht="11.25" customHeight="1" x14ac:dyDescent="0.2">
      <c r="B9" s="246" t="s">
        <v>135</v>
      </c>
      <c r="C9" s="247" t="s">
        <v>52</v>
      </c>
      <c r="D9" s="248">
        <v>7</v>
      </c>
      <c r="E9" s="248" t="s">
        <v>136</v>
      </c>
      <c r="F9" s="246" t="s">
        <v>137</v>
      </c>
      <c r="G9" s="249" t="s">
        <v>133</v>
      </c>
      <c r="H9" s="249" t="s">
        <v>15</v>
      </c>
      <c r="I9" s="250">
        <v>0</v>
      </c>
      <c r="J9" s="275" t="str">
        <f t="shared" si="0"/>
        <v>EUR7X1S_Quote</v>
      </c>
      <c r="K9" s="276" t="str">
        <f>_xll.qlSwapRateHelper2(,$J9,C9,Calendar,$F9,$G9,$H9,$K$1,$I9,B9,Discounting,Permanent,Trigger,ObjectOverwrite)</f>
        <v>obj_004fd#0004</v>
      </c>
      <c r="L9" s="251" t="str">
        <f>_xll.ohRangeRetrieveError(K9)</f>
        <v/>
      </c>
      <c r="O9" s="251" t="str">
        <f>_xll.qlRateHelperQuoteName(K9,Trigger)</f>
        <v>EUR7X1S_Quote</v>
      </c>
      <c r="P9" s="252">
        <f>_xll.qlQuoteValue(J9,AllTriggers)</f>
        <v>9.9999999999999991E-5</v>
      </c>
      <c r="Q9" s="329">
        <f>IF(ISBLANK(I9),"--",_xll.qlSwapRateHelperSpread(K9,AllTriggers))</f>
        <v>0</v>
      </c>
      <c r="R9" s="251" t="b">
        <v>0</v>
      </c>
      <c r="S9" s="253">
        <f>_xll.qlRateHelperEarliestDate(K9,Trigger)</f>
        <v>41997</v>
      </c>
      <c r="T9" s="253">
        <f>_xll.qlRateHelperLatestDate(K9,Trigger)</f>
        <v>42209</v>
      </c>
    </row>
    <row r="10" spans="1:20" x14ac:dyDescent="0.2">
      <c r="D10" s="36"/>
      <c r="E10" s="36"/>
      <c r="K10" s="36"/>
      <c r="L10" s="243"/>
    </row>
    <row r="11" spans="1:20" x14ac:dyDescent="0.2">
      <c r="I11" s="258"/>
      <c r="J11" s="258"/>
      <c r="O11" s="254" t="str">
        <f>J1&amp;" "&amp;PROPER(Currency)&amp;IborType&amp;" Curve"</f>
        <v>1M Euribor Curve</v>
      </c>
      <c r="P11" s="255"/>
      <c r="Q11" s="255"/>
      <c r="R11" s="255"/>
      <c r="S11" s="255"/>
      <c r="T11" s="256" t="s">
        <v>161</v>
      </c>
    </row>
    <row r="12" spans="1:20" ht="11.25" customHeight="1" x14ac:dyDescent="0.2">
      <c r="L12" s="233" t="s">
        <v>134</v>
      </c>
      <c r="O12" s="233" t="s">
        <v>90</v>
      </c>
      <c r="P12" s="233" t="s">
        <v>91</v>
      </c>
      <c r="Q12" s="233" t="s">
        <v>131</v>
      </c>
      <c r="R12" s="233" t="s">
        <v>83</v>
      </c>
      <c r="S12" s="233" t="s">
        <v>84</v>
      </c>
      <c r="T12" s="260">
        <f t="array" ref="T12:T21">_xll.qlPiecewiseYieldCurveData('General Settings'!I34,InterestRatesTrigger)</f>
        <v>1</v>
      </c>
    </row>
    <row r="13" spans="1:20" x14ac:dyDescent="0.2">
      <c r="I13" s="258"/>
      <c r="J13" s="258"/>
      <c r="L13" s="265" t="str">
        <f t="array" ref="L13:L21">_xll.ohFilter(K3:K9,R3:R9)</f>
        <v>obj_00554#0004</v>
      </c>
      <c r="O13" s="263" t="str">
        <f t="array" ref="O13:O21">_xll.ohFilter(O3:O8,R3:R8)</f>
        <v>Euribor1MLastFixing_Quote</v>
      </c>
      <c r="P13" s="244">
        <f t="array" ref="P13:P21">_xll.ohFilter(P3:P8,R3:R8)</f>
        <v>2.6000000000000003E-4</v>
      </c>
      <c r="Q13" s="295" t="str">
        <f t="array" ref="Q13:Q21">_xll.ohFilter(Q3:Q8,R3:R8)</f>
        <v>--</v>
      </c>
      <c r="R13" s="245">
        <f t="array" ref="R13:R21">_xll.ohFilter(S3:S8,R3:R8)</f>
        <v>41997</v>
      </c>
      <c r="S13" s="245">
        <f t="array" ref="S13:S21">_xll.ohFilter(T3:T8,R3:R8)</f>
        <v>42030</v>
      </c>
      <c r="T13" s="261">
        <v>0.99997616723468086</v>
      </c>
    </row>
    <row r="14" spans="1:20" x14ac:dyDescent="0.2">
      <c r="L14" s="266" t="str">
        <v>obj_004fc#0004</v>
      </c>
      <c r="O14" s="263" t="str">
        <v>EUR2X1S_Quote</v>
      </c>
      <c r="P14" s="244">
        <v>2.6000000000000003E-4</v>
      </c>
      <c r="Q14" s="295">
        <v>0</v>
      </c>
      <c r="R14" s="245">
        <v>41997</v>
      </c>
      <c r="S14" s="245">
        <v>42059</v>
      </c>
      <c r="T14" s="261">
        <v>0.99995522357049094</v>
      </c>
    </row>
    <row r="15" spans="1:20" x14ac:dyDescent="0.2">
      <c r="I15" s="258"/>
      <c r="J15" s="258"/>
      <c r="L15" s="266" t="str">
        <v>obj_004fb#0004</v>
      </c>
      <c r="O15" s="263" t="str">
        <v>EUR3X1S_Quote</v>
      </c>
      <c r="P15" s="244">
        <v>2.8000000000000003E-4</v>
      </c>
      <c r="Q15" s="295">
        <v>0</v>
      </c>
      <c r="R15" s="245">
        <v>41997</v>
      </c>
      <c r="S15" s="245">
        <v>42087</v>
      </c>
      <c r="T15" s="261">
        <v>0.99993000343201166</v>
      </c>
    </row>
    <row r="16" spans="1:20" x14ac:dyDescent="0.2">
      <c r="L16" s="266" t="str">
        <v>obj_004ff#0004</v>
      </c>
      <c r="O16" s="263" t="str">
        <v>EUR4X1S_Quote</v>
      </c>
      <c r="P16" s="244">
        <v>2.1999999999999998E-4</v>
      </c>
      <c r="Q16" s="295">
        <v>0</v>
      </c>
      <c r="R16" s="245">
        <v>41997</v>
      </c>
      <c r="S16" s="245">
        <v>42118</v>
      </c>
      <c r="T16" s="261">
        <v>0.99992605662993062</v>
      </c>
    </row>
    <row r="17" spans="9:23" x14ac:dyDescent="0.2">
      <c r="I17" s="258"/>
      <c r="J17" s="258"/>
      <c r="L17" s="266" t="str">
        <v>obj_004fe#0004</v>
      </c>
      <c r="O17" s="263" t="str">
        <v>EUR5X1S_Quote</v>
      </c>
      <c r="P17" s="244">
        <v>1.7000000000000001E-4</v>
      </c>
      <c r="Q17" s="295">
        <v>0</v>
      </c>
      <c r="R17" s="245">
        <v>41997</v>
      </c>
      <c r="S17" s="245">
        <v>42149</v>
      </c>
      <c r="T17" s="261">
        <v>0.99992821928903408</v>
      </c>
    </row>
    <row r="18" spans="9:23" x14ac:dyDescent="0.2">
      <c r="L18" s="266" t="e">
        <v>#N/A</v>
      </c>
      <c r="O18" s="263" t="e">
        <v>#N/A</v>
      </c>
      <c r="P18" s="244" t="e">
        <v>#N/A</v>
      </c>
      <c r="Q18" s="295" t="e">
        <v>#N/A</v>
      </c>
      <c r="R18" s="245" t="e">
        <v>#N/A</v>
      </c>
      <c r="S18" s="245" t="e">
        <v>#N/A</v>
      </c>
      <c r="T18" s="261" t="e">
        <v>#N/A</v>
      </c>
    </row>
    <row r="19" spans="9:23" x14ac:dyDescent="0.2">
      <c r="I19" s="258"/>
      <c r="J19" s="258"/>
      <c r="L19" s="266" t="e">
        <v>#N/A</v>
      </c>
      <c r="O19" s="263" t="e">
        <v>#N/A</v>
      </c>
      <c r="P19" s="244" t="e">
        <v>#N/A</v>
      </c>
      <c r="Q19" s="295" t="e">
        <v>#N/A</v>
      </c>
      <c r="R19" s="245" t="e">
        <v>#N/A</v>
      </c>
      <c r="S19" s="245" t="e">
        <v>#N/A</v>
      </c>
      <c r="T19" s="261" t="e">
        <v>#N/A</v>
      </c>
    </row>
    <row r="20" spans="9:23" x14ac:dyDescent="0.2">
      <c r="L20" s="266" t="e">
        <v>#N/A</v>
      </c>
      <c r="O20" s="263" t="e">
        <v>#N/A</v>
      </c>
      <c r="P20" s="244" t="e">
        <v>#N/A</v>
      </c>
      <c r="Q20" s="295" t="e">
        <v>#N/A</v>
      </c>
      <c r="R20" s="245" t="e">
        <v>#N/A</v>
      </c>
      <c r="S20" s="245" t="e">
        <v>#N/A</v>
      </c>
      <c r="T20" s="261" t="e">
        <v>#N/A</v>
      </c>
    </row>
    <row r="21" spans="9:23" x14ac:dyDescent="0.2">
      <c r="I21" s="258"/>
      <c r="J21" s="258"/>
      <c r="L21" s="267" t="e">
        <v>#N/A</v>
      </c>
      <c r="O21" s="264" t="e">
        <v>#N/A</v>
      </c>
      <c r="P21" s="252" t="e">
        <v>#N/A</v>
      </c>
      <c r="Q21" s="296" t="e">
        <v>#N/A</v>
      </c>
      <c r="R21" s="253" t="e">
        <v>#N/A</v>
      </c>
      <c r="S21" s="253" t="e">
        <v>#N/A</v>
      </c>
      <c r="T21" s="262" t="e">
        <v>#N/A</v>
      </c>
    </row>
    <row r="22" spans="9:23" x14ac:dyDescent="0.2">
      <c r="L22" s="277"/>
    </row>
    <row r="23" spans="9:23" ht="12" thickBot="1" x14ac:dyDescent="0.25">
      <c r="I23" s="258"/>
      <c r="J23" s="258"/>
    </row>
    <row r="24" spans="9:23" ht="12" thickBot="1" x14ac:dyDescent="0.25">
      <c r="O24" s="268" t="str">
        <f>"Delta "&amp;J1</f>
        <v>Delta 1M</v>
      </c>
      <c r="P24" s="268"/>
      <c r="Q24" s="269"/>
      <c r="R24" s="269"/>
      <c r="S24" s="270"/>
      <c r="T24" s="270"/>
      <c r="U24" s="270"/>
      <c r="V24" s="270"/>
      <c r="W24" s="270"/>
    </row>
    <row r="25" spans="9:23" ht="12" thickBot="1" x14ac:dyDescent="0.25">
      <c r="I25" s="258"/>
      <c r="J25" s="258"/>
      <c r="O25" s="213" t="str">
        <f>J1&amp;" Instruments"</f>
        <v>1M Instruments</v>
      </c>
      <c r="P25" s="341" t="s">
        <v>119</v>
      </c>
      <c r="Q25" s="341" t="s">
        <v>120</v>
      </c>
      <c r="R25" s="341" t="s">
        <v>146</v>
      </c>
      <c r="S25" s="341" t="str">
        <f>"F "&amp;J1</f>
        <v>F 1M</v>
      </c>
      <c r="T25" s="341" t="s">
        <v>149</v>
      </c>
      <c r="U25" s="341" t="s">
        <v>147</v>
      </c>
      <c r="V25" s="341" t="s">
        <v>148</v>
      </c>
      <c r="W25" s="342" t="s">
        <v>150</v>
      </c>
    </row>
    <row r="26" spans="9:23" x14ac:dyDescent="0.2">
      <c r="M26" s="36">
        <v>0</v>
      </c>
      <c r="N26" s="36">
        <f>M26+SUBSTITUTE($J$1,"M","")</f>
        <v>1</v>
      </c>
      <c r="O26" s="374" t="str">
        <f>M26&amp;"x"&amp;N26</f>
        <v>0x1</v>
      </c>
      <c r="P26" s="271">
        <f>SettlementDate</f>
        <v>41997</v>
      </c>
      <c r="Q26" s="271">
        <f>_xll.qlInterestRateIndexMaturity(iborindex1M,P26,Trigger)</f>
        <v>42030</v>
      </c>
      <c r="R26" s="375">
        <f>_xll.qlDayCounterYearFraction(DayCounter,P26,Q26,,,Trigger)</f>
        <v>9.166666666666666E-2</v>
      </c>
      <c r="S26" s="376">
        <f>_xll.qlIndexFixing(iborindex1M,_xll.qlInterestRateIndexFixingDate(iborindex1M,P26,Trigger),TRUE,AllTriggers)</f>
        <v>2.6000000000000773E-4</v>
      </c>
      <c r="T26" s="376">
        <f>(U26/V26-1)/R26</f>
        <v>-3.6000000021503683E-4</v>
      </c>
      <c r="U26" s="377">
        <f>_xll.qlYieldTSDiscount(Discounting,P26,,AllTriggers)</f>
        <v>1</v>
      </c>
      <c r="V26" s="377">
        <f>_xll.qlYieldTSDiscount(Discounting,Q26,,AllTriggers)</f>
        <v>1.0000330010890557</v>
      </c>
      <c r="W26" s="435">
        <f>LN((1+S26*R26)/(1+T26*R26))</f>
        <v>5.683359385568206E-5</v>
      </c>
    </row>
    <row r="27" spans="9:23" x14ac:dyDescent="0.2">
      <c r="I27" s="258"/>
      <c r="J27" s="258"/>
      <c r="M27" s="36">
        <v>1</v>
      </c>
      <c r="N27" s="36">
        <f t="shared" ref="N27:N29" si="1">M27+SUBSTITUTE($J$1,"M","")</f>
        <v>2</v>
      </c>
      <c r="O27" s="378" t="str">
        <f t="shared" ref="O27:O29" si="2">M27&amp;"x"&amp;N27</f>
        <v>1x2</v>
      </c>
      <c r="P27" s="272">
        <f>Q26</f>
        <v>42030</v>
      </c>
      <c r="Q27" s="272">
        <f>_xll.qlInterestRateIndexMaturity(iborindex1M,P27,Trigger)</f>
        <v>42061</v>
      </c>
      <c r="R27" s="345">
        <f>_xll.qlDayCounterYearFraction(DayCounter,P27,Q27,,,Trigger)</f>
        <v>8.611111111111111E-2</v>
      </c>
      <c r="S27" s="32">
        <f>_xll.qlIndexFixing(iborindex1M,_xll.qlInterestRateIndexFixingDate(iborindex1M,P27,Trigger),TRUE,AllTriggers)</f>
        <v>2.6414922445501396E-4</v>
      </c>
      <c r="T27" s="32">
        <f>(U27/V27-1)/R27</f>
        <v>-1.0151920766999742E-4</v>
      </c>
      <c r="U27" s="348">
        <f>_xll.qlYieldTSDiscount(Discounting,P27,,AllTriggers)</f>
        <v>1.0000330010890557</v>
      </c>
      <c r="V27" s="348">
        <f>_xll.qlYieldTSDiscount(Discounting,Q27,,AllTriggers)</f>
        <v>1.0000417433857451</v>
      </c>
      <c r="W27" s="436">
        <f>LN((1+S27*R27)/(1+T27*R27))</f>
        <v>3.1487894508951853E-5</v>
      </c>
    </row>
    <row r="28" spans="9:23" x14ac:dyDescent="0.2">
      <c r="M28" s="36">
        <v>2</v>
      </c>
      <c r="N28" s="36">
        <f t="shared" si="1"/>
        <v>3</v>
      </c>
      <c r="O28" s="378" t="str">
        <f t="shared" si="2"/>
        <v>2x3</v>
      </c>
      <c r="P28" s="272">
        <f>Q27</f>
        <v>42061</v>
      </c>
      <c r="Q28" s="272">
        <f>_xll.qlInterestRateIndexMaturity(iborindex1M,P28,Trigger)</f>
        <v>42089</v>
      </c>
      <c r="R28" s="345">
        <f>_xll.qlDayCounterYearFraction(DayCounter,P28,Q28,,,Trigger)</f>
        <v>7.7777777777777779E-2</v>
      </c>
      <c r="S28" s="32">
        <f>_xll.qlIndexFixing(iborindex1M,_xll.qlInterestRateIndexFixingDate(iborindex1M,P28,Trigger),TRUE,AllTriggers)</f>
        <v>3.043925354487672E-4</v>
      </c>
      <c r="T28" s="32">
        <f>(U28/V28-1)/R28</f>
        <v>8.8242316827865809E-5</v>
      </c>
      <c r="U28" s="348">
        <f>_xll.qlYieldTSDiscount(Discounting,P28,,AllTriggers)</f>
        <v>1.0000417433857451</v>
      </c>
      <c r="V28" s="348">
        <f>_xll.qlYieldTSDiscount(Discounting,Q28,,AllTriggers)</f>
        <v>1.0000348798550458</v>
      </c>
      <c r="W28" s="436">
        <f>LN((1+S28*R28)/(1+T28*R28))</f>
        <v>1.6811426975091827E-5</v>
      </c>
    </row>
    <row r="29" spans="9:23" ht="12" thickBot="1" x14ac:dyDescent="0.25">
      <c r="I29" s="258"/>
      <c r="J29" s="258"/>
      <c r="M29" s="36">
        <v>3</v>
      </c>
      <c r="N29" s="36">
        <f t="shared" si="1"/>
        <v>4</v>
      </c>
      <c r="O29" s="379" t="str">
        <f t="shared" si="2"/>
        <v>3x4</v>
      </c>
      <c r="P29" s="273">
        <f>Q28</f>
        <v>42089</v>
      </c>
      <c r="Q29" s="273">
        <f>_xll.qlInterestRateIndexMaturity(iborindex1M,P29,Trigger)</f>
        <v>42121</v>
      </c>
      <c r="R29" s="346">
        <f>_xll.qlDayCounterYearFraction(DayCounter,P29,Q29,,,Trigger)</f>
        <v>8.8888888888888892E-2</v>
      </c>
      <c r="S29" s="225">
        <f>_xll.qlIndexFixing(iborindex1M,_xll.qlInterestRateIndexFixingDate(iborindex1M,P29,Trigger),TRUE,AllTriggers)</f>
        <v>3.9185287404874813E-5</v>
      </c>
      <c r="T29" s="225">
        <f>(U29/V29-1)/R29</f>
        <v>-4.5579275112922479E-4</v>
      </c>
      <c r="U29" s="349">
        <f>_xll.qlYieldTSDiscount(Discounting,P29,,AllTriggers)</f>
        <v>1.0000348798550458</v>
      </c>
      <c r="V29" s="349">
        <f>_xll.qlYieldTSDiscount(Discounting,Q29,,AllTriggers)</f>
        <v>1.0000753978209933</v>
      </c>
      <c r="W29" s="437">
        <f>LN((1+S29*R29)/(1+T29*R29))</f>
        <v>4.3998862554687717E-5</v>
      </c>
    </row>
    <row r="31" spans="9:23" x14ac:dyDescent="0.2">
      <c r="I31" s="258"/>
      <c r="J31" s="258"/>
    </row>
    <row r="33" spans="9:10" x14ac:dyDescent="0.2">
      <c r="I33" s="258"/>
      <c r="J33" s="258"/>
    </row>
    <row r="35" spans="9:10" x14ac:dyDescent="0.2">
      <c r="I35" s="258"/>
      <c r="J35" s="258"/>
    </row>
    <row r="37" spans="9:10" x14ac:dyDescent="0.2">
      <c r="I37" s="258"/>
      <c r="J37" s="258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6" width="10.5" style="30" customWidth="1"/>
    <col min="17" max="17" width="5.83203125" style="30" customWidth="1"/>
    <col min="18" max="18" width="20.1640625" style="30" bestFit="1" customWidth="1"/>
    <col min="19" max="19" width="9.33203125" style="30" bestFit="1" customWidth="1"/>
    <col min="20" max="20" width="9.33203125" style="30" customWidth="1"/>
    <col min="21" max="21" width="17.83203125" style="30" bestFit="1" customWidth="1"/>
    <col min="22" max="22" width="10.5" style="30" customWidth="1"/>
    <col min="23" max="23" width="10.5" style="30" bestFit="1" customWidth="1"/>
    <col min="24" max="24" width="9.33203125" style="30"/>
    <col min="25" max="25" width="14.1640625" style="30" bestFit="1" customWidth="1"/>
    <col min="26" max="26" width="15.33203125" style="30" bestFit="1" customWidth="1"/>
    <col min="27" max="16384" width="9.33203125" style="30"/>
  </cols>
  <sheetData>
    <row r="1" spans="1:26" ht="12" thickBot="1" x14ac:dyDescent="0.25">
      <c r="E1" s="400" t="s">
        <v>118</v>
      </c>
      <c r="F1" s="401" t="s">
        <v>43</v>
      </c>
      <c r="N1" s="445" t="str">
        <f>_xll.qlInterpolation(,interpolator3M,_xll.ohFilter(E3:E15,M3:M15),_xll.ohFilter(L3:L15,M3:M15))</f>
        <v>obj_00b9c#0258</v>
      </c>
      <c r="T1" s="445" t="str">
        <f>_xll.qlInterpolation(,interpolator3M,_xll.ohFilter(E3:E15,M3:M15),_xll.ohFilter(P3:P15,M3:M15))</f>
        <v>obj_00b9b#0263</v>
      </c>
    </row>
    <row r="2" spans="1:26" ht="26.25" customHeight="1" thickBot="1" x14ac:dyDescent="0.25">
      <c r="D2" s="213" t="str">
        <f>F1&amp;" Instruments"</f>
        <v>3M Instruments</v>
      </c>
      <c r="E2" s="341" t="s">
        <v>119</v>
      </c>
      <c r="F2" s="341" t="s">
        <v>120</v>
      </c>
      <c r="G2" s="341" t="s">
        <v>146</v>
      </c>
      <c r="H2" s="341" t="str">
        <f>F1&amp;" Market quote"</f>
        <v>3M Market quote</v>
      </c>
      <c r="I2" s="341" t="s">
        <v>147</v>
      </c>
      <c r="J2" s="341" t="s">
        <v>148</v>
      </c>
      <c r="K2" s="341" t="s">
        <v>149</v>
      </c>
      <c r="L2" s="341" t="s">
        <v>150</v>
      </c>
      <c r="M2" s="341" t="s">
        <v>90</v>
      </c>
      <c r="N2" s="341" t="s">
        <v>163</v>
      </c>
      <c r="O2" s="341" t="s">
        <v>123</v>
      </c>
      <c r="P2" s="342" t="s">
        <v>160</v>
      </c>
      <c r="R2" s="213" t="s">
        <v>119</v>
      </c>
      <c r="S2" s="341" t="s">
        <v>150</v>
      </c>
      <c r="T2" s="342" t="s">
        <v>160</v>
      </c>
    </row>
    <row r="3" spans="1:26" ht="11.25" customHeight="1" x14ac:dyDescent="0.2">
      <c r="D3" s="337" t="str">
        <f>PROPER(Currency&amp;IborType)&amp;F1&amp;"LastFixing"&amp;QuoteSuffix</f>
        <v>Euribor3MLastFixing_Quote</v>
      </c>
      <c r="E3" s="338">
        <f>SettlementDate</f>
        <v>41997</v>
      </c>
      <c r="F3" s="338">
        <f>_xll.qlCalendarAdvance(Calendar,E3,F1,"mf",,Trigger)</f>
        <v>42087</v>
      </c>
      <c r="G3" s="344">
        <f>_xll.qlDayCounterYearFraction(DayCounter,E3,F3,,,Trigger)</f>
        <v>0.25</v>
      </c>
      <c r="H3" s="339">
        <f>_xll.qlQuoteValue(D3,LastFixingsTrigger)</f>
        <v>8.0999999999999985E-4</v>
      </c>
      <c r="I3" s="347">
        <f>_xll.qlYieldTSDiscount(Discounting,E3,,AllTriggers)</f>
        <v>1</v>
      </c>
      <c r="J3" s="347">
        <f>_xll.qlYieldTSDiscount(Discounting,F3,,AllTriggers)</f>
        <v>1.000032501056171</v>
      </c>
      <c r="K3" s="339">
        <f>(I3/J3-1)/G3</f>
        <v>-1.2999999954699248E-4</v>
      </c>
      <c r="L3" s="438">
        <f>LN((1+H3*G3)/(1+K3*G3))</f>
        <v>2.3498002766569848E-4</v>
      </c>
      <c r="M3" s="340" t="b">
        <v>0</v>
      </c>
      <c r="N3" s="444">
        <f>_xll.qlInterpolationInterpolate(delta3Minterpolation,E3,TRUE,Trigger)</f>
        <v>2.1596383950178401E-4</v>
      </c>
      <c r="O3" s="444">
        <f>L3-N3</f>
        <v>1.9016188163914472E-5</v>
      </c>
      <c r="P3" s="431">
        <f>H3-K3</f>
        <v>9.3999999954699233E-4</v>
      </c>
      <c r="R3" s="330">
        <f>E3</f>
        <v>41997</v>
      </c>
      <c r="S3" s="439">
        <f>_xll.qlInterpolationInterpolate(delta3Minterpolation,R3,TRUE)</f>
        <v>2.1596383950178401E-4</v>
      </c>
      <c r="T3" s="222">
        <f>_xll.qlInterpolationInterpolate(basis3Minterpolation,R3,TRUE)</f>
        <v>8.7510131063590771E-4</v>
      </c>
      <c r="Y3" s="33"/>
      <c r="Z3" s="33"/>
    </row>
    <row r="4" spans="1:26" ht="11.25" customHeight="1" x14ac:dyDescent="0.2">
      <c r="A4" s="30">
        <v>1</v>
      </c>
      <c r="B4" s="30" t="s">
        <v>39</v>
      </c>
      <c r="C4" s="30">
        <f>A4+SUBSTITUTE($F$1,"M","")</f>
        <v>4</v>
      </c>
      <c r="D4" s="220" t="str">
        <f>Currency&amp;A4&amp;B4&amp;C4&amp;"F"&amp;QuoteSuffix</f>
        <v>EUR1x4F_Quote</v>
      </c>
      <c r="E4" s="221">
        <f>_xll.qlCalendarAdvance("target",$E$3,A4&amp;"M","mf",,Trigger)</f>
        <v>42030</v>
      </c>
      <c r="F4" s="221">
        <f>_xll.qlCalendarAdvance(Calendar,E4,$F$1,"mf",,Trigger)</f>
        <v>42121</v>
      </c>
      <c r="G4" s="345">
        <f>_xll.qlDayCounterYearFraction(DayCounter,E4,F4,,,Trigger)</f>
        <v>0.25277777777777777</v>
      </c>
      <c r="H4" s="32">
        <f>_xll.qlQuoteValue(D4,AllTriggers)</f>
        <v>8.8999999999999995E-4</v>
      </c>
      <c r="I4" s="348">
        <f>_xll.qlYieldTSDiscount(Discounting,E4,,AllTriggers)</f>
        <v>1.0000330010890557</v>
      </c>
      <c r="J4" s="348">
        <f>_xll.qlYieldTSDiscount(Discounting,F4,,AllTriggers)</f>
        <v>1.0000753978209933</v>
      </c>
      <c r="K4" s="32">
        <f t="shared" ref="K4:K6" si="0">(I4/J4-1)/G4</f>
        <v>-1.6771069011742881E-4</v>
      </c>
      <c r="L4" s="439">
        <f t="shared" ref="L4:L6" si="1">LN((1+H4*G4)/(1+K4*G4))</f>
        <v>2.6734135395555832E-4</v>
      </c>
      <c r="M4" s="335" t="b">
        <v>0</v>
      </c>
      <c r="N4" s="32">
        <f>_xll.qlInterpolationInterpolate(delta3Minterpolation,E4,TRUE,Trigger)</f>
        <v>2.7112312219987431E-4</v>
      </c>
      <c r="O4" s="32">
        <f t="shared" ref="O4:O6" si="2">L4-N4</f>
        <v>-3.7817682443159919E-6</v>
      </c>
      <c r="P4" s="222">
        <f t="shared" ref="P4:P6" si="3">H4-K4</f>
        <v>1.0577106901174288E-3</v>
      </c>
      <c r="R4" s="330">
        <f>_xll.qlCalendarAdvance(Calendar,R3,"1D","f")</f>
        <v>42002</v>
      </c>
      <c r="S4" s="439">
        <f>_xll.qlInterpolationInterpolate(delta3Minterpolation,R4,TRUE)</f>
        <v>2.1944354399458719E-4</v>
      </c>
      <c r="T4" s="222">
        <f>_xll.qlInterpolationInterpolate(basis3Minterpolation,R4,TRUE)</f>
        <v>8.8853862994613662E-4</v>
      </c>
      <c r="Y4" s="33"/>
      <c r="Z4" s="33"/>
    </row>
    <row r="5" spans="1:26" ht="11.25" customHeight="1" x14ac:dyDescent="0.2">
      <c r="A5" s="30">
        <v>2</v>
      </c>
      <c r="B5" s="30" t="s">
        <v>39</v>
      </c>
      <c r="C5" s="30">
        <f t="shared" ref="C5:C6" si="4">A5+SUBSTITUTE($F$1,"M","")</f>
        <v>5</v>
      </c>
      <c r="D5" s="220" t="str">
        <f>Currency&amp;A5&amp;B5&amp;C5&amp;"F"&amp;QuoteSuffix</f>
        <v>EUR2x5F_Quote</v>
      </c>
      <c r="E5" s="221">
        <f>_xll.qlCalendarAdvance("target",$E$3,A5&amp;"M","mf",,Trigger)</f>
        <v>42059</v>
      </c>
      <c r="F5" s="221">
        <f>_xll.qlCalendarAdvance(Calendar,E5,$F$1,"mf",,Trigger)</f>
        <v>42149</v>
      </c>
      <c r="G5" s="345">
        <f>_xll.qlDayCounterYearFraction(DayCounter,E5,F5,,,Trigger)</f>
        <v>0.25</v>
      </c>
      <c r="H5" s="32">
        <f>_xll.qlQuoteValue(D5,AllTriggers)</f>
        <v>9.2999999999999995E-4</v>
      </c>
      <c r="I5" s="348">
        <f>_xll.qlYieldTSDiscount(Discounting,E5,,AllTriggers)</f>
        <v>1.0000396126804101</v>
      </c>
      <c r="J5" s="348">
        <f>_xll.qlYieldTSDiscount(Discounting,F5,,AllTriggers)</f>
        <v>1.0001224594389224</v>
      </c>
      <c r="K5" s="32">
        <f t="shared" si="0"/>
        <v>-3.3134645754806513E-4</v>
      </c>
      <c r="L5" s="439">
        <f t="shared" si="1"/>
        <v>3.1531302159255382E-4</v>
      </c>
      <c r="M5" s="335" t="b">
        <v>0</v>
      </c>
      <c r="N5" s="32">
        <f>_xll.qlInterpolationInterpolate(delta3Minterpolation,E5,TRUE,Trigger)</f>
        <v>3.4041812889778328E-4</v>
      </c>
      <c r="O5" s="32">
        <f t="shared" si="2"/>
        <v>-2.5105107305229465E-5</v>
      </c>
      <c r="P5" s="222">
        <f t="shared" si="3"/>
        <v>1.261346457548065E-3</v>
      </c>
      <c r="R5" s="330">
        <f>_xll.qlCalendarAdvance(Calendar,R4,"1D","f")</f>
        <v>42003</v>
      </c>
      <c r="S5" s="439">
        <f>_xll.qlInterpolationInterpolate(delta3Minterpolation,R5,TRUE)</f>
        <v>2.2041464117424108E-4</v>
      </c>
      <c r="T5" s="222">
        <f>_xll.qlInterpolationInterpolate(basis3Minterpolation,R5,TRUE)</f>
        <v>8.9222941727077677E-4</v>
      </c>
      <c r="Y5" s="33"/>
      <c r="Z5" s="33"/>
    </row>
    <row r="6" spans="1:26" ht="11.25" customHeight="1" x14ac:dyDescent="0.2">
      <c r="A6" s="30">
        <v>3</v>
      </c>
      <c r="B6" s="30" t="s">
        <v>39</v>
      </c>
      <c r="C6" s="30">
        <f t="shared" si="4"/>
        <v>6</v>
      </c>
      <c r="D6" s="446" t="str">
        <f>Currency&amp;A6&amp;B6&amp;C6&amp;"F"&amp;QuoteSuffix</f>
        <v>EUR3x6F_Quote</v>
      </c>
      <c r="E6" s="447">
        <f>_xll.qlCalendarAdvance("target",$E$3,A6&amp;"M","mf",,Trigger)</f>
        <v>42087</v>
      </c>
      <c r="F6" s="447">
        <f>_xll.qlCalendarAdvance(Calendar,E6,$F$1,"mf",,Trigger)</f>
        <v>42179</v>
      </c>
      <c r="G6" s="448">
        <f>_xll.qlDayCounterYearFraction(DayCounter,E6,F6,,,Trigger)</f>
        <v>0.25555555555555554</v>
      </c>
      <c r="H6" s="387">
        <f>_xll.qlQuoteValue(D6,AllTriggers)</f>
        <v>8.9999999999999998E-4</v>
      </c>
      <c r="I6" s="388">
        <f>_xll.qlYieldTSDiscount(Discounting,E6,,AllTriggers)</f>
        <v>1.000032501056171</v>
      </c>
      <c r="J6" s="388">
        <f>_xll.qlYieldTSDiscount(Discounting,F6,,AllTriggers)</f>
        <v>1.0001719184397584</v>
      </c>
      <c r="K6" s="387">
        <f t="shared" si="0"/>
        <v>-5.4545251025796813E-4</v>
      </c>
      <c r="L6" s="449">
        <f t="shared" si="1"/>
        <v>3.6937668950875379E-4</v>
      </c>
      <c r="M6" s="450" t="b">
        <v>0</v>
      </c>
      <c r="N6" s="387">
        <f>_xll.qlInterpolationInterpolate(delta3Minterpolation,E6,TRUE,Trigger)</f>
        <v>3.6906064163640671E-4</v>
      </c>
      <c r="O6" s="387">
        <f t="shared" si="2"/>
        <v>3.1604787234707941E-7</v>
      </c>
      <c r="P6" s="451">
        <f t="shared" si="3"/>
        <v>1.4454525102579681E-3</v>
      </c>
      <c r="R6" s="330">
        <f>_xll.qlCalendarAdvance(Calendar,R5,"1D","f")</f>
        <v>42004</v>
      </c>
      <c r="S6" s="439">
        <f>_xll.qlInterpolationInterpolate(delta3Minterpolation,R6,TRUE)</f>
        <v>2.2147174396373032E-4</v>
      </c>
      <c r="T6" s="222">
        <f>_xll.qlInterpolationInterpolate(basis3Minterpolation,R6,TRUE)</f>
        <v>8.9623375615560034E-4</v>
      </c>
      <c r="Y6" s="33"/>
      <c r="Z6" s="33"/>
    </row>
    <row r="7" spans="1:26" ht="11.25" customHeight="1" x14ac:dyDescent="0.2">
      <c r="C7" s="30" t="str">
        <f>_xll.qlIMMNextCode(SettlementDate,FALSE)</f>
        <v>F5</v>
      </c>
      <c r="D7" s="220" t="str">
        <f t="shared" ref="D7:D15" si="5">Currency&amp;"FUT"&amp;"3M"&amp;C7&amp;QuoteSuffix</f>
        <v>EURFUT3MF5_Quote</v>
      </c>
      <c r="E7" s="221">
        <f>_xll.qlIMMdate(C7,$E$3,Trigger)</f>
        <v>42025</v>
      </c>
      <c r="F7" s="221">
        <f>_xll.qlCalendarAdvance(Calendar,E7,$F$1,"mf",,Trigger)</f>
        <v>42115</v>
      </c>
      <c r="G7" s="345">
        <f>_xll.qlDayCounterYearFraction(DayCounter,E7,F7,,,Trigger)</f>
        <v>0.25</v>
      </c>
      <c r="H7" s="32">
        <f>1-_xll.qlQuoteValue(D7,AllTriggers)/100</f>
        <v>8.7500000000007017E-4</v>
      </c>
      <c r="I7" s="348">
        <f>_xll.qlYieldTSDiscount(Discounting,E7,,AllTriggers)</f>
        <v>1.000025327071576</v>
      </c>
      <c r="J7" s="348">
        <f>_xll.qlYieldTSDiscount(Discounting,F7,,AllTriggers)</f>
        <v>1.0000658047553452</v>
      </c>
      <c r="K7" s="32">
        <f t="shared" ref="K7:K15" si="6">(I7/J7-1)/G7</f>
        <v>-1.6190008128180722E-4</v>
      </c>
      <c r="L7" s="439">
        <f t="shared" ref="L7:L15" si="7">LN((1+H7*G7)/(1+K7*G7))</f>
        <v>2.5920191716342309E-4</v>
      </c>
      <c r="M7" s="335" t="b">
        <v>1</v>
      </c>
      <c r="N7" s="32">
        <f>_xll.qlInterpolationInterpolate(delta3Minterpolation,E7,TRUE,Trigger)</f>
        <v>2.5920191716342309E-4</v>
      </c>
      <c r="O7" s="32">
        <f t="shared" ref="O7:O15" si="8">L7-N7</f>
        <v>0</v>
      </c>
      <c r="P7" s="222">
        <f t="shared" ref="P7:P15" si="9">H7-K7</f>
        <v>1.0369000812818774E-3</v>
      </c>
      <c r="R7" s="330">
        <f>_xll.qlCalendarAdvance(Calendar,R6,"1D","f")</f>
        <v>42006</v>
      </c>
      <c r="S7" s="439">
        <f>_xll.qlInterpolationInterpolate(delta3Minterpolation,R7,TRUE)</f>
        <v>2.2383417239987941E-4</v>
      </c>
      <c r="T7" s="222">
        <f>_xll.qlInterpolationInterpolate(basis3Minterpolation,R7,TRUE)</f>
        <v>9.0514727787319984E-4</v>
      </c>
      <c r="Y7" s="33"/>
      <c r="Z7" s="33"/>
    </row>
    <row r="8" spans="1:26" ht="11.25" customHeight="1" x14ac:dyDescent="0.2">
      <c r="C8" s="30" t="str">
        <f>_xll.qlIMMNextCode($E$7,TRUE)</f>
        <v>H5</v>
      </c>
      <c r="D8" s="220" t="str">
        <f t="shared" si="5"/>
        <v>EURFUT3MH5_Quote</v>
      </c>
      <c r="E8" s="221">
        <f>_xll.qlIMMdate(C8,$E$3,Trigger)</f>
        <v>42081</v>
      </c>
      <c r="F8" s="221">
        <f>_xll.qlCalendarAdvance(Calendar,E8,$F$1,"mf",,Trigger)</f>
        <v>42173</v>
      </c>
      <c r="G8" s="345">
        <f>_xll.qlDayCounterYearFraction(DayCounter,E8,F8,,,Trigger)</f>
        <v>0.25555555555555554</v>
      </c>
      <c r="H8" s="32">
        <f>1-_xll.qlQuoteValue(D8,AllTriggers)/100</f>
        <v>9.2500000000006466E-4</v>
      </c>
      <c r="I8" s="348">
        <f>_xll.qlYieldTSDiscount(Discounting,E8,,AllTriggers)</f>
        <v>1.0000290350447452</v>
      </c>
      <c r="J8" s="348">
        <f>_xll.qlYieldTSDiscount(Discounting,F8,,AllTriggers)</f>
        <v>1.0001602056218586</v>
      </c>
      <c r="K8" s="32">
        <f t="shared" si="6"/>
        <v>-5.131939547568014E-4</v>
      </c>
      <c r="L8" s="439">
        <f t="shared" si="7"/>
        <v>3.6751912050988665E-4</v>
      </c>
      <c r="M8" s="335" t="b">
        <v>1</v>
      </c>
      <c r="N8" s="32">
        <f>_xll.qlInterpolationInterpolate(delta3Minterpolation,E8,TRUE,Trigger)</f>
        <v>3.6751912050988665E-4</v>
      </c>
      <c r="O8" s="32">
        <f t="shared" si="8"/>
        <v>0</v>
      </c>
      <c r="P8" s="222">
        <f t="shared" si="9"/>
        <v>1.438193954756866E-3</v>
      </c>
      <c r="R8" s="330">
        <f>_xll.qlCalendarAdvance(Calendar,R7,"1D","f")</f>
        <v>42009</v>
      </c>
      <c r="S8" s="439">
        <f>_xll.qlInterpolationInterpolate(delta3Minterpolation,R8,TRUE)</f>
        <v>2.2796164480077128E-4</v>
      </c>
      <c r="T8" s="222">
        <f>_xll.qlInterpolationInterpolate(basis3Minterpolation,R8,TRUE)</f>
        <v>9.206453800722419E-4</v>
      </c>
      <c r="Y8" s="33"/>
      <c r="Z8" s="33"/>
    </row>
    <row r="9" spans="1:26" ht="11.25" customHeight="1" x14ac:dyDescent="0.2">
      <c r="C9" s="30" t="str">
        <f>_xll.qlIMMNextCode($E8,TRUE)</f>
        <v>M5</v>
      </c>
      <c r="D9" s="220" t="str">
        <f t="shared" si="5"/>
        <v>EURFUT3MM5_Quote</v>
      </c>
      <c r="E9" s="221">
        <f>_xll.qlIMMdate(C9,$E$3,Trigger)</f>
        <v>42172</v>
      </c>
      <c r="F9" s="221">
        <f>_xll.qlCalendarAdvance(Calendar,E9,$F$1,"mf",,Trigger)</f>
        <v>42264</v>
      </c>
      <c r="G9" s="345">
        <f>_xll.qlDayCounterYearFraction(DayCounter,E9,F9,,,Trigger)</f>
        <v>0.25555555555555554</v>
      </c>
      <c r="H9" s="32">
        <f>1-_xll.qlQuoteValue(D9,AllTriggers)/100</f>
        <v>7.2499999999986464E-4</v>
      </c>
      <c r="I9" s="348">
        <f>_xll.qlYieldTSDiscount(Discounting,E9,,AllTriggers)</f>
        <v>1.0001582534988778</v>
      </c>
      <c r="J9" s="348">
        <f>_xll.qlYieldTSDiscount(Discounting,F9,,AllTriggers)</f>
        <v>1.0003488907642906</v>
      </c>
      <c r="K9" s="32">
        <f t="shared" si="6"/>
        <v>-7.4571173619955708E-4</v>
      </c>
      <c r="L9" s="439">
        <f t="shared" si="7"/>
        <v>3.7584955391660213E-4</v>
      </c>
      <c r="M9" s="335" t="b">
        <v>1</v>
      </c>
      <c r="N9" s="32">
        <f>_xll.qlInterpolationInterpolate(delta3Minterpolation,E9,TRUE,Trigger)</f>
        <v>3.7584955391660213E-4</v>
      </c>
      <c r="O9" s="32">
        <f t="shared" si="8"/>
        <v>0</v>
      </c>
      <c r="P9" s="222">
        <f t="shared" si="9"/>
        <v>1.4707117361994217E-3</v>
      </c>
      <c r="R9" s="330">
        <f>_xll.qlCalendarAdvance(Calendar,R8,"1D","f")</f>
        <v>42010</v>
      </c>
      <c r="S9" s="439">
        <f>_xll.qlInterpolationInterpolate(delta3Minterpolation,R9,TRUE)</f>
        <v>2.2948336289451126E-4</v>
      </c>
      <c r="T9" s="222">
        <f>_xll.qlInterpolationInterpolate(basis3Minterpolation,R9,TRUE)</f>
        <v>9.2634302197203025E-4</v>
      </c>
      <c r="Y9" s="33"/>
      <c r="Z9" s="33"/>
    </row>
    <row r="10" spans="1:26" ht="11.25" customHeight="1" x14ac:dyDescent="0.2">
      <c r="C10" s="30" t="str">
        <f>_xll.qlIMMNextCode($E9,TRUE)</f>
        <v>U5</v>
      </c>
      <c r="D10" s="220" t="str">
        <f t="shared" si="5"/>
        <v>EURFUT3MU5_Quote</v>
      </c>
      <c r="E10" s="221">
        <f>_xll.qlIMMdate(C10,$E$3,Trigger)</f>
        <v>42263</v>
      </c>
      <c r="F10" s="221">
        <f>_xll.qlCalendarAdvance(Calendar,E10,$F$1,"mf",,Trigger)</f>
        <v>42354</v>
      </c>
      <c r="G10" s="345">
        <f>_xll.qlDayCounterYearFraction(DayCounter,E10,F10,,,Trigger)</f>
        <v>0.25277777777777777</v>
      </c>
      <c r="H10" s="32">
        <f>1-_xll.qlQuoteValue(D10,AllTriggers)/100</f>
        <v>6.7499999999998117E-4</v>
      </c>
      <c r="I10" s="348">
        <f>_xll.qlYieldTSDiscount(Discounting,E10,,AllTriggers)</f>
        <v>1.0003465227743886</v>
      </c>
      <c r="J10" s="348">
        <f>_xll.qlYieldTSDiscount(Discounting,F10,,AllTriggers)</f>
        <v>1.0005568388400052</v>
      </c>
      <c r="K10" s="32">
        <f t="shared" si="6"/>
        <v>-8.3155655725297218E-4</v>
      </c>
      <c r="L10" s="439">
        <f t="shared" si="7"/>
        <v>3.8083155875923705E-4</v>
      </c>
      <c r="M10" s="335" t="b">
        <v>1</v>
      </c>
      <c r="N10" s="32">
        <f>_xll.qlInterpolationInterpolate(delta3Minterpolation,E10,TRUE,Trigger)</f>
        <v>3.8083155875923705E-4</v>
      </c>
      <c r="O10" s="32">
        <f t="shared" si="8"/>
        <v>0</v>
      </c>
      <c r="P10" s="222">
        <f t="shared" si="9"/>
        <v>1.5065565572529535E-3</v>
      </c>
      <c r="R10" s="330">
        <f>_xll.qlCalendarAdvance(Calendar,R9,"1D","f")</f>
        <v>42011</v>
      </c>
      <c r="S10" s="439">
        <f>_xll.qlInterpolationInterpolate(delta3Minterpolation,R10,TRUE)</f>
        <v>2.3107394714649943E-4</v>
      </c>
      <c r="T10" s="222">
        <f>_xll.qlInterpolationInterpolate(basis3Minterpolation,R10,TRUE)</f>
        <v>9.3229154664995699E-4</v>
      </c>
      <c r="Y10" s="33"/>
      <c r="Z10" s="33"/>
    </row>
    <row r="11" spans="1:26" ht="11.25" customHeight="1" x14ac:dyDescent="0.2">
      <c r="C11" s="30" t="str">
        <f>_xll.qlIMMNextCode($E10,TRUE)</f>
        <v>Z5</v>
      </c>
      <c r="D11" s="220" t="str">
        <f t="shared" si="5"/>
        <v>EURFUT3MZ5_Quote</v>
      </c>
      <c r="E11" s="221">
        <f>_xll.qlIMMdate(C11,$E$3,Trigger)</f>
        <v>42354</v>
      </c>
      <c r="F11" s="221">
        <f>_xll.qlCalendarAdvance(Calendar,E11,$F$1,"mf",,Trigger)</f>
        <v>42445</v>
      </c>
      <c r="G11" s="345">
        <f>_xll.qlDayCounterYearFraction(DayCounter,E11,F11,,,Trigger)</f>
        <v>0.25277777777777777</v>
      </c>
      <c r="H11" s="32">
        <f>1-_xll.qlQuoteValue(D11,AllTriggers)/100</f>
        <v>7.2499999999986464E-4</v>
      </c>
      <c r="I11" s="348">
        <f>_xll.qlYieldTSDiscount(Discounting,E11,,AllTriggers)</f>
        <v>1.0005568388400052</v>
      </c>
      <c r="J11" s="348">
        <f>_xll.qlYieldTSDiscount(Discounting,F11,,AllTriggers)</f>
        <v>1.0007656368996136</v>
      </c>
      <c r="K11" s="32">
        <f t="shared" si="6"/>
        <v>-8.2538235855736787E-4</v>
      </c>
      <c r="L11" s="439">
        <f t="shared" si="7"/>
        <v>3.9190718452859882E-4</v>
      </c>
      <c r="M11" s="335" t="b">
        <v>1</v>
      </c>
      <c r="N11" s="32">
        <f>_xll.qlInterpolationInterpolate(delta3Minterpolation,E11,TRUE,Trigger)</f>
        <v>3.9190718452859882E-4</v>
      </c>
      <c r="O11" s="32">
        <f t="shared" si="8"/>
        <v>0</v>
      </c>
      <c r="P11" s="222">
        <f t="shared" si="9"/>
        <v>1.5503823585572324E-3</v>
      </c>
      <c r="R11" s="330">
        <f>_xll.qlCalendarAdvance(Calendar,R10,"1D","f")</f>
        <v>42012</v>
      </c>
      <c r="S11" s="439">
        <f>_xll.qlInterpolationInterpolate(delta3Minterpolation,R11,TRUE)</f>
        <v>2.3273094906365192E-4</v>
      </c>
      <c r="T11" s="222">
        <f>_xll.qlInterpolationInterpolate(basis3Minterpolation,R11,TRUE)</f>
        <v>9.3848200142287281E-4</v>
      </c>
      <c r="Y11" s="33"/>
      <c r="Z11" s="33"/>
    </row>
    <row r="12" spans="1:26" ht="11.25" customHeight="1" x14ac:dyDescent="0.2">
      <c r="C12" s="30" t="str">
        <f>_xll.qlIMMNextCode($E11,TRUE)</f>
        <v>H6</v>
      </c>
      <c r="D12" s="220" t="str">
        <f t="shared" si="5"/>
        <v>EURFUT3MH6_Quote</v>
      </c>
      <c r="E12" s="221">
        <f>_xll.qlIMMdate(C12,$E$3,Trigger)</f>
        <v>42445</v>
      </c>
      <c r="F12" s="221">
        <f>_xll.qlCalendarAdvance(Calendar,E12,$F$1,"mf",,Trigger)</f>
        <v>42537</v>
      </c>
      <c r="G12" s="345">
        <f>_xll.qlDayCounterYearFraction(DayCounter,E12,F12,,,Trigger)</f>
        <v>0.25555555555555554</v>
      </c>
      <c r="H12" s="32">
        <f>1-_xll.qlQuoteValue(D12,AllTriggers)/100</f>
        <v>8.7500000000007017E-4</v>
      </c>
      <c r="I12" s="348">
        <f>_xll.qlYieldTSDiscount(Discounting,E12,,AllTriggers)</f>
        <v>1.0007656368996136</v>
      </c>
      <c r="J12" s="348">
        <f>_xll.qlYieldTSDiscount(Discounting,F12,,AllTriggers)</f>
        <v>1.0009445575204781</v>
      </c>
      <c r="K12" s="32">
        <f t="shared" si="6"/>
        <v>-6.9946348510468753E-4</v>
      </c>
      <c r="L12" s="439">
        <f t="shared" si="7"/>
        <v>4.0235387140310575E-4</v>
      </c>
      <c r="M12" s="335" t="b">
        <v>1</v>
      </c>
      <c r="N12" s="32">
        <f>_xll.qlInterpolationInterpolate(delta3Minterpolation,E12,TRUE,Trigger)</f>
        <v>4.0235387140310575E-4</v>
      </c>
      <c r="O12" s="32">
        <f t="shared" si="8"/>
        <v>0</v>
      </c>
      <c r="P12" s="222">
        <f t="shared" si="9"/>
        <v>1.5744634851047577E-3</v>
      </c>
      <c r="R12" s="330">
        <f>_xll.qlCalendarAdvance(Calendar,R11,"1D","f")</f>
        <v>42013</v>
      </c>
      <c r="S12" s="439">
        <f>_xll.qlInterpolationInterpolate(delta3Minterpolation,R12,TRUE)</f>
        <v>2.3445192015288487E-4</v>
      </c>
      <c r="T12" s="222">
        <f>_xll.qlInterpolationInterpolate(basis3Minterpolation,R12,TRUE)</f>
        <v>9.4490543360762854E-4</v>
      </c>
      <c r="Y12" s="33"/>
      <c r="Z12" s="33"/>
    </row>
    <row r="13" spans="1:26" ht="11.25" customHeight="1" x14ac:dyDescent="0.2">
      <c r="C13" s="30" t="str">
        <f>_xll.qlIMMNextCode($E12,TRUE)</f>
        <v>M6</v>
      </c>
      <c r="D13" s="220" t="str">
        <f t="shared" si="5"/>
        <v>EURFUT3MM6_Quote</v>
      </c>
      <c r="E13" s="221">
        <f>_xll.qlIMMdate(C13,$E$3,Trigger)</f>
        <v>42536</v>
      </c>
      <c r="F13" s="221">
        <f>_xll.qlCalendarAdvance(Calendar,E13,$F$1,"mf",,Trigger)</f>
        <v>42628</v>
      </c>
      <c r="G13" s="345">
        <f>_xll.qlDayCounterYearFraction(DayCounter,E13,F13,,,Trigger)</f>
        <v>0.25555555555555554</v>
      </c>
      <c r="H13" s="32">
        <f>1-_xll.qlQuoteValue(D13,AllTriggers)/100</f>
        <v>1.0750000000000481E-3</v>
      </c>
      <c r="I13" s="348">
        <f>_xll.qlYieldTSDiscount(Discounting,E13,,AllTriggers)</f>
        <v>1.0009426676398214</v>
      </c>
      <c r="J13" s="348">
        <f>_xll.qlYieldTSDiscount(Discounting,F13,,AllTriggers)</f>
        <v>1.001073602399283</v>
      </c>
      <c r="K13" s="32">
        <f t="shared" si="6"/>
        <v>-5.1180393265850752E-4</v>
      </c>
      <c r="L13" s="439">
        <f t="shared" si="7"/>
        <v>4.0548738565382745E-4</v>
      </c>
      <c r="M13" s="335" t="b">
        <v>1</v>
      </c>
      <c r="N13" s="32">
        <f>_xll.qlInterpolationInterpolate(delta3Minterpolation,E13,TRUE,Trigger)</f>
        <v>4.0548738565382745E-4</v>
      </c>
      <c r="O13" s="32">
        <f t="shared" si="8"/>
        <v>0</v>
      </c>
      <c r="P13" s="222">
        <f t="shared" si="9"/>
        <v>1.5868039326585558E-3</v>
      </c>
      <c r="R13" s="330">
        <f>_xll.qlCalendarAdvance(Calendar,R12,"1D","f")</f>
        <v>42016</v>
      </c>
      <c r="S13" s="439">
        <f>_xll.qlInterpolationInterpolate(delta3Minterpolation,R13,TRUE)</f>
        <v>2.3997416352222764E-4</v>
      </c>
      <c r="T13" s="222">
        <f>_xll.qlInterpolationInterpolate(basis3Minterpolation,R13,TRUE)</f>
        <v>9.6548406780144259E-4</v>
      </c>
      <c r="Y13" s="33"/>
      <c r="Z13" s="33"/>
    </row>
    <row r="14" spans="1:26" ht="11.25" customHeight="1" x14ac:dyDescent="0.2">
      <c r="C14" s="30" t="str">
        <f>_xll.qlIMMNextCode($E13,TRUE)</f>
        <v>U6</v>
      </c>
      <c r="D14" s="220" t="str">
        <f t="shared" si="5"/>
        <v>EURFUT3MU6_Quote</v>
      </c>
      <c r="E14" s="221">
        <f>_xll.qlIMMdate(C14,$E$3,Trigger)</f>
        <v>42634</v>
      </c>
      <c r="F14" s="221">
        <f>_xll.qlCalendarAdvance(Calendar,E14,$F$1,"mf",,Trigger)</f>
        <v>42725</v>
      </c>
      <c r="G14" s="345">
        <f>_xll.qlDayCounterYearFraction(DayCounter,E14,F14,,,Trigger)</f>
        <v>0.25277777777777777</v>
      </c>
      <c r="H14" s="32">
        <f>1-_xll.qlQuoteValue(D14,AllTriggers)/100</f>
        <v>1.3750000000000151E-3</v>
      </c>
      <c r="I14" s="348">
        <f>_xll.qlYieldTSDiscount(Discounting,E14,,AllTriggers)</f>
        <v>1.0010818384949574</v>
      </c>
      <c r="J14" s="348">
        <f>_xll.qlYieldTSDiscount(Discounting,F14,,AllTriggers)</f>
        <v>1.0011583229748378</v>
      </c>
      <c r="K14" s="32">
        <f t="shared" si="6"/>
        <v>-3.0222588917121191E-4</v>
      </c>
      <c r="L14" s="439">
        <f t="shared" si="7"/>
        <v>4.2390796315119113E-4</v>
      </c>
      <c r="M14" s="335" t="b">
        <v>1</v>
      </c>
      <c r="N14" s="32">
        <f>_xll.qlInterpolationInterpolate(delta3Minterpolation,E14,TRUE,Trigger)</f>
        <v>4.2390796315119113E-4</v>
      </c>
      <c r="O14" s="32">
        <f t="shared" si="8"/>
        <v>0</v>
      </c>
      <c r="P14" s="222">
        <f t="shared" si="9"/>
        <v>1.677225889171227E-3</v>
      </c>
      <c r="R14" s="330">
        <f>_xll.qlCalendarAdvance(Calendar,R13,"1D","f")</f>
        <v>42017</v>
      </c>
      <c r="S14" s="439">
        <f>_xll.qlInterpolationInterpolate(delta3Minterpolation,R14,TRUE)</f>
        <v>2.4192652636894358E-4</v>
      </c>
      <c r="T14" s="222">
        <f>_xll.qlInterpolationInterpolate(basis3Minterpolation,R14,TRUE)</f>
        <v>9.7274988280206514E-4</v>
      </c>
      <c r="Y14" s="33"/>
      <c r="Z14" s="33"/>
    </row>
    <row r="15" spans="1:26" ht="11.25" customHeight="1" thickBot="1" x14ac:dyDescent="0.25">
      <c r="C15" s="30" t="str">
        <f>_xll.qlIMMNextCode($E14,TRUE)</f>
        <v>Z6</v>
      </c>
      <c r="D15" s="223" t="str">
        <f t="shared" si="5"/>
        <v>EURFUT3MZ6_Quote</v>
      </c>
      <c r="E15" s="224">
        <f>_xll.qlIMMdate(C15,$E$3,Trigger)</f>
        <v>42725</v>
      </c>
      <c r="F15" s="224">
        <f>_xll.qlCalendarAdvance(Calendar,E15,$F$1,"mf",,Trigger)</f>
        <v>42815</v>
      </c>
      <c r="G15" s="346">
        <f>_xll.qlDayCounterYearFraction(DayCounter,E15,F15,,,Trigger)</f>
        <v>0.25</v>
      </c>
      <c r="H15" s="225">
        <f>1-_xll.qlQuoteValue(D15,AllTriggers)/100</f>
        <v>1.6750000000000931E-3</v>
      </c>
      <c r="I15" s="349">
        <f>_xll.qlYieldTSDiscount(Discounting,E15,,AllTriggers)</f>
        <v>1.0011583229748378</v>
      </c>
      <c r="J15" s="349">
        <f>_xll.qlYieldTSDiscount(Discounting,F15,,AllTriggers)</f>
        <v>1.0010853323678717</v>
      </c>
      <c r="K15" s="225">
        <f t="shared" si="6"/>
        <v>2.916458951345291E-4</v>
      </c>
      <c r="L15" s="440">
        <f t="shared" si="7"/>
        <v>3.4575353281610652E-4</v>
      </c>
      <c r="M15" s="336" t="b">
        <v>1</v>
      </c>
      <c r="N15" s="225">
        <f>_xll.qlInterpolationInterpolate(delta3Minterpolation,E15,TRUE,Trigger)</f>
        <v>3.4575353281610652E-4</v>
      </c>
      <c r="O15" s="225">
        <f t="shared" si="8"/>
        <v>0</v>
      </c>
      <c r="P15" s="226">
        <f t="shared" si="9"/>
        <v>1.383354104865564E-3</v>
      </c>
      <c r="R15" s="330">
        <f>_xll.qlCalendarAdvance(Calendar,R14,"1D","f")</f>
        <v>42018</v>
      </c>
      <c r="S15" s="439">
        <f>_xll.qlInterpolationInterpolate(delta3Minterpolation,R15,TRUE)</f>
        <v>2.4393061592232058E-4</v>
      </c>
      <c r="T15" s="222">
        <f>_xll.qlInterpolationInterpolate(basis3Minterpolation,R15,TRUE)</f>
        <v>9.8020391179878146E-4</v>
      </c>
      <c r="Y15" s="33"/>
      <c r="Z15" s="33"/>
    </row>
    <row r="16" spans="1:26" ht="11.25" customHeight="1" x14ac:dyDescent="0.2">
      <c r="E16" s="155"/>
      <c r="F16" s="155"/>
      <c r="G16" s="33"/>
      <c r="K16" s="33"/>
      <c r="L16" s="33"/>
      <c r="R16" s="330">
        <f>_xll.qlCalendarAdvance(Calendar,R15,"1D","f")</f>
        <v>42019</v>
      </c>
      <c r="S16" s="439">
        <f>_xll.qlInterpolationInterpolate(delta3Minterpolation,R16,TRUE)</f>
        <v>2.4598398368927475E-4</v>
      </c>
      <c r="T16" s="222">
        <f>_xll.qlInterpolationInterpolate(basis3Minterpolation,R16,TRUE)</f>
        <v>9.8783720210844205E-4</v>
      </c>
      <c r="Y16" s="33"/>
      <c r="Z16" s="33"/>
    </row>
    <row r="17" spans="5:26" ht="11.25" customHeight="1" x14ac:dyDescent="0.2">
      <c r="E17" s="155"/>
      <c r="F17" s="155"/>
      <c r="G17" s="33"/>
      <c r="K17" s="33"/>
      <c r="L17" s="33"/>
      <c r="R17" s="330">
        <f>_xll.qlCalendarAdvance(Calendar,R16,"1D","f")</f>
        <v>42020</v>
      </c>
      <c r="S17" s="439">
        <f>_xll.qlInterpolationInterpolate(delta3Minterpolation,R17,TRUE)</f>
        <v>2.480841811767222E-4</v>
      </c>
      <c r="T17" s="222">
        <f>_xll.qlInterpolationInterpolate(basis3Minterpolation,R17,TRUE)</f>
        <v>9.9564080104789761E-4</v>
      </c>
      <c r="Y17" s="33"/>
      <c r="Z17" s="33"/>
    </row>
    <row r="18" spans="5:26" ht="11.25" customHeight="1" x14ac:dyDescent="0.2">
      <c r="E18" s="155"/>
      <c r="F18" s="155"/>
      <c r="G18" s="33"/>
      <c r="K18" s="33"/>
      <c r="L18" s="33"/>
      <c r="R18" s="330">
        <f>_xll.qlCalendarAdvance(Calendar,R17,"1D","f")</f>
        <v>42023</v>
      </c>
      <c r="S18" s="439">
        <f>_xll.qlInterpolationInterpolate(delta3Minterpolation,R18,TRUE)</f>
        <v>2.5464126703118552E-4</v>
      </c>
      <c r="T18" s="222">
        <f>_xll.qlInterpolationInterpolate(basis3Minterpolation,R18,TRUE)</f>
        <v>1.0199839228135421E-3</v>
      </c>
      <c r="Y18" s="33"/>
      <c r="Z18" s="33"/>
    </row>
    <row r="19" spans="5:26" ht="11.25" customHeight="1" x14ac:dyDescent="0.2">
      <c r="E19" s="155"/>
      <c r="F19" s="155"/>
      <c r="G19" s="33"/>
      <c r="K19" s="33"/>
      <c r="L19" s="33"/>
      <c r="R19" s="330">
        <f>_xll.qlCalendarAdvance(Calendar,R18,"1D","f")</f>
        <v>42024</v>
      </c>
      <c r="S19" s="439">
        <f>_xll.qlInterpolationInterpolate(delta3Minterpolation,R19,TRUE)</f>
        <v>2.5690429846976737E-4</v>
      </c>
      <c r="T19" s="222">
        <f>_xll.qlInterpolationInterpolate(basis3Minterpolation,R19,TRUE)</f>
        <v>1.0283792294406855E-3</v>
      </c>
      <c r="Y19" s="33"/>
      <c r="Z19" s="33"/>
    </row>
    <row r="20" spans="5:26" ht="11.25" customHeight="1" x14ac:dyDescent="0.2">
      <c r="E20" s="155"/>
      <c r="F20" s="155"/>
      <c r="G20" s="33"/>
      <c r="K20" s="33"/>
      <c r="L20" s="33"/>
      <c r="R20" s="330">
        <f>_xll.qlCalendarAdvance(Calendar,R19,"1D","f")</f>
        <v>42025</v>
      </c>
      <c r="S20" s="439">
        <f>_xll.qlInterpolationInterpolate(delta3Minterpolation,R20,TRUE)</f>
        <v>2.5920191716342309E-4</v>
      </c>
      <c r="T20" s="222">
        <f>_xll.qlInterpolationInterpolate(basis3Minterpolation,R20,TRUE)</f>
        <v>1.0369000812818774E-3</v>
      </c>
      <c r="Y20" s="33"/>
      <c r="Z20" s="33"/>
    </row>
    <row r="21" spans="5:26" ht="11.25" customHeight="1" x14ac:dyDescent="0.2">
      <c r="E21" s="155"/>
      <c r="F21" s="155"/>
      <c r="G21" s="33"/>
      <c r="K21" s="33"/>
      <c r="L21" s="33"/>
      <c r="R21" s="330">
        <f>_xll.qlCalendarAdvance(Calendar,R20,"1D","f")</f>
        <v>42026</v>
      </c>
      <c r="S21" s="439">
        <f>_xll.qlInterpolationInterpolate(delta3Minterpolation,R21,TRUE)</f>
        <v>2.6153167461906885E-4</v>
      </c>
      <c r="T21" s="222">
        <f>_xll.qlInterpolationInterpolate(basis3Minterpolation,R21,TRUE)</f>
        <v>1.0455375256539689E-3</v>
      </c>
      <c r="Y21" s="33"/>
      <c r="Z21" s="33"/>
    </row>
    <row r="22" spans="5:26" ht="11.25" customHeight="1" x14ac:dyDescent="0.2">
      <c r="E22" s="155"/>
      <c r="F22" s="155"/>
      <c r="G22" s="33"/>
      <c r="K22" s="33"/>
      <c r="L22" s="33"/>
      <c r="R22" s="330">
        <f>_xll.qlCalendarAdvance(Calendar,R21,"1D","f")</f>
        <v>42027</v>
      </c>
      <c r="S22" s="439">
        <f>_xll.qlInterpolationInterpolate(delta3Minterpolation,R22,TRUE)</f>
        <v>2.6389112234362068E-4</v>
      </c>
      <c r="T22" s="222">
        <f>_xll.qlInterpolationInterpolate(basis3Minterpolation,R22,TRUE)</f>
        <v>1.0542826098738107E-3</v>
      </c>
      <c r="Y22" s="33"/>
      <c r="Z22" s="33"/>
    </row>
    <row r="23" spans="5:26" ht="11.25" customHeight="1" x14ac:dyDescent="0.2">
      <c r="E23" s="155"/>
      <c r="F23" s="155"/>
      <c r="G23" s="33"/>
      <c r="K23" s="33"/>
      <c r="L23" s="33"/>
      <c r="R23" s="330">
        <f>_xll.qlCalendarAdvance(Calendar,R22,"1D","f")</f>
        <v>42030</v>
      </c>
      <c r="S23" s="439">
        <f>_xll.qlInterpolationInterpolate(delta3Minterpolation,R23,TRUE)</f>
        <v>2.7112312219987431E-4</v>
      </c>
      <c r="T23" s="222">
        <f>_xll.qlInterpolationInterpolate(basis3Minterpolation,R23,TRUE)</f>
        <v>1.0810741747883446E-3</v>
      </c>
      <c r="Y23" s="33"/>
      <c r="Z23" s="33"/>
    </row>
    <row r="24" spans="5:26" ht="11.25" customHeight="1" x14ac:dyDescent="0.2">
      <c r="E24" s="155"/>
      <c r="F24" s="155"/>
      <c r="G24" s="33"/>
      <c r="K24" s="33"/>
      <c r="L24" s="33"/>
      <c r="R24" s="330">
        <f>_xll.qlCalendarAdvance(Calendar,R23,"1D","f")</f>
        <v>42031</v>
      </c>
      <c r="S24" s="439">
        <f>_xll.qlInterpolationInterpolate(delta3Minterpolation,R24,TRUE)</f>
        <v>2.7357684606921191E-4</v>
      </c>
      <c r="T24" s="222">
        <f>_xll.qlInterpolationInterpolate(basis3Minterpolation,R24,TRUE)</f>
        <v>1.0901602915676946E-3</v>
      </c>
      <c r="Y24" s="33"/>
      <c r="Z24" s="33"/>
    </row>
    <row r="25" spans="5:26" ht="11.25" customHeight="1" x14ac:dyDescent="0.2">
      <c r="E25" s="155"/>
      <c r="F25" s="155"/>
      <c r="G25" s="33"/>
      <c r="K25" s="33"/>
      <c r="L25" s="33"/>
      <c r="R25" s="330">
        <f>_xll.qlCalendarAdvance(Calendar,R24,"1D","f")</f>
        <v>42032</v>
      </c>
      <c r="S25" s="439">
        <f>_xll.qlInterpolationInterpolate(delta3Minterpolation,R25,TRUE)</f>
        <v>2.7604801774203623E-4</v>
      </c>
      <c r="T25" s="222">
        <f>_xll.qlInterpolationInterpolate(basis3Minterpolation,R25,TRUE)</f>
        <v>1.0993092847790486E-3</v>
      </c>
      <c r="Y25" s="33"/>
      <c r="Z25" s="33"/>
    </row>
    <row r="26" spans="5:26" ht="11.25" customHeight="1" x14ac:dyDescent="0.2">
      <c r="E26" s="155"/>
      <c r="F26" s="155"/>
      <c r="G26" s="33"/>
      <c r="K26" s="33"/>
      <c r="L26" s="33"/>
      <c r="R26" s="330">
        <f>_xll.qlCalendarAdvance(Calendar,R25,"1D","f")</f>
        <v>42033</v>
      </c>
      <c r="S26" s="439">
        <f>_xll.qlInterpolationInterpolate(delta3Minterpolation,R26,TRUE)</f>
        <v>2.7853418872526343E-4</v>
      </c>
      <c r="T26" s="222">
        <f>_xll.qlInterpolationInterpolate(basis3Minterpolation,R26,TRUE)</f>
        <v>1.1085122017392571E-3</v>
      </c>
      <c r="Y26" s="33"/>
      <c r="Z26" s="33"/>
    </row>
    <row r="27" spans="5:26" ht="11.25" customHeight="1" x14ac:dyDescent="0.2">
      <c r="E27" s="155"/>
      <c r="F27" s="155"/>
      <c r="G27" s="33"/>
      <c r="K27" s="33"/>
      <c r="L27" s="33"/>
      <c r="R27" s="330">
        <f>_xll.qlCalendarAdvance(Calendar,R26,"1D","f")</f>
        <v>42034</v>
      </c>
      <c r="S27" s="439">
        <f>_xll.qlInterpolationInterpolate(delta3Minterpolation,R27,TRUE)</f>
        <v>2.810329105258096E-4</v>
      </c>
      <c r="T27" s="222">
        <f>_xll.qlInterpolationInterpolate(basis3Minterpolation,R27,TRUE)</f>
        <v>1.1177600897651712E-3</v>
      </c>
      <c r="Y27" s="33"/>
      <c r="Z27" s="33"/>
    </row>
    <row r="28" spans="5:26" ht="11.25" customHeight="1" x14ac:dyDescent="0.2">
      <c r="E28" s="155"/>
      <c r="F28" s="155"/>
      <c r="G28" s="33"/>
      <c r="K28" s="33"/>
      <c r="L28" s="33"/>
      <c r="R28" s="330">
        <f>_xll.qlCalendarAdvance(Calendar,R27,"1D","f")</f>
        <v>42037</v>
      </c>
      <c r="S28" s="439">
        <f>_xll.qlInterpolationInterpolate(delta3Minterpolation,R28,TRUE)</f>
        <v>2.8857989590052316E-4</v>
      </c>
      <c r="T28" s="222">
        <f>_xll.qlInterpolationInterpolate(basis3Minterpolation,R28,TRUE)</f>
        <v>1.1456840534056533E-3</v>
      </c>
      <c r="Y28" s="33"/>
      <c r="Z28" s="33"/>
    </row>
    <row r="29" spans="5:26" ht="11.25" customHeight="1" x14ac:dyDescent="0.2">
      <c r="E29" s="155"/>
      <c r="F29" s="155"/>
      <c r="G29" s="33"/>
      <c r="K29" s="33"/>
      <c r="L29" s="33"/>
      <c r="R29" s="330">
        <f>_xll.qlCalendarAdvance(Calendar,R28,"1D","f")</f>
        <v>42038</v>
      </c>
      <c r="S29" s="439">
        <f>_xll.qlInterpolationInterpolate(delta3Minterpolation,R29,TRUE)</f>
        <v>2.9110433603950648E-4</v>
      </c>
      <c r="T29" s="222">
        <f>_xll.qlInterpolationInterpolate(basis3Minterpolation,R29,TRUE)</f>
        <v>1.1550222988628966E-3</v>
      </c>
      <c r="Y29" s="33"/>
      <c r="Z29" s="33"/>
    </row>
    <row r="30" spans="5:26" ht="11.25" customHeight="1" x14ac:dyDescent="0.2">
      <c r="E30" s="155"/>
      <c r="F30" s="155"/>
      <c r="G30" s="33"/>
      <c r="K30" s="33"/>
      <c r="L30" s="33"/>
      <c r="R30" s="330">
        <f>_xll.qlCalendarAdvance(Calendar,R29,"1D","f")</f>
        <v>42039</v>
      </c>
      <c r="S30" s="439">
        <f>_xll.qlInterpolationInterpolate(delta3Minterpolation,R30,TRUE)</f>
        <v>2.9362908453038931E-4</v>
      </c>
      <c r="T30" s="222">
        <f>_xll.qlInterpolationInterpolate(basis3Minterpolation,R30,TRUE)</f>
        <v>1.1643607519700987E-3</v>
      </c>
      <c r="Y30" s="33"/>
      <c r="Z30" s="33"/>
    </row>
    <row r="31" spans="5:26" ht="11.25" customHeight="1" x14ac:dyDescent="0.2">
      <c r="E31" s="155"/>
      <c r="F31" s="155"/>
      <c r="G31" s="33"/>
      <c r="K31" s="33"/>
      <c r="L31" s="33"/>
      <c r="R31" s="330">
        <f>_xll.qlCalendarAdvance(Calendar,R30,"1D","f")</f>
        <v>42040</v>
      </c>
      <c r="S31" s="439">
        <f>_xll.qlInterpolationInterpolate(delta3Minterpolation,R31,TRUE)</f>
        <v>2.9615169288008786E-4</v>
      </c>
      <c r="T31" s="222">
        <f>_xll.qlInterpolationInterpolate(basis3Minterpolation,R31,TRUE)</f>
        <v>1.1736904600441107E-3</v>
      </c>
      <c r="Y31" s="33"/>
      <c r="Z31" s="33"/>
    </row>
    <row r="32" spans="5:26" ht="11.25" customHeight="1" x14ac:dyDescent="0.2">
      <c r="E32" s="155"/>
      <c r="F32" s="155"/>
      <c r="G32" s="33"/>
      <c r="K32" s="33"/>
      <c r="L32" s="33"/>
      <c r="R32" s="330">
        <f>_xll.qlCalendarAdvance(Calendar,R31,"1D","f")</f>
        <v>42041</v>
      </c>
      <c r="S32" s="439">
        <f>_xll.qlInterpolationInterpolate(delta3Minterpolation,R32,TRUE)</f>
        <v>2.9866971259551823E-4</v>
      </c>
      <c r="T32" s="222">
        <f>_xll.qlInterpolationInterpolate(basis3Minterpolation,R32,TRUE)</f>
        <v>1.1830024704017833E-3</v>
      </c>
      <c r="Y32" s="33"/>
      <c r="Z32" s="33"/>
    </row>
    <row r="33" spans="5:26" ht="11.25" customHeight="1" x14ac:dyDescent="0.2">
      <c r="E33" s="155"/>
      <c r="F33" s="155"/>
      <c r="G33" s="33"/>
      <c r="K33" s="33"/>
      <c r="L33" s="33"/>
      <c r="R33" s="330">
        <f>_xll.qlCalendarAdvance(Calendar,R32,"1D","f")</f>
        <v>42044</v>
      </c>
      <c r="S33" s="439">
        <f>_xll.qlInterpolationInterpolate(delta3Minterpolation,R33,TRUE)</f>
        <v>3.061717550053615E-4</v>
      </c>
      <c r="T33" s="222">
        <f>_xll.qlInterpolationInterpolate(basis3Minterpolation,R33,TRUE)</f>
        <v>1.2107427883452724E-3</v>
      </c>
      <c r="Y33" s="33"/>
      <c r="Z33" s="33"/>
    </row>
    <row r="34" spans="5:26" ht="11.25" customHeight="1" x14ac:dyDescent="0.2">
      <c r="E34" s="155"/>
      <c r="F34" s="155"/>
      <c r="G34" s="33"/>
      <c r="K34" s="33"/>
      <c r="L34" s="33"/>
      <c r="R34" s="330">
        <f>_xll.qlCalendarAdvance(Calendar,R33,"1D","f")</f>
        <v>42045</v>
      </c>
      <c r="S34" s="439">
        <f>_xll.qlInterpolationInterpolate(delta3Minterpolation,R34,TRUE)</f>
        <v>3.0864693525288033E-4</v>
      </c>
      <c r="T34" s="222">
        <f>_xll.qlInterpolationInterpolate(basis3Minterpolation,R34,TRUE)</f>
        <v>1.2198944810060948E-3</v>
      </c>
      <c r="Y34" s="33"/>
      <c r="Z34" s="33"/>
    </row>
    <row r="35" spans="5:26" ht="11.25" customHeight="1" x14ac:dyDescent="0.2">
      <c r="E35" s="155"/>
      <c r="F35" s="155"/>
      <c r="G35" s="33"/>
      <c r="K35" s="33"/>
      <c r="L35" s="33"/>
      <c r="R35" s="330">
        <f>_xll.qlCalendarAdvance(Calendar,R34,"1D","f")</f>
        <v>42046</v>
      </c>
      <c r="S35" s="439">
        <f>_xll.qlInterpolationInterpolate(delta3Minterpolation,R35,TRUE)</f>
        <v>3.1110528440071164E-4</v>
      </c>
      <c r="T35" s="222">
        <f>_xll.qlInterpolationInterpolate(basis3Minterpolation,R35,TRUE)</f>
        <v>1.2289837125348316E-3</v>
      </c>
      <c r="Y35" s="33"/>
      <c r="Z35" s="33"/>
    </row>
    <row r="36" spans="5:26" ht="11.25" customHeight="1" x14ac:dyDescent="0.2">
      <c r="E36" s="155"/>
      <c r="F36" s="155"/>
      <c r="G36" s="33"/>
      <c r="K36" s="33"/>
      <c r="L36" s="33"/>
      <c r="R36" s="330">
        <f>_xll.qlCalendarAdvance(Calendar,R35,"1D","f")</f>
        <v>42047</v>
      </c>
      <c r="S36" s="439">
        <f>_xll.qlInterpolationInterpolate(delta3Minterpolation,R36,TRUE)</f>
        <v>3.1354435395577145E-4</v>
      </c>
      <c r="T36" s="222">
        <f>_xll.qlInterpolationInterpolate(basis3Minterpolation,R36,TRUE)</f>
        <v>1.2380015302483332E-3</v>
      </c>
      <c r="Y36" s="33"/>
      <c r="Z36" s="33"/>
    </row>
    <row r="37" spans="5:26" ht="11.25" customHeight="1" x14ac:dyDescent="0.2">
      <c r="E37" s="155"/>
      <c r="F37" s="155"/>
      <c r="G37" s="33"/>
      <c r="K37" s="33"/>
      <c r="L37" s="33"/>
      <c r="R37" s="330">
        <f>_xll.qlCalendarAdvance(Calendar,R36,"1D","f")</f>
        <v>42048</v>
      </c>
      <c r="S37" s="439">
        <f>_xll.qlInterpolationInterpolate(delta3Minterpolation,R37,TRUE)</f>
        <v>3.1596169542497593E-4</v>
      </c>
      <c r="T37" s="222">
        <f>_xll.qlInterpolationInterpolate(basis3Minterpolation,R37,TRUE)</f>
        <v>1.2469389814634508E-3</v>
      </c>
      <c r="Y37" s="33"/>
      <c r="Z37" s="33"/>
    </row>
    <row r="38" spans="5:26" ht="11.25" customHeight="1" x14ac:dyDescent="0.2">
      <c r="E38" s="155"/>
      <c r="F38" s="155"/>
      <c r="G38" s="33"/>
      <c r="K38" s="33"/>
      <c r="L38" s="33"/>
      <c r="R38" s="330">
        <f>_xll.qlCalendarAdvance(Calendar,R37,"1D","f")</f>
        <v>42051</v>
      </c>
      <c r="S38" s="439">
        <f>_xll.qlInterpolationInterpolate(delta3Minterpolation,R38,TRUE)</f>
        <v>3.2305886638661852E-4</v>
      </c>
      <c r="T38" s="222">
        <f>_xll.qlInterpolationInterpolate(basis3Minterpolation,R38,TRUE)</f>
        <v>1.2731796092870053E-3</v>
      </c>
      <c r="Y38" s="33"/>
      <c r="Z38" s="33"/>
    </row>
    <row r="39" spans="5:26" ht="11.25" customHeight="1" x14ac:dyDescent="0.2">
      <c r="E39" s="155"/>
      <c r="F39" s="155"/>
      <c r="G39" s="33"/>
      <c r="K39" s="33"/>
      <c r="L39" s="33"/>
      <c r="R39" s="330">
        <f>_xll.qlCalendarAdvance(Calendar,R38,"1D","f")</f>
        <v>42052</v>
      </c>
      <c r="S39" s="439">
        <f>_xll.qlInterpolationInterpolate(delta3Minterpolation,R39,TRUE)</f>
        <v>3.2536481058156283E-4</v>
      </c>
      <c r="T39" s="222">
        <f>_xll.qlInterpolationInterpolate(basis3Minterpolation,R39,TRUE)</f>
        <v>1.2817060676770932E-3</v>
      </c>
      <c r="Y39" s="33"/>
      <c r="Z39" s="33"/>
    </row>
    <row r="40" spans="5:26" ht="11.25" customHeight="1" x14ac:dyDescent="0.2">
      <c r="E40" s="155"/>
      <c r="F40" s="155"/>
      <c r="G40" s="33"/>
      <c r="K40" s="33"/>
      <c r="L40" s="33"/>
      <c r="R40" s="330">
        <f>_xll.qlCalendarAdvance(Calendar,R39,"1D","f")</f>
        <v>42053</v>
      </c>
      <c r="S40" s="439">
        <f>_xll.qlInterpolationInterpolate(delta3Minterpolation,R40,TRUE)</f>
        <v>3.2763678422523246E-4</v>
      </c>
      <c r="T40" s="222">
        <f>_xll.qlInterpolationInterpolate(basis3Minterpolation,R40,TRUE)</f>
        <v>1.2901073961530507E-3</v>
      </c>
      <c r="Y40" s="33"/>
      <c r="Z40" s="33"/>
    </row>
    <row r="41" spans="5:26" ht="11.25" customHeight="1" x14ac:dyDescent="0.2">
      <c r="E41" s="155"/>
      <c r="F41" s="155"/>
      <c r="G41" s="33"/>
      <c r="K41" s="33"/>
      <c r="L41" s="33"/>
      <c r="R41" s="330">
        <f>_xll.qlCalendarAdvance(Calendar,R40,"1D","f")</f>
        <v>42054</v>
      </c>
      <c r="S41" s="439">
        <f>_xll.qlInterpolationInterpolate(delta3Minterpolation,R41,TRUE)</f>
        <v>3.2987233882454344E-4</v>
      </c>
      <c r="T41" s="222">
        <f>_xll.qlInterpolationInterpolate(basis3Minterpolation,R41,TRUE)</f>
        <v>1.2983746420317283E-3</v>
      </c>
      <c r="Y41" s="33"/>
      <c r="Z41" s="33"/>
    </row>
    <row r="42" spans="5:26" ht="11.25" customHeight="1" x14ac:dyDescent="0.2">
      <c r="E42" s="155"/>
      <c r="F42" s="155"/>
      <c r="G42" s="33"/>
      <c r="K42" s="33"/>
      <c r="L42" s="33"/>
      <c r="R42" s="330">
        <f>_xll.qlCalendarAdvance(Calendar,R41,"1D","f")</f>
        <v>42055</v>
      </c>
      <c r="S42" s="439">
        <f>_xll.qlInterpolationInterpolate(delta3Minterpolation,R42,TRUE)</f>
        <v>3.3206902588641188E-4</v>
      </c>
      <c r="T42" s="222">
        <f>_xll.qlInterpolationInterpolate(basis3Minterpolation,R42,TRUE)</f>
        <v>1.3064988526299769E-3</v>
      </c>
      <c r="Y42" s="33"/>
      <c r="Z42" s="33"/>
    </row>
    <row r="43" spans="5:26" ht="11.25" customHeight="1" x14ac:dyDescent="0.2">
      <c r="E43" s="155"/>
      <c r="F43" s="155"/>
      <c r="G43" s="33"/>
      <c r="K43" s="33"/>
      <c r="L43" s="33"/>
      <c r="R43" s="330">
        <f>_xll.qlCalendarAdvance(Calendar,R42,"1D","f")</f>
        <v>42058</v>
      </c>
      <c r="S43" s="439">
        <f>_xll.qlInterpolationInterpolate(delta3Minterpolation,R43,TRUE)</f>
        <v>3.3840139691652352E-4</v>
      </c>
      <c r="T43" s="222">
        <f>_xll.qlInterpolationInterpolate(basis3Minterpolation,R43,TRUE)</f>
        <v>1.3299237459106559E-3</v>
      </c>
      <c r="Y43" s="33"/>
      <c r="Z43" s="33"/>
    </row>
    <row r="44" spans="5:26" ht="11.25" customHeight="1" x14ac:dyDescent="0.2">
      <c r="E44" s="155"/>
      <c r="F44" s="155"/>
      <c r="G44" s="33"/>
      <c r="K44" s="33"/>
      <c r="L44" s="33"/>
      <c r="R44" s="330">
        <f>_xll.qlCalendarAdvance(Calendar,R43,"1D","f")</f>
        <v>42059</v>
      </c>
      <c r="S44" s="439">
        <f>_xll.qlInterpolationInterpolate(delta3Minterpolation,R44,TRUE)</f>
        <v>3.4041812889778328E-4</v>
      </c>
      <c r="T44" s="222">
        <f>_xll.qlInterpolationInterpolate(basis3Minterpolation,R44,TRUE)</f>
        <v>1.3373862885556957E-3</v>
      </c>
      <c r="Y44" s="33"/>
      <c r="Z44" s="33"/>
    </row>
    <row r="45" spans="5:26" ht="11.25" customHeight="1" x14ac:dyDescent="0.2">
      <c r="E45" s="155"/>
      <c r="F45" s="155"/>
      <c r="G45" s="33"/>
      <c r="K45" s="33"/>
      <c r="L45" s="33"/>
      <c r="R45" s="330">
        <f>_xll.qlCalendarAdvance(Calendar,R44,"1D","f")</f>
        <v>42060</v>
      </c>
      <c r="S45" s="439">
        <f>_xll.qlInterpolationInterpolate(delta3Minterpolation,R45,TRUE)</f>
        <v>3.4238375087618103E-4</v>
      </c>
      <c r="T45" s="222">
        <f>_xll.qlInterpolationInterpolate(basis3Minterpolation,R45,TRUE)</f>
        <v>1.3446610325045601E-3</v>
      </c>
      <c r="Y45" s="33"/>
      <c r="Z45" s="33"/>
    </row>
    <row r="46" spans="5:26" ht="11.25" customHeight="1" x14ac:dyDescent="0.2">
      <c r="E46" s="155"/>
      <c r="F46" s="155"/>
      <c r="G46" s="33"/>
      <c r="K46" s="33"/>
      <c r="L46" s="33"/>
      <c r="R46" s="330">
        <f>_xll.qlCalendarAdvance(Calendar,R45,"1D","f")</f>
        <v>42061</v>
      </c>
      <c r="S46" s="439">
        <f>_xll.qlInterpolationInterpolate(delta3Minterpolation,R46,TRUE)</f>
        <v>3.442958143586331E-4</v>
      </c>
      <c r="T46" s="222">
        <f>_xll.qlInterpolationInterpolate(basis3Minterpolation,R46,TRUE)</f>
        <v>1.3517390250740997E-3</v>
      </c>
      <c r="Y46" s="33"/>
      <c r="Z46" s="33"/>
    </row>
    <row r="47" spans="5:26" ht="11.25" customHeight="1" x14ac:dyDescent="0.2">
      <c r="E47" s="155"/>
      <c r="F47" s="155"/>
      <c r="G47" s="33"/>
      <c r="K47" s="33"/>
      <c r="L47" s="33"/>
      <c r="R47" s="330">
        <f>_xll.qlCalendarAdvance(Calendar,R46,"1D","f")</f>
        <v>42062</v>
      </c>
      <c r="S47" s="439">
        <f>_xll.qlInterpolationInterpolate(delta3Minterpolation,R47,TRUE)</f>
        <v>3.4615187085205545E-4</v>
      </c>
      <c r="T47" s="222">
        <f>_xll.qlInterpolationInterpolate(basis3Minterpolation,R47,TRUE)</f>
        <v>1.3586113135811658E-3</v>
      </c>
      <c r="Y47" s="33"/>
      <c r="Z47" s="33"/>
    </row>
    <row r="48" spans="5:26" ht="11.25" customHeight="1" x14ac:dyDescent="0.2">
      <c r="E48" s="155"/>
      <c r="F48" s="155"/>
      <c r="G48" s="33"/>
      <c r="K48" s="33"/>
      <c r="L48" s="33"/>
      <c r="R48" s="330">
        <f>_xll.qlCalendarAdvance(Calendar,R47,"1D","f")</f>
        <v>42065</v>
      </c>
      <c r="S48" s="439">
        <f>_xll.qlInterpolationInterpolate(delta3Minterpolation,R48,TRUE)</f>
        <v>3.5135951346730587E-4</v>
      </c>
      <c r="T48" s="222">
        <f>_xll.qlInterpolationInterpolate(basis3Minterpolation,R48,TRUE)</f>
        <v>1.3779044278960277E-3</v>
      </c>
      <c r="Y48" s="33"/>
      <c r="Z48" s="33"/>
    </row>
    <row r="49" spans="5:26" ht="11.25" customHeight="1" x14ac:dyDescent="0.2">
      <c r="E49" s="155"/>
      <c r="F49" s="155"/>
      <c r="G49" s="33"/>
      <c r="K49" s="33"/>
      <c r="L49" s="33"/>
      <c r="R49" s="330">
        <f>_xll.qlCalendarAdvance(Calendar,R48,"1D","f")</f>
        <v>42066</v>
      </c>
      <c r="S49" s="439">
        <f>_xll.qlInterpolationInterpolate(delta3Minterpolation,R49,TRUE)</f>
        <v>3.5296705707377082E-4</v>
      </c>
      <c r="T49" s="222">
        <f>_xll.qlInterpolationInterpolate(basis3Minterpolation,R49,TRUE)</f>
        <v>1.3838643733217054E-3</v>
      </c>
      <c r="Y49" s="33"/>
      <c r="Z49" s="33"/>
    </row>
    <row r="50" spans="5:26" ht="11.25" customHeight="1" x14ac:dyDescent="0.2">
      <c r="E50" s="155"/>
      <c r="F50" s="155"/>
      <c r="G50" s="33"/>
      <c r="K50" s="33"/>
      <c r="L50" s="33"/>
      <c r="R50" s="330">
        <f>_xll.qlCalendarAdvance(Calendar,R49,"1D","f")</f>
        <v>42067</v>
      </c>
      <c r="S50" s="439">
        <f>_xll.qlInterpolationInterpolate(delta3Minterpolation,R50,TRUE)</f>
        <v>3.5450635122578677E-4</v>
      </c>
      <c r="T50" s="222">
        <f>_xll.qlInterpolationInterpolate(basis3Minterpolation,R50,TRUE)</f>
        <v>1.3895738512691631E-3</v>
      </c>
      <c r="Y50" s="33"/>
      <c r="Z50" s="33"/>
    </row>
    <row r="51" spans="5:26" ht="11.25" customHeight="1" x14ac:dyDescent="0.2">
      <c r="E51" s="155"/>
      <c r="F51" s="155"/>
      <c r="G51" s="33"/>
      <c r="K51" s="33"/>
      <c r="L51" s="33"/>
      <c r="R51" s="330">
        <f>_xll.qlCalendarAdvance(Calendar,R50,"1D","f")</f>
        <v>42068</v>
      </c>
      <c r="S51" s="439">
        <f>_xll.qlInterpolationInterpolate(delta3Minterpolation,R51,TRUE)</f>
        <v>3.5597494743026977E-4</v>
      </c>
      <c r="T51" s="222">
        <f>_xll.qlInterpolationInterpolate(basis3Minterpolation,R51,TRUE)</f>
        <v>1.3950239090552514E-3</v>
      </c>
      <c r="Y51" s="33"/>
      <c r="Z51" s="33"/>
    </row>
    <row r="52" spans="5:26" ht="11.25" customHeight="1" x14ac:dyDescent="0.2">
      <c r="E52" s="155"/>
      <c r="F52" s="155"/>
      <c r="G52" s="33"/>
      <c r="K52" s="33"/>
      <c r="L52" s="33"/>
      <c r="R52" s="330">
        <f>_xll.qlCalendarAdvance(Calendar,R51,"1D","f")</f>
        <v>42069</v>
      </c>
      <c r="S52" s="439">
        <f>_xll.qlInterpolationInterpolate(delta3Minterpolation,R52,TRUE)</f>
        <v>3.573703971941359E-4</v>
      </c>
      <c r="T52" s="222">
        <f>_xll.qlInterpolationInterpolate(basis3Minterpolation,R52,TRUE)</f>
        <v>1.400205593996821E-3</v>
      </c>
      <c r="Y52" s="33"/>
      <c r="Z52" s="33"/>
    </row>
    <row r="53" spans="5:26" ht="11.25" customHeight="1" x14ac:dyDescent="0.2">
      <c r="E53" s="155"/>
      <c r="F53" s="155"/>
      <c r="G53" s="33"/>
      <c r="K53" s="33"/>
      <c r="L53" s="33"/>
      <c r="R53" s="330">
        <f>_xll.qlCalendarAdvance(Calendar,R52,"1D","f")</f>
        <v>42072</v>
      </c>
      <c r="S53" s="439">
        <f>_xll.qlInterpolationInterpolate(delta3Minterpolation,R53,TRUE)</f>
        <v>3.6109338291119477E-4</v>
      </c>
      <c r="T53" s="222">
        <f>_xll.qlInterpolationInterpolate(basis3Minterpolation,R53,TRUE)</f>
        <v>1.4140508849229247E-3</v>
      </c>
      <c r="Y53" s="33"/>
      <c r="Z53" s="33"/>
    </row>
    <row r="54" spans="5:26" ht="11.25" customHeight="1" x14ac:dyDescent="0.2">
      <c r="E54" s="155"/>
      <c r="F54" s="155"/>
      <c r="G54" s="33"/>
      <c r="K54" s="33"/>
      <c r="L54" s="33"/>
      <c r="R54" s="330">
        <f>_xll.qlCalendarAdvance(Calendar,R53,"1D","f")</f>
        <v>42073</v>
      </c>
      <c r="S54" s="439">
        <f>_xll.qlInterpolationInterpolate(delta3Minterpolation,R54,TRUE)</f>
        <v>3.6217176198175493E-4</v>
      </c>
      <c r="T54" s="222">
        <f>_xll.qlInterpolationInterpolate(basis3Minterpolation,R54,TRUE)</f>
        <v>1.4180695516549267E-3</v>
      </c>
      <c r="Y54" s="33"/>
      <c r="Z54" s="33"/>
    </row>
    <row r="55" spans="5:26" ht="11.25" customHeight="1" x14ac:dyDescent="0.2">
      <c r="E55" s="155"/>
      <c r="F55" s="155"/>
      <c r="G55" s="33"/>
      <c r="K55" s="33"/>
      <c r="L55" s="33"/>
      <c r="R55" s="330">
        <f>_xll.qlCalendarAdvance(Calendar,R54,"1D","f")</f>
        <v>42074</v>
      </c>
      <c r="S55" s="439">
        <f>_xll.qlInterpolationInterpolate(delta3Minterpolation,R55,TRUE)</f>
        <v>3.6316475214627887E-4</v>
      </c>
      <c r="T55" s="222">
        <f>_xll.qlInterpolationInterpolate(basis3Minterpolation,R55,TRUE)</f>
        <v>1.4217750821266639E-3</v>
      </c>
      <c r="Y55" s="33"/>
      <c r="Z55" s="33"/>
    </row>
    <row r="56" spans="5:26" ht="11.25" customHeight="1" x14ac:dyDescent="0.2">
      <c r="E56" s="155"/>
      <c r="F56" s="155"/>
      <c r="G56" s="33"/>
      <c r="K56" s="33"/>
      <c r="L56" s="33"/>
      <c r="R56" s="330">
        <f>_xll.qlCalendarAdvance(Calendar,R55,"1D","f")</f>
        <v>42075</v>
      </c>
      <c r="S56" s="439">
        <f>_xll.qlInterpolationInterpolate(delta3Minterpolation,R56,TRUE)</f>
        <v>3.6406990491168266E-4</v>
      </c>
      <c r="T56" s="222">
        <f>_xll.qlInterpolationInterpolate(basis3Minterpolation,R56,TRUE)</f>
        <v>1.4251585236549867E-3</v>
      </c>
      <c r="Y56" s="33"/>
      <c r="Z56" s="33"/>
    </row>
    <row r="57" spans="5:26" ht="11.25" customHeight="1" x14ac:dyDescent="0.2">
      <c r="E57" s="155"/>
      <c r="F57" s="155"/>
      <c r="G57" s="33"/>
      <c r="K57" s="33"/>
      <c r="L57" s="33"/>
      <c r="R57" s="330">
        <f>_xll.qlCalendarAdvance(Calendar,R56,"1D","f")</f>
        <v>42076</v>
      </c>
      <c r="S57" s="439">
        <f>_xll.qlInterpolationInterpolate(delta3Minterpolation,R57,TRUE)</f>
        <v>3.6488477178488253E-4</v>
      </c>
      <c r="T57" s="222">
        <f>_xll.qlInterpolationInterpolate(basis3Minterpolation,R57,TRUE)</f>
        <v>1.4282109235567461E-3</v>
      </c>
      <c r="Y57" s="33"/>
      <c r="Z57" s="33"/>
    </row>
    <row r="58" spans="5:26" ht="11.25" customHeight="1" x14ac:dyDescent="0.2">
      <c r="E58" s="155"/>
      <c r="F58" s="155"/>
      <c r="G58" s="33"/>
      <c r="K58" s="33"/>
      <c r="L58" s="33"/>
      <c r="R58" s="330">
        <f>_xll.qlCalendarAdvance(Calendar,R57,"1D","f")</f>
        <v>42079</v>
      </c>
      <c r="S58" s="439">
        <f>_xll.qlInterpolationInterpolate(delta3Minterpolation,R58,TRUE)</f>
        <v>3.6676317212041957E-4</v>
      </c>
      <c r="T58" s="222">
        <f>_xll.qlInterpolationInterpolate(basis3Minterpolation,R58,TRUE)</f>
        <v>1.4352923466711505E-3</v>
      </c>
      <c r="Y58" s="33"/>
      <c r="Z58" s="33"/>
    </row>
    <row r="59" spans="5:26" ht="11.25" customHeight="1" x14ac:dyDescent="0.2">
      <c r="E59" s="155"/>
      <c r="F59" s="155"/>
      <c r="G59" s="33"/>
      <c r="K59" s="33"/>
      <c r="L59" s="33"/>
      <c r="R59" s="330">
        <f>_xll.qlCalendarAdvance(Calendar,R58,"1D","f")</f>
        <v>42080</v>
      </c>
      <c r="S59" s="439">
        <f>_xll.qlInterpolationInterpolate(delta3Minterpolation,R59,TRUE)</f>
        <v>3.6719241049396479E-4</v>
      </c>
      <c r="T59" s="222">
        <f>_xll.qlInterpolationInterpolate(basis3Minterpolation,R59,TRUE)</f>
        <v>1.436931053235163E-3</v>
      </c>
      <c r="Y59" s="33"/>
      <c r="Z59" s="33"/>
    </row>
    <row r="60" spans="5:26" ht="11.25" customHeight="1" x14ac:dyDescent="0.2">
      <c r="E60" s="155"/>
      <c r="F60" s="155"/>
      <c r="G60" s="33"/>
      <c r="K60" s="33"/>
      <c r="L60" s="33"/>
      <c r="R60" s="330">
        <f>_xll.qlCalendarAdvance(Calendar,R59,"1D","f")</f>
        <v>42081</v>
      </c>
      <c r="S60" s="439">
        <f>_xll.qlInterpolationInterpolate(delta3Minterpolation,R60,TRUE)</f>
        <v>3.6751912050988665E-4</v>
      </c>
      <c r="T60" s="222">
        <f>_xll.qlInterpolationInterpolate(basis3Minterpolation,R60,TRUE)</f>
        <v>1.438193954756866E-3</v>
      </c>
      <c r="Y60" s="33"/>
      <c r="Z60" s="33"/>
    </row>
    <row r="61" spans="5:26" ht="11.25" customHeight="1" x14ac:dyDescent="0.2">
      <c r="E61" s="155"/>
      <c r="F61" s="155"/>
      <c r="G61" s="33"/>
      <c r="K61" s="33"/>
      <c r="L61" s="33"/>
      <c r="R61" s="330">
        <f>_xll.qlCalendarAdvance(Calendar,R60,"1D","f")</f>
        <v>42082</v>
      </c>
      <c r="S61" s="439">
        <f>_xll.qlInterpolationInterpolate(delta3Minterpolation,R61,TRUE)</f>
        <v>3.6779074332875364E-4</v>
      </c>
      <c r="T61" s="222">
        <f>_xll.qlInterpolationInterpolate(basis3Minterpolation,R61,TRUE)</f>
        <v>1.4392542322991613E-3</v>
      </c>
      <c r="Y61" s="33"/>
      <c r="Z61" s="33"/>
    </row>
    <row r="62" spans="5:26" ht="11.25" customHeight="1" x14ac:dyDescent="0.2">
      <c r="E62" s="155"/>
      <c r="F62" s="155"/>
      <c r="G62" s="33"/>
      <c r="K62" s="33"/>
      <c r="L62" s="33"/>
      <c r="R62" s="330">
        <f>_xll.qlCalendarAdvance(Calendar,R61,"1D","f")</f>
        <v>42083</v>
      </c>
      <c r="S62" s="439">
        <f>_xll.qlInterpolationInterpolate(delta3Minterpolation,R62,TRUE)</f>
        <v>3.6805639665829628E-4</v>
      </c>
      <c r="T62" s="222">
        <f>_xll.qlInterpolationInterpolate(basis3Minterpolation,R62,TRUE)</f>
        <v>1.4402912079867158E-3</v>
      </c>
      <c r="Y62" s="33"/>
      <c r="Z62" s="33"/>
    </row>
    <row r="63" spans="5:26" ht="11.25" customHeight="1" x14ac:dyDescent="0.2">
      <c r="E63" s="155"/>
      <c r="F63" s="155"/>
      <c r="G63" s="33"/>
      <c r="K63" s="33"/>
      <c r="L63" s="33"/>
      <c r="R63" s="330">
        <f>_xll.qlCalendarAdvance(Calendar,R62,"1D","f")</f>
        <v>42086</v>
      </c>
      <c r="S63" s="439">
        <f>_xll.qlInterpolationInterpolate(delta3Minterpolation,R63,TRUE)</f>
        <v>3.6881820298756982E-4</v>
      </c>
      <c r="T63" s="222">
        <f>_xll.qlInterpolationInterpolate(basis3Minterpolation,R63,TRUE)</f>
        <v>1.4432649130159045E-3</v>
      </c>
      <c r="Y63" s="33"/>
      <c r="Z63" s="33"/>
    </row>
    <row r="64" spans="5:26" ht="11.25" customHeight="1" x14ac:dyDescent="0.2">
      <c r="E64" s="155"/>
      <c r="F64" s="155"/>
      <c r="G64" s="33"/>
      <c r="K64" s="33"/>
      <c r="L64" s="33"/>
      <c r="R64" s="330">
        <f>_xll.qlCalendarAdvance(Calendar,R63,"1D","f")</f>
        <v>42087</v>
      </c>
      <c r="S64" s="439">
        <f>_xll.qlInterpolationInterpolate(delta3Minterpolation,R64,TRUE)</f>
        <v>3.6906064163640671E-4</v>
      </c>
      <c r="T64" s="222">
        <f>_xll.qlInterpolationInterpolate(basis3Minterpolation,R64,TRUE)</f>
        <v>1.4442112703794664E-3</v>
      </c>
      <c r="Y64" s="33"/>
      <c r="Z64" s="33"/>
    </row>
    <row r="65" spans="5:26" ht="11.25" customHeight="1" x14ac:dyDescent="0.2">
      <c r="E65" s="155"/>
      <c r="F65" s="155"/>
      <c r="G65" s="33"/>
      <c r="K65" s="33"/>
      <c r="L65" s="33"/>
      <c r="R65" s="330">
        <f>_xll.qlCalendarAdvance(Calendar,R64,"1D","f")</f>
        <v>42088</v>
      </c>
      <c r="S65" s="439">
        <f>_xll.qlInterpolationInterpolate(delta3Minterpolation,R65,TRUE)</f>
        <v>3.6929744243421506E-4</v>
      </c>
      <c r="T65" s="222">
        <f>_xll.qlInterpolationInterpolate(basis3Minterpolation,R65,TRUE)</f>
        <v>1.445135620435773E-3</v>
      </c>
      <c r="Y65" s="33"/>
      <c r="Z65" s="33"/>
    </row>
    <row r="66" spans="5:26" ht="11.25" customHeight="1" x14ac:dyDescent="0.2">
      <c r="E66" s="155"/>
      <c r="F66" s="155"/>
      <c r="G66" s="33"/>
      <c r="K66" s="33"/>
      <c r="L66" s="33"/>
      <c r="R66" s="330">
        <f>_xll.qlCalendarAdvance(Calendar,R65,"1D","f")</f>
        <v>42089</v>
      </c>
      <c r="S66" s="439">
        <f>_xll.qlInterpolationInterpolate(delta3Minterpolation,R66,TRUE)</f>
        <v>3.6952867170865407E-4</v>
      </c>
      <c r="T66" s="222">
        <f>_xll.qlInterpolationInterpolate(basis3Minterpolation,R66,TRUE)</f>
        <v>1.4460382220943212E-3</v>
      </c>
      <c r="Y66" s="33"/>
      <c r="Z66" s="33"/>
    </row>
    <row r="67" spans="5:26" ht="11.25" customHeight="1" x14ac:dyDescent="0.2">
      <c r="E67" s="155"/>
      <c r="F67" s="155"/>
      <c r="G67" s="33"/>
      <c r="K67" s="33"/>
      <c r="L67" s="33"/>
      <c r="R67" s="330">
        <f>_xll.qlCalendarAdvance(Calendar,R66,"1D","f")</f>
        <v>42090</v>
      </c>
      <c r="S67" s="439">
        <f>_xll.qlInterpolationInterpolate(delta3Minterpolation,R67,TRUE)</f>
        <v>3.6975439578738287E-4</v>
      </c>
      <c r="T67" s="222">
        <f>_xll.qlInterpolationInterpolate(basis3Minterpolation,R67,TRUE)</f>
        <v>1.4469193342646085E-3</v>
      </c>
      <c r="Y67" s="33"/>
      <c r="Z67" s="33"/>
    </row>
    <row r="68" spans="5:26" ht="11.25" customHeight="1" x14ac:dyDescent="0.2">
      <c r="E68" s="155"/>
      <c r="F68" s="155"/>
      <c r="G68" s="33"/>
      <c r="K68" s="33"/>
      <c r="L68" s="33"/>
      <c r="R68" s="330">
        <f>_xll.qlCalendarAdvance(Calendar,R67,"1D","f")</f>
        <v>42093</v>
      </c>
      <c r="S68" s="439">
        <f>_xll.qlInterpolationInterpolate(delta3Minterpolation,R68,TRUE)</f>
        <v>3.7039920012589946E-4</v>
      </c>
      <c r="T68" s="222">
        <f>_xll.qlInterpolationInterpolate(basis3Minterpolation,R68,TRUE)</f>
        <v>1.4494363229408751E-3</v>
      </c>
      <c r="Y68" s="33"/>
      <c r="Z68" s="33"/>
    </row>
    <row r="69" spans="5:26" ht="11.25" customHeight="1" x14ac:dyDescent="0.2">
      <c r="E69" s="155"/>
      <c r="F69" s="155"/>
      <c r="G69" s="33"/>
      <c r="K69" s="33"/>
      <c r="L69" s="33"/>
      <c r="R69" s="330">
        <f>_xll.qlCalendarAdvance(Calendar,R68,"1D","f")</f>
        <v>42094</v>
      </c>
      <c r="S69" s="439">
        <f>_xll.qlInterpolationInterpolate(delta3Minterpolation,R69,TRUE)</f>
        <v>3.7060356669837898E-4</v>
      </c>
      <c r="T69" s="222">
        <f>_xll.qlInterpolationInterpolate(basis3Minterpolation,R69,TRUE)</f>
        <v>1.4502340662530893E-3</v>
      </c>
      <c r="Y69" s="33"/>
      <c r="Z69" s="33"/>
    </row>
    <row r="70" spans="5:26" ht="11.25" customHeight="1" x14ac:dyDescent="0.2">
      <c r="E70" s="155"/>
      <c r="F70" s="155"/>
      <c r="G70" s="33"/>
      <c r="K70" s="33"/>
      <c r="L70" s="33"/>
      <c r="R70" s="330">
        <f>_xll.qlCalendarAdvance(Calendar,R69,"1D","f")</f>
        <v>42095</v>
      </c>
      <c r="S70" s="439">
        <f>_xll.qlInterpolationInterpolate(delta3Minterpolation,R70,TRUE)</f>
        <v>3.7080275971344406E-4</v>
      </c>
      <c r="T70" s="222">
        <f>_xll.qlInterpolationInterpolate(basis3Minterpolation,R70,TRUE)</f>
        <v>1.4510116146245278E-3</v>
      </c>
      <c r="Y70" s="33"/>
      <c r="Z70" s="33"/>
    </row>
    <row r="71" spans="5:26" ht="11.25" customHeight="1" x14ac:dyDescent="0.2">
      <c r="E71" s="155"/>
      <c r="F71" s="155"/>
      <c r="G71" s="33"/>
      <c r="K71" s="33"/>
      <c r="L71" s="33"/>
      <c r="R71" s="330">
        <f>_xll.qlCalendarAdvance(Calendar,R70,"1D","f")</f>
        <v>42096</v>
      </c>
      <c r="S71" s="439">
        <f>_xll.qlInterpolationInterpolate(delta3Minterpolation,R71,TRUE)</f>
        <v>3.7099684549875387E-4</v>
      </c>
      <c r="T71" s="222">
        <f>_xll.qlInterpolationInterpolate(basis3Minterpolation,R71,TRUE)</f>
        <v>1.4517692269646883E-3</v>
      </c>
      <c r="Y71" s="33"/>
      <c r="Z71" s="33"/>
    </row>
    <row r="72" spans="5:26" ht="11.25" customHeight="1" x14ac:dyDescent="0.2">
      <c r="E72" s="155"/>
      <c r="F72" s="155"/>
      <c r="G72" s="33"/>
      <c r="K72" s="33"/>
      <c r="L72" s="33"/>
      <c r="R72" s="330">
        <f>_xll.qlCalendarAdvance(Calendar,R71,"1D","f")</f>
        <v>42101</v>
      </c>
      <c r="S72" s="439">
        <f>_xll.qlInterpolationInterpolate(delta3Minterpolation,R72,TRUE)</f>
        <v>3.7189298744704456E-4</v>
      </c>
      <c r="T72" s="222">
        <f>_xll.qlInterpolationInterpolate(basis3Minterpolation,R72,TRUE)</f>
        <v>1.4552673100287137E-3</v>
      </c>
      <c r="Y72" s="33"/>
      <c r="Z72" s="33"/>
    </row>
    <row r="73" spans="5:26" ht="11.25" customHeight="1" x14ac:dyDescent="0.2">
      <c r="E73" s="155"/>
      <c r="F73" s="155"/>
      <c r="G73" s="33"/>
      <c r="K73" s="33"/>
      <c r="L73" s="33"/>
      <c r="R73" s="330">
        <f>_xll.qlCalendarAdvance(Calendar,R72,"1D","f")</f>
        <v>42102</v>
      </c>
      <c r="S73" s="439">
        <f>_xll.qlInterpolationInterpolate(delta3Minterpolation,R73,TRUE)</f>
        <v>3.7205782273466519E-4</v>
      </c>
      <c r="T73" s="222">
        <f>_xll.qlInterpolationInterpolate(basis3Minterpolation,R73,TRUE)</f>
        <v>1.4559107432806436E-3</v>
      </c>
      <c r="Y73" s="33"/>
      <c r="Z73" s="33"/>
    </row>
    <row r="74" spans="5:26" ht="11.25" customHeight="1" x14ac:dyDescent="0.2">
      <c r="E74" s="155"/>
      <c r="F74" s="155"/>
      <c r="G74" s="33"/>
      <c r="K74" s="33"/>
      <c r="L74" s="33"/>
      <c r="R74" s="330">
        <f>_xll.qlCalendarAdvance(Calendar,R73,"1D","f")</f>
        <v>42103</v>
      </c>
      <c r="S74" s="439">
        <f>_xll.qlInterpolationInterpolate(delta3Minterpolation,R74,TRUE)</f>
        <v>3.7221801508614463E-4</v>
      </c>
      <c r="T74" s="222">
        <f>_xll.qlInterpolationInterpolate(basis3Minterpolation,R74,TRUE)</f>
        <v>1.4565360528677746E-3</v>
      </c>
      <c r="Y74" s="33"/>
      <c r="Z74" s="33"/>
    </row>
    <row r="75" spans="5:26" ht="11.25" customHeight="1" x14ac:dyDescent="0.2">
      <c r="E75" s="155"/>
      <c r="F75" s="155"/>
      <c r="G75" s="33"/>
      <c r="K75" s="33"/>
      <c r="L75" s="33"/>
      <c r="R75" s="330">
        <f>_xll.qlCalendarAdvance(Calendar,R74,"1D","f")</f>
        <v>42104</v>
      </c>
      <c r="S75" s="439">
        <f>_xll.qlInterpolationInterpolate(delta3Minterpolation,R75,TRUE)</f>
        <v>3.7237363082914208E-4</v>
      </c>
      <c r="T75" s="222">
        <f>_xll.qlInterpolationInterpolate(basis3Minterpolation,R75,TRUE)</f>
        <v>1.4571434976996046E-3</v>
      </c>
      <c r="Y75" s="33"/>
      <c r="Z75" s="33"/>
    </row>
    <row r="76" spans="5:26" ht="11.25" customHeight="1" x14ac:dyDescent="0.2">
      <c r="E76" s="155"/>
      <c r="F76" s="155"/>
      <c r="G76" s="33"/>
      <c r="K76" s="33"/>
      <c r="L76" s="33"/>
      <c r="R76" s="330">
        <f>_xll.qlCalendarAdvance(Calendar,R75,"1D","f")</f>
        <v>42107</v>
      </c>
      <c r="S76" s="439">
        <f>_xll.qlInterpolationInterpolate(delta3Minterpolation,R76,TRUE)</f>
        <v>3.7281368168383411E-4</v>
      </c>
      <c r="T76" s="222">
        <f>_xll.qlInterpolationInterpolate(basis3Minterpolation,R76,TRUE)</f>
        <v>1.458861232758257E-3</v>
      </c>
      <c r="Y76" s="33"/>
      <c r="Z76" s="33"/>
    </row>
    <row r="77" spans="5:26" ht="11.25" customHeight="1" x14ac:dyDescent="0.2">
      <c r="E77" s="155"/>
      <c r="F77" s="155"/>
      <c r="G77" s="33"/>
      <c r="K77" s="33"/>
      <c r="L77" s="33"/>
      <c r="R77" s="330">
        <f>_xll.qlCalendarAdvance(Calendar,R76,"1D","f")</f>
        <v>42108</v>
      </c>
      <c r="S77" s="439">
        <f>_xll.qlInterpolationInterpolate(delta3Minterpolation,R77,TRUE)</f>
        <v>3.7295165426949519E-4</v>
      </c>
      <c r="T77" s="222">
        <f>_xll.qlInterpolationInterpolate(basis3Minterpolation,R77,TRUE)</f>
        <v>1.4593998076638526E-3</v>
      </c>
      <c r="Y77" s="33"/>
      <c r="Z77" s="33"/>
    </row>
    <row r="78" spans="5:26" ht="11.25" customHeight="1" x14ac:dyDescent="0.2">
      <c r="E78" s="155"/>
      <c r="F78" s="155"/>
      <c r="G78" s="33"/>
      <c r="K78" s="33"/>
      <c r="L78" s="33"/>
      <c r="R78" s="330">
        <f>_xll.qlCalendarAdvance(Calendar,R77,"1D","f")</f>
        <v>42109</v>
      </c>
      <c r="S78" s="439">
        <f>_xll.qlInterpolationInterpolate(delta3Minterpolation,R78,TRUE)</f>
        <v>3.7308538188497009E-4</v>
      </c>
      <c r="T78" s="222">
        <f>_xll.qlInterpolationInterpolate(basis3Minterpolation,R78,TRUE)</f>
        <v>1.4599218123616325E-3</v>
      </c>
      <c r="Y78" s="33"/>
      <c r="Z78" s="33"/>
    </row>
    <row r="79" spans="5:26" ht="11.25" customHeight="1" x14ac:dyDescent="0.2">
      <c r="E79" s="155"/>
      <c r="F79" s="155"/>
      <c r="G79" s="33"/>
      <c r="K79" s="33"/>
      <c r="L79" s="33"/>
      <c r="R79" s="330">
        <f>_xll.qlCalendarAdvance(Calendar,R78,"1D","f")</f>
        <v>42110</v>
      </c>
      <c r="S79" s="439">
        <f>_xll.qlInterpolationInterpolate(delta3Minterpolation,R79,TRUE)</f>
        <v>3.7321493085791795E-4</v>
      </c>
      <c r="T79" s="222">
        <f>_xll.qlInterpolationInterpolate(basis3Minterpolation,R79,TRUE)</f>
        <v>1.4604275057610934E-3</v>
      </c>
      <c r="Y79" s="33"/>
      <c r="Z79" s="33"/>
    </row>
    <row r="80" spans="5:26" ht="11.25" customHeight="1" x14ac:dyDescent="0.2">
      <c r="E80" s="155"/>
      <c r="F80" s="155"/>
      <c r="G80" s="33"/>
      <c r="K80" s="33"/>
      <c r="L80" s="33"/>
      <c r="R80" s="330">
        <f>_xll.qlCalendarAdvance(Calendar,R79,"1D","f")</f>
        <v>42111</v>
      </c>
      <c r="S80" s="439">
        <f>_xll.qlInterpolationInterpolate(delta3Minterpolation,R80,TRUE)</f>
        <v>3.7334036751599794E-4</v>
      </c>
      <c r="T80" s="222">
        <f>_xll.qlInterpolationInterpolate(basis3Minterpolation,R80,TRUE)</f>
        <v>1.4609171467717332E-3</v>
      </c>
      <c r="Y80" s="33"/>
      <c r="Z80" s="33"/>
    </row>
    <row r="81" spans="5:26" ht="11.25" customHeight="1" x14ac:dyDescent="0.2">
      <c r="E81" s="155"/>
      <c r="F81" s="155"/>
      <c r="G81" s="33"/>
      <c r="K81" s="33"/>
      <c r="L81" s="33"/>
      <c r="R81" s="330">
        <f>_xll.qlCalendarAdvance(Calendar,R80,"1D","f")</f>
        <v>42114</v>
      </c>
      <c r="S81" s="439">
        <f>_xll.qlInterpolationInterpolate(delta3Minterpolation,R81,TRUE)</f>
        <v>3.7369266687762231E-4</v>
      </c>
      <c r="T81" s="222">
        <f>_xll.qlInterpolationInterpolate(basis3Minterpolation,R81,TRUE)</f>
        <v>1.4622923445656939E-3</v>
      </c>
      <c r="Y81" s="33"/>
      <c r="Z81" s="33"/>
    </row>
    <row r="82" spans="5:26" ht="11.25" customHeight="1" x14ac:dyDescent="0.2">
      <c r="E82" s="155"/>
      <c r="F82" s="155"/>
      <c r="G82" s="33"/>
      <c r="K82" s="33"/>
      <c r="L82" s="33"/>
      <c r="R82" s="330">
        <f>_xll.qlCalendarAdvance(Calendar,R81,"1D","f")</f>
        <v>42115</v>
      </c>
      <c r="S82" s="439">
        <f>_xll.qlInterpolationInterpolate(delta3Minterpolation,R82,TRUE)</f>
        <v>3.7380231755282237E-4</v>
      </c>
      <c r="T82" s="222">
        <f>_xll.qlInterpolationInterpolate(basis3Minterpolation,R82,TRUE)</f>
        <v>1.4627203651160186E-3</v>
      </c>
      <c r="Y82" s="33"/>
      <c r="Z82" s="33"/>
    </row>
    <row r="83" spans="5:26" ht="11.25" customHeight="1" x14ac:dyDescent="0.2">
      <c r="E83" s="155"/>
      <c r="F83" s="155"/>
      <c r="G83" s="33"/>
      <c r="K83" s="33"/>
      <c r="L83" s="33"/>
      <c r="R83" s="330">
        <f>_xll.qlCalendarAdvance(Calendar,R82,"1D","f")</f>
        <v>42116</v>
      </c>
      <c r="S83" s="439">
        <f>_xll.qlInterpolationInterpolate(delta3Minterpolation,R83,TRUE)</f>
        <v>3.7390818755145039E-4</v>
      </c>
      <c r="T83" s="222">
        <f>_xll.qlInterpolationInterpolate(basis3Minterpolation,R83,TRUE)</f>
        <v>1.4631336278250072E-3</v>
      </c>
      <c r="Y83" s="33"/>
      <c r="Z83" s="33"/>
    </row>
    <row r="84" spans="5:26" ht="11.25" customHeight="1" x14ac:dyDescent="0.2">
      <c r="E84" s="155"/>
      <c r="F84" s="155"/>
      <c r="G84" s="33"/>
      <c r="K84" s="33"/>
      <c r="L84" s="33"/>
      <c r="R84" s="330">
        <f>_xll.qlCalendarAdvance(Calendar,R83,"1D","f")</f>
        <v>42117</v>
      </c>
      <c r="S84" s="439">
        <f>_xll.qlInterpolationInterpolate(delta3Minterpolation,R84,TRUE)</f>
        <v>3.7401034320116549E-4</v>
      </c>
      <c r="T84" s="222">
        <f>_xll.qlInterpolationInterpolate(basis3Minterpolation,R84,TRUE)</f>
        <v>1.4635323916021572E-3</v>
      </c>
      <c r="Y84" s="33"/>
      <c r="Z84" s="33"/>
    </row>
    <row r="85" spans="5:26" ht="11.25" customHeight="1" x14ac:dyDescent="0.2">
      <c r="E85" s="155"/>
      <c r="F85" s="155"/>
      <c r="G85" s="33"/>
      <c r="K85" s="33"/>
      <c r="L85" s="33"/>
      <c r="R85" s="330">
        <f>_xll.qlCalendarAdvance(Calendar,R84,"1D","f")</f>
        <v>42118</v>
      </c>
      <c r="S85" s="439">
        <f>_xll.qlInterpolationInterpolate(delta3Minterpolation,R85,TRUE)</f>
        <v>3.7410885082962686E-4</v>
      </c>
      <c r="T85" s="222">
        <f>_xll.qlInterpolationInterpolate(basis3Minterpolation,R85,TRUE)</f>
        <v>1.4639169153569654E-3</v>
      </c>
      <c r="Y85" s="33"/>
      <c r="Z85" s="33"/>
    </row>
    <row r="86" spans="5:26" ht="11.25" customHeight="1" x14ac:dyDescent="0.2">
      <c r="E86" s="155"/>
      <c r="F86" s="155"/>
      <c r="G86" s="33"/>
      <c r="K86" s="33"/>
      <c r="L86" s="33"/>
      <c r="R86" s="330">
        <f>_xll.qlCalendarAdvance(Calendar,R85,"1D","f")</f>
        <v>42121</v>
      </c>
      <c r="S86" s="439">
        <f>_xll.qlInterpolationInterpolate(delta3Minterpolation,R86,TRUE)</f>
        <v>3.7438314886407991E-4</v>
      </c>
      <c r="T86" s="222">
        <f>_xll.qlInterpolationInterpolate(basis3Minterpolation,R86,TRUE)</f>
        <v>1.4649876355823115E-3</v>
      </c>
      <c r="Y86" s="33"/>
      <c r="Z86" s="33"/>
    </row>
    <row r="87" spans="5:26" ht="11.25" customHeight="1" x14ac:dyDescent="0.2">
      <c r="E87" s="155"/>
      <c r="F87" s="155"/>
      <c r="G87" s="33"/>
      <c r="K87" s="33"/>
      <c r="L87" s="33"/>
      <c r="R87" s="330">
        <f>_xll.qlCalendarAdvance(Calendar,R86,"1D","f")</f>
        <v>42122</v>
      </c>
      <c r="S87" s="439">
        <f>_xll.qlInterpolationInterpolate(delta3Minterpolation,R87,TRUE)</f>
        <v>3.7446772768411784E-4</v>
      </c>
      <c r="T87" s="222">
        <f>_xll.qlInterpolationInterpolate(basis3Minterpolation,R87,TRUE)</f>
        <v>1.4653177883427241E-3</v>
      </c>
      <c r="Y87" s="33"/>
      <c r="Z87" s="33"/>
    </row>
    <row r="88" spans="5:26" ht="11.25" customHeight="1" x14ac:dyDescent="0.2">
      <c r="E88" s="155"/>
      <c r="F88" s="155"/>
      <c r="G88" s="33"/>
      <c r="K88" s="33"/>
      <c r="L88" s="33"/>
      <c r="R88" s="330">
        <f>_xll.qlCalendarAdvance(Calendar,R87,"1D","f")</f>
        <v>42123</v>
      </c>
      <c r="S88" s="439">
        <f>_xll.qlInterpolationInterpolate(delta3Minterpolation,R88,TRUE)</f>
        <v>3.7454899012119775E-4</v>
      </c>
      <c r="T88" s="222">
        <f>_xll.qlInterpolationInterpolate(basis3Minterpolation,R88,TRUE)</f>
        <v>1.4656349956282807E-3</v>
      </c>
      <c r="Y88" s="33"/>
      <c r="Z88" s="33"/>
    </row>
    <row r="89" spans="5:26" ht="11.25" customHeight="1" x14ac:dyDescent="0.2">
      <c r="E89" s="155"/>
      <c r="F89" s="155"/>
      <c r="G89" s="33"/>
      <c r="K89" s="33"/>
      <c r="L89" s="33"/>
      <c r="R89" s="330">
        <f>_xll.qlCalendarAdvance(Calendar,R88,"1D","f")</f>
        <v>42124</v>
      </c>
      <c r="S89" s="439">
        <f>_xll.qlInterpolationInterpolate(delta3Minterpolation,R89,TRUE)</f>
        <v>3.7462700250297888E-4</v>
      </c>
      <c r="T89" s="222">
        <f>_xll.qlInterpolationInterpolate(basis3Minterpolation,R89,TRUE)</f>
        <v>1.4659395163484786E-3</v>
      </c>
      <c r="Y89" s="33"/>
      <c r="Z89" s="33"/>
    </row>
    <row r="90" spans="5:26" ht="11.25" customHeight="1" x14ac:dyDescent="0.2">
      <c r="E90" s="155"/>
      <c r="F90" s="155"/>
      <c r="G90" s="33"/>
      <c r="K90" s="33"/>
      <c r="L90" s="33"/>
      <c r="R90" s="330">
        <f>_xll.qlCalendarAdvance(Calendar,R89,"1D","f")</f>
        <v>42128</v>
      </c>
      <c r="S90" s="439">
        <f>_xll.qlInterpolationInterpolate(delta3Minterpolation,R90,TRUE)</f>
        <v>3.7490787803029859E-4</v>
      </c>
      <c r="T90" s="222">
        <f>_xll.qlInterpolationInterpolate(basis3Minterpolation,R90,TRUE)</f>
        <v>1.4670359117656222E-3</v>
      </c>
      <c r="Y90" s="33"/>
      <c r="Z90" s="33"/>
    </row>
    <row r="91" spans="5:26" ht="11.25" customHeight="1" x14ac:dyDescent="0.2">
      <c r="E91" s="155"/>
      <c r="F91" s="155"/>
      <c r="G91" s="33"/>
      <c r="K91" s="33"/>
      <c r="L91" s="33"/>
      <c r="R91" s="330">
        <f>_xll.qlCalendarAdvance(Calendar,R90,"1D","f")</f>
        <v>42129</v>
      </c>
      <c r="S91" s="439">
        <f>_xll.qlInterpolationInterpolate(delta3Minterpolation,R91,TRUE)</f>
        <v>3.7497063505047311E-4</v>
      </c>
      <c r="T91" s="222">
        <f>_xll.qlInterpolationInterpolate(basis3Minterpolation,R91,TRUE)</f>
        <v>1.4672808833014821E-3</v>
      </c>
      <c r="Y91" s="33"/>
      <c r="Z91" s="33"/>
    </row>
    <row r="92" spans="5:26" ht="11.25" customHeight="1" x14ac:dyDescent="0.2">
      <c r="E92" s="155"/>
      <c r="F92" s="155"/>
      <c r="G92" s="33"/>
      <c r="K92" s="33"/>
      <c r="L92" s="33"/>
      <c r="R92" s="330">
        <f>_xll.qlCalendarAdvance(Calendar,R91,"1D","f")</f>
        <v>42130</v>
      </c>
      <c r="S92" s="439">
        <f>_xll.qlInterpolationInterpolate(delta3Minterpolation,R92,TRUE)</f>
        <v>3.7503053998130375E-4</v>
      </c>
      <c r="T92" s="222">
        <f>_xll.qlInterpolationInterpolate(basis3Minterpolation,R92,TRUE)</f>
        <v>1.4675147217289657E-3</v>
      </c>
      <c r="Y92" s="33"/>
      <c r="Z92" s="33"/>
    </row>
    <row r="93" spans="5:26" ht="11.25" customHeight="1" x14ac:dyDescent="0.2">
      <c r="E93" s="155"/>
      <c r="F93" s="155"/>
      <c r="G93" s="33"/>
      <c r="K93" s="33"/>
      <c r="L93" s="33"/>
      <c r="R93" s="330">
        <f>_xll.qlCalendarAdvance(Calendar,R92,"1D","f")</f>
        <v>42131</v>
      </c>
      <c r="S93" s="439">
        <f>_xll.qlInterpolationInterpolate(delta3Minterpolation,R93,TRUE)</f>
        <v>3.7508765915044974E-4</v>
      </c>
      <c r="T93" s="222">
        <f>_xll.qlInterpolationInterpolate(basis3Minterpolation,R93,TRUE)</f>
        <v>1.46773768595757E-3</v>
      </c>
      <c r="Y93" s="33"/>
      <c r="Z93" s="33"/>
    </row>
    <row r="94" spans="5:26" ht="11.25" customHeight="1" x14ac:dyDescent="0.2">
      <c r="E94" s="155"/>
      <c r="F94" s="155"/>
      <c r="G94" s="33"/>
      <c r="K94" s="33"/>
      <c r="L94" s="33"/>
      <c r="R94" s="330">
        <f>_xll.qlCalendarAdvance(Calendar,R93,"1D","f")</f>
        <v>42132</v>
      </c>
      <c r="S94" s="439">
        <f>_xll.qlInterpolationInterpolate(delta3Minterpolation,R94,TRUE)</f>
        <v>3.7514205888557016E-4</v>
      </c>
      <c r="T94" s="222">
        <f>_xll.qlInterpolationInterpolate(basis3Minterpolation,R94,TRUE)</f>
        <v>1.4679500348967925E-3</v>
      </c>
      <c r="Y94" s="33"/>
      <c r="Z94" s="33"/>
    </row>
    <row r="95" spans="5:26" ht="11.25" customHeight="1" x14ac:dyDescent="0.2">
      <c r="E95" s="155"/>
      <c r="F95" s="155"/>
      <c r="G95" s="33"/>
      <c r="K95" s="33"/>
      <c r="L95" s="33"/>
      <c r="R95" s="330">
        <f>_xll.qlCalendarAdvance(Calendar,R94,"1D","f")</f>
        <v>42135</v>
      </c>
      <c r="S95" s="439">
        <f>_xll.qlInterpolationInterpolate(delta3Minterpolation,R95,TRUE)</f>
        <v>3.7528960476336992E-4</v>
      </c>
      <c r="T95" s="222">
        <f>_xll.qlInterpolationInterpolate(basis3Minterpolation,R95,TRUE)</f>
        <v>1.4685259790731392E-3</v>
      </c>
      <c r="Y95" s="33"/>
      <c r="Z95" s="33"/>
    </row>
    <row r="96" spans="5:26" ht="11.25" customHeight="1" x14ac:dyDescent="0.2">
      <c r="E96" s="155"/>
      <c r="F96" s="155"/>
      <c r="G96" s="33"/>
      <c r="K96" s="33"/>
      <c r="L96" s="33"/>
      <c r="R96" s="330">
        <f>_xll.qlCalendarAdvance(Calendar,R95,"1D","f")</f>
        <v>42136</v>
      </c>
      <c r="S96" s="439">
        <f>_xll.qlInterpolationInterpolate(delta3Minterpolation,R96,TRUE)</f>
        <v>3.7533379003897981E-4</v>
      </c>
      <c r="T96" s="222">
        <f>_xll.qlInterpolationInterpolate(basis3Minterpolation,R96,TRUE)</f>
        <v>1.4686984559498051E-3</v>
      </c>
      <c r="Y96" s="33"/>
      <c r="Z96" s="33"/>
    </row>
    <row r="97" spans="5:26" ht="11.25" customHeight="1" x14ac:dyDescent="0.2">
      <c r="E97" s="155"/>
      <c r="F97" s="155"/>
      <c r="G97" s="33"/>
      <c r="K97" s="33"/>
      <c r="L97" s="33"/>
      <c r="R97" s="330">
        <f>_xll.qlCalendarAdvance(Calendar,R96,"1D","f")</f>
        <v>42137</v>
      </c>
      <c r="S97" s="439">
        <f>_xll.qlInterpolationInterpolate(delta3Minterpolation,R97,TRUE)</f>
        <v>3.7537558751886001E-4</v>
      </c>
      <c r="T97" s="222">
        <f>_xll.qlInterpolationInterpolate(basis3Minterpolation,R97,TRUE)</f>
        <v>1.4688616120845743E-3</v>
      </c>
      <c r="Y97" s="33"/>
      <c r="Z97" s="33"/>
    </row>
    <row r="98" spans="5:26" ht="11.25" customHeight="1" x14ac:dyDescent="0.2">
      <c r="E98" s="155"/>
      <c r="F98" s="155"/>
      <c r="G98" s="33"/>
      <c r="K98" s="33"/>
      <c r="L98" s="33"/>
      <c r="R98" s="330">
        <f>_xll.qlCalendarAdvance(Calendar,R97,"1D","f")</f>
        <v>42138</v>
      </c>
      <c r="S98" s="439">
        <f>_xll.qlInterpolationInterpolate(delta3Minterpolation,R98,TRUE)</f>
        <v>3.7541506353066964E-4</v>
      </c>
      <c r="T98" s="222">
        <f>_xll.qlInterpolationInterpolate(basis3Minterpolation,R98,TRUE)</f>
        <v>1.4690157063869445E-3</v>
      </c>
      <c r="Y98" s="33"/>
      <c r="Z98" s="33"/>
    </row>
    <row r="99" spans="5:26" ht="11.25" customHeight="1" x14ac:dyDescent="0.2">
      <c r="E99" s="155"/>
      <c r="F99" s="155"/>
      <c r="G99" s="33"/>
      <c r="K99" s="33"/>
      <c r="L99" s="33"/>
      <c r="R99" s="330">
        <f>_xll.qlCalendarAdvance(Calendar,R98,"1D","f")</f>
        <v>42139</v>
      </c>
      <c r="S99" s="439">
        <f>_xll.qlInterpolationInterpolate(delta3Minterpolation,R99,TRUE)</f>
        <v>3.7545228440206784E-4</v>
      </c>
      <c r="T99" s="222">
        <f>_xll.qlInterpolationInterpolate(basis3Minterpolation,R99,TRUE)</f>
        <v>1.4691609977664126E-3</v>
      </c>
      <c r="Y99" s="33"/>
      <c r="Z99" s="33"/>
    </row>
    <row r="100" spans="5:26" ht="11.25" customHeight="1" x14ac:dyDescent="0.2">
      <c r="E100" s="155"/>
      <c r="F100" s="155"/>
      <c r="G100" s="33"/>
      <c r="K100" s="33"/>
      <c r="L100" s="33"/>
      <c r="R100" s="330">
        <f>_xll.qlCalendarAdvance(Calendar,R99,"1D","f")</f>
        <v>42142</v>
      </c>
      <c r="S100" s="439">
        <f>_xll.qlInterpolationInterpolate(delta3Minterpolation,R100,TRUE)</f>
        <v>3.7555107945038552E-4</v>
      </c>
      <c r="T100" s="222">
        <f>_xll.qlInterpolationInterpolate(basis3Minterpolation,R100,TRUE)</f>
        <v>1.4695466434623751E-3</v>
      </c>
      <c r="Y100" s="33"/>
      <c r="Z100" s="33"/>
    </row>
    <row r="101" spans="5:26" ht="11.25" customHeight="1" x14ac:dyDescent="0.2">
      <c r="E101" s="155"/>
      <c r="F101" s="155"/>
      <c r="G101" s="33"/>
      <c r="K101" s="33"/>
      <c r="L101" s="33"/>
      <c r="R101" s="330">
        <f>_xll.qlCalendarAdvance(Calendar,R100,"1D","f")</f>
        <v>42143</v>
      </c>
      <c r="S101" s="439">
        <f>_xll.qlInterpolationInterpolate(delta3Minterpolation,R101,TRUE)</f>
        <v>3.7557994303672967E-4</v>
      </c>
      <c r="T101" s="222">
        <f>_xll.qlInterpolationInterpolate(basis3Minterpolation,R101,TRUE)</f>
        <v>1.4696593122452057E-3</v>
      </c>
      <c r="Y101" s="33"/>
      <c r="Z101" s="33"/>
    </row>
    <row r="102" spans="5:26" ht="11.25" customHeight="1" x14ac:dyDescent="0.2">
      <c r="E102" s="155"/>
      <c r="F102" s="155"/>
      <c r="G102" s="33"/>
      <c r="K102" s="33"/>
      <c r="L102" s="33"/>
      <c r="R102" s="330">
        <f>_xll.qlCalendarAdvance(Calendar,R101,"1D","f")</f>
        <v>42144</v>
      </c>
      <c r="S102" s="439">
        <f>_xll.qlInterpolationInterpolate(delta3Minterpolation,R102,TRUE)</f>
        <v>3.7560688312095815E-4</v>
      </c>
      <c r="T102" s="222">
        <f>_xll.qlInterpolationInterpolate(basis3Minterpolation,R102,TRUE)</f>
        <v>1.4697644726526199E-3</v>
      </c>
      <c r="Y102" s="33"/>
      <c r="Z102" s="33"/>
    </row>
    <row r="103" spans="5:26" ht="11.25" customHeight="1" x14ac:dyDescent="0.2">
      <c r="E103" s="155"/>
      <c r="F103" s="155"/>
      <c r="G103" s="33"/>
      <c r="K103" s="33"/>
      <c r="L103" s="33"/>
      <c r="R103" s="330">
        <f>_xll.qlCalendarAdvance(Calendar,R102,"1D","f")</f>
        <v>42145</v>
      </c>
      <c r="S103" s="439">
        <f>_xll.qlInterpolationInterpolate(delta3Minterpolation,R103,TRUE)</f>
        <v>3.756319660307302E-4</v>
      </c>
      <c r="T103" s="222">
        <f>_xll.qlInterpolationInterpolate(basis3Minterpolation,R103,TRUE)</f>
        <v>1.4698623835941148E-3</v>
      </c>
      <c r="Y103" s="33"/>
      <c r="Z103" s="33"/>
    </row>
    <row r="104" spans="5:26" ht="11.25" customHeight="1" x14ac:dyDescent="0.2">
      <c r="E104" s="155"/>
      <c r="F104" s="155"/>
      <c r="G104" s="33"/>
      <c r="K104" s="33"/>
      <c r="L104" s="33"/>
      <c r="R104" s="330">
        <f>_xll.qlCalendarAdvance(Calendar,R103,"1D","f")</f>
        <v>42146</v>
      </c>
      <c r="S104" s="439">
        <f>_xll.qlInterpolationInterpolate(delta3Minterpolation,R104,TRUE)</f>
        <v>3.7565525809370496E-4</v>
      </c>
      <c r="T104" s="222">
        <f>_xll.qlInterpolationInterpolate(basis3Minterpolation,R104,TRUE)</f>
        <v>1.4699533039791873E-3</v>
      </c>
      <c r="Y104" s="33"/>
      <c r="Z104" s="33"/>
    </row>
    <row r="105" spans="5:26" ht="11.25" customHeight="1" x14ac:dyDescent="0.2">
      <c r="E105" s="155"/>
      <c r="F105" s="155"/>
      <c r="G105" s="33"/>
      <c r="K105" s="33"/>
      <c r="L105" s="33"/>
      <c r="R105" s="330">
        <f>_xll.qlCalendarAdvance(Calendar,R104,"1D","f")</f>
        <v>42149</v>
      </c>
      <c r="S105" s="439">
        <f>_xll.qlInterpolationInterpolate(delta3Minterpolation,R105,TRUE)</f>
        <v>3.7571505247843706E-4</v>
      </c>
      <c r="T105" s="222">
        <f>_xll.qlInterpolationInterpolate(basis3Minterpolation,R105,TRUE)</f>
        <v>1.4701867108908421E-3</v>
      </c>
      <c r="Y105" s="33"/>
      <c r="Z105" s="33"/>
    </row>
    <row r="106" spans="5:26" ht="11.25" customHeight="1" x14ac:dyDescent="0.2">
      <c r="E106" s="155"/>
      <c r="F106" s="155"/>
      <c r="G106" s="33"/>
      <c r="K106" s="33"/>
      <c r="L106" s="33"/>
      <c r="R106" s="330">
        <f>_xll.qlCalendarAdvance(Calendar,R105,"1D","f")</f>
        <v>42150</v>
      </c>
      <c r="S106" s="439">
        <f>_xll.qlInterpolationInterpolate(delta3Minterpolation,R106,TRUE)</f>
        <v>3.757318444308142E-4</v>
      </c>
      <c r="T106" s="222">
        <f>_xll.qlInterpolationInterpolate(basis3Minterpolation,R106,TRUE)</f>
        <v>1.4702522581451969E-3</v>
      </c>
      <c r="Y106" s="33"/>
      <c r="Z106" s="33"/>
    </row>
    <row r="107" spans="5:26" ht="11.25" customHeight="1" x14ac:dyDescent="0.2">
      <c r="E107" s="155"/>
      <c r="F107" s="155"/>
      <c r="G107" s="33"/>
      <c r="K107" s="33"/>
      <c r="L107" s="33"/>
      <c r="R107" s="330">
        <f>_xll.qlCalendarAdvance(Calendar,R106,"1D","f")</f>
        <v>42151</v>
      </c>
      <c r="S107" s="439">
        <f>_xll.qlInterpolationInterpolate(delta3Minterpolation,R107,TRUE)</f>
        <v>3.7574717717468986E-4</v>
      </c>
      <c r="T107" s="222">
        <f>_xll.qlInterpolationInterpolate(basis3Minterpolation,R107,TRUE)</f>
        <v>1.4703121093906147E-3</v>
      </c>
      <c r="Y107" s="33"/>
      <c r="Z107" s="33"/>
    </row>
    <row r="108" spans="5:26" ht="11.25" customHeight="1" x14ac:dyDescent="0.2">
      <c r="E108" s="155"/>
      <c r="F108" s="155"/>
      <c r="G108" s="33"/>
      <c r="K108" s="33"/>
      <c r="L108" s="33"/>
      <c r="R108" s="330">
        <f>_xll.qlCalendarAdvance(Calendar,R107,"1D","f")</f>
        <v>42152</v>
      </c>
      <c r="S108" s="439">
        <f>_xll.qlInterpolationInterpolate(delta3Minterpolation,R108,TRUE)</f>
        <v>3.7576111703772316E-4</v>
      </c>
      <c r="T108" s="222">
        <f>_xll.qlInterpolationInterpolate(basis3Minterpolation,R108,TRUE)</f>
        <v>1.4703665235365931E-3</v>
      </c>
      <c r="Y108" s="33"/>
      <c r="Z108" s="33"/>
    </row>
    <row r="109" spans="5:26" ht="11.25" customHeight="1" x14ac:dyDescent="0.2">
      <c r="E109" s="155"/>
      <c r="F109" s="155"/>
      <c r="G109" s="33"/>
      <c r="K109" s="33"/>
      <c r="L109" s="33"/>
      <c r="R109" s="330">
        <f>_xll.qlCalendarAdvance(Calendar,R108,"1D","f")</f>
        <v>42153</v>
      </c>
      <c r="S109" s="439">
        <f>_xll.qlInterpolationInterpolate(delta3Minterpolation,R109,TRUE)</f>
        <v>3.7577373034757325E-4</v>
      </c>
      <c r="T109" s="222">
        <f>_xll.qlInterpolationInterpolate(basis3Minterpolation,R109,TRUE)</f>
        <v>1.470415759492629E-3</v>
      </c>
      <c r="Y109" s="33"/>
      <c r="Z109" s="33"/>
    </row>
    <row r="110" spans="5:26" ht="11.25" customHeight="1" x14ac:dyDescent="0.2">
      <c r="E110" s="155"/>
      <c r="F110" s="155"/>
      <c r="G110" s="33"/>
      <c r="K110" s="33"/>
      <c r="L110" s="33"/>
      <c r="R110" s="330">
        <f>_xll.qlCalendarAdvance(Calendar,R109,"1D","f")</f>
        <v>42156</v>
      </c>
      <c r="S110" s="439">
        <f>_xll.qlInterpolationInterpolate(delta3Minterpolation,R110,TRUE)</f>
        <v>3.7580427423461606E-4</v>
      </c>
      <c r="T110" s="222">
        <f>_xll.qlInterpolationInterpolate(basis3Minterpolation,R110,TRUE)</f>
        <v>1.4705349873160535E-3</v>
      </c>
      <c r="Y110" s="33"/>
      <c r="Z110" s="33"/>
    </row>
    <row r="111" spans="5:26" ht="11.25" customHeight="1" x14ac:dyDescent="0.2">
      <c r="E111" s="155"/>
      <c r="F111" s="155"/>
      <c r="G111" s="33"/>
      <c r="K111" s="33"/>
      <c r="L111" s="33"/>
      <c r="R111" s="330">
        <f>_xll.qlCalendarAdvance(Calendar,R110,"1D","f")</f>
        <v>42157</v>
      </c>
      <c r="S111" s="439">
        <f>_xll.qlInterpolationInterpolate(delta3Minterpolation,R111,TRUE)</f>
        <v>3.7581224460832508E-4</v>
      </c>
      <c r="T111" s="222">
        <f>_xll.qlInterpolationInterpolate(basis3Minterpolation,R111,TRUE)</f>
        <v>1.4705660996072909E-3</v>
      </c>
      <c r="Y111" s="33"/>
      <c r="Z111" s="33"/>
    </row>
    <row r="112" spans="5:26" ht="11.25" customHeight="1" x14ac:dyDescent="0.2">
      <c r="E112" s="155"/>
      <c r="F112" s="155"/>
      <c r="G112" s="33"/>
      <c r="K112" s="33"/>
      <c r="L112" s="33"/>
      <c r="R112" s="330">
        <f>_xll.qlCalendarAdvance(Calendar,R111,"1D","f")</f>
        <v>42158</v>
      </c>
      <c r="S112" s="439">
        <f>_xll.qlInterpolationInterpolate(delta3Minterpolation,R112,TRUE)</f>
        <v>3.7581922006714664E-4</v>
      </c>
      <c r="T112" s="222">
        <f>_xll.qlInterpolationInterpolate(basis3Minterpolation,R112,TRUE)</f>
        <v>1.4705933282560715E-3</v>
      </c>
      <c r="Y112" s="33"/>
      <c r="Z112" s="33"/>
    </row>
    <row r="113" spans="5:26" ht="11.25" customHeight="1" x14ac:dyDescent="0.2">
      <c r="E113" s="155"/>
      <c r="F113" s="155"/>
      <c r="G113" s="33"/>
      <c r="K113" s="33"/>
      <c r="L113" s="33"/>
      <c r="R113" s="330">
        <f>_xll.qlCalendarAdvance(Calendar,R112,"1D","f")</f>
        <v>42159</v>
      </c>
      <c r="S113" s="439">
        <f>_xll.qlInterpolationInterpolate(delta3Minterpolation,R113,TRUE)</f>
        <v>3.7582526693873998E-4</v>
      </c>
      <c r="T113" s="222">
        <f>_xll.qlInterpolationInterpolate(basis3Minterpolation,R113,TRUE)</f>
        <v>1.4706169321718923E-3</v>
      </c>
      <c r="Y113" s="33"/>
      <c r="Z113" s="33"/>
    </row>
    <row r="114" spans="5:26" ht="11.25" customHeight="1" x14ac:dyDescent="0.2">
      <c r="E114" s="155"/>
      <c r="F114" s="155"/>
      <c r="G114" s="33"/>
      <c r="K114" s="33"/>
      <c r="L114" s="33"/>
      <c r="R114" s="330">
        <f>_xll.qlCalendarAdvance(Calendar,R113,"1D","f")</f>
        <v>42160</v>
      </c>
      <c r="S114" s="439">
        <f>_xll.qlInterpolationInterpolate(delta3Minterpolation,R114,TRUE)</f>
        <v>3.7583045155076429E-4</v>
      </c>
      <c r="T114" s="222">
        <f>_xll.qlInterpolationInterpolate(basis3Minterpolation,R114,TRUE)</f>
        <v>1.4706371702642507E-3</v>
      </c>
      <c r="Y114" s="33"/>
      <c r="Z114" s="33"/>
    </row>
    <row r="115" spans="5:26" ht="11.25" customHeight="1" x14ac:dyDescent="0.2">
      <c r="E115" s="155"/>
      <c r="F115" s="155"/>
      <c r="G115" s="33"/>
      <c r="K115" s="33"/>
      <c r="L115" s="33"/>
      <c r="R115" s="330">
        <f>_xll.qlCalendarAdvance(Calendar,R114,"1D","f")</f>
        <v>42163</v>
      </c>
      <c r="S115" s="439">
        <f>_xll.qlInterpolationInterpolate(delta3Minterpolation,R115,TRUE)</f>
        <v>3.7584149510601426E-4</v>
      </c>
      <c r="T115" s="222">
        <f>_xll.qlInterpolationInterpolate(basis3Minterpolation,R115,TRUE)</f>
        <v>1.4706802786955216E-3</v>
      </c>
      <c r="Y115" s="33"/>
      <c r="Z115" s="33"/>
    </row>
    <row r="116" spans="5:26" ht="11.25" customHeight="1" x14ac:dyDescent="0.2">
      <c r="E116" s="155"/>
      <c r="F116" s="155"/>
      <c r="G116" s="33"/>
      <c r="K116" s="33"/>
      <c r="L116" s="33"/>
      <c r="R116" s="330">
        <f>_xll.qlCalendarAdvance(Calendar,R115,"1D","f")</f>
        <v>42164</v>
      </c>
      <c r="S116" s="439">
        <f>_xll.qlInterpolationInterpolate(delta3Minterpolation,R116,TRUE)</f>
        <v>3.7584389395635387E-4</v>
      </c>
      <c r="T116" s="222">
        <f>_xll.qlInterpolationInterpolate(basis3Minterpolation,R116,TRUE)</f>
        <v>1.4706896425890007E-3</v>
      </c>
      <c r="Y116" s="33"/>
      <c r="Z116" s="33"/>
    </row>
    <row r="117" spans="5:26" ht="11.25" customHeight="1" x14ac:dyDescent="0.2">
      <c r="E117" s="155"/>
      <c r="F117" s="155"/>
      <c r="G117" s="33"/>
      <c r="K117" s="33"/>
      <c r="L117" s="33"/>
      <c r="R117" s="330">
        <f>_xll.qlCalendarAdvance(Calendar,R116,"1D","f")</f>
        <v>42165</v>
      </c>
      <c r="S117" s="439">
        <f>_xll.qlInterpolationInterpolate(delta3Minterpolation,R117,TRUE)</f>
        <v>3.7584576218542022E-4</v>
      </c>
      <c r="T117" s="222">
        <f>_xll.qlInterpolationInterpolate(basis3Minterpolation,R117,TRUE)</f>
        <v>1.470696935206503E-3</v>
      </c>
      <c r="Y117" s="33"/>
      <c r="Z117" s="33"/>
    </row>
    <row r="118" spans="5:26" ht="11.25" customHeight="1" x14ac:dyDescent="0.2">
      <c r="E118" s="155"/>
      <c r="F118" s="155"/>
      <c r="G118" s="33"/>
      <c r="K118" s="33"/>
      <c r="L118" s="33"/>
      <c r="R118" s="330">
        <f>_xll.qlCalendarAdvance(Calendar,R117,"1D","f")</f>
        <v>42166</v>
      </c>
      <c r="S118" s="439">
        <f>_xll.qlInterpolationInterpolate(delta3Minterpolation,R118,TRUE)</f>
        <v>3.7584716612087238E-4</v>
      </c>
      <c r="T118" s="222">
        <f>_xll.qlInterpolationInterpolate(basis3Minterpolation,R118,TRUE)</f>
        <v>1.4707024154575253E-3</v>
      </c>
      <c r="Y118" s="33"/>
      <c r="Z118" s="33"/>
    </row>
    <row r="119" spans="5:26" ht="11.25" customHeight="1" x14ac:dyDescent="0.2">
      <c r="E119" s="155"/>
      <c r="F119" s="155"/>
      <c r="G119" s="33"/>
      <c r="K119" s="33"/>
      <c r="L119" s="33"/>
      <c r="R119" s="330">
        <f>_xll.qlCalendarAdvance(Calendar,R118,"1D","f")</f>
        <v>42167</v>
      </c>
      <c r="S119" s="439">
        <f>_xll.qlInterpolationInterpolate(delta3Minterpolation,R119,TRUE)</f>
        <v>3.7584817209036965E-4</v>
      </c>
      <c r="T119" s="222">
        <f>_xll.qlInterpolationInterpolate(basis3Minterpolation,R119,TRUE)</f>
        <v>1.470706342251565E-3</v>
      </c>
      <c r="Y119" s="33"/>
      <c r="Z119" s="33"/>
    </row>
    <row r="120" spans="5:26" ht="11.25" customHeight="1" x14ac:dyDescent="0.2">
      <c r="E120" s="155"/>
      <c r="F120" s="155"/>
      <c r="G120" s="33"/>
      <c r="K120" s="33"/>
      <c r="L120" s="33"/>
      <c r="R120" s="330">
        <f>_xll.qlCalendarAdvance(Calendar,R119,"1D","f")</f>
        <v>42170</v>
      </c>
      <c r="S120" s="439">
        <f>_xll.qlInterpolationInterpolate(delta3Minterpolation,R120,TRUE)</f>
        <v>3.7584946547972327E-4</v>
      </c>
      <c r="T120" s="222">
        <f>_xll.qlInterpolationInterpolate(basis3Minterpolation,R120,TRUE)</f>
        <v>1.4707113909867588E-3</v>
      </c>
      <c r="Y120" s="33"/>
      <c r="Z120" s="33"/>
    </row>
    <row r="121" spans="5:26" ht="11.25" customHeight="1" x14ac:dyDescent="0.2">
      <c r="E121" s="155"/>
      <c r="F121" s="155"/>
      <c r="G121" s="33"/>
      <c r="K121" s="33"/>
      <c r="L121" s="33"/>
      <c r="R121" s="330">
        <f>_xll.qlCalendarAdvance(Calendar,R120,"1D","f")</f>
        <v>42171</v>
      </c>
      <c r="S121" s="439">
        <f>_xll.qlInterpolationInterpolate(delta3Minterpolation,R121,TRUE)</f>
        <v>3.7584954286199227E-4</v>
      </c>
      <c r="T121" s="222">
        <f>_xll.qlInterpolationInterpolate(basis3Minterpolation,R121,TRUE)</f>
        <v>1.4707116930478389E-3</v>
      </c>
      <c r="Y121" s="33"/>
      <c r="Z121" s="33"/>
    </row>
    <row r="122" spans="5:26" ht="11.25" customHeight="1" x14ac:dyDescent="0.2">
      <c r="E122" s="155"/>
      <c r="F122" s="155"/>
      <c r="G122" s="33"/>
      <c r="K122" s="33"/>
      <c r="L122" s="33"/>
      <c r="R122" s="330">
        <f>_xll.qlCalendarAdvance(Calendar,R121,"1D","f")</f>
        <v>42172</v>
      </c>
      <c r="S122" s="439">
        <f>_xll.qlInterpolationInterpolate(delta3Minterpolation,R122,TRUE)</f>
        <v>3.7584955391660213E-4</v>
      </c>
      <c r="T122" s="222">
        <f>_xll.qlInterpolationInterpolate(basis3Minterpolation,R122,TRUE)</f>
        <v>1.4707117361994217E-3</v>
      </c>
      <c r="Y122" s="33"/>
      <c r="Z122" s="33"/>
    </row>
    <row r="123" spans="5:26" ht="11.25" customHeight="1" x14ac:dyDescent="0.2">
      <c r="E123" s="155"/>
      <c r="F123" s="155"/>
      <c r="G123" s="33"/>
      <c r="K123" s="33"/>
      <c r="L123" s="33"/>
      <c r="R123" s="330">
        <f>_xll.qlCalendarAdvance(Calendar,R122,"1D","f")</f>
        <v>42173</v>
      </c>
      <c r="S123" s="439">
        <f>_xll.qlInterpolationInterpolate(delta3Minterpolation,R123,TRUE)</f>
        <v>3.7584966444376123E-4</v>
      </c>
      <c r="T123" s="222">
        <f>_xll.qlInterpolationInterpolate(basis3Minterpolation,R123,TRUE)</f>
        <v>1.4707166313288262E-3</v>
      </c>
      <c r="Y123" s="33"/>
      <c r="Z123" s="33"/>
    </row>
    <row r="124" spans="5:26" ht="11.25" customHeight="1" x14ac:dyDescent="0.2">
      <c r="E124" s="155"/>
      <c r="F124" s="155"/>
      <c r="G124" s="33"/>
      <c r="K124" s="33"/>
      <c r="L124" s="33"/>
      <c r="R124" s="330">
        <f>_xll.qlCalendarAdvance(Calendar,R123,"1D","f")</f>
        <v>42174</v>
      </c>
      <c r="S124" s="439">
        <f>_xll.qlInterpolationInterpolate(delta3Minterpolation,R124,TRUE)</f>
        <v>3.7585001785153129E-4</v>
      </c>
      <c r="T124" s="222">
        <f>_xll.qlInterpolationInterpolate(basis3Minterpolation,R124,TRUE)</f>
        <v>1.4707312915362614E-3</v>
      </c>
      <c r="Y124" s="33"/>
      <c r="Z124" s="33"/>
    </row>
    <row r="125" spans="5:26" ht="11.25" customHeight="1" x14ac:dyDescent="0.2">
      <c r="E125" s="155"/>
      <c r="F125" s="155"/>
      <c r="G125" s="33"/>
      <c r="K125" s="33"/>
      <c r="L125" s="33"/>
      <c r="R125" s="330">
        <f>_xll.qlCalendarAdvance(Calendar,R124,"1D","f")</f>
        <v>42177</v>
      </c>
      <c r="S125" s="439">
        <f>_xll.qlInterpolationInterpolate(delta3Minterpolation,R125,TRUE)</f>
        <v>3.7585286275289905E-4</v>
      </c>
      <c r="T125" s="222">
        <f>_xll.qlInterpolationInterpolate(basis3Minterpolation,R125,TRUE)</f>
        <v>1.4708334849150785E-3</v>
      </c>
      <c r="Y125" s="33"/>
      <c r="Z125" s="33"/>
    </row>
    <row r="126" spans="5:26" ht="11.25" customHeight="1" x14ac:dyDescent="0.2">
      <c r="E126" s="155"/>
      <c r="F126" s="155"/>
      <c r="G126" s="33"/>
      <c r="K126" s="33"/>
      <c r="L126" s="33"/>
      <c r="R126" s="330">
        <f>_xll.qlCalendarAdvance(Calendar,R125,"1D","f")</f>
        <v>42178</v>
      </c>
      <c r="S126" s="439">
        <f>_xll.qlInterpolationInterpolate(delta3Minterpolation,R126,TRUE)</f>
        <v>3.7585451507750475E-4</v>
      </c>
      <c r="T126" s="222">
        <f>_xll.qlInterpolationInterpolate(basis3Minterpolation,R126,TRUE)</f>
        <v>1.4708868277229635E-3</v>
      </c>
      <c r="Y126" s="33"/>
      <c r="Z126" s="33"/>
    </row>
    <row r="127" spans="5:26" ht="11.25" customHeight="1" x14ac:dyDescent="0.2">
      <c r="E127" s="155"/>
      <c r="F127" s="155"/>
      <c r="G127" s="33"/>
      <c r="K127" s="33"/>
      <c r="L127" s="33"/>
      <c r="R127" s="330">
        <f>_xll.qlCalendarAdvance(Calendar,R126,"1D","f")</f>
        <v>42179</v>
      </c>
      <c r="S127" s="439">
        <f>_xll.qlInterpolationInterpolate(delta3Minterpolation,R127,TRUE)</f>
        <v>3.758565739799174E-4</v>
      </c>
      <c r="T127" s="222">
        <f>_xll.qlInterpolationInterpolate(basis3Minterpolation,R127,TRUE)</f>
        <v>1.4709497467530431E-3</v>
      </c>
      <c r="Y127" s="33"/>
      <c r="Z127" s="33"/>
    </row>
    <row r="128" spans="5:26" ht="11.25" customHeight="1" x14ac:dyDescent="0.2">
      <c r="E128" s="155"/>
      <c r="F128" s="155"/>
      <c r="G128" s="33"/>
      <c r="K128" s="33"/>
      <c r="L128" s="33"/>
      <c r="R128" s="330">
        <f>_xll.qlCalendarAdvance(Calendar,R127,"1D","f")</f>
        <v>42180</v>
      </c>
      <c r="S128" s="439">
        <f>_xll.qlInterpolationInterpolate(delta3Minterpolation,R128,TRUE)</f>
        <v>3.758590721995761E-4</v>
      </c>
      <c r="T128" s="222">
        <f>_xll.qlInterpolationInterpolate(basis3Minterpolation,R128,TRUE)</f>
        <v>1.4710222042341496E-3</v>
      </c>
      <c r="Y128" s="33"/>
      <c r="Z128" s="33"/>
    </row>
    <row r="129" spans="5:26" ht="11.25" customHeight="1" x14ac:dyDescent="0.2">
      <c r="E129" s="155"/>
      <c r="F129" s="155"/>
      <c r="G129" s="33"/>
      <c r="K129" s="33"/>
      <c r="L129" s="33"/>
      <c r="R129" s="330">
        <f>_xll.qlCalendarAdvance(Calendar,R128,"1D","f")</f>
        <v>42181</v>
      </c>
      <c r="S129" s="439">
        <f>_xll.qlInterpolationInterpolate(delta3Minterpolation,R129,TRUE)</f>
        <v>3.7586204247592E-4</v>
      </c>
      <c r="T129" s="222">
        <f>_xll.qlInterpolationInterpolate(basis3Minterpolation,R129,TRUE)</f>
        <v>1.4711041623951158E-3</v>
      </c>
      <c r="Y129" s="33"/>
      <c r="Z129" s="33"/>
    </row>
    <row r="130" spans="5:26" ht="11.25" customHeight="1" x14ac:dyDescent="0.2">
      <c r="E130" s="155"/>
      <c r="F130" s="155"/>
      <c r="G130" s="33"/>
      <c r="K130" s="33"/>
      <c r="L130" s="33"/>
      <c r="R130" s="330">
        <f>_xll.qlCalendarAdvance(Calendar,R129,"1D","f")</f>
        <v>42184</v>
      </c>
      <c r="S130" s="439">
        <f>_xll.qlInterpolationInterpolate(delta3Minterpolation,R130,TRUE)</f>
        <v>3.7587411303945518E-4</v>
      </c>
      <c r="T130" s="222">
        <f>_xll.qlInterpolationInterpolate(basis3Minterpolation,R130,TRUE)</f>
        <v>1.4714066632454997E-3</v>
      </c>
      <c r="Y130" s="33"/>
      <c r="Z130" s="33"/>
    </row>
    <row r="131" spans="5:26" ht="11.25" customHeight="1" x14ac:dyDescent="0.2">
      <c r="E131" s="155"/>
      <c r="F131" s="155"/>
      <c r="G131" s="33"/>
      <c r="K131" s="33"/>
      <c r="L131" s="33"/>
      <c r="R131" s="330">
        <f>_xll.qlCalendarAdvance(Calendar,R130,"1D","f")</f>
        <v>42185</v>
      </c>
      <c r="S131" s="439">
        <f>_xll.qlInterpolationInterpolate(delta3Minterpolation,R131,TRUE)</f>
        <v>3.7587929893693198E-4</v>
      </c>
      <c r="T131" s="222">
        <f>_xll.qlInterpolationInterpolate(basis3Minterpolation,R131,TRUE)</f>
        <v>1.4715262464142318E-3</v>
      </c>
      <c r="Y131" s="33"/>
      <c r="Z131" s="33"/>
    </row>
    <row r="132" spans="5:26" ht="11.25" customHeight="1" x14ac:dyDescent="0.2">
      <c r="E132" s="155"/>
      <c r="F132" s="155"/>
      <c r="G132" s="33"/>
      <c r="K132" s="33"/>
      <c r="L132" s="33"/>
      <c r="R132" s="330">
        <f>_xll.qlCalendarAdvance(Calendar,R131,"1D","f")</f>
        <v>42186</v>
      </c>
      <c r="S132" s="439">
        <f>_xll.qlInterpolationInterpolate(delta3Minterpolation,R132,TRUE)</f>
        <v>3.7588512058828991E-4</v>
      </c>
      <c r="T132" s="222">
        <f>_xll.qlInterpolationInterpolate(basis3Minterpolation,R132,TRUE)</f>
        <v>1.4716551414069873E-3</v>
      </c>
      <c r="Y132" s="33"/>
      <c r="Z132" s="33"/>
    </row>
    <row r="133" spans="5:26" ht="11.25" customHeight="1" x14ac:dyDescent="0.2">
      <c r="E133" s="155"/>
      <c r="F133" s="155"/>
      <c r="G133" s="33"/>
      <c r="K133" s="33"/>
      <c r="L133" s="33"/>
      <c r="R133" s="330">
        <f>_xll.qlCalendarAdvance(Calendar,R132,"1D","f")</f>
        <v>42187</v>
      </c>
      <c r="S133" s="439">
        <f>_xll.qlInterpolationInterpolate(delta3Minterpolation,R133,TRUE)</f>
        <v>3.7589161073296821E-4</v>
      </c>
      <c r="T133" s="222">
        <f>_xll.qlInterpolationInterpolate(basis3Minterpolation,R133,TRUE)</f>
        <v>1.4717933104525986E-3</v>
      </c>
      <c r="Y133" s="33"/>
      <c r="Z133" s="33"/>
    </row>
    <row r="134" spans="5:26" ht="11.25" customHeight="1" x14ac:dyDescent="0.2">
      <c r="E134" s="155"/>
      <c r="F134" s="155"/>
      <c r="G134" s="33"/>
      <c r="K134" s="33"/>
      <c r="L134" s="33"/>
      <c r="R134" s="330">
        <f>_xll.qlCalendarAdvance(Calendar,R133,"1D","f")</f>
        <v>42188</v>
      </c>
      <c r="S134" s="439">
        <f>_xll.qlInterpolationInterpolate(delta3Minterpolation,R134,TRUE)</f>
        <v>3.7589880211040609E-4</v>
      </c>
      <c r="T134" s="222">
        <f>_xll.qlInterpolationInterpolate(basis3Minterpolation,R134,TRUE)</f>
        <v>1.4719407157798986E-3</v>
      </c>
      <c r="Y134" s="33"/>
      <c r="Z134" s="33"/>
    </row>
    <row r="135" spans="5:26" ht="11.25" customHeight="1" x14ac:dyDescent="0.2">
      <c r="E135" s="155"/>
      <c r="F135" s="155"/>
      <c r="G135" s="33"/>
      <c r="K135" s="33"/>
      <c r="L135" s="33"/>
      <c r="R135" s="330">
        <f>_xll.qlCalendarAdvance(Calendar,R134,"1D","f")</f>
        <v>42191</v>
      </c>
      <c r="S135" s="439">
        <f>_xll.qlInterpolationInterpolate(delta3Minterpolation,R135,TRUE)</f>
        <v>3.7592491103366867E-4</v>
      </c>
      <c r="T135" s="222">
        <f>_xll.qlInterpolationInterpolate(basis3Minterpolation,R135,TRUE)</f>
        <v>1.472437971740258E-3</v>
      </c>
      <c r="Y135" s="33"/>
      <c r="Z135" s="33"/>
    </row>
    <row r="136" spans="5:26" ht="11.25" customHeight="1" x14ac:dyDescent="0.2">
      <c r="E136" s="155"/>
      <c r="F136" s="155"/>
      <c r="G136" s="33"/>
      <c r="K136" s="33"/>
      <c r="L136" s="33"/>
      <c r="R136" s="330">
        <f>_xll.qlCalendarAdvance(Calendar,R135,"1D","f")</f>
        <v>42192</v>
      </c>
      <c r="S136" s="439">
        <f>_xll.qlInterpolationInterpolate(delta3Minterpolation,R136,TRUE)</f>
        <v>3.7593523473653651E-4</v>
      </c>
      <c r="T136" s="222">
        <f>_xll.qlInterpolationInterpolate(basis3Minterpolation,R136,TRUE)</f>
        <v>1.47262194448264E-3</v>
      </c>
      <c r="Y136" s="33"/>
      <c r="Z136" s="33"/>
    </row>
    <row r="137" spans="5:26" ht="11.25" customHeight="1" x14ac:dyDescent="0.2">
      <c r="E137" s="155"/>
      <c r="F137" s="155"/>
      <c r="G137" s="33"/>
      <c r="K137" s="33"/>
      <c r="L137" s="33"/>
      <c r="R137" s="330">
        <f>_xll.qlCalendarAdvance(Calendar,R136,"1D","f")</f>
        <v>42193</v>
      </c>
      <c r="S137" s="439">
        <f>_xll.qlInterpolationInterpolate(delta3Minterpolation,R137,TRUE)</f>
        <v>3.759464233693598E-4</v>
      </c>
      <c r="T137" s="222">
        <f>_xll.qlInterpolationInterpolate(basis3Minterpolation,R137,TRUE)</f>
        <v>1.472814964650874E-3</v>
      </c>
      <c r="Y137" s="33"/>
      <c r="Z137" s="33"/>
    </row>
    <row r="138" spans="5:26" ht="11.25" customHeight="1" x14ac:dyDescent="0.2">
      <c r="E138" s="155"/>
      <c r="F138" s="155"/>
      <c r="G138" s="33"/>
      <c r="K138" s="33"/>
      <c r="L138" s="33"/>
      <c r="R138" s="330">
        <f>_xll.qlCalendarAdvance(Calendar,R137,"1D","f")</f>
        <v>42194</v>
      </c>
      <c r="S138" s="439">
        <f>_xll.qlInterpolationInterpolate(delta3Minterpolation,R138,TRUE)</f>
        <v>3.7595850967157775E-4</v>
      </c>
      <c r="T138" s="222">
        <f>_xll.qlInterpolationInterpolate(basis3Minterpolation,R138,TRUE)</f>
        <v>1.4730169944737932E-3</v>
      </c>
      <c r="Y138" s="33"/>
      <c r="Z138" s="33"/>
    </row>
    <row r="139" spans="5:26" ht="11.25" customHeight="1" x14ac:dyDescent="0.2">
      <c r="E139" s="155"/>
      <c r="F139" s="155"/>
      <c r="G139" s="33"/>
      <c r="K139" s="33"/>
      <c r="L139" s="33"/>
      <c r="R139" s="330">
        <f>_xll.qlCalendarAdvance(Calendar,R138,"1D","f")</f>
        <v>42195</v>
      </c>
      <c r="S139" s="439">
        <f>_xll.qlInterpolationInterpolate(delta3Minterpolation,R139,TRUE)</f>
        <v>3.759715263826295E-4</v>
      </c>
      <c r="T139" s="222">
        <f>_xll.qlInterpolationInterpolate(basis3Minterpolation,R139,TRUE)</f>
        <v>1.4732279961802298E-3</v>
      </c>
      <c r="Y139" s="33"/>
      <c r="Z139" s="33"/>
    </row>
    <row r="140" spans="5:26" ht="11.25" customHeight="1" x14ac:dyDescent="0.2">
      <c r="E140" s="155"/>
      <c r="F140" s="155"/>
      <c r="G140" s="33"/>
      <c r="K140" s="33"/>
      <c r="L140" s="33"/>
      <c r="R140" s="330">
        <f>_xll.qlCalendarAdvance(Calendar,R139,"1D","f")</f>
        <v>42198</v>
      </c>
      <c r="S140" s="439">
        <f>_xll.qlInterpolationInterpolate(delta3Minterpolation,R140,TRUE)</f>
        <v>3.7601648636317962E-4</v>
      </c>
      <c r="T140" s="222">
        <f>_xll.qlInterpolationInterpolate(basis3Minterpolation,R140,TRUE)</f>
        <v>1.4739144548889731E-3</v>
      </c>
      <c r="Y140" s="33"/>
      <c r="Z140" s="33"/>
    </row>
    <row r="141" spans="5:26" ht="11.25" customHeight="1" x14ac:dyDescent="0.2">
      <c r="E141" s="155"/>
      <c r="F141" s="155"/>
      <c r="G141" s="33"/>
      <c r="K141" s="33"/>
      <c r="L141" s="33"/>
      <c r="R141" s="330">
        <f>_xll.qlCalendarAdvance(Calendar,R140,"1D","f")</f>
        <v>42199</v>
      </c>
      <c r="S141" s="439">
        <f>_xll.qlInterpolationInterpolate(delta3Minterpolation,R141,TRUE)</f>
        <v>3.7603355210395854E-4</v>
      </c>
      <c r="T141" s="222">
        <f>_xll.qlInterpolationInterpolate(basis3Minterpolation,R141,TRUE)</f>
        <v>1.4741609664178075E-3</v>
      </c>
      <c r="Y141" s="33"/>
      <c r="Z141" s="33"/>
    </row>
    <row r="142" spans="5:26" ht="11.25" customHeight="1" x14ac:dyDescent="0.2">
      <c r="E142" s="155"/>
      <c r="F142" s="155"/>
      <c r="G142" s="33"/>
      <c r="K142" s="33"/>
      <c r="L142" s="33"/>
      <c r="R142" s="330">
        <f>_xll.qlCalendarAdvance(Calendar,R141,"1D","f")</f>
        <v>42200</v>
      </c>
      <c r="S142" s="439">
        <f>_xll.qlInterpolationInterpolate(delta3Minterpolation,R142,TRUE)</f>
        <v>3.7605171195076719E-4</v>
      </c>
      <c r="T142" s="222">
        <f>_xll.qlInterpolationInterpolate(basis3Minterpolation,R142,TRUE)</f>
        <v>1.4744162609743232E-3</v>
      </c>
      <c r="Y142" s="33"/>
      <c r="Z142" s="33"/>
    </row>
    <row r="143" spans="5:26" ht="11.25" customHeight="1" x14ac:dyDescent="0.2">
      <c r="E143" s="155"/>
      <c r="F143" s="155"/>
      <c r="G143" s="33"/>
      <c r="K143" s="33"/>
      <c r="L143" s="33"/>
      <c r="R143" s="330">
        <f>_xll.qlCalendarAdvance(Calendar,R142,"1D","f")</f>
        <v>42201</v>
      </c>
      <c r="S143" s="439">
        <f>_xll.qlInterpolationInterpolate(delta3Minterpolation,R143,TRUE)</f>
        <v>3.7607099864304477E-4</v>
      </c>
      <c r="T143" s="222">
        <f>_xll.qlInterpolationInterpolate(basis3Minterpolation,R143,TRUE)</f>
        <v>1.4746803007873528E-3</v>
      </c>
      <c r="Y143" s="33"/>
      <c r="Z143" s="33"/>
    </row>
    <row r="144" spans="5:26" ht="11.25" customHeight="1" x14ac:dyDescent="0.2">
      <c r="E144" s="155"/>
      <c r="F144" s="155"/>
      <c r="G144" s="33"/>
      <c r="K144" s="33"/>
      <c r="L144" s="33"/>
      <c r="R144" s="330">
        <f>_xll.qlCalendarAdvance(Calendar,R143,"1D","f")</f>
        <v>42202</v>
      </c>
      <c r="S144" s="439">
        <f>_xll.qlInterpolationInterpolate(delta3Minterpolation,R144,TRUE)</f>
        <v>3.7609144492023043E-4</v>
      </c>
      <c r="T144" s="222">
        <f>_xll.qlInterpolationInterpolate(basis3Minterpolation,R144,TRUE)</f>
        <v>1.4749530480857292E-3</v>
      </c>
      <c r="Y144" s="33"/>
      <c r="Z144" s="33"/>
    </row>
    <row r="145" spans="5:26" ht="11.25" customHeight="1" x14ac:dyDescent="0.2">
      <c r="E145" s="155"/>
      <c r="F145" s="155"/>
      <c r="G145" s="33"/>
      <c r="K145" s="33"/>
      <c r="L145" s="33"/>
      <c r="R145" s="330">
        <f>_xll.qlCalendarAdvance(Calendar,R144,"1D","f")</f>
        <v>42205</v>
      </c>
      <c r="S145" s="439">
        <f>_xll.qlInterpolationInterpolate(delta3Minterpolation,R145,TRUE)</f>
        <v>3.7616006865562806E-4</v>
      </c>
      <c r="T145" s="222">
        <f>_xll.qlInterpolationInterpolate(basis3Minterpolation,R145,TRUE)</f>
        <v>1.4758231571812648E-3</v>
      </c>
      <c r="Y145" s="33"/>
      <c r="Z145" s="33"/>
    </row>
    <row r="146" spans="5:26" ht="11.25" customHeight="1" x14ac:dyDescent="0.2">
      <c r="E146" s="155"/>
      <c r="F146" s="155"/>
      <c r="G146" s="33"/>
      <c r="K146" s="33"/>
      <c r="L146" s="33"/>
      <c r="R146" s="330">
        <f>_xll.qlCalendarAdvance(Calendar,R145,"1D","f")</f>
        <v>42206</v>
      </c>
      <c r="S146" s="439">
        <f>_xll.qlInterpolationInterpolate(delta3Minterpolation,R146,TRUE)</f>
        <v>3.7618548066683806E-4</v>
      </c>
      <c r="T146" s="222">
        <f>_xll.qlInterpolationInterpolate(basis3Minterpolation,R146,TRUE)</f>
        <v>1.4761303567093547E-3</v>
      </c>
      <c r="Y146" s="33"/>
      <c r="Z146" s="33"/>
    </row>
    <row r="147" spans="5:26" ht="11.25" customHeight="1" x14ac:dyDescent="0.2">
      <c r="E147" s="155"/>
      <c r="F147" s="155"/>
      <c r="G147" s="33"/>
      <c r="K147" s="33"/>
      <c r="L147" s="33"/>
      <c r="R147" s="330">
        <f>_xll.qlCalendarAdvance(Calendar,R146,"1D","f")</f>
        <v>42207</v>
      </c>
      <c r="S147" s="439">
        <f>_xll.qlInterpolationInterpolate(delta3Minterpolation,R147,TRUE)</f>
        <v>3.7621221596015211E-4</v>
      </c>
      <c r="T147" s="222">
        <f>_xll.qlInterpolationInterpolate(basis3Minterpolation,R147,TRUE)</f>
        <v>1.4764460748669548E-3</v>
      </c>
      <c r="Y147" s="33"/>
      <c r="Z147" s="33"/>
    </row>
    <row r="148" spans="5:26" ht="11.25" customHeight="1" x14ac:dyDescent="0.2">
      <c r="E148" s="155"/>
      <c r="F148" s="155"/>
      <c r="G148" s="33"/>
      <c r="K148" s="33"/>
      <c r="L148" s="33"/>
      <c r="R148" s="330">
        <f>_xll.qlCalendarAdvance(Calendar,R147,"1D","f")</f>
        <v>42208</v>
      </c>
      <c r="S148" s="439">
        <f>_xll.qlInterpolationInterpolate(delta3Minterpolation,R148,TRUE)</f>
        <v>3.7624030727500938E-4</v>
      </c>
      <c r="T148" s="222">
        <f>_xll.qlInterpolationInterpolate(basis3Minterpolation,R148,TRUE)</f>
        <v>1.4767702738828978E-3</v>
      </c>
      <c r="Y148" s="33"/>
      <c r="Z148" s="33"/>
    </row>
    <row r="149" spans="5:26" ht="11.25" customHeight="1" x14ac:dyDescent="0.2">
      <c r="E149" s="155"/>
      <c r="F149" s="155"/>
      <c r="G149" s="33"/>
      <c r="K149" s="33"/>
      <c r="L149" s="33"/>
      <c r="R149" s="330">
        <f>_xll.qlCalendarAdvance(Calendar,R148,"1D","f")</f>
        <v>42209</v>
      </c>
      <c r="S149" s="439">
        <f>_xll.qlInterpolationInterpolate(delta3Minterpolation,R149,TRUE)</f>
        <v>3.76269787350849E-4</v>
      </c>
      <c r="T149" s="222">
        <f>_xll.qlInterpolationInterpolate(basis3Minterpolation,R149,TRUE)</f>
        <v>1.4771029159860163E-3</v>
      </c>
      <c r="Y149" s="33"/>
      <c r="Z149" s="33"/>
    </row>
    <row r="150" spans="5:26" ht="11.25" customHeight="1" x14ac:dyDescent="0.2">
      <c r="E150" s="155"/>
      <c r="F150" s="155"/>
      <c r="G150" s="33"/>
      <c r="K150" s="33"/>
      <c r="L150" s="33"/>
      <c r="R150" s="330">
        <f>_xll.qlCalendarAdvance(Calendar,R149,"1D","f")</f>
        <v>42212</v>
      </c>
      <c r="S150" s="439">
        <f>_xll.qlInterpolationInterpolate(delta3Minterpolation,R150,TRUE)</f>
        <v>3.7636688753865422E-4</v>
      </c>
      <c r="T150" s="222">
        <f>_xll.qlInterpolationInterpolate(basis3Minterpolation,R150,TRUE)</f>
        <v>1.4781511231067531E-3</v>
      </c>
      <c r="Y150" s="33"/>
      <c r="Z150" s="33"/>
    </row>
    <row r="151" spans="5:26" ht="11.25" customHeight="1" x14ac:dyDescent="0.2">
      <c r="E151" s="155"/>
      <c r="F151" s="155"/>
      <c r="G151" s="33"/>
      <c r="K151" s="33"/>
      <c r="L151" s="33"/>
      <c r="R151" s="330">
        <f>_xll.qlCalendarAdvance(Calendar,R150,"1D","f")</f>
        <v>42213</v>
      </c>
      <c r="S151" s="439">
        <f>_xll.qlInterpolationInterpolate(delta3Minterpolation,R151,TRUE)</f>
        <v>3.7640225005281533E-4</v>
      </c>
      <c r="T151" s="222">
        <f>_xll.qlInterpolationInterpolate(basis3Minterpolation,R151,TRUE)</f>
        <v>1.4785171598469013E-3</v>
      </c>
      <c r="Y151" s="33"/>
      <c r="Z151" s="33"/>
    </row>
    <row r="152" spans="5:26" ht="11.25" customHeight="1" x14ac:dyDescent="0.2">
      <c r="E152" s="155"/>
      <c r="F152" s="155"/>
      <c r="G152" s="33"/>
      <c r="K152" s="33"/>
      <c r="L152" s="33"/>
      <c r="R152" s="330">
        <f>_xll.qlCalendarAdvance(Calendar,R151,"1D","f")</f>
        <v>42214</v>
      </c>
      <c r="S152" s="439">
        <f>_xll.qlInterpolationInterpolate(delta3Minterpolation,R152,TRUE)</f>
        <v>3.7643916502515473E-4</v>
      </c>
      <c r="T152" s="222">
        <f>_xll.qlInterpolationInterpolate(basis3Minterpolation,R152,TRUE)</f>
        <v>1.4788914508183885E-3</v>
      </c>
      <c r="Y152" s="33"/>
      <c r="Z152" s="33"/>
    </row>
    <row r="153" spans="5:26" ht="11.25" customHeight="1" x14ac:dyDescent="0.2">
      <c r="E153" s="155"/>
      <c r="F153" s="155"/>
      <c r="G153" s="33"/>
      <c r="K153" s="33"/>
      <c r="L153" s="33"/>
      <c r="R153" s="330">
        <f>_xll.qlCalendarAdvance(Calendar,R152,"1D","f")</f>
        <v>42215</v>
      </c>
      <c r="S153" s="439">
        <f>_xll.qlInterpolationInterpolate(delta3Minterpolation,R153,TRUE)</f>
        <v>3.7647766519511167E-4</v>
      </c>
      <c r="T153" s="222">
        <f>_xll.qlInterpolationInterpolate(basis3Minterpolation,R153,TRUE)</f>
        <v>1.4792739582500478E-3</v>
      </c>
      <c r="Y153" s="33"/>
      <c r="Z153" s="33"/>
    </row>
    <row r="154" spans="5:26" ht="11.25" customHeight="1" x14ac:dyDescent="0.2">
      <c r="E154" s="155"/>
      <c r="F154" s="155"/>
      <c r="G154" s="33"/>
      <c r="K154" s="33"/>
      <c r="L154" s="33"/>
      <c r="R154" s="330">
        <f>_xll.qlCalendarAdvance(Calendar,R153,"1D","f")</f>
        <v>42216</v>
      </c>
      <c r="S154" s="439">
        <f>_xll.qlInterpolationInterpolate(delta3Minterpolation,R154,TRUE)</f>
        <v>3.765177833021253E-4</v>
      </c>
      <c r="T154" s="222">
        <f>_xll.qlInterpolationInterpolate(basis3Minterpolation,R154,TRUE)</f>
        <v>1.4796646443707116E-3</v>
      </c>
      <c r="Y154" s="33"/>
      <c r="Z154" s="33"/>
    </row>
    <row r="155" spans="5:26" ht="11.25" customHeight="1" x14ac:dyDescent="0.2">
      <c r="E155" s="155"/>
      <c r="F155" s="155"/>
      <c r="G155" s="33"/>
      <c r="K155" s="33"/>
      <c r="L155" s="33"/>
      <c r="R155" s="330">
        <f>_xll.qlCalendarAdvance(Calendar,R154,"1D","f")</f>
        <v>42219</v>
      </c>
      <c r="S155" s="439">
        <f>_xll.qlInterpolationInterpolate(delta3Minterpolation,R155,TRUE)</f>
        <v>3.7664817263989808E-4</v>
      </c>
      <c r="T155" s="222">
        <f>_xll.qlInterpolationInterpolate(basis3Minterpolation,R155,TRUE)</f>
        <v>1.4808853971550577E-3</v>
      </c>
      <c r="Y155" s="33"/>
      <c r="Z155" s="33"/>
    </row>
    <row r="156" spans="5:26" ht="11.25" customHeight="1" x14ac:dyDescent="0.2">
      <c r="E156" s="155"/>
      <c r="F156" s="155"/>
      <c r="G156" s="33"/>
      <c r="K156" s="33"/>
      <c r="L156" s="33"/>
      <c r="R156" s="330">
        <f>_xll.qlCalendarAdvance(Calendar,R155,"1D","f")</f>
        <v>42220</v>
      </c>
      <c r="S156" s="439">
        <f>_xll.qlInterpolationInterpolate(delta3Minterpolation,R156,TRUE)</f>
        <v>3.7669508988953031E-4</v>
      </c>
      <c r="T156" s="222">
        <f>_xll.qlInterpolationInterpolate(basis3Minterpolation,R156,TRUE)</f>
        <v>1.4813084203200669E-3</v>
      </c>
      <c r="Y156" s="33"/>
      <c r="Z156" s="33"/>
    </row>
    <row r="157" spans="5:26" ht="11.25" customHeight="1" x14ac:dyDescent="0.2">
      <c r="E157" s="155"/>
      <c r="F157" s="155"/>
      <c r="G157" s="33"/>
      <c r="K157" s="33"/>
      <c r="L157" s="33"/>
      <c r="R157" s="330">
        <f>_xll.qlCalendarAdvance(Calendar,R156,"1D","f")</f>
        <v>42221</v>
      </c>
      <c r="S157" s="439">
        <f>_xll.qlInterpolationInterpolate(delta3Minterpolation,R157,TRUE)</f>
        <v>3.7674378877341515E-4</v>
      </c>
      <c r="T157" s="222">
        <f>_xll.qlInterpolationInterpolate(basis3Minterpolation,R157,TRUE)</f>
        <v>1.4817394333182443E-3</v>
      </c>
      <c r="Y157" s="33"/>
      <c r="Z157" s="33"/>
    </row>
    <row r="158" spans="5:26" ht="11.25" customHeight="1" x14ac:dyDescent="0.2">
      <c r="E158" s="155"/>
      <c r="F158" s="155"/>
      <c r="G158" s="33"/>
      <c r="K158" s="33"/>
      <c r="L158" s="33"/>
      <c r="R158" s="330">
        <f>_xll.qlCalendarAdvance(Calendar,R157,"1D","f")</f>
        <v>42222</v>
      </c>
      <c r="S158" s="439">
        <f>_xll.qlInterpolationInterpolate(delta3Minterpolation,R158,TRUE)</f>
        <v>3.7679430203099175E-4</v>
      </c>
      <c r="T158" s="222">
        <f>_xll.qlInterpolationInterpolate(basis3Minterpolation,R158,TRUE)</f>
        <v>1.4821783983784225E-3</v>
      </c>
      <c r="Y158" s="33"/>
      <c r="Z158" s="33"/>
    </row>
    <row r="159" spans="5:26" ht="11.25" customHeight="1" x14ac:dyDescent="0.2">
      <c r="E159" s="155"/>
      <c r="F159" s="155"/>
      <c r="G159" s="33"/>
      <c r="K159" s="33"/>
      <c r="L159" s="33"/>
      <c r="R159" s="330">
        <f>_xll.qlCalendarAdvance(Calendar,R158,"1D","f")</f>
        <v>42223</v>
      </c>
      <c r="S159" s="439">
        <f>_xll.qlInterpolationInterpolate(delta3Minterpolation,R159,TRUE)</f>
        <v>3.7684666240169937E-4</v>
      </c>
      <c r="T159" s="222">
        <f>_xll.qlInterpolationInterpolate(basis3Minterpolation,R159,TRUE)</f>
        <v>1.4826252777294343E-3</v>
      </c>
      <c r="Y159" s="33"/>
      <c r="Z159" s="33"/>
    </row>
    <row r="160" spans="5:26" ht="11.25" customHeight="1" x14ac:dyDescent="0.2">
      <c r="E160" s="155"/>
      <c r="F160" s="155"/>
      <c r="G160" s="33"/>
      <c r="K160" s="33"/>
      <c r="L160" s="33"/>
      <c r="R160" s="330">
        <f>_xll.qlCalendarAdvance(Calendar,R159,"1D","f")</f>
        <v>42226</v>
      </c>
      <c r="S160" s="439">
        <f>_xll.qlInterpolationInterpolate(delta3Minterpolation,R160,TRUE)</f>
        <v>3.7701515358699986E-4</v>
      </c>
      <c r="T160" s="222">
        <f>_xll.qlInterpolationInterpolate(basis3Minterpolation,R160,TRUE)</f>
        <v>1.4840130238157985E-3</v>
      </c>
      <c r="Y160" s="33"/>
      <c r="Z160" s="33"/>
    </row>
    <row r="161" spans="5:26" ht="11.25" customHeight="1" x14ac:dyDescent="0.2">
      <c r="E161" s="155"/>
      <c r="F161" s="155"/>
      <c r="G161" s="33"/>
      <c r="K161" s="33"/>
      <c r="L161" s="33"/>
      <c r="R161" s="330">
        <f>_xll.qlCalendarAdvance(Calendar,R160,"1D","f")</f>
        <v>42227</v>
      </c>
      <c r="S161" s="439">
        <f>_xll.qlInterpolationInterpolate(delta3Minterpolation,R161,TRUE)</f>
        <v>3.7707522980462318E-4</v>
      </c>
      <c r="T161" s="222">
        <f>_xll.qlInterpolationInterpolate(basis3Minterpolation,R161,TRUE)</f>
        <v>1.4844911826184717E-3</v>
      </c>
      <c r="Y161" s="33"/>
      <c r="Z161" s="33"/>
    </row>
    <row r="162" spans="5:26" ht="11.25" customHeight="1" x14ac:dyDescent="0.2">
      <c r="E162" s="155"/>
      <c r="F162" s="155"/>
      <c r="G162" s="33"/>
      <c r="K162" s="33"/>
      <c r="L162" s="33"/>
      <c r="R162" s="330">
        <f>_xll.qlCalendarAdvance(Calendar,R161,"1D","f")</f>
        <v>42228</v>
      </c>
      <c r="S162" s="439">
        <f>_xll.qlInterpolationInterpolate(delta3Minterpolation,R162,TRUE)</f>
        <v>3.7713731683257346E-4</v>
      </c>
      <c r="T162" s="222">
        <f>_xll.qlInterpolationInterpolate(basis3Minterpolation,R162,TRUE)</f>
        <v>1.4849770668561419E-3</v>
      </c>
      <c r="Y162" s="33"/>
      <c r="Z162" s="33"/>
    </row>
    <row r="163" spans="5:26" ht="11.25" customHeight="1" x14ac:dyDescent="0.2">
      <c r="E163" s="155"/>
      <c r="F163" s="155"/>
      <c r="G163" s="33"/>
      <c r="K163" s="33"/>
      <c r="L163" s="33"/>
      <c r="R163" s="330">
        <f>_xll.qlCalendarAdvance(Calendar,R162,"1D","f")</f>
        <v>42229</v>
      </c>
      <c r="S163" s="439">
        <f>_xll.qlInterpolationInterpolate(delta3Minterpolation,R163,TRUE)</f>
        <v>3.7720144741028977E-4</v>
      </c>
      <c r="T163" s="222">
        <f>_xll.qlInterpolationInterpolate(basis3Minterpolation,R163,TRUE)</f>
        <v>1.4854706387576421E-3</v>
      </c>
      <c r="Y163" s="33"/>
      <c r="Z163" s="33"/>
    </row>
    <row r="164" spans="5:26" ht="11.25" customHeight="1" x14ac:dyDescent="0.2">
      <c r="E164" s="155"/>
      <c r="F164" s="155"/>
      <c r="G164" s="33"/>
      <c r="K164" s="33"/>
      <c r="L164" s="33"/>
      <c r="R164" s="330">
        <f>_xll.qlCalendarAdvance(Calendar,R163,"1D","f")</f>
        <v>42230</v>
      </c>
      <c r="S164" s="439">
        <f>_xll.qlInterpolationInterpolate(delta3Minterpolation,R164,TRUE)</f>
        <v>3.7726765427721138E-4</v>
      </c>
      <c r="T164" s="222">
        <f>_xll.qlInterpolationInterpolate(basis3Minterpolation,R164,TRUE)</f>
        <v>1.4859718605518047E-3</v>
      </c>
      <c r="Y164" s="33"/>
      <c r="Z164" s="33"/>
    </row>
    <row r="165" spans="5:26" ht="11.25" customHeight="1" x14ac:dyDescent="0.2">
      <c r="E165" s="155"/>
      <c r="F165" s="155"/>
      <c r="G165" s="33"/>
      <c r="K165" s="33"/>
      <c r="L165" s="33"/>
      <c r="R165" s="330">
        <f>_xll.qlCalendarAdvance(Calendar,R164,"1D","f")</f>
        <v>42233</v>
      </c>
      <c r="S165" s="439">
        <f>_xll.qlInterpolationInterpolate(delta3Minterpolation,R165,TRUE)</f>
        <v>3.7747906000759959E-4</v>
      </c>
      <c r="T165" s="222">
        <f>_xll.qlInterpolationInterpolate(basis3Minterpolation,R165,TRUE)</f>
        <v>1.4875210475785953E-3</v>
      </c>
      <c r="Y165" s="33"/>
      <c r="Z165" s="33"/>
    </row>
    <row r="166" spans="5:26" ht="11.25" customHeight="1" x14ac:dyDescent="0.2">
      <c r="E166" s="155"/>
      <c r="F166" s="155"/>
      <c r="G166" s="33"/>
      <c r="K166" s="33"/>
      <c r="L166" s="33"/>
      <c r="R166" s="330">
        <f>_xll.qlCalendarAdvance(Calendar,R165,"1D","f")</f>
        <v>42234</v>
      </c>
      <c r="S166" s="439">
        <f>_xll.qlInterpolationInterpolate(delta3Minterpolation,R166,TRUE)</f>
        <v>3.7755389942573407E-4</v>
      </c>
      <c r="T166" s="222">
        <f>_xll.qlInterpolationInterpolate(basis3Minterpolation,R166,TRUE)</f>
        <v>1.4880524912317351E-3</v>
      </c>
      <c r="Y166" s="33"/>
      <c r="Z166" s="33"/>
    </row>
    <row r="167" spans="5:26" ht="11.25" customHeight="1" x14ac:dyDescent="0.2">
      <c r="E167" s="155"/>
      <c r="F167" s="155"/>
      <c r="G167" s="33"/>
      <c r="K167" s="33"/>
      <c r="L167" s="33"/>
      <c r="R167" s="330">
        <f>_xll.qlCalendarAdvance(Calendar,R166,"1D","f")</f>
        <v>42235</v>
      </c>
      <c r="S167" s="439">
        <f>_xll.qlInterpolationInterpolate(delta3Minterpolation,R167,TRUE)</f>
        <v>3.7763097883026977E-4</v>
      </c>
      <c r="T167" s="222">
        <f>_xll.qlInterpolationInterpolate(basis3Minterpolation,R167,TRUE)</f>
        <v>1.4885913959217013E-3</v>
      </c>
      <c r="Y167" s="33"/>
      <c r="Z167" s="33"/>
    </row>
    <row r="168" spans="5:26" ht="11.25" customHeight="1" x14ac:dyDescent="0.2">
      <c r="E168" s="155"/>
      <c r="F168" s="155"/>
      <c r="G168" s="33"/>
      <c r="K168" s="33"/>
      <c r="L168" s="33"/>
      <c r="R168" s="330">
        <f>_xll.qlCalendarAdvance(Calendar,R167,"1D","f")</f>
        <v>42236</v>
      </c>
      <c r="S168" s="439">
        <f>_xll.qlInterpolationInterpolate(delta3Minterpolation,R168,TRUE)</f>
        <v>3.7771033096064578E-4</v>
      </c>
      <c r="T168" s="222">
        <f>_xll.qlInterpolationInterpolate(basis3Minterpolation,R168,TRUE)</f>
        <v>1.4891377238773261E-3</v>
      </c>
      <c r="Y168" s="33"/>
      <c r="Z168" s="33"/>
    </row>
    <row r="169" spans="5:26" ht="11.25" customHeight="1" x14ac:dyDescent="0.2">
      <c r="E169" s="155"/>
      <c r="F169" s="155"/>
      <c r="G169" s="33"/>
      <c r="K169" s="33"/>
      <c r="L169" s="33"/>
      <c r="R169" s="330">
        <f>_xll.qlCalendarAdvance(Calendar,R168,"1D","f")</f>
        <v>42237</v>
      </c>
      <c r="S169" s="439">
        <f>_xll.qlInterpolationInterpolate(delta3Minterpolation,R169,TRUE)</f>
        <v>3.7779198855630142E-4</v>
      </c>
      <c r="T169" s="222">
        <f>_xll.qlInterpolationInterpolate(basis3Minterpolation,R169,TRUE)</f>
        <v>1.4896914373274425E-3</v>
      </c>
      <c r="Y169" s="33"/>
      <c r="Z169" s="33"/>
    </row>
    <row r="170" spans="5:26" ht="11.25" customHeight="1" x14ac:dyDescent="0.2">
      <c r="E170" s="155"/>
      <c r="F170" s="155"/>
      <c r="G170" s="33"/>
      <c r="K170" s="33"/>
      <c r="L170" s="33"/>
      <c r="R170" s="330">
        <f>_xll.qlCalendarAdvance(Calendar,R169,"1D","f")</f>
        <v>42240</v>
      </c>
      <c r="S170" s="439">
        <f>_xll.qlInterpolationInterpolate(delta3Minterpolation,R170,TRUE)</f>
        <v>3.7805112152933739E-4</v>
      </c>
      <c r="T170" s="222">
        <f>_xll.qlInterpolationInterpolate(basis3Minterpolation,R170,TRUE)</f>
        <v>1.4913965129330681E-3</v>
      </c>
      <c r="Y170" s="33"/>
      <c r="Z170" s="33"/>
    </row>
    <row r="171" spans="5:26" ht="11.25" customHeight="1" x14ac:dyDescent="0.2">
      <c r="E171" s="155"/>
      <c r="F171" s="155"/>
      <c r="G171" s="33"/>
      <c r="K171" s="33"/>
      <c r="L171" s="33"/>
      <c r="R171" s="330">
        <f>_xll.qlCalendarAdvance(Calendar,R170,"1D","f")</f>
        <v>42241</v>
      </c>
      <c r="S171" s="439">
        <f>_xll.qlInterpolationInterpolate(delta3Minterpolation,R171,TRUE)</f>
        <v>3.7814232838050301E-4</v>
      </c>
      <c r="T171" s="222">
        <f>_xll.qlInterpolationInterpolate(basis3Minterpolation,R171,TRUE)</f>
        <v>1.4919793906494777E-3</v>
      </c>
      <c r="Y171" s="33"/>
      <c r="Z171" s="33"/>
    </row>
    <row r="172" spans="5:26" ht="11.25" customHeight="1" x14ac:dyDescent="0.2">
      <c r="E172" s="155"/>
      <c r="F172" s="155"/>
      <c r="G172" s="33"/>
      <c r="K172" s="33"/>
      <c r="L172" s="33"/>
      <c r="R172" s="330">
        <f>_xll.qlCalendarAdvance(Calendar,R171,"1D","f")</f>
        <v>42242</v>
      </c>
      <c r="S172" s="439">
        <f>_xll.qlInterpolationInterpolate(delta3Minterpolation,R172,TRUE)</f>
        <v>3.7823600439414418E-4</v>
      </c>
      <c r="T172" s="222">
        <f>_xll.qlInterpolationInterpolate(basis3Minterpolation,R172,TRUE)</f>
        <v>1.4925694650045423E-3</v>
      </c>
      <c r="Y172" s="33"/>
      <c r="Z172" s="33"/>
    </row>
    <row r="173" spans="5:26" ht="11.25" customHeight="1" x14ac:dyDescent="0.2">
      <c r="E173" s="155"/>
      <c r="F173" s="155"/>
      <c r="G173" s="33"/>
      <c r="K173" s="33"/>
      <c r="L173" s="33"/>
      <c r="R173" s="330">
        <f>_xll.qlCalendarAdvance(Calendar,R172,"1D","f")</f>
        <v>42243</v>
      </c>
      <c r="S173" s="439">
        <f>_xll.qlInterpolationInterpolate(delta3Minterpolation,R173,TRUE)</f>
        <v>3.7833218230969994E-4</v>
      </c>
      <c r="T173" s="222">
        <f>_xll.qlInterpolationInterpolate(basis3Minterpolation,R173,TRUE)</f>
        <v>1.4931666982270948E-3</v>
      </c>
      <c r="Y173" s="33"/>
      <c r="Z173" s="33"/>
    </row>
    <row r="174" spans="5:26" ht="11.25" customHeight="1" x14ac:dyDescent="0.2">
      <c r="E174" s="155"/>
      <c r="F174" s="155"/>
      <c r="G174" s="33"/>
      <c r="K174" s="33"/>
      <c r="L174" s="33"/>
      <c r="R174" s="330">
        <f>_xll.qlCalendarAdvance(Calendar,R173,"1D","f")</f>
        <v>42244</v>
      </c>
      <c r="S174" s="439">
        <f>_xll.qlInterpolationInterpolate(delta3Minterpolation,R174,TRUE)</f>
        <v>3.7843089486660954E-4</v>
      </c>
      <c r="T174" s="222">
        <f>_xll.qlInterpolationInterpolate(basis3Minterpolation,R174,TRUE)</f>
        <v>1.4937710525459677E-3</v>
      </c>
      <c r="Y174" s="33"/>
      <c r="Z174" s="33"/>
    </row>
    <row r="175" spans="5:26" ht="11.25" customHeight="1" x14ac:dyDescent="0.2">
      <c r="E175" s="155"/>
      <c r="F175" s="155"/>
      <c r="G175" s="33"/>
      <c r="K175" s="33"/>
      <c r="L175" s="33"/>
      <c r="R175" s="330">
        <f>_xll.qlCalendarAdvance(Calendar,R174,"1D","f")</f>
        <v>42247</v>
      </c>
      <c r="S175" s="439">
        <f>_xll.qlInterpolationInterpolate(delta3Minterpolation,R175,TRUE)</f>
        <v>3.7874256777985335E-4</v>
      </c>
      <c r="T175" s="222">
        <f>_xll.qlInterpolationInterpolate(basis3Minterpolation,R175,TRUE)</f>
        <v>1.4956264643688367E-3</v>
      </c>
      <c r="Y175" s="33"/>
      <c r="Z175" s="33"/>
    </row>
    <row r="176" spans="5:26" ht="11.25" customHeight="1" x14ac:dyDescent="0.2">
      <c r="E176" s="155"/>
      <c r="F176" s="155"/>
      <c r="G176" s="33"/>
      <c r="K176" s="33"/>
      <c r="L176" s="33"/>
      <c r="R176" s="330">
        <f>_xll.qlCalendarAdvance(Calendar,R175,"1D","f")</f>
        <v>42248</v>
      </c>
      <c r="S176" s="439">
        <f>_xll.qlInterpolationInterpolate(delta3Minterpolation,R176,TRUE)</f>
        <v>3.7885174629657015E-4</v>
      </c>
      <c r="T176" s="222">
        <f>_xll.qlInterpolationInterpolate(basis3Minterpolation,R176,TRUE)</f>
        <v>1.4962589253613187E-3</v>
      </c>
      <c r="Y176" s="33"/>
      <c r="Z176" s="33"/>
    </row>
    <row r="177" spans="5:26" ht="11.25" customHeight="1" x14ac:dyDescent="0.2">
      <c r="E177" s="155"/>
      <c r="F177" s="155"/>
      <c r="G177" s="33"/>
      <c r="K177" s="33"/>
      <c r="L177" s="33"/>
      <c r="R177" s="330">
        <f>_xll.qlCalendarAdvance(Calendar,R176,"1D","f")</f>
        <v>42249</v>
      </c>
      <c r="S177" s="439">
        <f>_xll.qlInterpolationInterpolate(delta3Minterpolation,R177,TRUE)</f>
        <v>3.7896362315183678E-4</v>
      </c>
      <c r="T177" s="222">
        <f>_xll.qlInterpolationInterpolate(basis3Minterpolation,R177,TRUE)</f>
        <v>1.4968983185942846E-3</v>
      </c>
      <c r="Y177" s="33"/>
      <c r="Z177" s="33"/>
    </row>
    <row r="178" spans="5:26" ht="11.25" customHeight="1" x14ac:dyDescent="0.2">
      <c r="E178" s="155"/>
      <c r="F178" s="155"/>
      <c r="G178" s="33"/>
      <c r="K178" s="33"/>
      <c r="L178" s="33"/>
      <c r="R178" s="330">
        <f>_xll.qlCalendarAdvance(Calendar,R177,"1D","f")</f>
        <v>42250</v>
      </c>
      <c r="S178" s="439">
        <f>_xll.qlInterpolationInterpolate(delta3Minterpolation,R178,TRUE)</f>
        <v>3.7907823108509228E-4</v>
      </c>
      <c r="T178" s="222">
        <f>_xll.qlInterpolationInterpolate(basis3Minterpolation,R178,TRUE)</f>
        <v>1.4975446062965676E-3</v>
      </c>
      <c r="Y178" s="33"/>
      <c r="Z178" s="33"/>
    </row>
    <row r="179" spans="5:26" ht="11.25" customHeight="1" x14ac:dyDescent="0.2">
      <c r="E179" s="155"/>
      <c r="F179" s="155"/>
      <c r="G179" s="33"/>
      <c r="K179" s="33"/>
      <c r="L179" s="33"/>
      <c r="R179" s="330">
        <f>_xll.qlCalendarAdvance(Calendar,R178,"1D","f")</f>
        <v>42251</v>
      </c>
      <c r="S179" s="439">
        <f>_xll.qlInterpolationInterpolate(delta3Minterpolation,R179,TRUE)</f>
        <v>3.7919560283577596E-4</v>
      </c>
      <c r="T179" s="222">
        <f>_xll.qlInterpolationInterpolate(basis3Minterpolation,R179,TRUE)</f>
        <v>1.4981977506969999E-3</v>
      </c>
      <c r="Y179" s="33"/>
      <c r="Z179" s="33"/>
    </row>
    <row r="180" spans="5:26" ht="11.25" customHeight="1" x14ac:dyDescent="0.2">
      <c r="E180" s="155"/>
      <c r="F180" s="155"/>
      <c r="G180" s="33"/>
      <c r="K180" s="33"/>
      <c r="L180" s="33"/>
      <c r="R180" s="330">
        <f>_xll.qlCalendarAdvance(Calendar,R179,"1D","f")</f>
        <v>42254</v>
      </c>
      <c r="S180" s="439">
        <f>_xll.qlInterpolationInterpolate(delta3Minterpolation,R180,TRUE)</f>
        <v>3.7956462838678758E-4</v>
      </c>
      <c r="T180" s="222">
        <f>_xll.qlInterpolationInterpolate(basis3Minterpolation,R180,TRUE)</f>
        <v>1.5001979463755209E-3</v>
      </c>
      <c r="Y180" s="33"/>
      <c r="Z180" s="33"/>
    </row>
    <row r="181" spans="5:26" ht="11.25" customHeight="1" x14ac:dyDescent="0.2">
      <c r="E181" s="155"/>
      <c r="F181" s="155"/>
      <c r="G181" s="33"/>
      <c r="K181" s="33"/>
      <c r="L181" s="33"/>
      <c r="R181" s="330">
        <f>_xll.qlCalendarAdvance(Calendar,R180,"1D","f")</f>
        <v>42255</v>
      </c>
      <c r="S181" s="439">
        <f>_xll.qlInterpolationInterpolate(delta3Minterpolation,R181,TRUE)</f>
        <v>3.7969338280157561E-4</v>
      </c>
      <c r="T181" s="222">
        <f>_xll.qlInterpolationInterpolate(basis3Minterpolation,R181,TRUE)</f>
        <v>1.5008781398568782E-3</v>
      </c>
      <c r="Y181" s="33"/>
      <c r="Z181" s="33"/>
    </row>
    <row r="182" spans="5:26" ht="11.25" customHeight="1" x14ac:dyDescent="0.2">
      <c r="E182" s="155"/>
      <c r="F182" s="155"/>
      <c r="G182" s="33"/>
      <c r="K182" s="33"/>
      <c r="L182" s="33"/>
      <c r="R182" s="330">
        <f>_xll.qlCalendarAdvance(Calendar,R181,"1D","f")</f>
        <v>42256</v>
      </c>
      <c r="S182" s="439">
        <f>_xll.qlInterpolationInterpolate(delta3Minterpolation,R182,TRUE)</f>
        <v>3.7982506473098769E-4</v>
      </c>
      <c r="T182" s="222">
        <f>_xll.qlInterpolationInterpolate(basis3Minterpolation,R182,TRUE)</f>
        <v>1.5015650011805486E-3</v>
      </c>
      <c r="Y182" s="33"/>
      <c r="Z182" s="33"/>
    </row>
    <row r="183" spans="5:26" ht="11.25" customHeight="1" x14ac:dyDescent="0.2">
      <c r="E183" s="155"/>
      <c r="F183" s="155"/>
      <c r="G183" s="33"/>
      <c r="K183" s="33"/>
      <c r="L183" s="33"/>
      <c r="R183" s="330">
        <f>_xll.qlCalendarAdvance(Calendar,R182,"1D","f")</f>
        <v>42257</v>
      </c>
      <c r="S183" s="439">
        <f>_xll.qlInterpolationInterpolate(delta3Minterpolation,R183,TRUE)</f>
        <v>3.7995970691446303E-4</v>
      </c>
      <c r="T183" s="222">
        <f>_xll.qlInterpolationInterpolate(basis3Minterpolation,R183,TRUE)</f>
        <v>1.5022584925753646E-3</v>
      </c>
      <c r="Y183" s="33"/>
      <c r="Z183" s="33"/>
    </row>
    <row r="184" spans="5:26" ht="11.25" customHeight="1" x14ac:dyDescent="0.2">
      <c r="E184" s="155"/>
      <c r="F184" s="155"/>
      <c r="G184" s="33"/>
      <c r="K184" s="33"/>
      <c r="L184" s="33"/>
      <c r="R184" s="330">
        <f>_xll.qlCalendarAdvance(Calendar,R183,"1D","f")</f>
        <v>42258</v>
      </c>
      <c r="S184" s="439">
        <f>_xll.qlInterpolationInterpolate(delta3Minterpolation,R184,TRUE)</f>
        <v>3.8009734209144071E-4</v>
      </c>
      <c r="T184" s="222">
        <f>_xll.qlInterpolationInterpolate(basis3Minterpolation,R184,TRUE)</f>
        <v>1.5029585762701592E-3</v>
      </c>
      <c r="Y184" s="33"/>
      <c r="Z184" s="33"/>
    </row>
    <row r="185" spans="5:26" ht="11.25" customHeight="1" x14ac:dyDescent="0.2">
      <c r="E185" s="155"/>
      <c r="F185" s="155"/>
      <c r="G185" s="33"/>
      <c r="K185" s="33"/>
      <c r="L185" s="33"/>
      <c r="R185" s="330">
        <f>_xll.qlCalendarAdvance(Calendar,R184,"1D","f")</f>
        <v>42261</v>
      </c>
      <c r="S185" s="439">
        <f>_xll.qlInterpolationInterpolate(delta3Minterpolation,R185,TRUE)</f>
        <v>3.8052853297778028E-4</v>
      </c>
      <c r="T185" s="222">
        <f>_xll.qlInterpolationInterpolate(basis3Minterpolation,R185,TRUE)</f>
        <v>1.5050980034427405E-3</v>
      </c>
      <c r="Y185" s="33"/>
      <c r="Z185" s="33"/>
    </row>
    <row r="186" spans="5:26" ht="11.25" customHeight="1" x14ac:dyDescent="0.2">
      <c r="E186" s="155"/>
      <c r="F186" s="155"/>
      <c r="G186" s="33"/>
      <c r="K186" s="33"/>
      <c r="L186" s="33"/>
      <c r="R186" s="330">
        <f>_xll.qlCalendarAdvance(Calendar,R185,"1D","f")</f>
        <v>42262</v>
      </c>
      <c r="S186" s="439">
        <f>_xll.qlInterpolationInterpolate(delta3Minterpolation,R186,TRUE)</f>
        <v>3.8067846752315947E-4</v>
      </c>
      <c r="T186" s="222">
        <f>_xll.qlInterpolationInterpolate(basis3Minterpolation,R186,TRUE)</f>
        <v>1.505824078625776E-3</v>
      </c>
      <c r="Y186" s="33"/>
      <c r="Z186" s="33"/>
    </row>
    <row r="187" spans="5:26" ht="11.25" customHeight="1" x14ac:dyDescent="0.2">
      <c r="E187" s="155"/>
      <c r="F187" s="155"/>
      <c r="G187" s="33"/>
      <c r="K187" s="33"/>
      <c r="L187" s="33"/>
      <c r="R187" s="330">
        <f>_xll.qlCalendarAdvance(Calendar,R186,"1D","f")</f>
        <v>42263</v>
      </c>
      <c r="S187" s="439">
        <f>_xll.qlInterpolationInterpolate(delta3Minterpolation,R187,TRUE)</f>
        <v>3.8083155875923705E-4</v>
      </c>
      <c r="T187" s="222">
        <f>_xll.qlInterpolationInterpolate(basis3Minterpolation,R187,TRUE)</f>
        <v>1.5065565572529535E-3</v>
      </c>
      <c r="Y187" s="33"/>
      <c r="Z187" s="33"/>
    </row>
    <row r="188" spans="5:26" ht="11.25" customHeight="1" x14ac:dyDescent="0.2">
      <c r="E188" s="155"/>
      <c r="F188" s="155"/>
      <c r="G188" s="33"/>
      <c r="K188" s="33"/>
      <c r="L188" s="33"/>
      <c r="R188" s="330">
        <f>_xll.qlCalendarAdvance(Calendar,R187,"1D","f")</f>
        <v>42264</v>
      </c>
      <c r="S188" s="439">
        <f>_xll.qlInterpolationInterpolate(delta3Minterpolation,R188,TRUE)</f>
        <v>3.8098539339679569E-4</v>
      </c>
      <c r="T188" s="222">
        <f>_xll.qlInterpolationInterpolate(basis3Minterpolation,R188,TRUE)</f>
        <v>1.5072876839826719E-3</v>
      </c>
      <c r="Y188" s="33"/>
      <c r="Z188" s="33"/>
    </row>
    <row r="189" spans="5:26" ht="11.25" customHeight="1" x14ac:dyDescent="0.2">
      <c r="E189" s="155"/>
      <c r="F189" s="155"/>
      <c r="G189" s="33"/>
      <c r="K189" s="33"/>
      <c r="L189" s="33"/>
      <c r="R189" s="330">
        <f>_xll.qlCalendarAdvance(Calendar,R188,"1D","f")</f>
        <v>42265</v>
      </c>
      <c r="S189" s="439">
        <f>_xll.qlInterpolationInterpolate(delta3Minterpolation,R189,TRUE)</f>
        <v>3.8113755781124932E-4</v>
      </c>
      <c r="T189" s="222">
        <f>_xll.qlInterpolationInterpolate(basis3Minterpolation,R189,TRUE)</f>
        <v>1.5080098063918891E-3</v>
      </c>
      <c r="Y189" s="33"/>
      <c r="Z189" s="33"/>
    </row>
    <row r="190" spans="5:26" ht="11.25" customHeight="1" x14ac:dyDescent="0.2">
      <c r="E190" s="155"/>
      <c r="F190" s="155"/>
      <c r="G190" s="33"/>
      <c r="K190" s="33"/>
      <c r="L190" s="33"/>
      <c r="R190" s="330">
        <f>_xll.qlCalendarAdvance(Calendar,R189,"1D","f")</f>
        <v>42268</v>
      </c>
      <c r="S190" s="439">
        <f>_xll.qlInterpolationInterpolate(delta3Minterpolation,R190,TRUE)</f>
        <v>3.8158435207984154E-4</v>
      </c>
      <c r="T190" s="222">
        <f>_xll.qlInterpolationInterpolate(basis3Minterpolation,R190,TRUE)</f>
        <v>1.5101233137632354E-3</v>
      </c>
      <c r="Y190" s="33"/>
      <c r="Z190" s="33"/>
    </row>
    <row r="191" spans="5:26" ht="11.25" customHeight="1" x14ac:dyDescent="0.2">
      <c r="E191" s="155"/>
      <c r="F191" s="155"/>
      <c r="G191" s="33"/>
      <c r="K191" s="33"/>
      <c r="L191" s="33"/>
      <c r="R191" s="330">
        <f>_xll.qlCalendarAdvance(Calendar,R190,"1D","f")</f>
        <v>42269</v>
      </c>
      <c r="S191" s="439">
        <f>_xll.qlInterpolationInterpolate(delta3Minterpolation,R191,TRUE)</f>
        <v>3.817301579657364E-4</v>
      </c>
      <c r="T191" s="222">
        <f>_xll.qlInterpolationInterpolate(basis3Minterpolation,R191,TRUE)</f>
        <v>1.5108105849571504E-3</v>
      </c>
      <c r="Y191" s="33"/>
      <c r="Z191" s="33"/>
    </row>
    <row r="192" spans="5:26" ht="11.25" customHeight="1" x14ac:dyDescent="0.2">
      <c r="E192" s="155"/>
      <c r="F192" s="155"/>
      <c r="G192" s="33"/>
      <c r="K192" s="33"/>
      <c r="L192" s="33"/>
      <c r="R192" s="330">
        <f>_xll.qlCalendarAdvance(Calendar,R191,"1D","f")</f>
        <v>42270</v>
      </c>
      <c r="S192" s="439">
        <f>_xll.qlInterpolationInterpolate(delta3Minterpolation,R192,TRUE)</f>
        <v>3.8187445481045686E-4</v>
      </c>
      <c r="T192" s="222">
        <f>_xll.qlInterpolationInterpolate(basis3Minterpolation,R192,TRUE)</f>
        <v>1.5114894348639163E-3</v>
      </c>
      <c r="Y192" s="33"/>
      <c r="Z192" s="33"/>
    </row>
    <row r="193" spans="5:26" ht="11.25" customHeight="1" x14ac:dyDescent="0.2">
      <c r="E193" s="155"/>
      <c r="F193" s="155"/>
      <c r="G193" s="33"/>
      <c r="K193" s="33"/>
      <c r="L193" s="33"/>
      <c r="R193" s="330">
        <f>_xll.qlCalendarAdvance(Calendar,R192,"1D","f")</f>
        <v>42271</v>
      </c>
      <c r="S193" s="439">
        <f>_xll.qlInterpolationInterpolate(delta3Minterpolation,R193,TRUE)</f>
        <v>3.8201727485038899E-4</v>
      </c>
      <c r="T193" s="222">
        <f>_xll.qlInterpolationInterpolate(basis3Minterpolation,R193,TRUE)</f>
        <v>1.5121599800902029E-3</v>
      </c>
      <c r="Y193" s="33"/>
      <c r="Z193" s="33"/>
    </row>
    <row r="194" spans="5:26" ht="11.25" customHeight="1" x14ac:dyDescent="0.2">
      <c r="E194" s="155"/>
      <c r="F194" s="155"/>
      <c r="G194" s="33"/>
      <c r="K194" s="33"/>
      <c r="L194" s="33"/>
      <c r="R194" s="330">
        <f>_xll.qlCalendarAdvance(Calendar,R193,"1D","f")</f>
        <v>42272</v>
      </c>
      <c r="S194" s="439">
        <f>_xll.qlInterpolationInterpolate(delta3Minterpolation,R194,TRUE)</f>
        <v>3.8215865032191888E-4</v>
      </c>
      <c r="T194" s="222">
        <f>_xll.qlInterpolationInterpolate(basis3Minterpolation,R194,TRUE)</f>
        <v>1.5128223372426809E-3</v>
      </c>
      <c r="Y194" s="33"/>
      <c r="Z194" s="33"/>
    </row>
    <row r="195" spans="5:26" ht="11.25" customHeight="1" x14ac:dyDescent="0.2">
      <c r="E195" s="155"/>
      <c r="F195" s="155"/>
      <c r="G195" s="33"/>
      <c r="K195" s="33"/>
      <c r="L195" s="33"/>
      <c r="R195" s="330">
        <f>_xll.qlCalendarAdvance(Calendar,R194,"1D","f")</f>
        <v>42275</v>
      </c>
      <c r="S195" s="439">
        <f>_xll.qlInterpolationInterpolate(delta3Minterpolation,R195,TRUE)</f>
        <v>3.8257443168995646E-4</v>
      </c>
      <c r="T195" s="222">
        <f>_xll.qlInterpolationInterpolate(basis3Minterpolation,R195,TRUE)</f>
        <v>1.5147614463239668E-3</v>
      </c>
      <c r="Y195" s="33"/>
      <c r="Z195" s="33"/>
    </row>
    <row r="196" spans="5:26" ht="11.25" customHeight="1" x14ac:dyDescent="0.2">
      <c r="E196" s="155"/>
      <c r="F196" s="155"/>
      <c r="G196" s="33"/>
      <c r="K196" s="33"/>
      <c r="L196" s="33"/>
      <c r="R196" s="330">
        <f>_xll.qlCalendarAdvance(Calendar,R195,"1D","f")</f>
        <v>42276</v>
      </c>
      <c r="S196" s="439">
        <f>_xll.qlInterpolationInterpolate(delta3Minterpolation,R196,TRUE)</f>
        <v>3.8271035125173861E-4</v>
      </c>
      <c r="T196" s="222">
        <f>_xll.qlInterpolationInterpolate(basis3Minterpolation,R196,TRUE)</f>
        <v>1.5153922172479141E-3</v>
      </c>
      <c r="Y196" s="33"/>
      <c r="Z196" s="33"/>
    </row>
    <row r="197" spans="5:26" ht="11.25" customHeight="1" x14ac:dyDescent="0.2">
      <c r="E197" s="155"/>
      <c r="F197" s="155"/>
      <c r="G197" s="33"/>
      <c r="K197" s="33"/>
      <c r="L197" s="33"/>
      <c r="R197" s="330">
        <f>_xll.qlCalendarAdvance(Calendar,R196,"1D","f")</f>
        <v>42277</v>
      </c>
      <c r="S197" s="439">
        <f>_xll.qlInterpolationInterpolate(delta3Minterpolation,R197,TRUE)</f>
        <v>3.8284498742704911E-4</v>
      </c>
      <c r="T197" s="222">
        <f>_xll.qlInterpolationInterpolate(basis3Minterpolation,R197,TRUE)</f>
        <v>1.5160153831314048E-3</v>
      </c>
      <c r="Y197" s="33"/>
      <c r="Z197" s="33"/>
    </row>
    <row r="198" spans="5:26" ht="11.25" customHeight="1" x14ac:dyDescent="0.2">
      <c r="E198" s="155"/>
      <c r="F198" s="155"/>
      <c r="G198" s="33"/>
      <c r="K198" s="33"/>
      <c r="L198" s="33"/>
      <c r="R198" s="330">
        <f>_xll.qlCalendarAdvance(Calendar,R197,"1D","f")</f>
        <v>42278</v>
      </c>
      <c r="S198" s="439">
        <f>_xll.qlInterpolationInterpolate(delta3Minterpolation,R198,TRUE)</f>
        <v>3.8297837245227406E-4</v>
      </c>
      <c r="T198" s="222">
        <f>_xll.qlInterpolationInterpolate(basis3Minterpolation,R198,TRUE)</f>
        <v>1.5166310605811092E-3</v>
      </c>
      <c r="Y198" s="33"/>
      <c r="Z198" s="33"/>
    </row>
    <row r="199" spans="5:26" ht="11.25" customHeight="1" x14ac:dyDescent="0.2">
      <c r="E199" s="155"/>
      <c r="F199" s="155"/>
      <c r="G199" s="33"/>
      <c r="K199" s="33"/>
      <c r="L199" s="33"/>
      <c r="R199" s="330">
        <f>_xll.qlCalendarAdvance(Calendar,R198,"1D","f")</f>
        <v>42279</v>
      </c>
      <c r="S199" s="439">
        <f>_xll.qlInterpolationInterpolate(delta3Minterpolation,R199,TRUE)</f>
        <v>3.8311053856379955E-4</v>
      </c>
      <c r="T199" s="222">
        <f>_xll.qlInterpolationInterpolate(basis3Minterpolation,R199,TRUE)</f>
        <v>1.5172393662036977E-3</v>
      </c>
      <c r="Y199" s="33"/>
      <c r="Z199" s="33"/>
    </row>
    <row r="200" spans="5:26" ht="11.25" customHeight="1" x14ac:dyDescent="0.2">
      <c r="E200" s="155"/>
      <c r="F200" s="155"/>
      <c r="G200" s="33"/>
      <c r="K200" s="33"/>
      <c r="L200" s="33"/>
      <c r="R200" s="330">
        <f>_xll.qlCalendarAdvance(Calendar,R199,"1D","f")</f>
        <v>42282</v>
      </c>
      <c r="S200" s="439">
        <f>_xll.qlInterpolationInterpolate(delta3Minterpolation,R200,TRUE)</f>
        <v>3.8350004578004035E-4</v>
      </c>
      <c r="T200" s="222">
        <f>_xll.qlInterpolationInterpolate(basis3Minterpolation,R200,TRUE)</f>
        <v>1.5190212181754718E-3</v>
      </c>
      <c r="Y200" s="33"/>
      <c r="Z200" s="33"/>
    </row>
    <row r="201" spans="5:26" ht="11.25" customHeight="1" x14ac:dyDescent="0.2">
      <c r="E201" s="155"/>
      <c r="F201" s="155"/>
      <c r="G201" s="33"/>
      <c r="K201" s="33"/>
      <c r="L201" s="33"/>
      <c r="R201" s="330">
        <f>_xll.qlCalendarAdvance(Calendar,R200,"1D","f")</f>
        <v>42283</v>
      </c>
      <c r="S201" s="439">
        <f>_xll.qlInterpolationInterpolate(delta3Minterpolation,R201,TRUE)</f>
        <v>3.8362765860062916E-4</v>
      </c>
      <c r="T201" s="222">
        <f>_xll.qlInterpolationInterpolate(basis3Minterpolation,R201,TRUE)</f>
        <v>1.5196012025563007E-3</v>
      </c>
      <c r="Y201" s="33"/>
      <c r="Z201" s="33"/>
    </row>
    <row r="202" spans="5:26" ht="11.25" customHeight="1" x14ac:dyDescent="0.2">
      <c r="E202" s="155"/>
      <c r="F202" s="155"/>
      <c r="G202" s="33"/>
      <c r="K202" s="33"/>
      <c r="L202" s="33"/>
      <c r="R202" s="330">
        <f>_xll.qlCalendarAdvance(Calendar,R201,"1D","f")</f>
        <v>42284</v>
      </c>
      <c r="S202" s="439">
        <f>_xll.qlInterpolationInterpolate(delta3Minterpolation,R202,TRUE)</f>
        <v>3.8375421368944899E-4</v>
      </c>
      <c r="T202" s="222">
        <f>_xll.qlInterpolationInterpolate(basis3Minterpolation,R202,TRUE)</f>
        <v>1.5201743981433657E-3</v>
      </c>
      <c r="Y202" s="33"/>
      <c r="Z202" s="33"/>
    </row>
    <row r="203" spans="5:26" ht="11.25" customHeight="1" x14ac:dyDescent="0.2">
      <c r="E203" s="155"/>
      <c r="F203" s="155"/>
      <c r="G203" s="33"/>
      <c r="K203" s="33"/>
      <c r="L203" s="33"/>
      <c r="R203" s="330">
        <f>_xll.qlCalendarAdvance(Calendar,R202,"1D","f")</f>
        <v>42285</v>
      </c>
      <c r="S203" s="439">
        <f>_xll.qlInterpolationInterpolate(delta3Minterpolation,R203,TRUE)</f>
        <v>3.8387974328288603E-4</v>
      </c>
      <c r="T203" s="222">
        <f>_xll.qlInterpolationInterpolate(basis3Minterpolation,R203,TRUE)</f>
        <v>1.5207409215433373E-3</v>
      </c>
      <c r="Y203" s="33"/>
      <c r="Z203" s="33"/>
    </row>
    <row r="204" spans="5:26" ht="11.25" customHeight="1" x14ac:dyDescent="0.2">
      <c r="E204" s="155"/>
      <c r="F204" s="155"/>
      <c r="G204" s="33"/>
      <c r="K204" s="33"/>
      <c r="L204" s="33"/>
      <c r="R204" s="330">
        <f>_xll.qlCalendarAdvance(Calendar,R203,"1D","f")</f>
        <v>42286</v>
      </c>
      <c r="S204" s="439">
        <f>_xll.qlInterpolationInterpolate(delta3Minterpolation,R204,TRUE)</f>
        <v>3.8400427961732644E-4</v>
      </c>
      <c r="T204" s="222">
        <f>_xll.qlInterpolationInterpolate(basis3Minterpolation,R204,TRUE)</f>
        <v>1.5213008893628858E-3</v>
      </c>
      <c r="Y204" s="33"/>
      <c r="Z204" s="33"/>
    </row>
    <row r="205" spans="5:26" ht="11.25" customHeight="1" x14ac:dyDescent="0.2">
      <c r="E205" s="155"/>
      <c r="F205" s="155"/>
      <c r="G205" s="33"/>
      <c r="K205" s="33"/>
      <c r="L205" s="33"/>
      <c r="R205" s="330">
        <f>_xll.qlCalendarAdvance(Calendar,R204,"1D","f")</f>
        <v>42289</v>
      </c>
      <c r="S205" s="439">
        <f>_xll.qlInterpolationInterpolate(delta3Minterpolation,R205,TRUE)</f>
        <v>3.8437225143052843E-4</v>
      </c>
      <c r="T205" s="222">
        <f>_xll.qlInterpolationInterpolate(basis3Minterpolation,R205,TRUE)</f>
        <v>1.5229426254056966E-3</v>
      </c>
      <c r="Y205" s="33"/>
      <c r="Z205" s="33"/>
    </row>
    <row r="206" spans="5:26" ht="11.25" customHeight="1" x14ac:dyDescent="0.2">
      <c r="E206" s="155"/>
      <c r="F206" s="155"/>
      <c r="G206" s="33"/>
      <c r="K206" s="33"/>
      <c r="L206" s="33"/>
      <c r="R206" s="330">
        <f>_xll.qlCalendarAdvance(Calendar,R205,"1D","f")</f>
        <v>42290</v>
      </c>
      <c r="S206" s="439">
        <f>_xll.qlInterpolationInterpolate(delta3Minterpolation,R206,TRUE)</f>
        <v>3.8449313709284312E-4</v>
      </c>
      <c r="T206" s="222">
        <f>_xll.qlInterpolationInterpolate(basis3Minterpolation,R206,TRUE)</f>
        <v>1.5234775369702567E-3</v>
      </c>
      <c r="Y206" s="33"/>
      <c r="Z206" s="33"/>
    </row>
    <row r="207" spans="5:26" ht="11.25" customHeight="1" x14ac:dyDescent="0.2">
      <c r="E207" s="155"/>
      <c r="F207" s="155"/>
      <c r="G207" s="33"/>
      <c r="K207" s="33"/>
      <c r="L207" s="33"/>
      <c r="R207" s="330">
        <f>_xll.qlCalendarAdvance(Calendar,R206,"1D","f")</f>
        <v>42291</v>
      </c>
      <c r="S207" s="439">
        <f>_xll.qlInterpolationInterpolate(delta3Minterpolation,R207,TRUE)</f>
        <v>3.8461319067809166E-4</v>
      </c>
      <c r="T207" s="222">
        <f>_xll.qlInterpolationInterpolate(basis3Minterpolation,R207,TRUE)</f>
        <v>1.5240064759877458E-3</v>
      </c>
      <c r="Y207" s="33"/>
      <c r="Z207" s="33"/>
    </row>
    <row r="208" spans="5:26" ht="11.25" customHeight="1" x14ac:dyDescent="0.2">
      <c r="E208" s="155"/>
      <c r="F208" s="155"/>
      <c r="G208" s="33"/>
      <c r="K208" s="33"/>
      <c r="L208" s="33"/>
      <c r="R208" s="330">
        <f>_xll.qlCalendarAdvance(Calendar,R207,"1D","f")</f>
        <v>42292</v>
      </c>
      <c r="S208" s="439">
        <f>_xll.qlInterpolationInterpolate(delta3Minterpolation,R208,TRUE)</f>
        <v>3.8473244442266012E-4</v>
      </c>
      <c r="T208" s="222">
        <f>_xll.qlInterpolationInterpolate(basis3Minterpolation,R208,TRUE)</f>
        <v>1.5245295590648341E-3</v>
      </c>
      <c r="Y208" s="33"/>
      <c r="Z208" s="33"/>
    </row>
    <row r="209" spans="5:26" ht="11.25" customHeight="1" x14ac:dyDescent="0.2">
      <c r="E209" s="155"/>
      <c r="F209" s="155"/>
      <c r="G209" s="33"/>
      <c r="K209" s="33"/>
      <c r="L209" s="33"/>
      <c r="R209" s="330">
        <f>_xll.qlCalendarAdvance(Calendar,R208,"1D","f")</f>
        <v>42293</v>
      </c>
      <c r="S209" s="439">
        <f>_xll.qlInterpolationInterpolate(delta3Minterpolation,R209,TRUE)</f>
        <v>3.8485093056293465E-4</v>
      </c>
      <c r="T209" s="222">
        <f>_xll.qlInterpolationInterpolate(basis3Minterpolation,R209,TRUE)</f>
        <v>1.5250469028081921E-3</v>
      </c>
      <c r="Y209" s="33"/>
      <c r="Z209" s="33"/>
    </row>
    <row r="210" spans="5:26" ht="11.25" customHeight="1" x14ac:dyDescent="0.2">
      <c r="E210" s="155"/>
      <c r="F210" s="155"/>
      <c r="G210" s="33"/>
      <c r="K210" s="33"/>
      <c r="L210" s="33"/>
      <c r="R210" s="330">
        <f>_xll.qlCalendarAdvance(Calendar,R209,"1D","f")</f>
        <v>42296</v>
      </c>
      <c r="S210" s="439">
        <f>_xll.qlInterpolationInterpolate(delta3Minterpolation,R210,TRUE)</f>
        <v>3.8520210572185582E-4</v>
      </c>
      <c r="T210" s="222">
        <f>_xll.qlInterpolationInterpolate(basis3Minterpolation,R210,TRUE)</f>
        <v>1.5265656641025884E-3</v>
      </c>
      <c r="Y210" s="33"/>
      <c r="Z210" s="33"/>
    </row>
    <row r="211" spans="5:26" ht="11.25" customHeight="1" x14ac:dyDescent="0.2">
      <c r="E211" s="155"/>
      <c r="F211" s="155"/>
      <c r="G211" s="33"/>
      <c r="K211" s="33"/>
      <c r="L211" s="33"/>
      <c r="R211" s="330">
        <f>_xll.qlCalendarAdvance(Calendar,R210,"1D","f")</f>
        <v>42297</v>
      </c>
      <c r="S211" s="439">
        <f>_xll.qlInterpolationInterpolate(delta3Minterpolation,R211,TRUE)</f>
        <v>3.8531784380881572E-4</v>
      </c>
      <c r="T211" s="222">
        <f>_xll.qlInterpolationInterpolate(basis3Minterpolation,R211,TRUE)</f>
        <v>1.5270612165777292E-3</v>
      </c>
      <c r="Y211" s="33"/>
      <c r="Z211" s="33"/>
    </row>
    <row r="212" spans="5:26" ht="11.25" customHeight="1" x14ac:dyDescent="0.2">
      <c r="E212" s="155"/>
      <c r="F212" s="155"/>
      <c r="G212" s="33"/>
      <c r="K212" s="33"/>
      <c r="L212" s="33"/>
      <c r="R212" s="330">
        <f>_xll.qlCalendarAdvance(Calendar,R211,"1D","f")</f>
        <v>42298</v>
      </c>
      <c r="S212" s="439">
        <f>_xll.qlInterpolationInterpolate(delta3Minterpolation,R212,TRUE)</f>
        <v>3.8543297547341223E-4</v>
      </c>
      <c r="T212" s="222">
        <f>_xll.qlInterpolationInterpolate(basis3Minterpolation,R212,TRUE)</f>
        <v>1.5275516127524918E-3</v>
      </c>
      <c r="Y212" s="33"/>
      <c r="Z212" s="33"/>
    </row>
    <row r="213" spans="5:26" ht="11.25" customHeight="1" x14ac:dyDescent="0.2">
      <c r="E213" s="155"/>
      <c r="F213" s="155"/>
      <c r="G213" s="33"/>
      <c r="K213" s="33"/>
      <c r="L213" s="33"/>
      <c r="R213" s="330">
        <f>_xll.qlCalendarAdvance(Calendar,R212,"1D","f")</f>
        <v>42299</v>
      </c>
      <c r="S213" s="439">
        <f>_xll.qlInterpolationInterpolate(delta3Minterpolation,R213,TRUE)</f>
        <v>3.8554753295203144E-4</v>
      </c>
      <c r="T213" s="222">
        <f>_xll.qlInterpolationInterpolate(basis3Minterpolation,R213,TRUE)</f>
        <v>1.5280369692335463E-3</v>
      </c>
      <c r="Y213" s="33"/>
      <c r="Z213" s="33"/>
    </row>
    <row r="214" spans="5:26" ht="11.25" customHeight="1" x14ac:dyDescent="0.2">
      <c r="E214" s="155"/>
      <c r="F214" s="155"/>
      <c r="G214" s="33"/>
      <c r="K214" s="33"/>
      <c r="L214" s="33"/>
      <c r="R214" s="330">
        <f>_xll.qlCalendarAdvance(Calendar,R213,"1D","f")</f>
        <v>42300</v>
      </c>
      <c r="S214" s="439">
        <f>_xll.qlInterpolationInterpolate(delta3Minterpolation,R214,TRUE)</f>
        <v>3.8566154848105949E-4</v>
      </c>
      <c r="T214" s="222">
        <f>_xll.qlInterpolationInterpolate(basis3Minterpolation,R214,TRUE)</f>
        <v>1.5285174026275635E-3</v>
      </c>
      <c r="Y214" s="33"/>
      <c r="Z214" s="33"/>
    </row>
    <row r="215" spans="5:26" ht="11.25" customHeight="1" x14ac:dyDescent="0.2">
      <c r="E215" s="155"/>
      <c r="F215" s="155"/>
      <c r="G215" s="33"/>
      <c r="K215" s="33"/>
      <c r="L215" s="33"/>
      <c r="R215" s="330">
        <f>_xll.qlCalendarAdvance(Calendar,R214,"1D","f")</f>
        <v>42303</v>
      </c>
      <c r="S215" s="439">
        <f>_xll.qlInterpolationInterpolate(delta3Minterpolation,R215,TRUE)</f>
        <v>3.8600066573445764E-4</v>
      </c>
      <c r="T215" s="222">
        <f>_xll.qlInterpolationInterpolate(basis3Minterpolation,R215,TRUE)</f>
        <v>1.5299303303540936E-3</v>
      </c>
      <c r="Y215" s="33"/>
      <c r="Z215" s="33"/>
    </row>
    <row r="216" spans="5:26" ht="11.25" customHeight="1" x14ac:dyDescent="0.2">
      <c r="E216" s="155"/>
      <c r="F216" s="155"/>
      <c r="G216" s="33"/>
      <c r="K216" s="33"/>
      <c r="L216" s="33"/>
      <c r="R216" s="330">
        <f>_xll.qlCalendarAdvance(Calendar,R215,"1D","f")</f>
        <v>42304</v>
      </c>
      <c r="S216" s="439">
        <f>_xll.qlInterpolationInterpolate(delta3Minterpolation,R216,TRUE)</f>
        <v>3.8611283582898201E-4</v>
      </c>
      <c r="T216" s="222">
        <f>_xll.qlInterpolationInterpolate(basis3Minterpolation,R216,TRUE)</f>
        <v>1.5303922374666646E-3</v>
      </c>
      <c r="Y216" s="33"/>
      <c r="Z216" s="33"/>
    </row>
    <row r="217" spans="5:26" ht="11.25" customHeight="1" x14ac:dyDescent="0.2">
      <c r="E217" s="155"/>
      <c r="F217" s="155"/>
      <c r="G217" s="33"/>
      <c r="K217" s="33"/>
      <c r="L217" s="33"/>
      <c r="R217" s="330">
        <f>_xll.qlCalendarAdvance(Calendar,R216,"1D","f")</f>
        <v>42305</v>
      </c>
      <c r="S217" s="439">
        <f>_xll.qlInterpolationInterpolate(delta3Minterpolation,R217,TRUE)</f>
        <v>3.8622462515584583E-4</v>
      </c>
      <c r="T217" s="222">
        <f>_xll.qlInterpolationInterpolate(basis3Minterpolation,R217,TRUE)</f>
        <v>1.5308498045255503E-3</v>
      </c>
      <c r="Y217" s="33"/>
      <c r="Z217" s="33"/>
    </row>
    <row r="218" spans="5:26" ht="11.25" customHeight="1" x14ac:dyDescent="0.2">
      <c r="E218" s="155"/>
      <c r="F218" s="155"/>
      <c r="G218" s="33"/>
      <c r="K218" s="33"/>
      <c r="L218" s="33"/>
      <c r="R218" s="330">
        <f>_xll.qlCalendarAdvance(Calendar,R217,"1D","f")</f>
        <v>42306</v>
      </c>
      <c r="S218" s="439">
        <f>_xll.qlInterpolationInterpolate(delta3Minterpolation,R218,TRUE)</f>
        <v>3.863360659514351E-4</v>
      </c>
      <c r="T218" s="222">
        <f>_xll.qlInterpolationInterpolate(basis3Minterpolation,R218,TRUE)</f>
        <v>1.5313031481374207E-3</v>
      </c>
      <c r="Y218" s="33"/>
      <c r="Z218" s="33"/>
    </row>
    <row r="219" spans="5:26" ht="11.25" customHeight="1" x14ac:dyDescent="0.2">
      <c r="E219" s="155"/>
      <c r="F219" s="155"/>
      <c r="G219" s="33"/>
      <c r="K219" s="33"/>
      <c r="L219" s="33"/>
      <c r="R219" s="330">
        <f>_xll.qlCalendarAdvance(Calendar,R218,"1D","f")</f>
        <v>42307</v>
      </c>
      <c r="S219" s="439">
        <f>_xll.qlInterpolationInterpolate(delta3Minterpolation,R219,TRUE)</f>
        <v>3.8644719045213594E-4</v>
      </c>
      <c r="T219" s="222">
        <f>_xll.qlInterpolationInterpolate(basis3Minterpolation,R219,TRUE)</f>
        <v>1.5317523849089462E-3</v>
      </c>
      <c r="Y219" s="33"/>
      <c r="Z219" s="33"/>
    </row>
    <row r="220" spans="5:26" ht="11.25" customHeight="1" x14ac:dyDescent="0.2">
      <c r="E220" s="155"/>
      <c r="F220" s="155"/>
      <c r="G220" s="33"/>
      <c r="K220" s="33"/>
      <c r="L220" s="33"/>
      <c r="R220" s="330">
        <f>_xll.qlCalendarAdvance(Calendar,R219,"1D","f")</f>
        <v>42310</v>
      </c>
      <c r="S220" s="439">
        <f>_xll.qlInterpolationInterpolate(delta3Minterpolation,R220,TRUE)</f>
        <v>3.86778988548769E-4</v>
      </c>
      <c r="T220" s="222">
        <f>_xll.qlInterpolationInterpolate(basis3Minterpolation,R220,TRUE)</f>
        <v>1.533076620248159E-3</v>
      </c>
      <c r="Y220" s="33"/>
      <c r="Z220" s="33"/>
    </row>
    <row r="221" spans="5:26" ht="11.25" customHeight="1" x14ac:dyDescent="0.2">
      <c r="E221" s="155"/>
      <c r="F221" s="155"/>
      <c r="G221" s="33"/>
      <c r="K221" s="33"/>
      <c r="L221" s="33"/>
      <c r="R221" s="330">
        <f>_xll.qlCalendarAdvance(Calendar,R220,"1D","f")</f>
        <v>42311</v>
      </c>
      <c r="S221" s="439">
        <f>_xll.qlInterpolationInterpolate(delta3Minterpolation,R221,TRUE)</f>
        <v>3.8688917023377729E-4</v>
      </c>
      <c r="T221" s="222">
        <f>_xll.qlInterpolationInterpolate(basis3Minterpolation,R221,TRUE)</f>
        <v>1.5335105957250098E-3</v>
      </c>
      <c r="Y221" s="33"/>
      <c r="Z221" s="33"/>
    </row>
    <row r="222" spans="5:26" ht="11.25" customHeight="1" x14ac:dyDescent="0.2">
      <c r="E222" s="155"/>
      <c r="F222" s="155"/>
      <c r="G222" s="33"/>
      <c r="K222" s="33"/>
      <c r="L222" s="33"/>
      <c r="R222" s="330">
        <f>_xll.qlCalendarAdvance(Calendar,R221,"1D","f")</f>
        <v>42312</v>
      </c>
      <c r="S222" s="439">
        <f>_xll.qlInterpolationInterpolate(delta3Minterpolation,R222,TRUE)</f>
        <v>3.8699919680582762E-4</v>
      </c>
      <c r="T222" s="222">
        <f>_xll.qlInterpolationInterpolate(basis3Minterpolation,R222,TRUE)</f>
        <v>1.5339410473948678E-3</v>
      </c>
      <c r="Y222" s="33"/>
      <c r="Z222" s="33"/>
    </row>
    <row r="223" spans="5:26" ht="11.25" customHeight="1" x14ac:dyDescent="0.2">
      <c r="E223" s="155"/>
      <c r="F223" s="155"/>
      <c r="G223" s="33"/>
      <c r="K223" s="33"/>
      <c r="L223" s="33"/>
      <c r="R223" s="330">
        <f>_xll.qlCalendarAdvance(Calendar,R222,"1D","f")</f>
        <v>42313</v>
      </c>
      <c r="S223" s="439">
        <f>_xll.qlInterpolationInterpolate(delta3Minterpolation,R223,TRUE)</f>
        <v>3.8710910050130623E-4</v>
      </c>
      <c r="T223" s="222">
        <f>_xll.qlInterpolationInterpolate(basis3Minterpolation,R223,TRUE)</f>
        <v>1.5343680918644036E-3</v>
      </c>
      <c r="Y223" s="33"/>
      <c r="Z223" s="33"/>
    </row>
    <row r="224" spans="5:26" ht="11.25" customHeight="1" x14ac:dyDescent="0.2">
      <c r="E224" s="155"/>
      <c r="F224" s="155"/>
      <c r="G224" s="33"/>
      <c r="K224" s="33"/>
      <c r="L224" s="33"/>
      <c r="R224" s="330">
        <f>_xll.qlCalendarAdvance(Calendar,R223,"1D","f")</f>
        <v>42314</v>
      </c>
      <c r="S224" s="439">
        <f>_xll.qlInterpolationInterpolate(delta3Minterpolation,R224,TRUE)</f>
        <v>3.8721891355659918E-4</v>
      </c>
      <c r="T224" s="222">
        <f>_xll.qlInterpolationInterpolate(basis3Minterpolation,R224,TRUE)</f>
        <v>1.5347918457402875E-3</v>
      </c>
      <c r="Y224" s="33"/>
      <c r="Z224" s="33"/>
    </row>
    <row r="225" spans="5:26" ht="11.25" customHeight="1" x14ac:dyDescent="0.2">
      <c r="E225" s="155"/>
      <c r="F225" s="155"/>
      <c r="G225" s="33"/>
      <c r="K225" s="33"/>
      <c r="L225" s="33"/>
      <c r="R225" s="330">
        <f>_xll.qlCalendarAdvance(Calendar,R224,"1D","f")</f>
        <v>42317</v>
      </c>
      <c r="S225" s="439">
        <f>_xll.qlInterpolationInterpolate(delta3Minterpolation,R225,TRUE)</f>
        <v>3.8754813124522512E-4</v>
      </c>
      <c r="T225" s="222">
        <f>_xll.qlInterpolationInterpolate(basis3Minterpolation,R225,TRUE)</f>
        <v>1.5360445298727313E-3</v>
      </c>
      <c r="Y225" s="33"/>
      <c r="Z225" s="33"/>
    </row>
    <row r="226" spans="5:26" ht="11.25" customHeight="1" x14ac:dyDescent="0.2">
      <c r="E226" s="155"/>
      <c r="F226" s="155"/>
      <c r="G226" s="33"/>
      <c r="K226" s="33"/>
      <c r="L226" s="33"/>
      <c r="R226" s="330">
        <f>_xll.qlCalendarAdvance(Calendar,R225,"1D","f")</f>
        <v>42318</v>
      </c>
      <c r="S226" s="439">
        <f>_xll.qlInterpolationInterpolate(delta3Minterpolation,R226,TRUE)</f>
        <v>3.8765790410363654E-4</v>
      </c>
      <c r="T226" s="222">
        <f>_xll.qlInterpolationInterpolate(basis3Minterpolation,R226,TRUE)</f>
        <v>1.5364562874407113E-3</v>
      </c>
      <c r="Y226" s="33"/>
      <c r="Z226" s="33"/>
    </row>
    <row r="227" spans="5:26" ht="11.25" customHeight="1" x14ac:dyDescent="0.2">
      <c r="E227" s="155"/>
      <c r="F227" s="155"/>
      <c r="G227" s="33"/>
      <c r="K227" s="33"/>
      <c r="L227" s="33"/>
      <c r="R227" s="330">
        <f>_xll.qlCalendarAdvance(Calendar,R226,"1D","f")</f>
        <v>42319</v>
      </c>
      <c r="S227" s="439">
        <f>_xll.qlInterpolationInterpolate(delta3Minterpolation,R227,TRUE)</f>
        <v>3.8776774750379282E-4</v>
      </c>
      <c r="T227" s="222">
        <f>_xll.qlInterpolationInterpolate(basis3Minterpolation,R227,TRUE)</f>
        <v>1.5368653374483914E-3</v>
      </c>
      <c r="Y227" s="33"/>
      <c r="Z227" s="33"/>
    </row>
    <row r="228" spans="5:26" ht="11.25" customHeight="1" x14ac:dyDescent="0.2">
      <c r="E228" s="155"/>
      <c r="F228" s="155"/>
      <c r="G228" s="33"/>
      <c r="K228" s="33"/>
      <c r="L228" s="33"/>
      <c r="R228" s="330">
        <f>_xll.qlCalendarAdvance(Calendar,R227,"1D","f")</f>
        <v>42320</v>
      </c>
      <c r="S228" s="439">
        <f>_xll.qlInterpolationInterpolate(delta3Minterpolation,R228,TRUE)</f>
        <v>3.8787769368208005E-4</v>
      </c>
      <c r="T228" s="222">
        <f>_xll.qlInterpolationInterpolate(basis3Minterpolation,R228,TRUE)</f>
        <v>1.5372717965024419E-3</v>
      </c>
      <c r="Y228" s="33"/>
      <c r="Z228" s="33"/>
    </row>
    <row r="229" spans="5:26" ht="11.25" customHeight="1" x14ac:dyDescent="0.2">
      <c r="E229" s="155"/>
      <c r="F229" s="155"/>
      <c r="G229" s="33"/>
      <c r="K229" s="33"/>
      <c r="L229" s="33"/>
      <c r="R229" s="330">
        <f>_xll.qlCalendarAdvance(Calendar,R228,"1D","f")</f>
        <v>42321</v>
      </c>
      <c r="S229" s="439">
        <f>_xll.qlInterpolationInterpolate(delta3Minterpolation,R229,TRUE)</f>
        <v>3.8798777487488443E-4</v>
      </c>
      <c r="T229" s="222">
        <f>_xll.qlInterpolationInterpolate(basis3Minterpolation,R229,TRUE)</f>
        <v>1.5376757812095335E-3</v>
      </c>
      <c r="Y229" s="33"/>
      <c r="Z229" s="33"/>
    </row>
    <row r="230" spans="5:26" ht="11.25" customHeight="1" x14ac:dyDescent="0.2">
      <c r="E230" s="155"/>
      <c r="F230" s="155"/>
      <c r="G230" s="33"/>
      <c r="K230" s="33"/>
      <c r="L230" s="33"/>
      <c r="R230" s="330">
        <f>_xll.qlCalendarAdvance(Calendar,R229,"1D","f")</f>
        <v>42324</v>
      </c>
      <c r="S230" s="439">
        <f>_xll.qlInterpolationInterpolate(delta3Minterpolation,R230,TRUE)</f>
        <v>3.8831915090426113E-4</v>
      </c>
      <c r="T230" s="222">
        <f>_xll.qlInterpolationInterpolate(basis3Minterpolation,R230,TRUE)</f>
        <v>1.5388740553157569E-3</v>
      </c>
      <c r="Y230" s="33"/>
      <c r="Z230" s="33"/>
    </row>
    <row r="231" spans="5:26" ht="11.25" customHeight="1" x14ac:dyDescent="0.2">
      <c r="E231" s="155"/>
      <c r="F231" s="155"/>
      <c r="G231" s="33"/>
      <c r="K231" s="33"/>
      <c r="L231" s="33"/>
      <c r="R231" s="330">
        <f>_xll.qlCalendarAdvance(Calendar,R230,"1D","f")</f>
        <v>42325</v>
      </c>
      <c r="S231" s="439">
        <f>_xll.qlInterpolationInterpolate(delta3Minterpolation,R231,TRUE)</f>
        <v>3.88430094518995E-4</v>
      </c>
      <c r="T231" s="222">
        <f>_xll.qlInterpolationInterpolate(basis3Minterpolation,R231,TRUE)</f>
        <v>1.5392693087017159E-3</v>
      </c>
      <c r="Y231" s="33"/>
      <c r="Z231" s="33"/>
    </row>
    <row r="232" spans="5:26" ht="11.25" customHeight="1" x14ac:dyDescent="0.2">
      <c r="E232" s="155"/>
      <c r="F232" s="155"/>
      <c r="G232" s="33"/>
      <c r="K232" s="33"/>
      <c r="L232" s="33"/>
      <c r="R232" s="330">
        <f>_xll.qlCalendarAdvance(Calendar,R231,"1D","f")</f>
        <v>42326</v>
      </c>
      <c r="S232" s="439">
        <f>_xll.qlInterpolationInterpolate(delta3Minterpolation,R232,TRUE)</f>
        <v>3.8854133433017645E-4</v>
      </c>
      <c r="T232" s="222">
        <f>_xll.qlInterpolationInterpolate(basis3Minterpolation,R232,TRUE)</f>
        <v>1.5396626707740676E-3</v>
      </c>
      <c r="Y232" s="33"/>
      <c r="Z232" s="33"/>
    </row>
    <row r="233" spans="5:26" ht="11.25" customHeight="1" x14ac:dyDescent="0.2">
      <c r="E233" s="155"/>
      <c r="F233" s="155"/>
      <c r="G233" s="33"/>
      <c r="K233" s="33"/>
      <c r="L233" s="33"/>
      <c r="R233" s="330">
        <f>_xll.qlCalendarAdvance(Calendar,R232,"1D","f")</f>
        <v>42327</v>
      </c>
      <c r="S233" s="439">
        <f>_xll.qlInterpolationInterpolate(delta3Minterpolation,R233,TRUE)</f>
        <v>3.8865290257419167E-4</v>
      </c>
      <c r="T233" s="222">
        <f>_xll.qlInterpolationInterpolate(basis3Minterpolation,R233,TRUE)</f>
        <v>1.5400542581394826E-3</v>
      </c>
      <c r="Y233" s="33"/>
      <c r="Z233" s="33"/>
    </row>
    <row r="234" spans="5:26" ht="11.25" customHeight="1" x14ac:dyDescent="0.2">
      <c r="E234" s="155"/>
      <c r="F234" s="155"/>
      <c r="G234" s="33"/>
      <c r="K234" s="33"/>
      <c r="L234" s="33"/>
      <c r="R234" s="330">
        <f>_xll.qlCalendarAdvance(Calendar,R233,"1D","f")</f>
        <v>42328</v>
      </c>
      <c r="S234" s="439">
        <f>_xll.qlInterpolationInterpolate(delta3Minterpolation,R234,TRUE)</f>
        <v>3.8876483148742676E-4</v>
      </c>
      <c r="T234" s="222">
        <f>_xll.qlInterpolationInterpolate(basis3Minterpolation,R234,TRUE)</f>
        <v>1.5404441874046313E-3</v>
      </c>
      <c r="Y234" s="33"/>
      <c r="Z234" s="33"/>
    </row>
    <row r="235" spans="5:26" ht="11.25" customHeight="1" x14ac:dyDescent="0.2">
      <c r="E235" s="155"/>
      <c r="F235" s="155"/>
      <c r="G235" s="33"/>
      <c r="K235" s="33"/>
      <c r="L235" s="33"/>
      <c r="R235" s="330">
        <f>_xll.qlCalendarAdvance(Calendar,R234,"1D","f")</f>
        <v>42331</v>
      </c>
      <c r="S235" s="439">
        <f>_xll.qlInterpolationInterpolate(delta3Minterpolation,R235,TRUE)</f>
        <v>3.8910310460631218E-4</v>
      </c>
      <c r="T235" s="222">
        <f>_xll.qlInterpolationInterpolate(basis3Minterpolation,R235,TRUE)</f>
        <v>1.541605192665183E-3</v>
      </c>
      <c r="Y235" s="33"/>
      <c r="Z235" s="33"/>
    </row>
    <row r="236" spans="5:26" ht="11.25" customHeight="1" x14ac:dyDescent="0.2">
      <c r="E236" s="155"/>
      <c r="F236" s="155"/>
      <c r="G236" s="33"/>
      <c r="K236" s="33"/>
      <c r="L236" s="33"/>
      <c r="R236" s="330">
        <f>_xll.qlCalendarAdvance(Calendar,R235,"1D","f")</f>
        <v>42332</v>
      </c>
      <c r="S236" s="439">
        <f>_xll.qlInterpolationInterpolate(delta3Minterpolation,R236,TRUE)</f>
        <v>3.8921679856028773E-4</v>
      </c>
      <c r="T236" s="222">
        <f>_xll.qlInterpolationInterpolate(basis3Minterpolation,R236,TRUE)</f>
        <v>1.5419896555959702E-3</v>
      </c>
      <c r="Y236" s="33"/>
      <c r="Z236" s="33"/>
    </row>
    <row r="237" spans="5:26" ht="11.25" customHeight="1" x14ac:dyDescent="0.2">
      <c r="E237" s="155"/>
      <c r="F237" s="155"/>
      <c r="G237" s="33"/>
      <c r="K237" s="33"/>
      <c r="L237" s="33"/>
      <c r="R237" s="330">
        <f>_xll.qlCalendarAdvance(Calendar,R236,"1D","f")</f>
        <v>42333</v>
      </c>
      <c r="S237" s="439">
        <f>_xll.qlInterpolationInterpolate(delta3Minterpolation,R237,TRUE)</f>
        <v>3.8933101436541373E-4</v>
      </c>
      <c r="T237" s="222">
        <f>_xll.qlInterpolationInterpolate(basis3Minterpolation,R237,TRUE)</f>
        <v>1.542373043459843E-3</v>
      </c>
      <c r="Y237" s="33"/>
      <c r="Z237" s="33"/>
    </row>
    <row r="238" spans="5:26" ht="11.25" customHeight="1" x14ac:dyDescent="0.2">
      <c r="E238" s="155"/>
      <c r="F238" s="155"/>
      <c r="G238" s="33"/>
      <c r="K238" s="33"/>
      <c r="L238" s="33"/>
      <c r="R238" s="330">
        <f>_xll.qlCalendarAdvance(Calendar,R237,"1D","f")</f>
        <v>42334</v>
      </c>
      <c r="S238" s="439">
        <f>_xll.qlInterpolationInterpolate(delta3Minterpolation,R238,TRUE)</f>
        <v>3.8944578425807621E-4</v>
      </c>
      <c r="T238" s="222">
        <f>_xll.qlInterpolationInterpolate(basis3Minterpolation,R238,TRUE)</f>
        <v>1.5427554728634719E-3</v>
      </c>
      <c r="Y238" s="33"/>
      <c r="Z238" s="33"/>
    </row>
    <row r="239" spans="5:26" ht="11.25" customHeight="1" x14ac:dyDescent="0.2">
      <c r="E239" s="155"/>
      <c r="F239" s="155"/>
      <c r="G239" s="33"/>
      <c r="K239" s="33"/>
      <c r="L239" s="33"/>
      <c r="R239" s="330">
        <f>_xll.qlCalendarAdvance(Calendar,R238,"1D","f")</f>
        <v>42335</v>
      </c>
      <c r="S239" s="439">
        <f>_xll.qlInterpolationInterpolate(delta3Minterpolation,R239,TRUE)</f>
        <v>3.8956114047466133E-4</v>
      </c>
      <c r="T239" s="222">
        <f>_xll.qlInterpolationInterpolate(basis3Minterpolation,R239,TRUE)</f>
        <v>1.5431370604135272E-3</v>
      </c>
      <c r="Y239" s="33"/>
      <c r="Z239" s="33"/>
    </row>
    <row r="240" spans="5:26" ht="11.25" customHeight="1" x14ac:dyDescent="0.2">
      <c r="E240" s="155"/>
      <c r="F240" s="155"/>
      <c r="G240" s="33"/>
      <c r="K240" s="33"/>
      <c r="L240" s="33"/>
      <c r="R240" s="330">
        <f>_xll.qlCalendarAdvance(Calendar,R239,"1D","f")</f>
        <v>42338</v>
      </c>
      <c r="S240" s="439">
        <f>_xll.qlInterpolationInterpolate(delta3Minterpolation,R240,TRUE)</f>
        <v>3.8991104943181335E-4</v>
      </c>
      <c r="T240" s="222">
        <f>_xll.qlInterpolationInterpolate(basis3Minterpolation,R240,TRUE)</f>
        <v>1.544277938008956E-3</v>
      </c>
      <c r="Y240" s="33"/>
      <c r="Z240" s="33"/>
    </row>
    <row r="241" spans="5:26" ht="11.25" customHeight="1" x14ac:dyDescent="0.2">
      <c r="E241" s="155"/>
      <c r="F241" s="155"/>
      <c r="G241" s="33"/>
      <c r="K241" s="33"/>
      <c r="L241" s="33"/>
      <c r="R241" s="330">
        <f>_xll.qlCalendarAdvance(Calendar,R240,"1D","f")</f>
        <v>42339</v>
      </c>
      <c r="S241" s="439">
        <f>_xll.qlInterpolationInterpolate(delta3Minterpolation,R241,TRUE)</f>
        <v>3.9002907330795E-4</v>
      </c>
      <c r="T241" s="222">
        <f>_xll.qlInterpolationInterpolate(basis3Minterpolation,R241,TRUE)</f>
        <v>1.544657324211421E-3</v>
      </c>
      <c r="Y241" s="33"/>
      <c r="Z241" s="33"/>
    </row>
    <row r="242" spans="5:26" ht="11.25" customHeight="1" x14ac:dyDescent="0.2">
      <c r="E242" s="155"/>
      <c r="F242" s="155"/>
      <c r="G242" s="33"/>
      <c r="K242" s="33"/>
      <c r="L242" s="33"/>
      <c r="R242" s="330">
        <f>_xll.qlCalendarAdvance(Calendar,R241,"1D","f")</f>
        <v>42340</v>
      </c>
      <c r="S242" s="439">
        <f>_xll.qlInterpolationInterpolate(delta3Minterpolation,R242,TRUE)</f>
        <v>3.9014784468993977E-4</v>
      </c>
      <c r="T242" s="222">
        <f>_xll.qlInterpolationInterpolate(basis3Minterpolation,R242,TRUE)</f>
        <v>1.5450364515936647E-3</v>
      </c>
      <c r="Y242" s="33"/>
      <c r="Z242" s="33"/>
    </row>
    <row r="243" spans="5:26" ht="11.25" customHeight="1" x14ac:dyDescent="0.2">
      <c r="E243" s="155"/>
      <c r="F243" s="155"/>
      <c r="G243" s="33"/>
      <c r="K243" s="33"/>
      <c r="L243" s="33"/>
      <c r="R243" s="330">
        <f>_xll.qlCalendarAdvance(Calendar,R242,"1D","f")</f>
        <v>42341</v>
      </c>
      <c r="S243" s="439">
        <f>_xll.qlInterpolationInterpolate(delta3Minterpolation,R243,TRUE)</f>
        <v>3.9026739581416884E-4</v>
      </c>
      <c r="T243" s="222">
        <f>_xll.qlInterpolationInterpolate(basis3Minterpolation,R243,TRUE)</f>
        <v>1.5454154367623568E-3</v>
      </c>
      <c r="Y243" s="33"/>
      <c r="Z243" s="33"/>
    </row>
    <row r="244" spans="5:26" ht="11.25" customHeight="1" x14ac:dyDescent="0.2">
      <c r="E244" s="155"/>
      <c r="F244" s="155"/>
      <c r="G244" s="33"/>
      <c r="K244" s="33"/>
      <c r="L244" s="33"/>
      <c r="R244" s="330">
        <f>_xll.qlCalendarAdvance(Calendar,R243,"1D","f")</f>
        <v>42342</v>
      </c>
      <c r="S244" s="439">
        <f>_xll.qlInterpolationInterpolate(delta3Minterpolation,R244,TRUE)</f>
        <v>3.9038775891702326E-4</v>
      </c>
      <c r="T244" s="222">
        <f>_xll.qlInterpolationInterpolate(basis3Minterpolation,R244,TRUE)</f>
        <v>1.5457943963241684E-3</v>
      </c>
      <c r="Y244" s="33"/>
      <c r="Z244" s="33"/>
    </row>
    <row r="245" spans="5:26" ht="11.25" customHeight="1" x14ac:dyDescent="0.2">
      <c r="E245" s="155"/>
      <c r="F245" s="155"/>
      <c r="G245" s="33"/>
      <c r="K245" s="33"/>
      <c r="L245" s="33"/>
      <c r="R245" s="330">
        <f>_xll.qlCalendarAdvance(Calendar,R244,"1D","f")</f>
        <v>42345</v>
      </c>
      <c r="S245" s="439">
        <f>_xll.qlInterpolationInterpolate(delta3Minterpolation,R245,TRUE)</f>
        <v>3.9075404246119986E-4</v>
      </c>
      <c r="T245" s="222">
        <f>_xll.qlInterpolationInterpolate(basis3Minterpolation,R245,TRUE)</f>
        <v>1.5469322874350226E-3</v>
      </c>
      <c r="Y245" s="33"/>
      <c r="Z245" s="33"/>
    </row>
    <row r="246" spans="5:26" ht="11.25" customHeight="1" x14ac:dyDescent="0.2">
      <c r="E246" s="155"/>
      <c r="F246" s="155"/>
      <c r="G246" s="33"/>
      <c r="K246" s="33"/>
      <c r="L246" s="33"/>
      <c r="R246" s="330">
        <f>_xll.qlCalendarAdvance(Calendar,R245,"1D","f")</f>
        <v>42346</v>
      </c>
      <c r="S246" s="439">
        <f>_xll.qlInterpolationInterpolate(delta3Minterpolation,R246,TRUE)</f>
        <v>3.9087797584241683E-4</v>
      </c>
      <c r="T246" s="222">
        <f>_xll.qlInterpolationInterpolate(basis3Minterpolation,R246,TRUE)</f>
        <v>1.5473123106360151E-3</v>
      </c>
      <c r="Y246" s="33"/>
      <c r="Z246" s="33"/>
    </row>
    <row r="247" spans="5:26" ht="11.25" customHeight="1" x14ac:dyDescent="0.2">
      <c r="E247" s="155"/>
      <c r="F247" s="155"/>
      <c r="G247" s="33"/>
      <c r="K247" s="33"/>
      <c r="L247" s="33"/>
      <c r="R247" s="330">
        <f>_xll.qlCalendarAdvance(Calendar,R246,"1D","f")</f>
        <v>42347</v>
      </c>
      <c r="S247" s="439">
        <f>_xll.qlInterpolationInterpolate(delta3Minterpolation,R247,TRUE)</f>
        <v>3.910028823841898E-4</v>
      </c>
      <c r="T247" s="222">
        <f>_xll.qlInterpolationInterpolate(basis3Minterpolation,R247,TRUE)</f>
        <v>1.5476928912634789E-3</v>
      </c>
      <c r="Y247" s="33"/>
      <c r="Z247" s="33"/>
    </row>
    <row r="248" spans="5:26" ht="11.25" customHeight="1" x14ac:dyDescent="0.2">
      <c r="E248" s="155"/>
      <c r="F248" s="155"/>
      <c r="G248" s="33"/>
      <c r="K248" s="33"/>
      <c r="L248" s="33"/>
      <c r="R248" s="330">
        <f>_xll.qlCalendarAdvance(Calendar,R247,"1D","f")</f>
        <v>42348</v>
      </c>
      <c r="S248" s="439">
        <f>_xll.qlInterpolationInterpolate(delta3Minterpolation,R248,TRUE)</f>
        <v>3.9112879432290468E-4</v>
      </c>
      <c r="T248" s="222">
        <f>_xll.qlInterpolationInterpolate(basis3Minterpolation,R248,TRUE)</f>
        <v>1.5480741459240842E-3</v>
      </c>
      <c r="Y248" s="33"/>
      <c r="Z248" s="33"/>
    </row>
    <row r="249" spans="5:26" ht="11.25" customHeight="1" x14ac:dyDescent="0.2">
      <c r="E249" s="155"/>
      <c r="F249" s="155"/>
      <c r="G249" s="33"/>
      <c r="K249" s="33"/>
      <c r="L249" s="33"/>
      <c r="R249" s="330">
        <f>_xll.qlCalendarAdvance(Calendar,R248,"1D","f")</f>
        <v>42349</v>
      </c>
      <c r="S249" s="439">
        <f>_xll.qlInterpolationInterpolate(delta3Minterpolation,R249,TRUE)</f>
        <v>3.9125574389494778E-4</v>
      </c>
      <c r="T249" s="222">
        <f>_xll.qlInterpolationInterpolate(basis3Minterpolation,R249,TRUE)</f>
        <v>1.5484561912245014E-3</v>
      </c>
      <c r="Y249" s="33"/>
      <c r="Z249" s="33"/>
    </row>
    <row r="250" spans="5:26" ht="11.25" customHeight="1" x14ac:dyDescent="0.2">
      <c r="E250" s="155"/>
      <c r="F250" s="155"/>
      <c r="G250" s="33"/>
      <c r="K250" s="33"/>
      <c r="L250" s="33"/>
      <c r="R250" s="330">
        <f>_xll.qlCalendarAdvance(Calendar,R249,"1D","f")</f>
        <v>42352</v>
      </c>
      <c r="S250" s="439">
        <f>_xll.qlInterpolationInterpolate(delta3Minterpolation,R250,TRUE)</f>
        <v>3.9164314077490682E-4</v>
      </c>
      <c r="T250" s="222">
        <f>_xll.qlInterpolationInterpolate(basis3Minterpolation,R250,TRUE)</f>
        <v>1.5496082370313295E-3</v>
      </c>
      <c r="Y250" s="33"/>
      <c r="Z250" s="33"/>
    </row>
    <row r="251" spans="5:26" ht="11.25" customHeight="1" x14ac:dyDescent="0.2">
      <c r="E251" s="155"/>
      <c r="F251" s="155"/>
      <c r="G251" s="33"/>
      <c r="K251" s="33"/>
      <c r="L251" s="33"/>
      <c r="R251" s="330">
        <f>_xll.qlCalendarAdvance(Calendar,R250,"1D","f")</f>
        <v>42353</v>
      </c>
      <c r="S251" s="439">
        <f>_xll.qlInterpolationInterpolate(delta3Minterpolation,R251,TRUE)</f>
        <v>3.9177456324412349E-4</v>
      </c>
      <c r="T251" s="222">
        <f>_xll.qlInterpolationInterpolate(basis3Minterpolation,R251,TRUE)</f>
        <v>1.549994610957699E-3</v>
      </c>
      <c r="Y251" s="33"/>
      <c r="Z251" s="33"/>
    </row>
    <row r="252" spans="5:26" ht="11.25" customHeight="1" x14ac:dyDescent="0.2">
      <c r="E252" s="155"/>
      <c r="F252" s="155"/>
      <c r="G252" s="33"/>
      <c r="K252" s="33"/>
      <c r="L252" s="33"/>
      <c r="R252" s="330">
        <f>_xll.qlCalendarAdvance(Calendar,R251,"1D","f")</f>
        <v>42354</v>
      </c>
      <c r="S252" s="439">
        <f>_xll.qlInterpolationInterpolate(delta3Minterpolation,R252,TRUE)</f>
        <v>3.9190718452859882E-4</v>
      </c>
      <c r="T252" s="222">
        <f>_xll.qlInterpolationInterpolate(basis3Minterpolation,R252,TRUE)</f>
        <v>1.5503823585572324E-3</v>
      </c>
      <c r="Y252" s="33"/>
      <c r="Z252" s="33"/>
    </row>
    <row r="253" spans="5:26" ht="11.25" customHeight="1" x14ac:dyDescent="0.2">
      <c r="E253" s="155"/>
      <c r="F253" s="155"/>
      <c r="G253" s="33"/>
      <c r="K253" s="33"/>
      <c r="L253" s="33"/>
      <c r="R253" s="330">
        <f>_xll.qlCalendarAdvance(Calendar,R252,"1D","f")</f>
        <v>42355</v>
      </c>
      <c r="S253" s="439">
        <f>_xll.qlInterpolationInterpolate(delta3Minterpolation,R253,TRUE)</f>
        <v>3.9204102250206757E-4</v>
      </c>
      <c r="T253" s="222">
        <f>_xll.qlInterpolationInterpolate(basis3Minterpolation,R253,TRUE)</f>
        <v>1.5507710009790001E-3</v>
      </c>
      <c r="Y253" s="33"/>
      <c r="Z253" s="33"/>
    </row>
    <row r="254" spans="5:26" ht="11.25" customHeight="1" x14ac:dyDescent="0.2">
      <c r="E254" s="155"/>
      <c r="F254" s="155"/>
      <c r="G254" s="33"/>
      <c r="K254" s="33"/>
      <c r="L254" s="33"/>
      <c r="R254" s="330">
        <f>_xll.qlCalendarAdvance(Calendar,R253,"1D","f")</f>
        <v>42356</v>
      </c>
      <c r="S254" s="439">
        <f>_xll.qlInterpolationInterpolate(delta3Minterpolation,R254,TRUE)</f>
        <v>3.9217603758765889E-4</v>
      </c>
      <c r="T254" s="222">
        <f>_xll.qlInterpolationInterpolate(basis3Minterpolation,R254,TRUE)</f>
        <v>1.5511599136317693E-3</v>
      </c>
      <c r="Y254" s="33"/>
      <c r="Z254" s="33"/>
    </row>
    <row r="255" spans="5:26" ht="11.25" customHeight="1" x14ac:dyDescent="0.2">
      <c r="E255" s="155"/>
      <c r="F255" s="155"/>
      <c r="G255" s="33"/>
      <c r="K255" s="33"/>
      <c r="L255" s="33"/>
      <c r="R255" s="330">
        <f>_xll.qlCalendarAdvance(Calendar,R254,"1D","f")</f>
        <v>42359</v>
      </c>
      <c r="S255" s="439">
        <f>_xll.qlInterpolationInterpolate(delta3Minterpolation,R255,TRUE)</f>
        <v>3.9258760612194648E-4</v>
      </c>
      <c r="T255" s="222">
        <f>_xll.qlInterpolationInterpolate(basis3Minterpolation,R255,TRUE)</f>
        <v>1.5523272529382377E-3</v>
      </c>
      <c r="Y255" s="33"/>
      <c r="Z255" s="33"/>
    </row>
    <row r="256" spans="5:26" ht="11.25" customHeight="1" x14ac:dyDescent="0.2">
      <c r="E256" s="155"/>
      <c r="F256" s="155"/>
      <c r="G256" s="33"/>
      <c r="K256" s="33"/>
      <c r="L256" s="33"/>
      <c r="R256" s="330">
        <f>_xll.qlCalendarAdvance(Calendar,R255,"1D","f")</f>
        <v>42360</v>
      </c>
      <c r="S256" s="439">
        <f>_xll.qlInterpolationInterpolate(delta3Minterpolation,R256,TRUE)</f>
        <v>3.9272679026080632E-4</v>
      </c>
      <c r="T256" s="222">
        <f>_xll.qlInterpolationInterpolate(basis3Minterpolation,R256,TRUE)</f>
        <v>1.5527162264771654E-3</v>
      </c>
      <c r="Y256" s="33"/>
      <c r="Z256" s="33"/>
    </row>
    <row r="257" spans="5:26" ht="11.25" customHeight="1" x14ac:dyDescent="0.2">
      <c r="E257" s="155"/>
      <c r="F257" s="155"/>
      <c r="G257" s="33"/>
      <c r="K257" s="33"/>
      <c r="L257" s="33"/>
      <c r="R257" s="330">
        <f>_xll.qlCalendarAdvance(Calendar,R256,"1D","f")</f>
        <v>42361</v>
      </c>
      <c r="S257" s="439">
        <f>_xll.qlInterpolationInterpolate(delta3Minterpolation,R257,TRUE)</f>
        <v>3.9286688181417774E-4</v>
      </c>
      <c r="T257" s="222">
        <f>_xll.qlInterpolationInterpolate(basis3Minterpolation,R257,TRUE)</f>
        <v>1.5531049602281707E-3</v>
      </c>
      <c r="Y257" s="33"/>
      <c r="Z257" s="33"/>
    </row>
    <row r="258" spans="5:26" ht="11.25" customHeight="1" x14ac:dyDescent="0.2">
      <c r="E258" s="155"/>
      <c r="F258" s="155"/>
      <c r="G258" s="33"/>
      <c r="K258" s="33"/>
      <c r="L258" s="33"/>
      <c r="R258" s="330">
        <f>_xll.qlCalendarAdvance(Calendar,R257,"1D","f")</f>
        <v>42362</v>
      </c>
      <c r="S258" s="439">
        <f>_xll.qlInterpolationInterpolate(delta3Minterpolation,R258,TRUE)</f>
        <v>3.9300782684253862E-4</v>
      </c>
      <c r="T258" s="222">
        <f>_xll.qlInterpolationInterpolate(basis3Minterpolation,R258,TRUE)</f>
        <v>1.553493352187469E-3</v>
      </c>
      <c r="Y258" s="33"/>
      <c r="Z258" s="33"/>
    </row>
    <row r="259" spans="5:26" ht="11.25" customHeight="1" x14ac:dyDescent="0.2">
      <c r="E259" s="155"/>
      <c r="F259" s="155"/>
      <c r="G259" s="33"/>
      <c r="K259" s="33"/>
      <c r="L259" s="33"/>
      <c r="R259" s="330">
        <f>_xll.qlCalendarAdvance(Calendar,R258,"1D","f")</f>
        <v>42366</v>
      </c>
      <c r="S259" s="439">
        <f>_xll.qlInterpolationInterpolate(delta3Minterpolation,R259,TRUE)</f>
        <v>3.9357906291543298E-4</v>
      </c>
      <c r="T259" s="222">
        <f>_xll.qlInterpolationInterpolate(basis3Minterpolation,R259,TRUE)</f>
        <v>1.5550414620319009E-3</v>
      </c>
      <c r="Y259" s="33"/>
      <c r="Z259" s="33"/>
    </row>
    <row r="260" spans="5:26" ht="11.25" customHeight="1" x14ac:dyDescent="0.2">
      <c r="E260" s="155"/>
      <c r="F260" s="155"/>
      <c r="G260" s="33"/>
      <c r="K260" s="33"/>
      <c r="L260" s="33"/>
      <c r="R260" s="330">
        <f>_xll.qlCalendarAdvance(Calendar,R259,"1D","f")</f>
        <v>42367</v>
      </c>
      <c r="S260" s="439">
        <f>_xll.qlInterpolationInterpolate(delta3Minterpolation,R260,TRUE)</f>
        <v>3.9372346622590831E-4</v>
      </c>
      <c r="T260" s="222">
        <f>_xll.qlInterpolationInterpolate(basis3Minterpolation,R260,TRUE)</f>
        <v>1.5554266149758948E-3</v>
      </c>
      <c r="Y260" s="33"/>
      <c r="Z260" s="33"/>
    </row>
    <row r="261" spans="5:26" ht="11.25" customHeight="1" thickBot="1" x14ac:dyDescent="0.25">
      <c r="E261" s="155"/>
      <c r="F261" s="155"/>
      <c r="G261" s="33"/>
      <c r="K261" s="33"/>
      <c r="L261" s="33"/>
      <c r="R261" s="330">
        <f>_xll.qlCalendarAdvance(Calendar,R260,"1D","f")</f>
        <v>42368</v>
      </c>
      <c r="S261" s="439">
        <f>_xll.qlInterpolationInterpolate(delta3Minterpolation,R261,TRUE)</f>
        <v>3.9386839937423997E-4</v>
      </c>
      <c r="T261" s="222">
        <f>_xll.qlInterpolationInterpolate(basis3Minterpolation,R261,TRUE)</f>
        <v>1.5558108141054735E-3</v>
      </c>
      <c r="Y261" s="33"/>
      <c r="Z261" s="33"/>
    </row>
    <row r="262" spans="5:26" ht="11.25" customHeight="1" x14ac:dyDescent="0.2">
      <c r="E262" s="155"/>
      <c r="F262" s="155"/>
      <c r="G262" s="33"/>
      <c r="K262" s="33"/>
      <c r="L262" s="33"/>
      <c r="R262" s="455"/>
      <c r="S262" s="456"/>
      <c r="T262" s="457"/>
      <c r="Y262" s="33"/>
      <c r="Z262" s="33"/>
    </row>
    <row r="263" spans="5:26" ht="11.25" customHeight="1" x14ac:dyDescent="0.2">
      <c r="E263" s="155"/>
      <c r="F263" s="155"/>
      <c r="G263" s="33"/>
      <c r="K263" s="33"/>
      <c r="L263" s="33"/>
      <c r="R263" s="458"/>
      <c r="S263" s="459"/>
      <c r="T263" s="460"/>
      <c r="Y263" s="33"/>
      <c r="Z263" s="33"/>
    </row>
    <row r="264" spans="5:26" ht="11.25" customHeight="1" x14ac:dyDescent="0.2">
      <c r="E264" s="155"/>
      <c r="F264" s="155"/>
      <c r="G264" s="33"/>
      <c r="K264" s="33"/>
      <c r="L264" s="33"/>
      <c r="R264" s="458"/>
      <c r="S264" s="459"/>
      <c r="T264" s="460"/>
      <c r="Y264" s="33"/>
      <c r="Z264" s="33"/>
    </row>
    <row r="265" spans="5:26" ht="11.25" customHeight="1" x14ac:dyDescent="0.2">
      <c r="E265" s="155"/>
      <c r="F265" s="155"/>
      <c r="G265" s="33"/>
      <c r="K265" s="33"/>
      <c r="L265" s="33"/>
      <c r="R265" s="458"/>
      <c r="S265" s="459"/>
      <c r="T265" s="460"/>
      <c r="Y265" s="33"/>
      <c r="Z265" s="33"/>
    </row>
    <row r="266" spans="5:26" ht="11.25" customHeight="1" x14ac:dyDescent="0.2">
      <c r="E266" s="155"/>
      <c r="F266" s="155"/>
      <c r="G266" s="33"/>
      <c r="K266" s="33"/>
      <c r="L266" s="33"/>
      <c r="R266" s="458"/>
      <c r="S266" s="459"/>
      <c r="T266" s="460"/>
      <c r="Y266" s="33"/>
      <c r="Z266" s="33"/>
    </row>
    <row r="267" spans="5:26" ht="11.25" customHeight="1" x14ac:dyDescent="0.2">
      <c r="E267" s="155"/>
      <c r="F267" s="155"/>
      <c r="G267" s="33"/>
      <c r="K267" s="33"/>
      <c r="L267" s="33"/>
      <c r="R267" s="458"/>
      <c r="S267" s="459"/>
      <c r="T267" s="460"/>
      <c r="Y267" s="33"/>
      <c r="Z267" s="33"/>
    </row>
    <row r="268" spans="5:26" ht="11.25" customHeight="1" x14ac:dyDescent="0.2">
      <c r="E268" s="155"/>
      <c r="F268" s="155"/>
      <c r="G268" s="33"/>
      <c r="K268" s="33"/>
      <c r="L268" s="33"/>
      <c r="R268" s="458"/>
      <c r="S268" s="459"/>
      <c r="T268" s="460"/>
      <c r="Y268" s="33"/>
      <c r="Z268" s="33"/>
    </row>
    <row r="269" spans="5:26" ht="11.25" customHeight="1" x14ac:dyDescent="0.2">
      <c r="E269" s="155"/>
      <c r="F269" s="155"/>
      <c r="G269" s="33"/>
      <c r="K269" s="33"/>
      <c r="L269" s="33"/>
      <c r="R269" s="458"/>
      <c r="S269" s="459"/>
      <c r="T269" s="460"/>
      <c r="Y269" s="33"/>
      <c r="Z269" s="33"/>
    </row>
    <row r="270" spans="5:26" ht="11.25" customHeight="1" x14ac:dyDescent="0.2">
      <c r="E270" s="155"/>
      <c r="F270" s="155"/>
      <c r="G270" s="33"/>
      <c r="K270" s="33"/>
      <c r="L270" s="33"/>
      <c r="R270" s="458"/>
      <c r="S270" s="459"/>
      <c r="T270" s="460"/>
      <c r="Y270" s="33"/>
      <c r="Z270" s="33"/>
    </row>
    <row r="271" spans="5:26" ht="11.25" customHeight="1" x14ac:dyDescent="0.2">
      <c r="E271" s="155"/>
      <c r="F271" s="155"/>
      <c r="G271" s="33"/>
      <c r="K271" s="33"/>
      <c r="L271" s="33"/>
      <c r="R271" s="458"/>
      <c r="S271" s="459"/>
      <c r="T271" s="460"/>
      <c r="Y271" s="33"/>
      <c r="Z271" s="33"/>
    </row>
    <row r="272" spans="5:26" ht="11.25" customHeight="1" x14ac:dyDescent="0.2">
      <c r="E272" s="155"/>
      <c r="F272" s="155"/>
      <c r="G272" s="33"/>
      <c r="K272" s="33"/>
      <c r="L272" s="33"/>
      <c r="R272" s="458"/>
      <c r="S272" s="459"/>
      <c r="T272" s="460"/>
      <c r="Y272" s="33"/>
      <c r="Z272" s="33"/>
    </row>
    <row r="273" spans="5:26" ht="11.25" customHeight="1" x14ac:dyDescent="0.2">
      <c r="E273" s="155"/>
      <c r="F273" s="155"/>
      <c r="G273" s="33"/>
      <c r="K273" s="33"/>
      <c r="L273" s="33"/>
      <c r="R273" s="458"/>
      <c r="S273" s="459"/>
      <c r="T273" s="460"/>
      <c r="Y273" s="33"/>
      <c r="Z273" s="33"/>
    </row>
    <row r="274" spans="5:26" ht="11.25" customHeight="1" x14ac:dyDescent="0.2">
      <c r="E274" s="155"/>
      <c r="F274" s="155"/>
      <c r="G274" s="33"/>
      <c r="K274" s="33"/>
      <c r="L274" s="33"/>
      <c r="R274" s="458"/>
      <c r="S274" s="459"/>
      <c r="T274" s="460"/>
      <c r="Y274" s="33"/>
      <c r="Z274" s="33"/>
    </row>
    <row r="275" spans="5:26" ht="11.25" customHeight="1" x14ac:dyDescent="0.2">
      <c r="E275" s="155"/>
      <c r="F275" s="155"/>
      <c r="G275" s="33"/>
      <c r="K275" s="33"/>
      <c r="L275" s="33"/>
      <c r="R275" s="458"/>
      <c r="S275" s="459"/>
      <c r="T275" s="460"/>
      <c r="Y275" s="33"/>
      <c r="Z275" s="33"/>
    </row>
    <row r="276" spans="5:26" ht="11.25" customHeight="1" x14ac:dyDescent="0.2">
      <c r="E276" s="155"/>
      <c r="F276" s="155"/>
      <c r="G276" s="33"/>
      <c r="K276" s="33"/>
      <c r="L276" s="33"/>
      <c r="R276" s="458"/>
      <c r="S276" s="459"/>
      <c r="T276" s="460"/>
      <c r="Y276" s="33"/>
      <c r="Z276" s="33"/>
    </row>
    <row r="277" spans="5:26" ht="11.25" customHeight="1" x14ac:dyDescent="0.2">
      <c r="E277" s="155"/>
      <c r="F277" s="155"/>
      <c r="G277" s="33"/>
      <c r="K277" s="33"/>
      <c r="L277" s="33"/>
      <c r="R277" s="458"/>
      <c r="S277" s="459"/>
      <c r="T277" s="460"/>
      <c r="Y277" s="33"/>
      <c r="Z277" s="33"/>
    </row>
    <row r="278" spans="5:26" ht="11.25" customHeight="1" x14ac:dyDescent="0.2">
      <c r="E278" s="155"/>
      <c r="F278" s="155"/>
      <c r="G278" s="33"/>
      <c r="K278" s="33"/>
      <c r="L278" s="33"/>
      <c r="R278" s="458"/>
      <c r="S278" s="459"/>
      <c r="T278" s="460"/>
      <c r="Y278" s="33"/>
      <c r="Z278" s="33"/>
    </row>
    <row r="279" spans="5:26" ht="11.25" customHeight="1" x14ac:dyDescent="0.2">
      <c r="E279" s="155"/>
      <c r="F279" s="155"/>
      <c r="G279" s="33"/>
      <c r="K279" s="33"/>
      <c r="L279" s="33"/>
      <c r="R279" s="458"/>
      <c r="S279" s="459"/>
      <c r="T279" s="460"/>
      <c r="Y279" s="33"/>
      <c r="Z279" s="33"/>
    </row>
    <row r="280" spans="5:26" ht="11.25" customHeight="1" x14ac:dyDescent="0.2">
      <c r="E280" s="155"/>
      <c r="F280" s="155"/>
      <c r="G280" s="33"/>
      <c r="K280" s="33"/>
      <c r="L280" s="33"/>
      <c r="R280" s="458"/>
      <c r="S280" s="459"/>
      <c r="T280" s="460"/>
      <c r="Y280" s="33"/>
      <c r="Z280" s="33"/>
    </row>
    <row r="281" spans="5:26" ht="11.25" customHeight="1" x14ac:dyDescent="0.2">
      <c r="E281" s="155"/>
      <c r="F281" s="155"/>
      <c r="G281" s="33"/>
      <c r="K281" s="33"/>
      <c r="L281" s="33"/>
      <c r="R281" s="458"/>
      <c r="S281" s="459"/>
      <c r="T281" s="460"/>
      <c r="Y281" s="33"/>
      <c r="Z281" s="33"/>
    </row>
    <row r="282" spans="5:26" ht="11.25" customHeight="1" x14ac:dyDescent="0.2">
      <c r="E282" s="155"/>
      <c r="F282" s="155"/>
      <c r="G282" s="33"/>
      <c r="K282" s="33"/>
      <c r="L282" s="33"/>
      <c r="R282" s="458"/>
      <c r="S282" s="459"/>
      <c r="T282" s="460"/>
      <c r="Y282" s="33"/>
      <c r="Z282" s="33"/>
    </row>
    <row r="283" spans="5:26" ht="11.25" customHeight="1" x14ac:dyDescent="0.2">
      <c r="E283" s="155"/>
      <c r="F283" s="155"/>
      <c r="G283" s="33"/>
      <c r="K283" s="33"/>
      <c r="L283" s="33"/>
      <c r="R283" s="458"/>
      <c r="S283" s="459"/>
      <c r="T283" s="460"/>
      <c r="Y283" s="33"/>
      <c r="Z283" s="33"/>
    </row>
    <row r="284" spans="5:26" ht="11.25" customHeight="1" x14ac:dyDescent="0.2">
      <c r="E284" s="155"/>
      <c r="F284" s="155"/>
      <c r="G284" s="33"/>
      <c r="K284" s="33"/>
      <c r="L284" s="33"/>
      <c r="R284" s="458"/>
      <c r="S284" s="459"/>
      <c r="T284" s="460"/>
      <c r="Y284" s="33"/>
      <c r="Z284" s="33"/>
    </row>
    <row r="285" spans="5:26" ht="11.25" customHeight="1" x14ac:dyDescent="0.2">
      <c r="E285" s="155"/>
      <c r="F285" s="155"/>
      <c r="G285" s="33"/>
      <c r="K285" s="33"/>
      <c r="L285" s="33"/>
      <c r="R285" s="458"/>
      <c r="S285" s="459"/>
      <c r="T285" s="460"/>
      <c r="Y285" s="33"/>
      <c r="Z285" s="33"/>
    </row>
    <row r="286" spans="5:26" ht="11.25" customHeight="1" x14ac:dyDescent="0.2">
      <c r="E286" s="155"/>
      <c r="F286" s="155"/>
      <c r="G286" s="33"/>
      <c r="K286" s="33"/>
      <c r="L286" s="33"/>
      <c r="R286" s="458"/>
      <c r="S286" s="459"/>
      <c r="T286" s="460"/>
      <c r="Y286" s="33"/>
      <c r="Z286" s="33"/>
    </row>
    <row r="287" spans="5:26" ht="11.25" customHeight="1" x14ac:dyDescent="0.2">
      <c r="E287" s="155"/>
      <c r="F287" s="155"/>
      <c r="G287" s="33"/>
      <c r="K287" s="33"/>
      <c r="L287" s="33"/>
      <c r="R287" s="458"/>
      <c r="S287" s="459"/>
      <c r="T287" s="460"/>
      <c r="Y287" s="33"/>
      <c r="Z287" s="33"/>
    </row>
    <row r="288" spans="5:26" ht="11.25" customHeight="1" x14ac:dyDescent="0.2">
      <c r="E288" s="155"/>
      <c r="F288" s="155"/>
      <c r="G288" s="33"/>
      <c r="K288" s="33"/>
      <c r="L288" s="33"/>
      <c r="R288" s="458"/>
      <c r="S288" s="459"/>
      <c r="T288" s="460"/>
      <c r="Y288" s="33"/>
      <c r="Z288" s="33"/>
    </row>
    <row r="289" spans="5:26" ht="11.25" customHeight="1" x14ac:dyDescent="0.2">
      <c r="E289" s="155"/>
      <c r="F289" s="155"/>
      <c r="G289" s="33"/>
      <c r="K289" s="33"/>
      <c r="L289" s="33"/>
      <c r="R289" s="458"/>
      <c r="S289" s="459"/>
      <c r="T289" s="460"/>
      <c r="Y289" s="33"/>
      <c r="Z289" s="33"/>
    </row>
    <row r="290" spans="5:26" ht="11.25" customHeight="1" x14ac:dyDescent="0.2">
      <c r="E290" s="155"/>
      <c r="F290" s="155"/>
      <c r="G290" s="33"/>
      <c r="K290" s="33"/>
      <c r="L290" s="33"/>
      <c r="R290" s="458"/>
      <c r="S290" s="459"/>
      <c r="T290" s="460"/>
      <c r="Y290" s="33"/>
      <c r="Z290" s="33"/>
    </row>
    <row r="291" spans="5:26" ht="11.25" customHeight="1" x14ac:dyDescent="0.2">
      <c r="E291" s="155"/>
      <c r="F291" s="155"/>
      <c r="G291" s="33"/>
      <c r="K291" s="33"/>
      <c r="L291" s="33"/>
      <c r="R291" s="458"/>
      <c r="S291" s="459"/>
      <c r="T291" s="460"/>
      <c r="Y291" s="33"/>
      <c r="Z291" s="33"/>
    </row>
    <row r="292" spans="5:26" ht="11.25" customHeight="1" x14ac:dyDescent="0.2">
      <c r="E292" s="155"/>
      <c r="F292" s="155"/>
      <c r="G292" s="33"/>
      <c r="K292" s="33"/>
      <c r="L292" s="33"/>
      <c r="R292" s="458"/>
      <c r="S292" s="459"/>
      <c r="T292" s="460"/>
      <c r="Y292" s="33"/>
      <c r="Z292" s="33"/>
    </row>
    <row r="293" spans="5:26" ht="11.25" customHeight="1" x14ac:dyDescent="0.2">
      <c r="E293" s="155"/>
      <c r="F293" s="155"/>
      <c r="G293" s="33"/>
      <c r="K293" s="33"/>
      <c r="L293" s="33"/>
      <c r="R293" s="458"/>
      <c r="S293" s="459"/>
      <c r="T293" s="460"/>
      <c r="Y293" s="33"/>
      <c r="Z293" s="33"/>
    </row>
    <row r="294" spans="5:26" ht="11.25" customHeight="1" x14ac:dyDescent="0.2">
      <c r="E294" s="155"/>
      <c r="F294" s="155"/>
      <c r="G294" s="33"/>
      <c r="K294" s="33"/>
      <c r="L294" s="33"/>
      <c r="R294" s="458"/>
      <c r="S294" s="459"/>
      <c r="T294" s="460"/>
      <c r="Y294" s="33"/>
      <c r="Z294" s="33"/>
    </row>
    <row r="295" spans="5:26" ht="11.25" customHeight="1" x14ac:dyDescent="0.2">
      <c r="E295" s="155"/>
      <c r="F295" s="155"/>
      <c r="G295" s="33"/>
      <c r="K295" s="33"/>
      <c r="L295" s="33"/>
      <c r="R295" s="458"/>
      <c r="S295" s="459"/>
      <c r="T295" s="460"/>
      <c r="Y295" s="33"/>
      <c r="Z295" s="33"/>
    </row>
    <row r="296" spans="5:26" ht="11.25" customHeight="1" x14ac:dyDescent="0.2">
      <c r="E296" s="155"/>
      <c r="F296" s="155"/>
      <c r="G296" s="33"/>
      <c r="K296" s="33"/>
      <c r="L296" s="33"/>
      <c r="R296" s="458"/>
      <c r="S296" s="459"/>
      <c r="T296" s="460"/>
      <c r="Y296" s="33"/>
      <c r="Z296" s="33"/>
    </row>
    <row r="297" spans="5:26" ht="11.25" customHeight="1" x14ac:dyDescent="0.2">
      <c r="E297" s="155"/>
      <c r="F297" s="155"/>
      <c r="G297" s="33"/>
      <c r="K297" s="33"/>
      <c r="L297" s="33"/>
      <c r="R297" s="458"/>
      <c r="S297" s="459"/>
      <c r="T297" s="460"/>
      <c r="Y297" s="33"/>
      <c r="Z297" s="33"/>
    </row>
    <row r="298" spans="5:26" ht="11.25" customHeight="1" x14ac:dyDescent="0.2">
      <c r="E298" s="155"/>
      <c r="F298" s="155"/>
      <c r="G298" s="33"/>
      <c r="K298" s="33"/>
      <c r="L298" s="33"/>
      <c r="R298" s="458"/>
      <c r="S298" s="459"/>
      <c r="T298" s="460"/>
      <c r="Y298" s="33"/>
      <c r="Z298" s="33"/>
    </row>
    <row r="299" spans="5:26" ht="11.25" customHeight="1" x14ac:dyDescent="0.2">
      <c r="E299" s="155"/>
      <c r="F299" s="155"/>
      <c r="G299" s="33"/>
      <c r="K299" s="33"/>
      <c r="L299" s="33"/>
      <c r="R299" s="458"/>
      <c r="S299" s="459"/>
      <c r="T299" s="460"/>
      <c r="Y299" s="33"/>
      <c r="Z299" s="33"/>
    </row>
    <row r="300" spans="5:26" ht="11.25" customHeight="1" x14ac:dyDescent="0.2">
      <c r="E300" s="155"/>
      <c r="F300" s="155"/>
      <c r="G300" s="33"/>
      <c r="K300" s="33"/>
      <c r="L300" s="33"/>
      <c r="R300" s="458"/>
      <c r="S300" s="459"/>
      <c r="T300" s="460"/>
      <c r="Y300" s="33"/>
      <c r="Z300" s="33"/>
    </row>
    <row r="301" spans="5:26" ht="11.25" customHeight="1" x14ac:dyDescent="0.2">
      <c r="E301" s="155"/>
      <c r="F301" s="155"/>
      <c r="G301" s="33"/>
      <c r="K301" s="33"/>
      <c r="L301" s="33"/>
      <c r="R301" s="458"/>
      <c r="S301" s="459"/>
      <c r="T301" s="460"/>
      <c r="Y301" s="33"/>
      <c r="Z301" s="33"/>
    </row>
    <row r="302" spans="5:26" ht="11.25" customHeight="1" x14ac:dyDescent="0.2">
      <c r="E302" s="155"/>
      <c r="F302" s="155"/>
      <c r="G302" s="33"/>
      <c r="K302" s="33"/>
      <c r="L302" s="33"/>
      <c r="R302" s="458"/>
      <c r="S302" s="459"/>
      <c r="T302" s="460"/>
      <c r="Y302" s="33"/>
      <c r="Z302" s="33"/>
    </row>
    <row r="303" spans="5:26" ht="11.25" customHeight="1" x14ac:dyDescent="0.2">
      <c r="E303" s="155"/>
      <c r="F303" s="155"/>
      <c r="G303" s="33"/>
      <c r="K303" s="33"/>
      <c r="L303" s="33"/>
      <c r="R303" s="458"/>
      <c r="S303" s="459"/>
      <c r="T303" s="460"/>
      <c r="Y303" s="33"/>
      <c r="Z303" s="33"/>
    </row>
    <row r="304" spans="5:26" ht="11.25" customHeight="1" x14ac:dyDescent="0.2">
      <c r="E304" s="155"/>
      <c r="F304" s="155"/>
      <c r="G304" s="33"/>
      <c r="K304" s="33"/>
      <c r="L304" s="33"/>
      <c r="R304" s="458"/>
      <c r="S304" s="459"/>
      <c r="T304" s="460"/>
      <c r="Y304" s="33"/>
      <c r="Z304" s="33"/>
    </row>
    <row r="305" spans="5:26" ht="11.25" customHeight="1" x14ac:dyDescent="0.2">
      <c r="E305" s="155"/>
      <c r="F305" s="155"/>
      <c r="G305" s="33"/>
      <c r="K305" s="33"/>
      <c r="L305" s="33"/>
      <c r="R305" s="458"/>
      <c r="S305" s="459"/>
      <c r="T305" s="460"/>
      <c r="Y305" s="33"/>
      <c r="Z305" s="33"/>
    </row>
    <row r="306" spans="5:26" ht="11.25" customHeight="1" x14ac:dyDescent="0.2">
      <c r="E306" s="155"/>
      <c r="F306" s="155"/>
      <c r="G306" s="33"/>
      <c r="K306" s="33"/>
      <c r="L306" s="33"/>
      <c r="R306" s="458"/>
      <c r="S306" s="459"/>
      <c r="T306" s="460"/>
      <c r="Y306" s="33"/>
      <c r="Z306" s="33"/>
    </row>
    <row r="307" spans="5:26" ht="11.25" customHeight="1" x14ac:dyDescent="0.2">
      <c r="E307" s="155"/>
      <c r="F307" s="155"/>
      <c r="G307" s="33"/>
      <c r="K307" s="33"/>
      <c r="L307" s="33"/>
      <c r="R307" s="458"/>
      <c r="S307" s="459"/>
      <c r="T307" s="460"/>
      <c r="Y307" s="33"/>
      <c r="Z307" s="33"/>
    </row>
    <row r="308" spans="5:26" ht="11.25" customHeight="1" x14ac:dyDescent="0.2">
      <c r="E308" s="155"/>
      <c r="F308" s="155"/>
      <c r="G308" s="33"/>
      <c r="K308" s="33"/>
      <c r="L308" s="33"/>
      <c r="R308" s="458"/>
      <c r="S308" s="459"/>
      <c r="T308" s="460"/>
      <c r="Y308" s="33"/>
      <c r="Z308" s="33"/>
    </row>
    <row r="309" spans="5:26" ht="11.25" customHeight="1" x14ac:dyDescent="0.2">
      <c r="E309" s="155"/>
      <c r="F309" s="155"/>
      <c r="G309" s="33"/>
      <c r="K309" s="33"/>
      <c r="L309" s="33"/>
      <c r="R309" s="458"/>
      <c r="S309" s="459"/>
      <c r="T309" s="460"/>
      <c r="Y309" s="33"/>
      <c r="Z309" s="33"/>
    </row>
    <row r="310" spans="5:26" ht="11.25" customHeight="1" x14ac:dyDescent="0.2">
      <c r="E310" s="155"/>
      <c r="F310" s="155"/>
      <c r="G310" s="33"/>
      <c r="K310" s="33"/>
      <c r="L310" s="33"/>
      <c r="R310" s="458"/>
      <c r="S310" s="459"/>
      <c r="T310" s="460"/>
      <c r="Y310" s="33"/>
      <c r="Z310" s="33"/>
    </row>
    <row r="311" spans="5:26" ht="11.25" customHeight="1" x14ac:dyDescent="0.2">
      <c r="E311" s="155"/>
      <c r="F311" s="155"/>
      <c r="G311" s="33"/>
      <c r="K311" s="33"/>
      <c r="L311" s="33"/>
      <c r="R311" s="458"/>
      <c r="S311" s="459"/>
      <c r="T311" s="460"/>
      <c r="Y311" s="33"/>
      <c r="Z311" s="33"/>
    </row>
    <row r="312" spans="5:26" ht="11.25" customHeight="1" x14ac:dyDescent="0.2">
      <c r="E312" s="155"/>
      <c r="F312" s="155"/>
      <c r="G312" s="33"/>
      <c r="K312" s="33"/>
      <c r="L312" s="33"/>
      <c r="R312" s="458"/>
      <c r="S312" s="459"/>
      <c r="T312" s="460"/>
      <c r="Y312" s="33"/>
      <c r="Z312" s="33"/>
    </row>
    <row r="313" spans="5:26" ht="11.25" customHeight="1" x14ac:dyDescent="0.2">
      <c r="E313" s="155"/>
      <c r="F313" s="155"/>
      <c r="G313" s="33"/>
      <c r="K313" s="33"/>
      <c r="L313" s="33"/>
      <c r="R313" s="458"/>
      <c r="S313" s="459"/>
      <c r="T313" s="460"/>
      <c r="Y313" s="33"/>
      <c r="Z313" s="33"/>
    </row>
    <row r="314" spans="5:26" ht="11.25" customHeight="1" x14ac:dyDescent="0.2">
      <c r="E314" s="155"/>
      <c r="F314" s="155"/>
      <c r="G314" s="33"/>
      <c r="K314" s="33"/>
      <c r="L314" s="33"/>
      <c r="R314" s="458"/>
      <c r="S314" s="459"/>
      <c r="T314" s="460"/>
      <c r="Y314" s="33"/>
      <c r="Z314" s="33"/>
    </row>
    <row r="315" spans="5:26" ht="11.25" customHeight="1" x14ac:dyDescent="0.2">
      <c r="E315" s="155"/>
      <c r="F315" s="155"/>
      <c r="G315" s="33"/>
      <c r="K315" s="33"/>
      <c r="L315" s="33"/>
      <c r="R315" s="458"/>
      <c r="S315" s="459"/>
      <c r="T315" s="460"/>
      <c r="Y315" s="33"/>
      <c r="Z315" s="33"/>
    </row>
    <row r="316" spans="5:26" ht="11.25" customHeight="1" x14ac:dyDescent="0.2">
      <c r="E316" s="155"/>
      <c r="F316" s="155"/>
      <c r="G316" s="33"/>
      <c r="K316" s="33"/>
      <c r="L316" s="33"/>
      <c r="R316" s="458"/>
      <c r="S316" s="459"/>
      <c r="T316" s="460"/>
      <c r="Y316" s="33"/>
      <c r="Z316" s="33"/>
    </row>
    <row r="317" spans="5:26" ht="11.25" customHeight="1" x14ac:dyDescent="0.2">
      <c r="E317" s="155"/>
      <c r="F317" s="155"/>
      <c r="G317" s="33"/>
      <c r="K317" s="33"/>
      <c r="L317" s="33"/>
      <c r="R317" s="458"/>
      <c r="S317" s="459"/>
      <c r="T317" s="460"/>
      <c r="Y317" s="33"/>
      <c r="Z317" s="33"/>
    </row>
    <row r="318" spans="5:26" ht="11.25" customHeight="1" x14ac:dyDescent="0.2">
      <c r="E318" s="155"/>
      <c r="F318" s="155"/>
      <c r="G318" s="33"/>
      <c r="K318" s="33"/>
      <c r="L318" s="33"/>
      <c r="R318" s="458"/>
      <c r="S318" s="459"/>
      <c r="T318" s="460"/>
      <c r="Y318" s="33"/>
      <c r="Z318" s="33"/>
    </row>
    <row r="319" spans="5:26" ht="11.25" customHeight="1" x14ac:dyDescent="0.2">
      <c r="E319" s="155"/>
      <c r="F319" s="155"/>
      <c r="G319" s="33"/>
      <c r="K319" s="33"/>
      <c r="L319" s="33"/>
      <c r="R319" s="458"/>
      <c r="S319" s="459"/>
      <c r="T319" s="460"/>
      <c r="Y319" s="33"/>
      <c r="Z319" s="33"/>
    </row>
    <row r="320" spans="5:26" ht="11.25" customHeight="1" x14ac:dyDescent="0.2">
      <c r="E320" s="155"/>
      <c r="F320" s="155"/>
      <c r="G320" s="33"/>
      <c r="K320" s="33"/>
      <c r="L320" s="33"/>
      <c r="R320" s="458"/>
      <c r="S320" s="459"/>
      <c r="T320" s="460"/>
      <c r="Y320" s="33"/>
      <c r="Z320" s="33"/>
    </row>
    <row r="321" spans="5:26" ht="11.25" customHeight="1" x14ac:dyDescent="0.2">
      <c r="E321" s="155"/>
      <c r="F321" s="155"/>
      <c r="G321" s="33"/>
      <c r="K321" s="33"/>
      <c r="L321" s="33"/>
      <c r="R321" s="458"/>
      <c r="S321" s="459"/>
      <c r="T321" s="460"/>
      <c r="Y321" s="33"/>
      <c r="Z321" s="33"/>
    </row>
    <row r="322" spans="5:26" ht="11.25" customHeight="1" x14ac:dyDescent="0.2">
      <c r="E322" s="155"/>
      <c r="F322" s="155"/>
      <c r="G322" s="33"/>
      <c r="K322" s="33"/>
      <c r="L322" s="33"/>
      <c r="R322" s="458"/>
      <c r="S322" s="459"/>
      <c r="T322" s="460"/>
      <c r="Y322" s="33"/>
      <c r="Z322" s="33"/>
    </row>
    <row r="323" spans="5:26" ht="11.25" customHeight="1" x14ac:dyDescent="0.2">
      <c r="E323" s="155"/>
      <c r="F323" s="155"/>
      <c r="G323" s="33"/>
      <c r="K323" s="33"/>
      <c r="L323" s="33"/>
      <c r="R323" s="458"/>
      <c r="S323" s="459"/>
      <c r="T323" s="460"/>
      <c r="Y323" s="33"/>
      <c r="Z323" s="33"/>
    </row>
    <row r="324" spans="5:26" ht="11.25" customHeight="1" x14ac:dyDescent="0.2">
      <c r="E324" s="155"/>
      <c r="F324" s="155"/>
      <c r="G324" s="33"/>
      <c r="K324" s="33"/>
      <c r="L324" s="33"/>
      <c r="R324" s="458"/>
      <c r="S324" s="459"/>
      <c r="T324" s="460"/>
      <c r="Y324" s="33"/>
      <c r="Z324" s="33"/>
    </row>
    <row r="325" spans="5:26" ht="11.25" customHeight="1" x14ac:dyDescent="0.2">
      <c r="E325" s="155"/>
      <c r="F325" s="155"/>
      <c r="G325" s="33"/>
      <c r="K325" s="33"/>
      <c r="L325" s="33"/>
      <c r="R325" s="458"/>
      <c r="S325" s="459"/>
      <c r="T325" s="460"/>
      <c r="Y325" s="33"/>
      <c r="Z325" s="33"/>
    </row>
    <row r="326" spans="5:26" ht="11.25" customHeight="1" x14ac:dyDescent="0.2">
      <c r="E326" s="155"/>
      <c r="F326" s="155"/>
      <c r="G326" s="33"/>
      <c r="K326" s="33"/>
      <c r="L326" s="33"/>
      <c r="R326" s="458"/>
      <c r="S326" s="459"/>
      <c r="T326" s="460"/>
      <c r="Y326" s="33"/>
      <c r="Z326" s="33"/>
    </row>
    <row r="327" spans="5:26" ht="11.25" customHeight="1" x14ac:dyDescent="0.2">
      <c r="E327" s="155"/>
      <c r="F327" s="155"/>
      <c r="G327" s="33"/>
      <c r="K327" s="33"/>
      <c r="L327" s="33"/>
      <c r="R327" s="458"/>
      <c r="S327" s="459"/>
      <c r="T327" s="460"/>
      <c r="Y327" s="33"/>
      <c r="Z327" s="33"/>
    </row>
    <row r="328" spans="5:26" ht="11.25" customHeight="1" x14ac:dyDescent="0.2">
      <c r="E328" s="155"/>
      <c r="F328" s="155"/>
      <c r="G328" s="33"/>
      <c r="K328" s="33"/>
      <c r="L328" s="33"/>
      <c r="R328" s="458"/>
      <c r="S328" s="459"/>
      <c r="T328" s="460"/>
      <c r="Y328" s="33"/>
      <c r="Z328" s="33"/>
    </row>
    <row r="329" spans="5:26" ht="11.25" customHeight="1" x14ac:dyDescent="0.2">
      <c r="E329" s="155"/>
      <c r="F329" s="155"/>
      <c r="G329" s="33"/>
      <c r="K329" s="33"/>
      <c r="L329" s="33"/>
      <c r="R329" s="458"/>
      <c r="S329" s="459"/>
      <c r="T329" s="460"/>
      <c r="Y329" s="33"/>
      <c r="Z329" s="33"/>
    </row>
    <row r="330" spans="5:26" ht="11.25" customHeight="1" x14ac:dyDescent="0.2">
      <c r="E330" s="155"/>
      <c r="F330" s="155"/>
      <c r="G330" s="33"/>
      <c r="K330" s="33"/>
      <c r="L330" s="33"/>
      <c r="R330" s="458"/>
      <c r="S330" s="459"/>
      <c r="T330" s="460"/>
      <c r="Y330" s="33"/>
      <c r="Z330" s="33"/>
    </row>
    <row r="331" spans="5:26" ht="11.25" customHeight="1" x14ac:dyDescent="0.2">
      <c r="E331" s="155"/>
      <c r="F331" s="155"/>
      <c r="G331" s="33"/>
      <c r="K331" s="33"/>
      <c r="L331" s="33"/>
      <c r="R331" s="458"/>
      <c r="S331" s="459"/>
      <c r="T331" s="460"/>
      <c r="Y331" s="33"/>
      <c r="Z331" s="33"/>
    </row>
    <row r="332" spans="5:26" ht="11.25" customHeight="1" x14ac:dyDescent="0.2">
      <c r="E332" s="155"/>
      <c r="F332" s="155"/>
      <c r="G332" s="33"/>
      <c r="K332" s="33"/>
      <c r="L332" s="33"/>
      <c r="R332" s="458"/>
      <c r="S332" s="459"/>
      <c r="T332" s="460"/>
      <c r="Y332" s="33"/>
      <c r="Z332" s="33"/>
    </row>
    <row r="333" spans="5:26" ht="11.25" customHeight="1" x14ac:dyDescent="0.2">
      <c r="E333" s="155"/>
      <c r="F333" s="155"/>
      <c r="G333" s="33"/>
      <c r="K333" s="33"/>
      <c r="L333" s="33"/>
      <c r="R333" s="458"/>
      <c r="S333" s="459"/>
      <c r="T333" s="460"/>
      <c r="Y333" s="33"/>
      <c r="Z333" s="33"/>
    </row>
    <row r="334" spans="5:26" ht="11.25" customHeight="1" x14ac:dyDescent="0.2">
      <c r="E334" s="155"/>
      <c r="F334" s="155"/>
      <c r="G334" s="33"/>
      <c r="K334" s="33"/>
      <c r="L334" s="33"/>
      <c r="R334" s="458"/>
      <c r="S334" s="459"/>
      <c r="T334" s="460"/>
      <c r="Y334" s="33"/>
      <c r="Z334" s="33"/>
    </row>
    <row r="335" spans="5:26" ht="11.25" customHeight="1" x14ac:dyDescent="0.2">
      <c r="E335" s="155"/>
      <c r="F335" s="155"/>
      <c r="G335" s="33"/>
      <c r="K335" s="33"/>
      <c r="L335" s="33"/>
      <c r="R335" s="458"/>
      <c r="S335" s="459"/>
      <c r="T335" s="460"/>
      <c r="Y335" s="33"/>
      <c r="Z335" s="33"/>
    </row>
    <row r="336" spans="5:26" ht="11.25" customHeight="1" x14ac:dyDescent="0.2">
      <c r="E336" s="155"/>
      <c r="F336" s="155"/>
      <c r="G336" s="33"/>
      <c r="K336" s="33"/>
      <c r="L336" s="33"/>
      <c r="R336" s="458"/>
      <c r="S336" s="459"/>
      <c r="T336" s="460"/>
      <c r="Y336" s="33"/>
      <c r="Z336" s="33"/>
    </row>
    <row r="337" spans="5:26" ht="11.25" customHeight="1" x14ac:dyDescent="0.2">
      <c r="E337" s="155"/>
      <c r="F337" s="155"/>
      <c r="G337" s="33"/>
      <c r="K337" s="33"/>
      <c r="L337" s="33"/>
      <c r="R337" s="458"/>
      <c r="S337" s="459"/>
      <c r="T337" s="460"/>
      <c r="Y337" s="33"/>
      <c r="Z337" s="33"/>
    </row>
    <row r="338" spans="5:26" ht="11.25" customHeight="1" x14ac:dyDescent="0.2">
      <c r="E338" s="155"/>
      <c r="F338" s="155"/>
      <c r="G338" s="33"/>
      <c r="K338" s="33"/>
      <c r="L338" s="33"/>
      <c r="R338" s="458"/>
      <c r="S338" s="459"/>
      <c r="T338" s="460"/>
      <c r="Y338" s="33"/>
      <c r="Z338" s="33"/>
    </row>
    <row r="339" spans="5:26" ht="11.25" customHeight="1" x14ac:dyDescent="0.2">
      <c r="E339" s="155"/>
      <c r="F339" s="155"/>
      <c r="G339" s="33"/>
      <c r="K339" s="33"/>
      <c r="L339" s="33"/>
      <c r="R339" s="458"/>
      <c r="S339" s="459"/>
      <c r="T339" s="460"/>
      <c r="Y339" s="33"/>
      <c r="Z339" s="33"/>
    </row>
    <row r="340" spans="5:26" ht="11.25" customHeight="1" x14ac:dyDescent="0.2">
      <c r="E340" s="155"/>
      <c r="F340" s="155"/>
      <c r="G340" s="33"/>
      <c r="K340" s="33"/>
      <c r="L340" s="33"/>
      <c r="R340" s="458"/>
      <c r="S340" s="459"/>
      <c r="T340" s="460"/>
      <c r="Y340" s="33"/>
      <c r="Z340" s="33"/>
    </row>
    <row r="341" spans="5:26" ht="11.25" customHeight="1" x14ac:dyDescent="0.2">
      <c r="E341" s="155"/>
      <c r="F341" s="155"/>
      <c r="G341" s="33"/>
      <c r="K341" s="33"/>
      <c r="L341" s="33"/>
      <c r="R341" s="458"/>
      <c r="S341" s="459"/>
      <c r="T341" s="460"/>
      <c r="Y341" s="33"/>
      <c r="Z341" s="33"/>
    </row>
    <row r="342" spans="5:26" ht="11.25" customHeight="1" x14ac:dyDescent="0.2">
      <c r="E342" s="155"/>
      <c r="F342" s="155"/>
      <c r="G342" s="33"/>
      <c r="K342" s="33"/>
      <c r="L342" s="33"/>
      <c r="R342" s="458"/>
      <c r="S342" s="459"/>
      <c r="T342" s="460"/>
      <c r="Y342" s="33"/>
      <c r="Z342" s="33"/>
    </row>
    <row r="343" spans="5:26" ht="11.25" customHeight="1" x14ac:dyDescent="0.2">
      <c r="E343" s="155"/>
      <c r="F343" s="155"/>
      <c r="G343" s="33"/>
      <c r="K343" s="33"/>
      <c r="L343" s="33"/>
      <c r="R343" s="458"/>
      <c r="S343" s="459"/>
      <c r="T343" s="460"/>
      <c r="Y343" s="33"/>
      <c r="Z343" s="33"/>
    </row>
    <row r="344" spans="5:26" ht="11.25" customHeight="1" x14ac:dyDescent="0.2">
      <c r="E344" s="155"/>
      <c r="F344" s="155"/>
      <c r="G344" s="33"/>
      <c r="K344" s="33"/>
      <c r="L344" s="33"/>
      <c r="R344" s="458"/>
      <c r="S344" s="459"/>
      <c r="T344" s="460"/>
      <c r="Y344" s="33"/>
      <c r="Z344" s="33"/>
    </row>
    <row r="345" spans="5:26" ht="11.25" customHeight="1" x14ac:dyDescent="0.2">
      <c r="E345" s="155"/>
      <c r="F345" s="155"/>
      <c r="G345" s="33"/>
      <c r="K345" s="33"/>
      <c r="L345" s="33"/>
      <c r="R345" s="458"/>
      <c r="S345" s="459"/>
      <c r="T345" s="460"/>
      <c r="Y345" s="33"/>
      <c r="Z345" s="33"/>
    </row>
    <row r="346" spans="5:26" ht="11.25" customHeight="1" x14ac:dyDescent="0.2">
      <c r="E346" s="155"/>
      <c r="F346" s="155"/>
      <c r="G346" s="33"/>
      <c r="K346" s="33"/>
      <c r="L346" s="33"/>
      <c r="R346" s="458"/>
      <c r="S346" s="459"/>
      <c r="T346" s="460"/>
      <c r="Y346" s="33"/>
      <c r="Z346" s="33"/>
    </row>
    <row r="347" spans="5:26" ht="11.25" customHeight="1" x14ac:dyDescent="0.2">
      <c r="E347" s="155"/>
      <c r="F347" s="155"/>
      <c r="G347" s="33"/>
      <c r="K347" s="33"/>
      <c r="L347" s="33"/>
      <c r="R347" s="458"/>
      <c r="S347" s="459"/>
      <c r="T347" s="460"/>
      <c r="Y347" s="33"/>
      <c r="Z347" s="33"/>
    </row>
    <row r="348" spans="5:26" ht="11.25" customHeight="1" x14ac:dyDescent="0.2">
      <c r="E348" s="155"/>
      <c r="F348" s="155"/>
      <c r="G348" s="33"/>
      <c r="K348" s="33"/>
      <c r="L348" s="33"/>
      <c r="R348" s="458"/>
      <c r="S348" s="459"/>
      <c r="T348" s="460"/>
      <c r="Y348" s="33"/>
      <c r="Z348" s="33"/>
    </row>
    <row r="349" spans="5:26" ht="11.25" customHeight="1" x14ac:dyDescent="0.2">
      <c r="E349" s="155"/>
      <c r="F349" s="155"/>
      <c r="G349" s="33"/>
      <c r="K349" s="33"/>
      <c r="L349" s="33"/>
      <c r="R349" s="458"/>
      <c r="S349" s="459"/>
      <c r="T349" s="460"/>
      <c r="Y349" s="33"/>
      <c r="Z349" s="33"/>
    </row>
    <row r="350" spans="5:26" ht="11.25" customHeight="1" x14ac:dyDescent="0.2">
      <c r="E350" s="155"/>
      <c r="F350" s="155"/>
      <c r="G350" s="33"/>
      <c r="K350" s="33"/>
      <c r="L350" s="33"/>
      <c r="R350" s="458"/>
      <c r="S350" s="459"/>
      <c r="T350" s="460"/>
      <c r="Y350" s="33"/>
      <c r="Z350" s="33"/>
    </row>
    <row r="351" spans="5:26" ht="11.25" customHeight="1" x14ac:dyDescent="0.2">
      <c r="E351" s="155"/>
      <c r="F351" s="155"/>
      <c r="G351" s="33"/>
      <c r="K351" s="33"/>
      <c r="L351" s="33"/>
      <c r="R351" s="458"/>
      <c r="S351" s="459"/>
      <c r="T351" s="460"/>
      <c r="Y351" s="33"/>
      <c r="Z351" s="33"/>
    </row>
    <row r="352" spans="5:26" ht="11.25" customHeight="1" x14ac:dyDescent="0.2">
      <c r="E352" s="155"/>
      <c r="F352" s="155"/>
      <c r="G352" s="33"/>
      <c r="K352" s="33"/>
      <c r="L352" s="33"/>
      <c r="R352" s="458"/>
      <c r="S352" s="459"/>
      <c r="T352" s="460"/>
      <c r="Y352" s="33"/>
      <c r="Z352" s="33"/>
    </row>
    <row r="353" spans="5:26" ht="11.25" customHeight="1" x14ac:dyDescent="0.2">
      <c r="E353" s="155"/>
      <c r="F353" s="155"/>
      <c r="G353" s="33"/>
      <c r="K353" s="33"/>
      <c r="L353" s="33"/>
      <c r="R353" s="458"/>
      <c r="S353" s="459"/>
      <c r="T353" s="460"/>
      <c r="Y353" s="33"/>
      <c r="Z353" s="33"/>
    </row>
    <row r="354" spans="5:26" ht="11.25" customHeight="1" x14ac:dyDescent="0.2">
      <c r="E354" s="155"/>
      <c r="F354" s="155"/>
      <c r="G354" s="33"/>
      <c r="K354" s="33"/>
      <c r="L354" s="33"/>
      <c r="R354" s="458"/>
      <c r="S354" s="459"/>
      <c r="T354" s="460"/>
      <c r="Y354" s="33"/>
      <c r="Z354" s="33"/>
    </row>
    <row r="355" spans="5:26" ht="11.25" customHeight="1" x14ac:dyDescent="0.2">
      <c r="E355" s="155"/>
      <c r="F355" s="155"/>
      <c r="G355" s="33"/>
      <c r="K355" s="33"/>
      <c r="L355" s="33"/>
      <c r="R355" s="458"/>
      <c r="S355" s="459"/>
      <c r="T355" s="460"/>
      <c r="Y355" s="33"/>
      <c r="Z355" s="33"/>
    </row>
    <row r="356" spans="5:26" ht="11.25" customHeight="1" x14ac:dyDescent="0.2">
      <c r="E356" s="155"/>
      <c r="F356" s="155"/>
      <c r="G356" s="33"/>
      <c r="K356" s="33"/>
      <c r="L356" s="33"/>
      <c r="R356" s="458"/>
      <c r="S356" s="459"/>
      <c r="T356" s="460"/>
      <c r="Y356" s="33"/>
      <c r="Z356" s="33"/>
    </row>
    <row r="357" spans="5:26" ht="11.25" customHeight="1" x14ac:dyDescent="0.2">
      <c r="E357" s="155"/>
      <c r="F357" s="155"/>
      <c r="G357" s="33"/>
      <c r="K357" s="33"/>
      <c r="L357" s="33"/>
      <c r="R357" s="458"/>
      <c r="S357" s="459"/>
      <c r="T357" s="460"/>
      <c r="Y357" s="33"/>
      <c r="Z357" s="33"/>
    </row>
    <row r="358" spans="5:26" ht="11.25" customHeight="1" x14ac:dyDescent="0.2">
      <c r="E358" s="155"/>
      <c r="F358" s="155"/>
      <c r="G358" s="33"/>
      <c r="K358" s="33"/>
      <c r="L358" s="33"/>
      <c r="R358" s="458"/>
      <c r="S358" s="459"/>
      <c r="T358" s="460"/>
      <c r="Y358" s="33"/>
      <c r="Z358" s="33"/>
    </row>
    <row r="359" spans="5:26" ht="11.25" customHeight="1" x14ac:dyDescent="0.2">
      <c r="E359" s="155"/>
      <c r="F359" s="155"/>
      <c r="G359" s="33"/>
      <c r="K359" s="33"/>
      <c r="L359" s="33"/>
      <c r="R359" s="458"/>
      <c r="S359" s="459"/>
      <c r="T359" s="460"/>
      <c r="Y359" s="33"/>
      <c r="Z359" s="33"/>
    </row>
    <row r="360" spans="5:26" ht="11.25" customHeight="1" x14ac:dyDescent="0.2">
      <c r="E360" s="155"/>
      <c r="F360" s="155"/>
      <c r="G360" s="33"/>
      <c r="K360" s="33"/>
      <c r="L360" s="33"/>
      <c r="R360" s="458"/>
      <c r="S360" s="459"/>
      <c r="T360" s="460"/>
      <c r="Y360" s="33"/>
      <c r="Z360" s="33"/>
    </row>
    <row r="361" spans="5:26" ht="11.25" customHeight="1" x14ac:dyDescent="0.2">
      <c r="E361" s="155"/>
      <c r="F361" s="155"/>
      <c r="G361" s="33"/>
      <c r="K361" s="33"/>
      <c r="L361" s="33"/>
      <c r="R361" s="458"/>
      <c r="S361" s="459"/>
      <c r="T361" s="460"/>
      <c r="Y361" s="33"/>
      <c r="Z361" s="33"/>
    </row>
    <row r="362" spans="5:26" ht="11.25" customHeight="1" x14ac:dyDescent="0.2">
      <c r="E362" s="155"/>
      <c r="F362" s="155"/>
      <c r="G362" s="33"/>
      <c r="K362" s="33"/>
      <c r="L362" s="33"/>
      <c r="R362" s="458"/>
      <c r="S362" s="459"/>
      <c r="T362" s="460"/>
      <c r="Y362" s="33"/>
      <c r="Z362" s="33"/>
    </row>
    <row r="363" spans="5:26" ht="11.25" customHeight="1" x14ac:dyDescent="0.2">
      <c r="E363" s="155"/>
      <c r="F363" s="155"/>
      <c r="G363" s="33"/>
      <c r="K363" s="33"/>
      <c r="L363" s="33"/>
      <c r="R363" s="458"/>
      <c r="S363" s="459"/>
      <c r="T363" s="460"/>
      <c r="Y363" s="33"/>
      <c r="Z363" s="33"/>
    </row>
    <row r="364" spans="5:26" ht="11.25" customHeight="1" x14ac:dyDescent="0.2">
      <c r="E364" s="155"/>
      <c r="F364" s="155"/>
      <c r="G364" s="33"/>
      <c r="K364" s="33"/>
      <c r="L364" s="33"/>
      <c r="R364" s="458"/>
      <c r="S364" s="459"/>
      <c r="T364" s="460"/>
      <c r="Y364" s="33"/>
      <c r="Z364" s="33"/>
    </row>
    <row r="365" spans="5:26" ht="11.25" customHeight="1" x14ac:dyDescent="0.2">
      <c r="E365" s="155"/>
      <c r="F365" s="155"/>
      <c r="G365" s="33"/>
      <c r="K365" s="33"/>
      <c r="L365" s="33"/>
      <c r="R365" s="458"/>
      <c r="S365" s="459"/>
      <c r="T365" s="460"/>
      <c r="Y365" s="33"/>
      <c r="Z365" s="33"/>
    </row>
    <row r="366" spans="5:26" ht="11.25" customHeight="1" x14ac:dyDescent="0.2">
      <c r="E366" s="155"/>
      <c r="F366" s="155"/>
      <c r="G366" s="33"/>
      <c r="K366" s="33"/>
      <c r="L366" s="33"/>
      <c r="R366" s="458"/>
      <c r="S366" s="459"/>
      <c r="T366" s="460"/>
      <c r="Y366" s="33"/>
      <c r="Z366" s="33"/>
    </row>
    <row r="367" spans="5:26" ht="11.25" customHeight="1" x14ac:dyDescent="0.2">
      <c r="E367" s="155"/>
      <c r="F367" s="155"/>
      <c r="G367" s="33"/>
      <c r="K367" s="33"/>
      <c r="L367" s="33"/>
      <c r="R367" s="458"/>
      <c r="S367" s="459"/>
      <c r="T367" s="460"/>
      <c r="Y367" s="33"/>
      <c r="Z367" s="33"/>
    </row>
    <row r="368" spans="5:26" ht="11.25" customHeight="1" x14ac:dyDescent="0.2">
      <c r="E368" s="155"/>
      <c r="F368" s="155"/>
      <c r="G368" s="33"/>
      <c r="K368" s="33"/>
      <c r="L368" s="33"/>
      <c r="R368" s="458"/>
      <c r="S368" s="459"/>
      <c r="T368" s="460"/>
      <c r="Y368" s="33"/>
      <c r="Z368" s="33"/>
    </row>
    <row r="369" spans="5:26" ht="11.25" customHeight="1" x14ac:dyDescent="0.2">
      <c r="E369" s="155"/>
      <c r="F369" s="155"/>
      <c r="G369" s="33"/>
      <c r="K369" s="33"/>
      <c r="L369" s="33"/>
      <c r="R369" s="458"/>
      <c r="S369" s="459"/>
      <c r="T369" s="460"/>
      <c r="Y369" s="33"/>
      <c r="Z369" s="33"/>
    </row>
    <row r="370" spans="5:26" ht="11.25" customHeight="1" x14ac:dyDescent="0.2">
      <c r="E370" s="155"/>
      <c r="F370" s="155"/>
      <c r="G370" s="33"/>
      <c r="K370" s="33"/>
      <c r="L370" s="33"/>
      <c r="R370" s="458"/>
      <c r="S370" s="459"/>
      <c r="T370" s="460"/>
      <c r="Y370" s="33"/>
      <c r="Z370" s="33"/>
    </row>
    <row r="371" spans="5:26" ht="11.25" customHeight="1" x14ac:dyDescent="0.2">
      <c r="E371" s="155"/>
      <c r="F371" s="155"/>
      <c r="G371" s="33"/>
      <c r="K371" s="33"/>
      <c r="L371" s="33"/>
      <c r="R371" s="458"/>
      <c r="S371" s="459"/>
      <c r="T371" s="460"/>
      <c r="Y371" s="33"/>
      <c r="Z371" s="33"/>
    </row>
    <row r="372" spans="5:26" ht="11.25" customHeight="1" x14ac:dyDescent="0.2">
      <c r="E372" s="155"/>
      <c r="F372" s="155"/>
      <c r="G372" s="33"/>
      <c r="K372" s="33"/>
      <c r="L372" s="33"/>
      <c r="R372" s="458"/>
      <c r="S372" s="459"/>
      <c r="T372" s="460"/>
      <c r="Y372" s="33"/>
      <c r="Z372" s="33"/>
    </row>
    <row r="373" spans="5:26" ht="11.25" customHeight="1" x14ac:dyDescent="0.2">
      <c r="E373" s="155"/>
      <c r="F373" s="155"/>
      <c r="G373" s="33"/>
      <c r="K373" s="33"/>
      <c r="L373" s="33"/>
      <c r="R373" s="458"/>
      <c r="S373" s="459"/>
      <c r="T373" s="460"/>
      <c r="Y373" s="33"/>
      <c r="Z373" s="33"/>
    </row>
    <row r="374" spans="5:26" ht="11.25" customHeight="1" x14ac:dyDescent="0.2">
      <c r="E374" s="155"/>
      <c r="F374" s="155"/>
      <c r="G374" s="33"/>
      <c r="K374" s="33"/>
      <c r="L374" s="33"/>
      <c r="R374" s="458"/>
      <c r="S374" s="459"/>
      <c r="T374" s="460"/>
      <c r="Y374" s="33"/>
      <c r="Z374" s="33"/>
    </row>
    <row r="375" spans="5:26" ht="11.25" customHeight="1" x14ac:dyDescent="0.2">
      <c r="E375" s="155"/>
      <c r="F375" s="155"/>
      <c r="G375" s="33"/>
      <c r="K375" s="33"/>
      <c r="L375" s="33"/>
      <c r="R375" s="458"/>
      <c r="S375" s="459"/>
      <c r="T375" s="460"/>
      <c r="Y375" s="33"/>
      <c r="Z375" s="33"/>
    </row>
    <row r="376" spans="5:26" ht="11.25" customHeight="1" x14ac:dyDescent="0.2">
      <c r="E376" s="155"/>
      <c r="F376" s="155"/>
      <c r="G376" s="33"/>
      <c r="K376" s="33"/>
      <c r="L376" s="33"/>
      <c r="R376" s="458"/>
      <c r="S376" s="459"/>
      <c r="T376" s="460"/>
      <c r="Y376" s="33"/>
      <c r="Z376" s="33"/>
    </row>
    <row r="377" spans="5:26" ht="11.25" customHeight="1" x14ac:dyDescent="0.2">
      <c r="E377" s="155"/>
      <c r="F377" s="155"/>
      <c r="G377" s="33"/>
      <c r="K377" s="33"/>
      <c r="L377" s="33"/>
      <c r="R377" s="458"/>
      <c r="S377" s="459"/>
      <c r="T377" s="460"/>
      <c r="Y377" s="33"/>
      <c r="Z377" s="33"/>
    </row>
    <row r="378" spans="5:26" ht="11.25" customHeight="1" x14ac:dyDescent="0.2">
      <c r="E378" s="155"/>
      <c r="F378" s="155"/>
      <c r="G378" s="33"/>
      <c r="K378" s="33"/>
      <c r="L378" s="33"/>
      <c r="R378" s="458"/>
      <c r="S378" s="459"/>
      <c r="T378" s="460"/>
      <c r="Y378" s="33"/>
      <c r="Z378" s="33"/>
    </row>
    <row r="379" spans="5:26" ht="11.25" customHeight="1" x14ac:dyDescent="0.2">
      <c r="E379" s="155"/>
      <c r="F379" s="155"/>
      <c r="G379" s="33"/>
      <c r="K379" s="33"/>
      <c r="L379" s="33"/>
      <c r="R379" s="458"/>
      <c r="S379" s="459"/>
      <c r="T379" s="460"/>
      <c r="Y379" s="33"/>
      <c r="Z379" s="33"/>
    </row>
    <row r="380" spans="5:26" ht="11.25" customHeight="1" x14ac:dyDescent="0.2">
      <c r="E380" s="155"/>
      <c r="F380" s="155"/>
      <c r="G380" s="33"/>
      <c r="K380" s="33"/>
      <c r="L380" s="33"/>
      <c r="R380" s="458"/>
      <c r="S380" s="459"/>
      <c r="T380" s="460"/>
      <c r="Y380" s="33"/>
      <c r="Z380" s="33"/>
    </row>
    <row r="381" spans="5:26" ht="11.25" customHeight="1" x14ac:dyDescent="0.2">
      <c r="E381" s="155"/>
      <c r="F381" s="155"/>
      <c r="G381" s="33"/>
      <c r="K381" s="33"/>
      <c r="L381" s="33"/>
      <c r="R381" s="458"/>
      <c r="S381" s="459"/>
      <c r="T381" s="460"/>
      <c r="Y381" s="33"/>
      <c r="Z381" s="33"/>
    </row>
    <row r="382" spans="5:26" ht="11.25" customHeight="1" x14ac:dyDescent="0.2">
      <c r="E382" s="155"/>
      <c r="F382" s="155"/>
      <c r="G382" s="33"/>
      <c r="K382" s="33"/>
      <c r="L382" s="33"/>
      <c r="R382" s="458"/>
      <c r="S382" s="459"/>
      <c r="T382" s="460"/>
      <c r="Y382" s="33"/>
      <c r="Z382" s="33"/>
    </row>
    <row r="383" spans="5:26" ht="11.25" customHeight="1" x14ac:dyDescent="0.2">
      <c r="E383" s="155"/>
      <c r="F383" s="155"/>
      <c r="G383" s="33"/>
      <c r="K383" s="33"/>
      <c r="L383" s="33"/>
      <c r="R383" s="458"/>
      <c r="S383" s="459"/>
      <c r="T383" s="460"/>
      <c r="Y383" s="33"/>
      <c r="Z383" s="33"/>
    </row>
    <row r="384" spans="5:26" ht="11.25" customHeight="1" x14ac:dyDescent="0.2">
      <c r="E384" s="155"/>
      <c r="F384" s="155"/>
      <c r="G384" s="33"/>
      <c r="K384" s="33"/>
      <c r="L384" s="33"/>
      <c r="R384" s="458"/>
      <c r="S384" s="459"/>
      <c r="T384" s="460"/>
      <c r="Y384" s="33"/>
      <c r="Z384" s="33"/>
    </row>
    <row r="385" spans="5:26" ht="11.25" customHeight="1" x14ac:dyDescent="0.2">
      <c r="E385" s="155"/>
      <c r="F385" s="155"/>
      <c r="G385" s="33"/>
      <c r="K385" s="33"/>
      <c r="L385" s="33"/>
      <c r="R385" s="458"/>
      <c r="S385" s="459"/>
      <c r="T385" s="460"/>
      <c r="Y385" s="33"/>
      <c r="Z385" s="33"/>
    </row>
    <row r="386" spans="5:26" ht="11.25" customHeight="1" x14ac:dyDescent="0.2">
      <c r="E386" s="155"/>
      <c r="F386" s="155"/>
      <c r="G386" s="33"/>
      <c r="K386" s="33"/>
      <c r="L386" s="33"/>
      <c r="R386" s="458"/>
      <c r="S386" s="459"/>
      <c r="T386" s="460"/>
      <c r="Y386" s="33"/>
      <c r="Z386" s="33"/>
    </row>
    <row r="387" spans="5:26" ht="11.25" customHeight="1" x14ac:dyDescent="0.2">
      <c r="E387" s="155"/>
      <c r="F387" s="155"/>
      <c r="G387" s="33"/>
      <c r="K387" s="33"/>
      <c r="L387" s="33"/>
      <c r="R387" s="458"/>
      <c r="S387" s="459"/>
      <c r="T387" s="460"/>
      <c r="Y387" s="33"/>
      <c r="Z387" s="33"/>
    </row>
    <row r="388" spans="5:26" ht="11.25" customHeight="1" x14ac:dyDescent="0.2">
      <c r="E388" s="155"/>
      <c r="F388" s="155"/>
      <c r="G388" s="33"/>
      <c r="K388" s="33"/>
      <c r="L388" s="33"/>
      <c r="R388" s="458"/>
      <c r="S388" s="459"/>
      <c r="T388" s="460"/>
      <c r="Y388" s="33"/>
      <c r="Z388" s="33"/>
    </row>
    <row r="389" spans="5:26" ht="11.25" customHeight="1" x14ac:dyDescent="0.2">
      <c r="E389" s="155"/>
      <c r="F389" s="155"/>
      <c r="G389" s="33"/>
      <c r="K389" s="33"/>
      <c r="L389" s="33"/>
      <c r="R389" s="458"/>
      <c r="S389" s="459"/>
      <c r="T389" s="460"/>
      <c r="Y389" s="33"/>
      <c r="Z389" s="33"/>
    </row>
    <row r="390" spans="5:26" ht="11.25" customHeight="1" x14ac:dyDescent="0.2">
      <c r="E390" s="155"/>
      <c r="F390" s="155"/>
      <c r="G390" s="33"/>
      <c r="K390" s="33"/>
      <c r="L390" s="33"/>
      <c r="R390" s="458"/>
      <c r="S390" s="459"/>
      <c r="T390" s="460"/>
      <c r="Y390" s="33"/>
      <c r="Z390" s="33"/>
    </row>
    <row r="391" spans="5:26" ht="11.25" customHeight="1" x14ac:dyDescent="0.2">
      <c r="E391" s="155"/>
      <c r="F391" s="155"/>
      <c r="G391" s="33"/>
      <c r="K391" s="33"/>
      <c r="L391" s="33"/>
      <c r="R391" s="458"/>
      <c r="S391" s="459"/>
      <c r="T391" s="460"/>
      <c r="Y391" s="33"/>
      <c r="Z391" s="33"/>
    </row>
    <row r="392" spans="5:26" ht="11.25" customHeight="1" x14ac:dyDescent="0.2">
      <c r="E392" s="155"/>
      <c r="F392" s="155"/>
      <c r="G392" s="33"/>
      <c r="K392" s="33"/>
      <c r="L392" s="33"/>
      <c r="R392" s="458"/>
      <c r="S392" s="459"/>
      <c r="T392" s="460"/>
      <c r="Y392" s="33"/>
      <c r="Z392" s="33"/>
    </row>
    <row r="393" spans="5:26" ht="11.25" customHeight="1" x14ac:dyDescent="0.2">
      <c r="E393" s="155"/>
      <c r="F393" s="155"/>
      <c r="G393" s="33"/>
      <c r="K393" s="33"/>
      <c r="L393" s="33"/>
      <c r="R393" s="458"/>
      <c r="S393" s="459"/>
      <c r="T393" s="460"/>
      <c r="Y393" s="33"/>
      <c r="Z393" s="33"/>
    </row>
    <row r="394" spans="5:26" ht="11.25" customHeight="1" x14ac:dyDescent="0.2">
      <c r="E394" s="155"/>
      <c r="F394" s="155"/>
      <c r="G394" s="33"/>
      <c r="K394" s="33"/>
      <c r="L394" s="33"/>
      <c r="R394" s="458"/>
      <c r="S394" s="459"/>
      <c r="T394" s="460"/>
      <c r="Y394" s="33"/>
      <c r="Z394" s="33"/>
    </row>
    <row r="395" spans="5:26" ht="11.25" customHeight="1" x14ac:dyDescent="0.2">
      <c r="E395" s="155"/>
      <c r="F395" s="155"/>
      <c r="G395" s="33"/>
      <c r="K395" s="33"/>
      <c r="L395" s="33"/>
      <c r="R395" s="458"/>
      <c r="S395" s="459"/>
      <c r="T395" s="460"/>
      <c r="Y395" s="33"/>
      <c r="Z395" s="33"/>
    </row>
    <row r="396" spans="5:26" ht="11.25" customHeight="1" x14ac:dyDescent="0.2">
      <c r="E396" s="155"/>
      <c r="F396" s="155"/>
      <c r="G396" s="33"/>
      <c r="K396" s="33"/>
      <c r="L396" s="33"/>
      <c r="R396" s="458"/>
      <c r="S396" s="459"/>
      <c r="T396" s="460"/>
      <c r="Y396" s="33"/>
      <c r="Z396" s="33"/>
    </row>
    <row r="397" spans="5:26" ht="11.25" customHeight="1" x14ac:dyDescent="0.2">
      <c r="E397" s="155"/>
      <c r="F397" s="155"/>
      <c r="G397" s="33"/>
      <c r="K397" s="33"/>
      <c r="L397" s="33"/>
      <c r="R397" s="458"/>
      <c r="S397" s="459"/>
      <c r="T397" s="460"/>
      <c r="Y397" s="33"/>
      <c r="Z397" s="33"/>
    </row>
    <row r="398" spans="5:26" ht="11.25" customHeight="1" x14ac:dyDescent="0.2">
      <c r="E398" s="155"/>
      <c r="F398" s="155"/>
      <c r="G398" s="33"/>
      <c r="K398" s="33"/>
      <c r="L398" s="33"/>
      <c r="R398" s="458"/>
      <c r="S398" s="459"/>
      <c r="T398" s="460"/>
      <c r="Y398" s="33"/>
      <c r="Z398" s="33"/>
    </row>
    <row r="399" spans="5:26" ht="11.25" customHeight="1" x14ac:dyDescent="0.2">
      <c r="E399" s="155"/>
      <c r="F399" s="155"/>
      <c r="G399" s="33"/>
      <c r="K399" s="33"/>
      <c r="L399" s="33"/>
      <c r="R399" s="458"/>
      <c r="S399" s="459"/>
      <c r="T399" s="460"/>
      <c r="Y399" s="33"/>
      <c r="Z399" s="33"/>
    </row>
    <row r="400" spans="5:26" ht="11.25" customHeight="1" x14ac:dyDescent="0.2">
      <c r="E400" s="155"/>
      <c r="F400" s="155"/>
      <c r="G400" s="33"/>
      <c r="K400" s="33"/>
      <c r="L400" s="33"/>
      <c r="R400" s="458"/>
      <c r="S400" s="459"/>
      <c r="T400" s="460"/>
      <c r="Y400" s="33"/>
      <c r="Z400" s="33"/>
    </row>
    <row r="401" spans="5:26" ht="11.25" customHeight="1" x14ac:dyDescent="0.2">
      <c r="E401" s="155"/>
      <c r="F401" s="155"/>
      <c r="G401" s="33"/>
      <c r="K401" s="33"/>
      <c r="L401" s="33"/>
      <c r="R401" s="458"/>
      <c r="S401" s="459"/>
      <c r="T401" s="460"/>
      <c r="Y401" s="33"/>
      <c r="Z401" s="33"/>
    </row>
    <row r="402" spans="5:26" ht="11.25" customHeight="1" x14ac:dyDescent="0.2">
      <c r="E402" s="155"/>
      <c r="F402" s="155"/>
      <c r="G402" s="33"/>
      <c r="K402" s="33"/>
      <c r="L402" s="33"/>
      <c r="R402" s="458"/>
      <c r="S402" s="459"/>
      <c r="T402" s="460"/>
      <c r="Y402" s="33"/>
      <c r="Z402" s="33"/>
    </row>
    <row r="403" spans="5:26" ht="11.25" customHeight="1" x14ac:dyDescent="0.2">
      <c r="E403" s="155"/>
      <c r="F403" s="155"/>
      <c r="G403" s="33"/>
      <c r="K403" s="33"/>
      <c r="L403" s="33"/>
      <c r="R403" s="458"/>
      <c r="S403" s="459"/>
      <c r="T403" s="460"/>
      <c r="Y403" s="33"/>
      <c r="Z403" s="33"/>
    </row>
    <row r="404" spans="5:26" ht="11.25" customHeight="1" x14ac:dyDescent="0.2">
      <c r="E404" s="155"/>
      <c r="F404" s="155"/>
      <c r="G404" s="33"/>
      <c r="K404" s="33"/>
      <c r="L404" s="33"/>
      <c r="R404" s="458"/>
      <c r="S404" s="459"/>
      <c r="T404" s="460"/>
      <c r="Y404" s="33"/>
      <c r="Z404" s="33"/>
    </row>
    <row r="405" spans="5:26" ht="11.25" customHeight="1" x14ac:dyDescent="0.2">
      <c r="E405" s="155"/>
      <c r="F405" s="155"/>
      <c r="G405" s="33"/>
      <c r="K405" s="33"/>
      <c r="L405" s="33"/>
      <c r="R405" s="458"/>
      <c r="S405" s="459"/>
      <c r="T405" s="460"/>
      <c r="Y405" s="33"/>
      <c r="Z405" s="33"/>
    </row>
    <row r="406" spans="5:26" ht="11.25" customHeight="1" x14ac:dyDescent="0.2">
      <c r="E406" s="155"/>
      <c r="F406" s="155"/>
      <c r="G406" s="33"/>
      <c r="K406" s="33"/>
      <c r="L406" s="33"/>
      <c r="R406" s="458"/>
      <c r="S406" s="459"/>
      <c r="T406" s="460"/>
      <c r="Y406" s="33"/>
      <c r="Z406" s="33"/>
    </row>
    <row r="407" spans="5:26" ht="11.25" customHeight="1" x14ac:dyDescent="0.2">
      <c r="E407" s="155"/>
      <c r="F407" s="155"/>
      <c r="G407" s="33"/>
      <c r="K407" s="33"/>
      <c r="L407" s="33"/>
      <c r="R407" s="458"/>
      <c r="S407" s="459"/>
      <c r="T407" s="460"/>
      <c r="Y407" s="33"/>
      <c r="Z407" s="33"/>
    </row>
    <row r="408" spans="5:26" ht="11.25" customHeight="1" x14ac:dyDescent="0.2">
      <c r="E408" s="155"/>
      <c r="F408" s="155"/>
      <c r="G408" s="33"/>
      <c r="K408" s="33"/>
      <c r="L408" s="33"/>
      <c r="R408" s="458"/>
      <c r="S408" s="459"/>
      <c r="T408" s="460"/>
      <c r="Y408" s="33"/>
      <c r="Z408" s="33"/>
    </row>
    <row r="409" spans="5:26" ht="11.25" customHeight="1" x14ac:dyDescent="0.2">
      <c r="E409" s="155"/>
      <c r="F409" s="155"/>
      <c r="G409" s="33"/>
      <c r="K409" s="33"/>
      <c r="L409" s="33"/>
      <c r="R409" s="458"/>
      <c r="S409" s="459"/>
      <c r="T409" s="460"/>
      <c r="Y409" s="33"/>
      <c r="Z409" s="33"/>
    </row>
    <row r="410" spans="5:26" ht="11.25" customHeight="1" x14ac:dyDescent="0.2">
      <c r="E410" s="155"/>
      <c r="F410" s="155"/>
      <c r="G410" s="33"/>
      <c r="K410" s="33"/>
      <c r="L410" s="33"/>
      <c r="R410" s="458"/>
      <c r="S410" s="459"/>
      <c r="T410" s="460"/>
      <c r="Y410" s="33"/>
      <c r="Z410" s="33"/>
    </row>
    <row r="411" spans="5:26" ht="11.25" customHeight="1" x14ac:dyDescent="0.2">
      <c r="E411" s="155"/>
      <c r="F411" s="155"/>
      <c r="G411" s="33"/>
      <c r="K411" s="33"/>
      <c r="L411" s="33"/>
      <c r="R411" s="458"/>
      <c r="S411" s="459"/>
      <c r="T411" s="460"/>
      <c r="Y411" s="33"/>
      <c r="Z411" s="33"/>
    </row>
    <row r="412" spans="5:26" ht="11.25" customHeight="1" x14ac:dyDescent="0.2">
      <c r="E412" s="155"/>
      <c r="F412" s="155"/>
      <c r="G412" s="33"/>
      <c r="K412" s="33"/>
      <c r="L412" s="33"/>
      <c r="R412" s="458"/>
      <c r="S412" s="459"/>
      <c r="T412" s="460"/>
      <c r="Y412" s="33"/>
      <c r="Z412" s="33"/>
    </row>
    <row r="413" spans="5:26" ht="11.25" customHeight="1" x14ac:dyDescent="0.2">
      <c r="E413" s="155"/>
      <c r="F413" s="155"/>
      <c r="G413" s="33"/>
      <c r="K413" s="33"/>
      <c r="L413" s="33"/>
      <c r="R413" s="458"/>
      <c r="S413" s="459"/>
      <c r="T413" s="460"/>
      <c r="Y413" s="33"/>
      <c r="Z413" s="33"/>
    </row>
    <row r="414" spans="5:26" ht="11.25" customHeight="1" x14ac:dyDescent="0.2">
      <c r="E414" s="155"/>
      <c r="F414" s="155"/>
      <c r="G414" s="33"/>
      <c r="K414" s="33"/>
      <c r="L414" s="33"/>
      <c r="R414" s="458"/>
      <c r="S414" s="459"/>
      <c r="T414" s="460"/>
      <c r="Y414" s="33"/>
      <c r="Z414" s="33"/>
    </row>
    <row r="415" spans="5:26" ht="11.25" customHeight="1" x14ac:dyDescent="0.2">
      <c r="E415" s="155"/>
      <c r="F415" s="155"/>
      <c r="G415" s="33"/>
      <c r="K415" s="33"/>
      <c r="L415" s="33"/>
      <c r="R415" s="458"/>
      <c r="S415" s="459"/>
      <c r="T415" s="460"/>
      <c r="Y415" s="33"/>
      <c r="Z415" s="33"/>
    </row>
    <row r="416" spans="5:26" ht="11.25" customHeight="1" x14ac:dyDescent="0.2">
      <c r="E416" s="155"/>
      <c r="F416" s="155"/>
      <c r="G416" s="33"/>
      <c r="K416" s="33"/>
      <c r="L416" s="33"/>
      <c r="R416" s="458"/>
      <c r="S416" s="459"/>
      <c r="T416" s="460"/>
      <c r="Y416" s="33"/>
      <c r="Z416" s="33"/>
    </row>
    <row r="417" spans="5:26" ht="11.25" customHeight="1" x14ac:dyDescent="0.2">
      <c r="E417" s="155"/>
      <c r="F417" s="155"/>
      <c r="G417" s="33"/>
      <c r="K417" s="33"/>
      <c r="L417" s="33"/>
      <c r="R417" s="458"/>
      <c r="S417" s="459"/>
      <c r="T417" s="460"/>
      <c r="Y417" s="33"/>
      <c r="Z417" s="33"/>
    </row>
    <row r="418" spans="5:26" ht="11.25" customHeight="1" x14ac:dyDescent="0.2">
      <c r="E418" s="155"/>
      <c r="F418" s="155"/>
      <c r="G418" s="33"/>
      <c r="K418" s="33"/>
      <c r="L418" s="33"/>
      <c r="R418" s="458"/>
      <c r="S418" s="459"/>
      <c r="T418" s="460"/>
      <c r="Y418" s="33"/>
      <c r="Z418" s="33"/>
    </row>
    <row r="419" spans="5:26" ht="11.25" customHeight="1" x14ac:dyDescent="0.2">
      <c r="E419" s="155"/>
      <c r="F419" s="155"/>
      <c r="G419" s="33"/>
      <c r="K419" s="33"/>
      <c r="L419" s="33"/>
      <c r="R419" s="458"/>
      <c r="S419" s="459"/>
      <c r="T419" s="460"/>
      <c r="Y419" s="33"/>
      <c r="Z419" s="33"/>
    </row>
    <row r="420" spans="5:26" ht="11.25" customHeight="1" x14ac:dyDescent="0.2">
      <c r="E420" s="155"/>
      <c r="F420" s="155"/>
      <c r="G420" s="33"/>
      <c r="K420" s="33"/>
      <c r="L420" s="33"/>
      <c r="R420" s="458"/>
      <c r="S420" s="459"/>
      <c r="T420" s="460"/>
      <c r="Y420" s="33"/>
      <c r="Z420" s="33"/>
    </row>
    <row r="421" spans="5:26" ht="11.25" customHeight="1" x14ac:dyDescent="0.2">
      <c r="E421" s="155"/>
      <c r="F421" s="155"/>
      <c r="G421" s="33"/>
      <c r="K421" s="33"/>
      <c r="L421" s="33"/>
      <c r="R421" s="458"/>
      <c r="S421" s="459"/>
      <c r="T421" s="460"/>
      <c r="Y421" s="33"/>
      <c r="Z421" s="33"/>
    </row>
    <row r="422" spans="5:26" ht="11.25" customHeight="1" x14ac:dyDescent="0.2">
      <c r="E422" s="155"/>
      <c r="F422" s="155"/>
      <c r="G422" s="33"/>
      <c r="K422" s="33"/>
      <c r="L422" s="33"/>
      <c r="R422" s="458"/>
      <c r="S422" s="459"/>
      <c r="T422" s="460"/>
      <c r="Y422" s="33"/>
      <c r="Z422" s="33"/>
    </row>
    <row r="423" spans="5:26" ht="11.25" customHeight="1" x14ac:dyDescent="0.2">
      <c r="E423" s="155"/>
      <c r="F423" s="155"/>
      <c r="G423" s="33"/>
      <c r="K423" s="33"/>
      <c r="L423" s="33"/>
      <c r="R423" s="458"/>
      <c r="S423" s="459"/>
      <c r="T423" s="460"/>
      <c r="Y423" s="33"/>
      <c r="Z423" s="33"/>
    </row>
    <row r="424" spans="5:26" ht="11.25" customHeight="1" x14ac:dyDescent="0.2">
      <c r="E424" s="155"/>
      <c r="F424" s="155"/>
      <c r="G424" s="33"/>
      <c r="K424" s="33"/>
      <c r="L424" s="33"/>
      <c r="R424" s="458"/>
      <c r="S424" s="459"/>
      <c r="T424" s="460"/>
      <c r="Y424" s="33"/>
      <c r="Z424" s="33"/>
    </row>
    <row r="425" spans="5:26" ht="11.25" customHeight="1" x14ac:dyDescent="0.2">
      <c r="E425" s="155"/>
      <c r="F425" s="155"/>
      <c r="G425" s="33"/>
      <c r="K425" s="33"/>
      <c r="L425" s="33"/>
      <c r="R425" s="458"/>
      <c r="S425" s="459"/>
      <c r="T425" s="460"/>
      <c r="Y425" s="33"/>
      <c r="Z425" s="33"/>
    </row>
    <row r="426" spans="5:26" ht="11.25" customHeight="1" x14ac:dyDescent="0.2">
      <c r="E426" s="155"/>
      <c r="F426" s="155"/>
      <c r="G426" s="33"/>
      <c r="K426" s="33"/>
      <c r="L426" s="33"/>
      <c r="R426" s="458"/>
      <c r="S426" s="459"/>
      <c r="T426" s="460"/>
      <c r="Y426" s="33"/>
      <c r="Z426" s="33"/>
    </row>
    <row r="427" spans="5:26" ht="11.25" customHeight="1" x14ac:dyDescent="0.2">
      <c r="E427" s="155"/>
      <c r="F427" s="155"/>
      <c r="G427" s="33"/>
      <c r="K427" s="33"/>
      <c r="L427" s="33"/>
      <c r="R427" s="458"/>
      <c r="S427" s="459"/>
      <c r="T427" s="460"/>
      <c r="Y427" s="33"/>
      <c r="Z427" s="33"/>
    </row>
    <row r="428" spans="5:26" ht="11.25" customHeight="1" x14ac:dyDescent="0.2">
      <c r="E428" s="155"/>
      <c r="F428" s="155"/>
      <c r="G428" s="33"/>
      <c r="K428" s="33"/>
      <c r="L428" s="33"/>
      <c r="R428" s="458"/>
      <c r="S428" s="459"/>
      <c r="T428" s="460"/>
      <c r="Y428" s="33"/>
      <c r="Z428" s="33"/>
    </row>
    <row r="429" spans="5:26" ht="11.25" customHeight="1" x14ac:dyDescent="0.2">
      <c r="E429" s="155"/>
      <c r="F429" s="155"/>
      <c r="G429" s="33"/>
      <c r="K429" s="33"/>
      <c r="L429" s="33"/>
      <c r="R429" s="458"/>
      <c r="S429" s="459"/>
      <c r="T429" s="460"/>
      <c r="Y429" s="33"/>
      <c r="Z429" s="33"/>
    </row>
    <row r="430" spans="5:26" ht="11.25" customHeight="1" x14ac:dyDescent="0.2">
      <c r="E430" s="155"/>
      <c r="F430" s="155"/>
      <c r="G430" s="33"/>
      <c r="K430" s="33"/>
      <c r="L430" s="33"/>
      <c r="R430" s="458"/>
      <c r="S430" s="459"/>
      <c r="T430" s="460"/>
      <c r="Y430" s="33"/>
      <c r="Z430" s="33"/>
    </row>
    <row r="431" spans="5:26" ht="11.25" customHeight="1" x14ac:dyDescent="0.2">
      <c r="E431" s="155"/>
      <c r="F431" s="155"/>
      <c r="G431" s="33"/>
      <c r="K431" s="33"/>
      <c r="L431" s="33"/>
      <c r="R431" s="458"/>
      <c r="S431" s="459"/>
      <c r="T431" s="460"/>
      <c r="Y431" s="33"/>
      <c r="Z431" s="33"/>
    </row>
    <row r="432" spans="5:26" ht="11.25" customHeight="1" x14ac:dyDescent="0.2">
      <c r="E432" s="155"/>
      <c r="F432" s="155"/>
      <c r="G432" s="33"/>
      <c r="K432" s="33"/>
      <c r="L432" s="33"/>
      <c r="R432" s="458"/>
      <c r="S432" s="459"/>
      <c r="T432" s="460"/>
      <c r="Y432" s="33"/>
      <c r="Z432" s="33"/>
    </row>
    <row r="433" spans="5:26" ht="11.25" customHeight="1" x14ac:dyDescent="0.2">
      <c r="E433" s="155"/>
      <c r="F433" s="155"/>
      <c r="G433" s="33"/>
      <c r="K433" s="33"/>
      <c r="L433" s="33"/>
      <c r="R433" s="458"/>
      <c r="S433" s="459"/>
      <c r="T433" s="460"/>
      <c r="Y433" s="33"/>
      <c r="Z433" s="33"/>
    </row>
    <row r="434" spans="5:26" ht="11.25" customHeight="1" x14ac:dyDescent="0.2">
      <c r="E434" s="155"/>
      <c r="F434" s="155"/>
      <c r="G434" s="33"/>
      <c r="K434" s="33"/>
      <c r="L434" s="33"/>
      <c r="R434" s="458"/>
      <c r="S434" s="459"/>
      <c r="T434" s="460"/>
      <c r="Y434" s="33"/>
      <c r="Z434" s="33"/>
    </row>
    <row r="435" spans="5:26" ht="11.25" customHeight="1" x14ac:dyDescent="0.2">
      <c r="E435" s="155"/>
      <c r="F435" s="155"/>
      <c r="G435" s="33"/>
      <c r="K435" s="33"/>
      <c r="L435" s="33"/>
      <c r="R435" s="458"/>
      <c r="S435" s="459"/>
      <c r="T435" s="460"/>
      <c r="Y435" s="33"/>
      <c r="Z435" s="33"/>
    </row>
    <row r="436" spans="5:26" ht="11.25" customHeight="1" x14ac:dyDescent="0.2">
      <c r="E436" s="155"/>
      <c r="F436" s="155"/>
      <c r="G436" s="33"/>
      <c r="K436" s="33"/>
      <c r="L436" s="33"/>
      <c r="R436" s="458"/>
      <c r="S436" s="459"/>
      <c r="T436" s="460"/>
      <c r="Y436" s="33"/>
      <c r="Z436" s="33"/>
    </row>
    <row r="437" spans="5:26" ht="11.25" customHeight="1" x14ac:dyDescent="0.2">
      <c r="E437" s="155"/>
      <c r="F437" s="155"/>
      <c r="G437" s="33"/>
      <c r="K437" s="33"/>
      <c r="L437" s="33"/>
      <c r="R437" s="458"/>
      <c r="S437" s="459"/>
      <c r="T437" s="460"/>
      <c r="Y437" s="33"/>
      <c r="Z437" s="33"/>
    </row>
    <row r="438" spans="5:26" ht="11.25" customHeight="1" x14ac:dyDescent="0.2">
      <c r="E438" s="155"/>
      <c r="F438" s="155"/>
      <c r="G438" s="33"/>
      <c r="K438" s="33"/>
      <c r="L438" s="33"/>
      <c r="R438" s="458"/>
      <c r="S438" s="459"/>
      <c r="T438" s="460"/>
      <c r="Y438" s="33"/>
      <c r="Z438" s="33"/>
    </row>
    <row r="439" spans="5:26" ht="11.25" customHeight="1" x14ac:dyDescent="0.2">
      <c r="E439" s="155"/>
      <c r="F439" s="155"/>
      <c r="G439" s="33"/>
      <c r="K439" s="33"/>
      <c r="L439" s="33"/>
      <c r="R439" s="458"/>
      <c r="S439" s="459"/>
      <c r="T439" s="460"/>
      <c r="Y439" s="33"/>
      <c r="Z439" s="33"/>
    </row>
    <row r="440" spans="5:26" ht="11.25" customHeight="1" x14ac:dyDescent="0.2">
      <c r="E440" s="155"/>
      <c r="F440" s="155"/>
      <c r="G440" s="33"/>
      <c r="K440" s="33"/>
      <c r="L440" s="33"/>
      <c r="R440" s="458"/>
      <c r="S440" s="459"/>
      <c r="T440" s="460"/>
      <c r="Y440" s="33"/>
      <c r="Z440" s="33"/>
    </row>
    <row r="441" spans="5:26" ht="11.25" customHeight="1" x14ac:dyDescent="0.2">
      <c r="E441" s="155"/>
      <c r="F441" s="155"/>
      <c r="G441" s="33"/>
      <c r="K441" s="33"/>
      <c r="L441" s="33"/>
      <c r="R441" s="458"/>
      <c r="S441" s="459"/>
      <c r="T441" s="460"/>
      <c r="Y441" s="33"/>
      <c r="Z441" s="33"/>
    </row>
    <row r="442" spans="5:26" ht="11.25" customHeight="1" x14ac:dyDescent="0.2">
      <c r="E442" s="155"/>
      <c r="F442" s="155"/>
      <c r="G442" s="33"/>
      <c r="K442" s="33"/>
      <c r="L442" s="33"/>
      <c r="R442" s="458"/>
      <c r="S442" s="459"/>
      <c r="T442" s="460"/>
      <c r="Y442" s="33"/>
      <c r="Z442" s="33"/>
    </row>
    <row r="443" spans="5:26" ht="11.25" customHeight="1" x14ac:dyDescent="0.2">
      <c r="E443" s="155"/>
      <c r="F443" s="155"/>
      <c r="G443" s="33"/>
      <c r="K443" s="33"/>
      <c r="L443" s="33"/>
      <c r="R443" s="458"/>
      <c r="S443" s="459"/>
      <c r="T443" s="460"/>
      <c r="Y443" s="33"/>
      <c r="Z443" s="33"/>
    </row>
    <row r="444" spans="5:26" ht="11.25" customHeight="1" x14ac:dyDescent="0.2">
      <c r="E444" s="155"/>
      <c r="F444" s="155"/>
      <c r="G444" s="33"/>
      <c r="K444" s="33"/>
      <c r="L444" s="33"/>
      <c r="R444" s="458"/>
      <c r="S444" s="459"/>
      <c r="T444" s="460"/>
      <c r="Y444" s="33"/>
      <c r="Z444" s="33"/>
    </row>
    <row r="445" spans="5:26" ht="11.25" customHeight="1" x14ac:dyDescent="0.2">
      <c r="E445" s="155"/>
      <c r="F445" s="155"/>
      <c r="G445" s="33"/>
      <c r="K445" s="33"/>
      <c r="L445" s="33"/>
      <c r="R445" s="458"/>
      <c r="S445" s="459"/>
      <c r="T445" s="460"/>
      <c r="Y445" s="33"/>
      <c r="Z445" s="33"/>
    </row>
    <row r="446" spans="5:26" ht="11.25" customHeight="1" x14ac:dyDescent="0.2">
      <c r="E446" s="155"/>
      <c r="F446" s="155"/>
      <c r="G446" s="33"/>
      <c r="K446" s="33"/>
      <c r="L446" s="33"/>
      <c r="R446" s="458"/>
      <c r="S446" s="459"/>
      <c r="T446" s="460"/>
      <c r="Y446" s="33"/>
      <c r="Z446" s="33"/>
    </row>
    <row r="447" spans="5:26" ht="11.25" customHeight="1" x14ac:dyDescent="0.2">
      <c r="E447" s="155"/>
      <c r="F447" s="155"/>
      <c r="G447" s="33"/>
      <c r="K447" s="33"/>
      <c r="L447" s="33"/>
      <c r="R447" s="458"/>
      <c r="S447" s="459"/>
      <c r="T447" s="460"/>
      <c r="Y447" s="33"/>
      <c r="Z447" s="33"/>
    </row>
    <row r="448" spans="5:26" ht="11.25" customHeight="1" x14ac:dyDescent="0.2">
      <c r="E448" s="155"/>
      <c r="F448" s="155"/>
      <c r="G448" s="33"/>
      <c r="K448" s="33"/>
      <c r="L448" s="33"/>
      <c r="R448" s="458"/>
      <c r="S448" s="459"/>
      <c r="T448" s="460"/>
      <c r="Y448" s="33"/>
      <c r="Z448" s="33"/>
    </row>
    <row r="449" spans="5:26" ht="11.25" customHeight="1" x14ac:dyDescent="0.2">
      <c r="E449" s="155"/>
      <c r="F449" s="155"/>
      <c r="G449" s="33"/>
      <c r="K449" s="33"/>
      <c r="L449" s="33"/>
      <c r="R449" s="458"/>
      <c r="S449" s="459"/>
      <c r="T449" s="460"/>
      <c r="Y449" s="33"/>
      <c r="Z449" s="33"/>
    </row>
    <row r="450" spans="5:26" ht="11.25" customHeight="1" x14ac:dyDescent="0.2">
      <c r="E450" s="155"/>
      <c r="F450" s="155"/>
      <c r="G450" s="33"/>
      <c r="K450" s="33"/>
      <c r="L450" s="33"/>
      <c r="R450" s="458"/>
      <c r="S450" s="459"/>
      <c r="T450" s="460"/>
      <c r="Y450" s="33"/>
      <c r="Z450" s="33"/>
    </row>
    <row r="451" spans="5:26" ht="11.25" customHeight="1" x14ac:dyDescent="0.2">
      <c r="E451" s="155"/>
      <c r="F451" s="155"/>
      <c r="G451" s="33"/>
      <c r="K451" s="33"/>
      <c r="L451" s="33"/>
      <c r="R451" s="458"/>
      <c r="S451" s="459"/>
      <c r="T451" s="460"/>
      <c r="Y451" s="33"/>
      <c r="Z451" s="33"/>
    </row>
    <row r="452" spans="5:26" ht="11.25" customHeight="1" x14ac:dyDescent="0.2">
      <c r="E452" s="155"/>
      <c r="F452" s="155"/>
      <c r="G452" s="33"/>
      <c r="K452" s="33"/>
      <c r="L452" s="33"/>
      <c r="R452" s="458"/>
      <c r="S452" s="459"/>
      <c r="T452" s="460"/>
      <c r="Y452" s="33"/>
      <c r="Z452" s="33"/>
    </row>
    <row r="453" spans="5:26" ht="11.25" customHeight="1" x14ac:dyDescent="0.2">
      <c r="E453" s="155"/>
      <c r="F453" s="155"/>
      <c r="G453" s="33"/>
      <c r="K453" s="33"/>
      <c r="L453" s="33"/>
      <c r="R453" s="458"/>
      <c r="S453" s="459"/>
      <c r="T453" s="460"/>
      <c r="Y453" s="33"/>
      <c r="Z453" s="33"/>
    </row>
    <row r="454" spans="5:26" ht="11.25" customHeight="1" x14ac:dyDescent="0.2">
      <c r="E454" s="155"/>
      <c r="F454" s="155"/>
      <c r="G454" s="33"/>
      <c r="K454" s="33"/>
      <c r="L454" s="33"/>
      <c r="R454" s="458"/>
      <c r="S454" s="459"/>
      <c r="T454" s="460"/>
      <c r="Y454" s="33"/>
      <c r="Z454" s="33"/>
    </row>
    <row r="455" spans="5:26" ht="11.25" customHeight="1" x14ac:dyDescent="0.2">
      <c r="E455" s="155"/>
      <c r="F455" s="155"/>
      <c r="G455" s="33"/>
      <c r="K455" s="33"/>
      <c r="L455" s="33"/>
      <c r="R455" s="458"/>
      <c r="S455" s="459"/>
      <c r="T455" s="460"/>
      <c r="Y455" s="33"/>
      <c r="Z455" s="33"/>
    </row>
    <row r="456" spans="5:26" ht="11.25" customHeight="1" x14ac:dyDescent="0.2">
      <c r="E456" s="155"/>
      <c r="F456" s="155"/>
      <c r="G456" s="33"/>
      <c r="K456" s="33"/>
      <c r="L456" s="33"/>
      <c r="R456" s="458"/>
      <c r="S456" s="459"/>
      <c r="T456" s="460"/>
      <c r="Y456" s="33"/>
      <c r="Z456" s="33"/>
    </row>
    <row r="457" spans="5:26" ht="11.25" customHeight="1" x14ac:dyDescent="0.2">
      <c r="E457" s="155"/>
      <c r="F457" s="155"/>
      <c r="G457" s="33"/>
      <c r="K457" s="33"/>
      <c r="L457" s="33"/>
      <c r="R457" s="458"/>
      <c r="S457" s="459"/>
      <c r="T457" s="460"/>
      <c r="Y457" s="33"/>
      <c r="Z457" s="33"/>
    </row>
    <row r="458" spans="5:26" ht="11.25" customHeight="1" x14ac:dyDescent="0.2">
      <c r="E458" s="155"/>
      <c r="F458" s="155"/>
      <c r="G458" s="33"/>
      <c r="K458" s="33"/>
      <c r="L458" s="33"/>
      <c r="R458" s="458"/>
      <c r="S458" s="459"/>
      <c r="T458" s="460"/>
      <c r="Y458" s="33"/>
      <c r="Z458" s="33"/>
    </row>
    <row r="459" spans="5:26" ht="11.25" customHeight="1" x14ac:dyDescent="0.2">
      <c r="E459" s="155"/>
      <c r="F459" s="155"/>
      <c r="G459" s="33"/>
      <c r="K459" s="33"/>
      <c r="L459" s="33"/>
      <c r="R459" s="458"/>
      <c r="S459" s="459"/>
      <c r="T459" s="460"/>
      <c r="Y459" s="33"/>
      <c r="Z459" s="33"/>
    </row>
    <row r="460" spans="5:26" ht="11.25" customHeight="1" x14ac:dyDescent="0.2">
      <c r="E460" s="155"/>
      <c r="F460" s="155"/>
      <c r="G460" s="33"/>
      <c r="K460" s="33"/>
      <c r="L460" s="33"/>
      <c r="R460" s="458"/>
      <c r="S460" s="459"/>
      <c r="T460" s="460"/>
      <c r="Y460" s="33"/>
      <c r="Z460" s="33"/>
    </row>
    <row r="461" spans="5:26" ht="11.25" customHeight="1" x14ac:dyDescent="0.2">
      <c r="E461" s="155"/>
      <c r="F461" s="155"/>
      <c r="G461" s="33"/>
      <c r="K461" s="33"/>
      <c r="L461" s="33"/>
      <c r="R461" s="458"/>
      <c r="S461" s="459"/>
      <c r="T461" s="460"/>
      <c r="Y461" s="33"/>
      <c r="Z461" s="33"/>
    </row>
    <row r="462" spans="5:26" ht="11.25" customHeight="1" x14ac:dyDescent="0.2">
      <c r="E462" s="155"/>
      <c r="F462" s="155"/>
      <c r="G462" s="33"/>
      <c r="K462" s="33"/>
      <c r="L462" s="33"/>
      <c r="R462" s="458"/>
      <c r="S462" s="459"/>
      <c r="T462" s="460"/>
      <c r="Y462" s="33"/>
      <c r="Z462" s="33"/>
    </row>
    <row r="463" spans="5:26" ht="11.25" customHeight="1" x14ac:dyDescent="0.2">
      <c r="E463" s="155"/>
      <c r="F463" s="155"/>
      <c r="G463" s="33"/>
      <c r="K463" s="33"/>
      <c r="L463" s="33"/>
      <c r="R463" s="458"/>
      <c r="S463" s="459"/>
      <c r="T463" s="460"/>
      <c r="Y463" s="33"/>
      <c r="Z463" s="33"/>
    </row>
    <row r="464" spans="5:26" ht="11.25" customHeight="1" x14ac:dyDescent="0.2">
      <c r="E464" s="155"/>
      <c r="F464" s="155"/>
      <c r="G464" s="33"/>
      <c r="K464" s="33"/>
      <c r="L464" s="33"/>
      <c r="R464" s="458"/>
      <c r="S464" s="459"/>
      <c r="T464" s="460"/>
      <c r="Y464" s="33"/>
      <c r="Z464" s="33"/>
    </row>
    <row r="465" spans="5:26" ht="11.25" customHeight="1" x14ac:dyDescent="0.2">
      <c r="E465" s="155"/>
      <c r="F465" s="155"/>
      <c r="G465" s="33"/>
      <c r="K465" s="33"/>
      <c r="L465" s="33"/>
      <c r="R465" s="458"/>
      <c r="S465" s="459"/>
      <c r="T465" s="460"/>
      <c r="Y465" s="33"/>
      <c r="Z465" s="33"/>
    </row>
    <row r="466" spans="5:26" ht="11.25" customHeight="1" x14ac:dyDescent="0.2">
      <c r="E466" s="155"/>
      <c r="F466" s="155"/>
      <c r="G466" s="33"/>
      <c r="K466" s="33"/>
      <c r="L466" s="33"/>
      <c r="R466" s="458"/>
      <c r="S466" s="459"/>
      <c r="T466" s="460"/>
      <c r="Y466" s="33"/>
      <c r="Z466" s="33"/>
    </row>
    <row r="467" spans="5:26" ht="11.25" customHeight="1" x14ac:dyDescent="0.2">
      <c r="E467" s="155"/>
      <c r="F467" s="155"/>
      <c r="G467" s="33"/>
      <c r="K467" s="33"/>
      <c r="L467" s="33"/>
      <c r="R467" s="458"/>
      <c r="S467" s="459"/>
      <c r="T467" s="460"/>
      <c r="Y467" s="33"/>
      <c r="Z467" s="33"/>
    </row>
    <row r="468" spans="5:26" ht="11.25" customHeight="1" x14ac:dyDescent="0.2">
      <c r="E468" s="155"/>
      <c r="F468" s="155"/>
      <c r="G468" s="33"/>
      <c r="K468" s="33"/>
      <c r="L468" s="33"/>
      <c r="R468" s="458"/>
      <c r="S468" s="459"/>
      <c r="T468" s="460"/>
      <c r="Y468" s="33"/>
      <c r="Z468" s="33"/>
    </row>
    <row r="469" spans="5:26" ht="11.25" customHeight="1" x14ac:dyDescent="0.2">
      <c r="E469" s="155"/>
      <c r="F469" s="155"/>
      <c r="G469" s="33"/>
      <c r="K469" s="33"/>
      <c r="L469" s="33"/>
      <c r="R469" s="458"/>
      <c r="S469" s="459"/>
      <c r="T469" s="460"/>
      <c r="Y469" s="33"/>
      <c r="Z469" s="33"/>
    </row>
    <row r="470" spans="5:26" ht="11.25" customHeight="1" x14ac:dyDescent="0.2">
      <c r="E470" s="155"/>
      <c r="F470" s="155"/>
      <c r="G470" s="33"/>
      <c r="K470" s="33"/>
      <c r="L470" s="33"/>
      <c r="R470" s="458"/>
      <c r="S470" s="459"/>
      <c r="T470" s="460"/>
      <c r="Y470" s="33"/>
      <c r="Z470" s="33"/>
    </row>
    <row r="471" spans="5:26" ht="11.25" customHeight="1" x14ac:dyDescent="0.2">
      <c r="E471" s="155"/>
      <c r="F471" s="155"/>
      <c r="G471" s="33"/>
      <c r="K471" s="33"/>
      <c r="L471" s="33"/>
      <c r="R471" s="458"/>
      <c r="S471" s="459"/>
      <c r="T471" s="460"/>
      <c r="Y471" s="33"/>
      <c r="Z471" s="33"/>
    </row>
    <row r="472" spans="5:26" ht="11.25" customHeight="1" x14ac:dyDescent="0.2">
      <c r="E472" s="155"/>
      <c r="F472" s="155"/>
      <c r="G472" s="33"/>
      <c r="K472" s="33"/>
      <c r="L472" s="33"/>
      <c r="R472" s="458"/>
      <c r="S472" s="459"/>
      <c r="T472" s="460"/>
      <c r="Y472" s="33"/>
      <c r="Z472" s="33"/>
    </row>
    <row r="473" spans="5:26" ht="11.25" customHeight="1" x14ac:dyDescent="0.2">
      <c r="E473" s="155"/>
      <c r="F473" s="155"/>
      <c r="G473" s="33"/>
      <c r="K473" s="33"/>
      <c r="L473" s="33"/>
      <c r="R473" s="458"/>
      <c r="S473" s="459"/>
      <c r="T473" s="460"/>
      <c r="Y473" s="33"/>
      <c r="Z473" s="33"/>
    </row>
    <row r="474" spans="5:26" ht="11.25" customHeight="1" x14ac:dyDescent="0.2">
      <c r="E474" s="155"/>
      <c r="F474" s="155"/>
      <c r="G474" s="33"/>
      <c r="K474" s="33"/>
      <c r="L474" s="33"/>
      <c r="R474" s="458"/>
      <c r="S474" s="459"/>
      <c r="T474" s="460"/>
      <c r="Y474" s="33"/>
      <c r="Z474" s="33"/>
    </row>
    <row r="475" spans="5:26" ht="11.25" customHeight="1" x14ac:dyDescent="0.2">
      <c r="E475" s="155"/>
      <c r="F475" s="155"/>
      <c r="G475" s="33"/>
      <c r="K475" s="33"/>
      <c r="L475" s="33"/>
      <c r="R475" s="458"/>
      <c r="S475" s="459"/>
      <c r="T475" s="460"/>
      <c r="Y475" s="33"/>
      <c r="Z475" s="33"/>
    </row>
    <row r="476" spans="5:26" ht="11.25" customHeight="1" x14ac:dyDescent="0.2">
      <c r="E476" s="155"/>
      <c r="F476" s="155"/>
      <c r="G476" s="33"/>
      <c r="K476" s="33"/>
      <c r="L476" s="33"/>
      <c r="R476" s="458"/>
      <c r="S476" s="459"/>
      <c r="T476" s="460"/>
      <c r="Y476" s="33"/>
      <c r="Z476" s="33"/>
    </row>
    <row r="477" spans="5:26" ht="11.25" customHeight="1" x14ac:dyDescent="0.2">
      <c r="E477" s="155"/>
      <c r="F477" s="155"/>
      <c r="G477" s="33"/>
      <c r="K477" s="33"/>
      <c r="L477" s="33"/>
      <c r="R477" s="458"/>
      <c r="S477" s="459"/>
      <c r="T477" s="460"/>
      <c r="Y477" s="33"/>
      <c r="Z477" s="33"/>
    </row>
    <row r="478" spans="5:26" ht="11.25" customHeight="1" x14ac:dyDescent="0.2">
      <c r="E478" s="155"/>
      <c r="F478" s="155"/>
      <c r="G478" s="33"/>
      <c r="K478" s="33"/>
      <c r="L478" s="33"/>
      <c r="R478" s="458"/>
      <c r="S478" s="459"/>
      <c r="T478" s="460"/>
      <c r="Y478" s="33"/>
      <c r="Z478" s="33"/>
    </row>
    <row r="479" spans="5:26" ht="11.25" customHeight="1" x14ac:dyDescent="0.2">
      <c r="E479" s="155"/>
      <c r="F479" s="155"/>
      <c r="G479" s="33"/>
      <c r="K479" s="33"/>
      <c r="L479" s="33"/>
      <c r="R479" s="458"/>
      <c r="S479" s="459"/>
      <c r="T479" s="460"/>
      <c r="Y479" s="33"/>
      <c r="Z479" s="33"/>
    </row>
    <row r="480" spans="5:26" ht="11.25" customHeight="1" x14ac:dyDescent="0.2">
      <c r="E480" s="155"/>
      <c r="F480" s="155"/>
      <c r="G480" s="33"/>
      <c r="K480" s="33"/>
      <c r="L480" s="33"/>
      <c r="R480" s="458"/>
      <c r="S480" s="459"/>
      <c r="T480" s="460"/>
      <c r="W480" s="33"/>
      <c r="Y480" s="33"/>
      <c r="Z480" s="33"/>
    </row>
    <row r="481" spans="5:26" ht="11.25" customHeight="1" x14ac:dyDescent="0.2">
      <c r="E481" s="155"/>
      <c r="F481" s="155"/>
      <c r="G481" s="33"/>
      <c r="K481" s="33"/>
      <c r="L481" s="33"/>
      <c r="R481" s="458"/>
      <c r="S481" s="459"/>
      <c r="T481" s="460"/>
      <c r="W481" s="33"/>
      <c r="Y481" s="33"/>
      <c r="Z481" s="33"/>
    </row>
    <row r="482" spans="5:26" ht="11.25" customHeight="1" x14ac:dyDescent="0.2">
      <c r="E482" s="155"/>
      <c r="F482" s="155"/>
      <c r="G482" s="33"/>
      <c r="K482" s="33"/>
      <c r="L482" s="33"/>
      <c r="R482" s="458"/>
      <c r="S482" s="459"/>
      <c r="T482" s="460"/>
      <c r="W482" s="33"/>
      <c r="Y482" s="33"/>
      <c r="Z482" s="33"/>
    </row>
    <row r="483" spans="5:26" ht="11.25" customHeight="1" x14ac:dyDescent="0.2">
      <c r="E483" s="155"/>
      <c r="F483" s="155"/>
      <c r="G483" s="33"/>
      <c r="K483" s="33"/>
      <c r="L483" s="33"/>
      <c r="R483" s="458"/>
      <c r="S483" s="459"/>
      <c r="T483" s="460"/>
      <c r="W483" s="33"/>
      <c r="Y483" s="33"/>
      <c r="Z483" s="33"/>
    </row>
    <row r="484" spans="5:26" ht="11.25" customHeight="1" x14ac:dyDescent="0.2">
      <c r="E484" s="155"/>
      <c r="F484" s="155"/>
      <c r="G484" s="33"/>
      <c r="K484" s="33"/>
      <c r="L484" s="33"/>
      <c r="R484" s="458"/>
      <c r="S484" s="459"/>
      <c r="T484" s="460"/>
      <c r="W484" s="33"/>
      <c r="Y484" s="33"/>
      <c r="Z484" s="33"/>
    </row>
    <row r="485" spans="5:26" ht="11.25" customHeight="1" x14ac:dyDescent="0.2">
      <c r="E485" s="155"/>
      <c r="F485" s="155"/>
      <c r="G485" s="33"/>
      <c r="K485" s="33"/>
      <c r="L485" s="33"/>
      <c r="R485" s="458"/>
      <c r="S485" s="459"/>
      <c r="T485" s="460"/>
      <c r="W485" s="33"/>
      <c r="Y485" s="33"/>
      <c r="Z485" s="33"/>
    </row>
    <row r="486" spans="5:26" ht="11.25" customHeight="1" x14ac:dyDescent="0.2">
      <c r="E486" s="155"/>
      <c r="F486" s="155"/>
      <c r="G486" s="33"/>
      <c r="K486" s="33"/>
      <c r="L486" s="33"/>
      <c r="R486" s="458"/>
      <c r="S486" s="459"/>
      <c r="T486" s="460"/>
      <c r="W486" s="33"/>
      <c r="Y486" s="33"/>
      <c r="Z486" s="33"/>
    </row>
    <row r="487" spans="5:26" ht="11.25" customHeight="1" x14ac:dyDescent="0.2">
      <c r="E487" s="155"/>
      <c r="F487" s="155"/>
      <c r="G487" s="33"/>
      <c r="K487" s="33"/>
      <c r="L487" s="33"/>
      <c r="R487" s="458"/>
      <c r="S487" s="459"/>
      <c r="T487" s="460"/>
      <c r="W487" s="33"/>
      <c r="Y487" s="33"/>
      <c r="Z487" s="33"/>
    </row>
    <row r="488" spans="5:26" ht="11.25" customHeight="1" x14ac:dyDescent="0.2">
      <c r="E488" s="155"/>
      <c r="F488" s="155"/>
      <c r="G488" s="33"/>
      <c r="K488" s="33"/>
      <c r="L488" s="33"/>
      <c r="R488" s="458"/>
      <c r="S488" s="459"/>
      <c r="T488" s="460"/>
      <c r="W488" s="33"/>
      <c r="Y488" s="33"/>
      <c r="Z488" s="33"/>
    </row>
    <row r="489" spans="5:26" ht="11.25" customHeight="1" x14ac:dyDescent="0.2">
      <c r="E489" s="155"/>
      <c r="F489" s="155"/>
      <c r="G489" s="33"/>
      <c r="K489" s="33"/>
      <c r="L489" s="33"/>
      <c r="R489" s="458"/>
      <c r="S489" s="459"/>
      <c r="T489" s="460"/>
      <c r="W489" s="33"/>
      <c r="Y489" s="33"/>
      <c r="Z489" s="33"/>
    </row>
    <row r="490" spans="5:26" ht="11.25" customHeight="1" x14ac:dyDescent="0.2">
      <c r="E490" s="155"/>
      <c r="F490" s="155"/>
      <c r="G490" s="33"/>
      <c r="K490" s="33"/>
      <c r="L490" s="33"/>
      <c r="R490" s="458"/>
      <c r="S490" s="459"/>
      <c r="T490" s="460"/>
      <c r="W490" s="33"/>
      <c r="Y490" s="33"/>
      <c r="Z490" s="33"/>
    </row>
    <row r="491" spans="5:26" ht="11.25" customHeight="1" x14ac:dyDescent="0.2">
      <c r="E491" s="155"/>
      <c r="F491" s="155"/>
      <c r="G491" s="33"/>
      <c r="K491" s="33"/>
      <c r="L491" s="33"/>
      <c r="R491" s="458"/>
      <c r="S491" s="459"/>
      <c r="T491" s="460"/>
      <c r="W491" s="33"/>
      <c r="Y491" s="33"/>
      <c r="Z491" s="33"/>
    </row>
    <row r="492" spans="5:26" ht="11.25" customHeight="1" x14ac:dyDescent="0.2">
      <c r="E492" s="155"/>
      <c r="F492" s="155"/>
      <c r="G492" s="33"/>
      <c r="K492" s="33"/>
      <c r="L492" s="33"/>
      <c r="R492" s="458"/>
      <c r="S492" s="459"/>
      <c r="T492" s="460"/>
      <c r="W492" s="33"/>
      <c r="Y492" s="33"/>
      <c r="Z492" s="33"/>
    </row>
    <row r="493" spans="5:26" ht="11.25" customHeight="1" x14ac:dyDescent="0.2">
      <c r="E493" s="155"/>
      <c r="F493" s="155"/>
      <c r="G493" s="33"/>
      <c r="K493" s="33"/>
      <c r="L493" s="33"/>
      <c r="R493" s="458"/>
      <c r="S493" s="459"/>
      <c r="T493" s="460"/>
      <c r="W493" s="33"/>
      <c r="Y493" s="33"/>
      <c r="Z493" s="33"/>
    </row>
    <row r="494" spans="5:26" ht="11.25" customHeight="1" x14ac:dyDescent="0.2">
      <c r="E494" s="155"/>
      <c r="F494" s="155"/>
      <c r="G494" s="33"/>
      <c r="K494" s="33"/>
      <c r="L494" s="33"/>
      <c r="R494" s="458"/>
      <c r="S494" s="459"/>
      <c r="T494" s="460"/>
      <c r="W494" s="33"/>
      <c r="Y494" s="33"/>
      <c r="Z494" s="33"/>
    </row>
    <row r="495" spans="5:26" ht="11.25" customHeight="1" x14ac:dyDescent="0.2">
      <c r="E495" s="155"/>
      <c r="F495" s="155"/>
      <c r="G495" s="33"/>
      <c r="K495" s="33"/>
      <c r="L495" s="33"/>
      <c r="R495" s="458"/>
      <c r="S495" s="459"/>
      <c r="T495" s="460"/>
      <c r="W495" s="33"/>
      <c r="Y495" s="33"/>
      <c r="Z495" s="33"/>
    </row>
    <row r="496" spans="5:26" ht="11.25" customHeight="1" x14ac:dyDescent="0.2">
      <c r="E496" s="155"/>
      <c r="F496" s="155"/>
      <c r="G496" s="33"/>
      <c r="K496" s="33"/>
      <c r="L496" s="33"/>
      <c r="R496" s="458"/>
      <c r="S496" s="459"/>
      <c r="T496" s="460"/>
      <c r="W496" s="33"/>
      <c r="Y496" s="33"/>
      <c r="Z496" s="33"/>
    </row>
    <row r="497" spans="5:26" ht="11.25" customHeight="1" x14ac:dyDescent="0.2">
      <c r="E497" s="155"/>
      <c r="F497" s="155"/>
      <c r="G497" s="33"/>
      <c r="K497" s="33"/>
      <c r="L497" s="33"/>
      <c r="R497" s="458"/>
      <c r="S497" s="459"/>
      <c r="T497" s="460"/>
      <c r="W497" s="33"/>
      <c r="Y497" s="33"/>
      <c r="Z497" s="33"/>
    </row>
    <row r="498" spans="5:26" ht="11.25" customHeight="1" x14ac:dyDescent="0.2">
      <c r="E498" s="155"/>
      <c r="F498" s="155"/>
      <c r="G498" s="33"/>
      <c r="K498" s="33"/>
      <c r="L498" s="33"/>
      <c r="R498" s="458"/>
      <c r="S498" s="459"/>
      <c r="T498" s="460"/>
      <c r="W498" s="33"/>
      <c r="Y498" s="33"/>
      <c r="Z498" s="33"/>
    </row>
    <row r="499" spans="5:26" ht="11.25" customHeight="1" x14ac:dyDescent="0.2">
      <c r="E499" s="155"/>
      <c r="F499" s="155"/>
      <c r="G499" s="33"/>
      <c r="K499" s="33"/>
      <c r="L499" s="33"/>
      <c r="R499" s="458"/>
      <c r="S499" s="459"/>
      <c r="T499" s="460"/>
      <c r="W499" s="33"/>
      <c r="Y499" s="33"/>
      <c r="Z499" s="33"/>
    </row>
    <row r="500" spans="5:26" ht="11.25" customHeight="1" x14ac:dyDescent="0.2">
      <c r="E500" s="155"/>
      <c r="F500" s="155"/>
      <c r="G500" s="33"/>
      <c r="K500" s="33"/>
      <c r="L500" s="33"/>
      <c r="R500" s="458"/>
      <c r="S500" s="459"/>
      <c r="T500" s="460"/>
      <c r="W500" s="33"/>
      <c r="Y500" s="33"/>
      <c r="Z500" s="33"/>
    </row>
    <row r="501" spans="5:26" ht="11.25" customHeight="1" x14ac:dyDescent="0.2">
      <c r="E501" s="155"/>
      <c r="F501" s="155"/>
      <c r="G501" s="33"/>
      <c r="K501" s="33"/>
      <c r="L501" s="33"/>
      <c r="R501" s="458"/>
      <c r="S501" s="459"/>
      <c r="T501" s="460"/>
      <c r="W501" s="33"/>
      <c r="Y501" s="33"/>
      <c r="Z501" s="33"/>
    </row>
    <row r="502" spans="5:26" ht="11.25" customHeight="1" x14ac:dyDescent="0.2">
      <c r="E502" s="155"/>
      <c r="F502" s="155"/>
      <c r="G502" s="33"/>
      <c r="K502" s="33"/>
      <c r="L502" s="33"/>
      <c r="R502" s="458"/>
      <c r="S502" s="459"/>
      <c r="T502" s="460"/>
      <c r="W502" s="33"/>
      <c r="Y502" s="33"/>
      <c r="Z502" s="33"/>
    </row>
    <row r="503" spans="5:26" ht="11.25" customHeight="1" x14ac:dyDescent="0.2">
      <c r="E503" s="155"/>
      <c r="F503" s="155"/>
      <c r="G503" s="33"/>
      <c r="K503" s="33"/>
      <c r="L503" s="33"/>
      <c r="R503" s="458"/>
      <c r="S503" s="459"/>
      <c r="T503" s="460"/>
      <c r="W503" s="33"/>
      <c r="Y503" s="33"/>
      <c r="Z503" s="33"/>
    </row>
    <row r="504" spans="5:26" ht="11.25" customHeight="1" x14ac:dyDescent="0.2">
      <c r="E504" s="155"/>
      <c r="F504" s="155"/>
      <c r="G504" s="33"/>
      <c r="K504" s="33"/>
      <c r="L504" s="33"/>
      <c r="R504" s="458"/>
      <c r="S504" s="459"/>
      <c r="T504" s="460"/>
      <c r="W504" s="33"/>
      <c r="Y504" s="33"/>
      <c r="Z504" s="33"/>
    </row>
    <row r="505" spans="5:26" ht="11.25" customHeight="1" x14ac:dyDescent="0.2">
      <c r="E505" s="155"/>
      <c r="F505" s="155"/>
      <c r="G505" s="33"/>
      <c r="K505" s="33"/>
      <c r="L505" s="33"/>
      <c r="R505" s="458"/>
      <c r="S505" s="459"/>
      <c r="T505" s="460"/>
      <c r="W505" s="33"/>
      <c r="Y505" s="33"/>
      <c r="Z505" s="33"/>
    </row>
    <row r="506" spans="5:26" ht="11.25" customHeight="1" x14ac:dyDescent="0.2">
      <c r="E506" s="155"/>
      <c r="F506" s="155"/>
      <c r="G506" s="33"/>
      <c r="K506" s="33"/>
      <c r="L506" s="33"/>
      <c r="R506" s="458"/>
      <c r="S506" s="459"/>
      <c r="T506" s="460"/>
      <c r="W506" s="33"/>
      <c r="Y506" s="33"/>
      <c r="Z506" s="33"/>
    </row>
    <row r="507" spans="5:26" ht="11.25" customHeight="1" x14ac:dyDescent="0.2">
      <c r="E507" s="155"/>
      <c r="F507" s="155"/>
      <c r="G507" s="33"/>
      <c r="K507" s="33"/>
      <c r="L507" s="33"/>
      <c r="R507" s="458"/>
      <c r="S507" s="459"/>
      <c r="T507" s="460"/>
      <c r="W507" s="33"/>
      <c r="Y507" s="33"/>
      <c r="Z507" s="33"/>
    </row>
    <row r="508" spans="5:26" ht="11.25" customHeight="1" x14ac:dyDescent="0.2">
      <c r="E508" s="155"/>
      <c r="F508" s="155"/>
      <c r="G508" s="33"/>
      <c r="K508" s="33"/>
      <c r="L508" s="33"/>
      <c r="R508" s="458"/>
      <c r="S508" s="459"/>
      <c r="T508" s="460"/>
      <c r="W508" s="33"/>
      <c r="Y508" s="33"/>
      <c r="Z508" s="33"/>
    </row>
    <row r="509" spans="5:26" ht="11.25" customHeight="1" x14ac:dyDescent="0.2">
      <c r="E509" s="155"/>
      <c r="F509" s="155"/>
      <c r="G509" s="33"/>
      <c r="K509" s="33"/>
      <c r="L509" s="33"/>
      <c r="R509" s="458"/>
      <c r="S509" s="459"/>
      <c r="T509" s="460"/>
      <c r="W509" s="33"/>
      <c r="Y509" s="33"/>
      <c r="Z509" s="33"/>
    </row>
    <row r="510" spans="5:26" ht="11.25" customHeight="1" x14ac:dyDescent="0.2">
      <c r="E510" s="155"/>
      <c r="F510" s="155"/>
      <c r="G510" s="33"/>
      <c r="K510" s="33"/>
      <c r="L510" s="33"/>
      <c r="R510" s="458"/>
      <c r="S510" s="459"/>
      <c r="T510" s="460"/>
      <c r="W510" s="33"/>
      <c r="Y510" s="33"/>
      <c r="Z510" s="33"/>
    </row>
    <row r="511" spans="5:26" ht="11.25" customHeight="1" x14ac:dyDescent="0.2">
      <c r="E511" s="155"/>
      <c r="F511" s="155"/>
      <c r="G511" s="33"/>
      <c r="K511" s="33"/>
      <c r="L511" s="33"/>
      <c r="R511" s="458"/>
      <c r="S511" s="459"/>
      <c r="T511" s="460"/>
      <c r="W511" s="33"/>
      <c r="Y511" s="33"/>
      <c r="Z511" s="33"/>
    </row>
    <row r="512" spans="5:26" ht="11.25" customHeight="1" x14ac:dyDescent="0.2">
      <c r="E512" s="155"/>
      <c r="F512" s="155"/>
      <c r="G512" s="33"/>
      <c r="K512" s="33"/>
      <c r="L512" s="33"/>
      <c r="R512" s="458"/>
      <c r="S512" s="459"/>
      <c r="T512" s="460"/>
      <c r="W512" s="33"/>
      <c r="Y512" s="33"/>
      <c r="Z512" s="33"/>
    </row>
    <row r="513" spans="5:26" ht="11.25" customHeight="1" x14ac:dyDescent="0.2">
      <c r="E513" s="155"/>
      <c r="F513" s="155"/>
      <c r="G513" s="33"/>
      <c r="K513" s="33"/>
      <c r="L513" s="33"/>
      <c r="R513" s="458"/>
      <c r="S513" s="459"/>
      <c r="T513" s="460"/>
      <c r="W513" s="33"/>
      <c r="Y513" s="33"/>
      <c r="Z513" s="33"/>
    </row>
    <row r="514" spans="5:26" ht="11.25" customHeight="1" x14ac:dyDescent="0.2">
      <c r="E514" s="155"/>
      <c r="F514" s="155"/>
      <c r="G514" s="33"/>
      <c r="K514" s="33"/>
      <c r="L514" s="33"/>
      <c r="R514" s="458"/>
      <c r="S514" s="459"/>
      <c r="T514" s="460"/>
      <c r="W514" s="33"/>
      <c r="Y514" s="33"/>
      <c r="Z514" s="33"/>
    </row>
    <row r="515" spans="5:26" ht="11.25" customHeight="1" x14ac:dyDescent="0.2">
      <c r="E515" s="155"/>
      <c r="F515" s="155"/>
      <c r="G515" s="33"/>
      <c r="K515" s="33"/>
      <c r="L515" s="33"/>
      <c r="R515" s="458"/>
      <c r="S515" s="459"/>
      <c r="T515" s="460"/>
      <c r="W515" s="33"/>
      <c r="Y515" s="33"/>
      <c r="Z515" s="33"/>
    </row>
    <row r="516" spans="5:26" ht="11.25" customHeight="1" x14ac:dyDescent="0.2">
      <c r="E516" s="155"/>
      <c r="F516" s="155"/>
      <c r="G516" s="33"/>
      <c r="K516" s="33"/>
      <c r="L516" s="33"/>
      <c r="R516" s="458"/>
      <c r="S516" s="459"/>
      <c r="T516" s="460"/>
      <c r="W516" s="33"/>
      <c r="Y516" s="33"/>
      <c r="Z516" s="33"/>
    </row>
    <row r="517" spans="5:26" ht="11.25" customHeight="1" x14ac:dyDescent="0.2">
      <c r="E517" s="155"/>
      <c r="F517" s="155"/>
      <c r="G517" s="33"/>
      <c r="K517" s="33"/>
      <c r="L517" s="33"/>
      <c r="R517" s="458"/>
      <c r="S517" s="459"/>
      <c r="T517" s="460"/>
      <c r="W517" s="33"/>
      <c r="Y517" s="33"/>
      <c r="Z517" s="33"/>
    </row>
    <row r="518" spans="5:26" ht="11.25" customHeight="1" x14ac:dyDescent="0.2">
      <c r="E518" s="155"/>
      <c r="F518" s="155"/>
      <c r="G518" s="33"/>
      <c r="K518" s="33"/>
      <c r="L518" s="33"/>
      <c r="R518" s="458"/>
      <c r="S518" s="459"/>
      <c r="T518" s="460"/>
      <c r="W518" s="33"/>
      <c r="Y518" s="33"/>
      <c r="Z518" s="33"/>
    </row>
    <row r="519" spans="5:26" ht="11.25" customHeight="1" x14ac:dyDescent="0.2">
      <c r="E519" s="155"/>
      <c r="F519" s="155"/>
      <c r="G519" s="33"/>
      <c r="K519" s="33"/>
      <c r="L519" s="33"/>
      <c r="R519" s="458"/>
      <c r="S519" s="459"/>
      <c r="T519" s="460"/>
      <c r="W519" s="33"/>
      <c r="Y519" s="33"/>
      <c r="Z519" s="33"/>
    </row>
    <row r="520" spans="5:26" ht="11.25" customHeight="1" x14ac:dyDescent="0.2">
      <c r="E520" s="155"/>
      <c r="F520" s="155"/>
      <c r="G520" s="33"/>
      <c r="K520" s="33"/>
      <c r="L520" s="33"/>
      <c r="R520" s="458"/>
      <c r="S520" s="459"/>
      <c r="T520" s="460"/>
      <c r="W520" s="33"/>
      <c r="Y520" s="33"/>
      <c r="Z520" s="33"/>
    </row>
    <row r="521" spans="5:26" ht="11.25" customHeight="1" x14ac:dyDescent="0.2">
      <c r="E521" s="155"/>
      <c r="F521" s="155"/>
      <c r="G521" s="33"/>
      <c r="K521" s="33"/>
      <c r="L521" s="33"/>
      <c r="R521" s="458"/>
      <c r="S521" s="459"/>
      <c r="T521" s="460"/>
      <c r="W521" s="33"/>
      <c r="Y521" s="33"/>
      <c r="Z521" s="33"/>
    </row>
    <row r="522" spans="5:26" ht="11.25" customHeight="1" x14ac:dyDescent="0.2">
      <c r="E522" s="155"/>
      <c r="F522" s="155"/>
      <c r="G522" s="33"/>
      <c r="K522" s="33"/>
      <c r="L522" s="33"/>
      <c r="R522" s="458"/>
      <c r="S522" s="459"/>
      <c r="T522" s="460"/>
      <c r="W522" s="33"/>
      <c r="Y522" s="33"/>
      <c r="Z522" s="33"/>
    </row>
    <row r="523" spans="5:26" ht="11.25" customHeight="1" x14ac:dyDescent="0.2">
      <c r="E523" s="155"/>
      <c r="F523" s="155"/>
      <c r="G523" s="33"/>
      <c r="K523" s="33"/>
      <c r="L523" s="33"/>
      <c r="R523" s="458"/>
      <c r="S523" s="459"/>
      <c r="T523" s="460"/>
      <c r="W523" s="33"/>
      <c r="Y523" s="33"/>
      <c r="Z523" s="33"/>
    </row>
    <row r="524" spans="5:26" ht="11.25" customHeight="1" x14ac:dyDescent="0.2">
      <c r="E524" s="155"/>
      <c r="F524" s="155"/>
      <c r="G524" s="33"/>
      <c r="K524" s="33"/>
      <c r="L524" s="33"/>
      <c r="R524" s="458"/>
      <c r="S524" s="459"/>
      <c r="T524" s="460"/>
      <c r="W524" s="33"/>
      <c r="Y524" s="33"/>
      <c r="Z524" s="33"/>
    </row>
    <row r="525" spans="5:26" ht="11.25" customHeight="1" x14ac:dyDescent="0.2">
      <c r="E525" s="155"/>
      <c r="F525" s="155"/>
      <c r="G525" s="33"/>
      <c r="K525" s="33"/>
      <c r="L525" s="33"/>
      <c r="R525" s="458"/>
      <c r="S525" s="459"/>
      <c r="T525" s="460"/>
      <c r="W525" s="33"/>
      <c r="Y525" s="33"/>
      <c r="Z525" s="33"/>
    </row>
    <row r="526" spans="5:26" ht="11.25" customHeight="1" x14ac:dyDescent="0.2">
      <c r="E526" s="155"/>
      <c r="F526" s="155"/>
      <c r="G526" s="33"/>
      <c r="K526" s="33"/>
      <c r="L526" s="33"/>
      <c r="R526" s="458"/>
      <c r="S526" s="459"/>
      <c r="T526" s="460"/>
      <c r="W526" s="33"/>
      <c r="Y526" s="33"/>
      <c r="Z526" s="33"/>
    </row>
    <row r="527" spans="5:26" ht="11.25" customHeight="1" x14ac:dyDescent="0.2">
      <c r="E527" s="155"/>
      <c r="F527" s="155"/>
      <c r="G527" s="33"/>
      <c r="K527" s="33"/>
      <c r="L527" s="33"/>
      <c r="R527" s="458"/>
      <c r="S527" s="459"/>
      <c r="T527" s="460"/>
      <c r="W527" s="33"/>
      <c r="Y527" s="33"/>
      <c r="Z527" s="33"/>
    </row>
    <row r="528" spans="5:26" ht="11.25" customHeight="1" x14ac:dyDescent="0.2">
      <c r="E528" s="155"/>
      <c r="F528" s="155"/>
      <c r="G528" s="33"/>
      <c r="K528" s="33"/>
      <c r="L528" s="33"/>
      <c r="R528" s="458"/>
      <c r="S528" s="459"/>
      <c r="T528" s="460"/>
      <c r="W528" s="33"/>
      <c r="Y528" s="33"/>
      <c r="Z528" s="33"/>
    </row>
    <row r="529" spans="5:26" ht="11.25" customHeight="1" x14ac:dyDescent="0.2">
      <c r="E529" s="155"/>
      <c r="F529" s="155"/>
      <c r="G529" s="33"/>
      <c r="K529" s="33"/>
      <c r="L529" s="33"/>
      <c r="R529" s="458"/>
      <c r="S529" s="459"/>
      <c r="T529" s="460"/>
      <c r="W529" s="33"/>
      <c r="Y529" s="33"/>
      <c r="Z529" s="33"/>
    </row>
    <row r="530" spans="5:26" ht="11.25" customHeight="1" x14ac:dyDescent="0.2">
      <c r="E530" s="155"/>
      <c r="F530" s="155"/>
      <c r="G530" s="33"/>
      <c r="K530" s="33"/>
      <c r="L530" s="33"/>
      <c r="R530" s="458"/>
      <c r="S530" s="459"/>
      <c r="T530" s="460"/>
      <c r="W530" s="33"/>
      <c r="Y530" s="33"/>
      <c r="Z530" s="33"/>
    </row>
    <row r="531" spans="5:26" ht="11.25" customHeight="1" x14ac:dyDescent="0.2">
      <c r="E531" s="155"/>
      <c r="F531" s="155"/>
      <c r="G531" s="33"/>
      <c r="K531" s="33"/>
      <c r="L531" s="33"/>
      <c r="R531" s="458"/>
      <c r="S531" s="459"/>
      <c r="T531" s="460"/>
      <c r="W531" s="33"/>
      <c r="Y531" s="33"/>
      <c r="Z531" s="33"/>
    </row>
    <row r="532" spans="5:26" ht="11.25" customHeight="1" x14ac:dyDescent="0.2">
      <c r="E532" s="155"/>
      <c r="F532" s="155"/>
      <c r="G532" s="33"/>
      <c r="K532" s="33"/>
      <c r="L532" s="33"/>
      <c r="R532" s="458"/>
      <c r="S532" s="459"/>
      <c r="T532" s="460"/>
      <c r="W532" s="33"/>
      <c r="Y532" s="33"/>
      <c r="Z532" s="33"/>
    </row>
    <row r="533" spans="5:26" ht="11.25" customHeight="1" x14ac:dyDescent="0.2">
      <c r="E533" s="155"/>
      <c r="F533" s="155"/>
      <c r="G533" s="33"/>
      <c r="K533" s="33"/>
      <c r="L533" s="33"/>
      <c r="R533" s="458"/>
      <c r="S533" s="459"/>
      <c r="T533" s="460"/>
      <c r="W533" s="33"/>
      <c r="Y533" s="33"/>
      <c r="Z533" s="33"/>
    </row>
    <row r="534" spans="5:26" ht="11.25" customHeight="1" x14ac:dyDescent="0.2">
      <c r="E534" s="155"/>
      <c r="F534" s="155"/>
      <c r="G534" s="33"/>
      <c r="K534" s="33"/>
      <c r="L534" s="33"/>
      <c r="R534" s="458"/>
      <c r="S534" s="459"/>
      <c r="T534" s="460"/>
      <c r="W534" s="33"/>
      <c r="Y534" s="33"/>
      <c r="Z534" s="33"/>
    </row>
    <row r="535" spans="5:26" ht="11.25" customHeight="1" x14ac:dyDescent="0.2">
      <c r="E535" s="155"/>
      <c r="F535" s="155"/>
      <c r="G535" s="33"/>
      <c r="K535" s="33"/>
      <c r="L535" s="33"/>
      <c r="W535" s="33"/>
      <c r="Y535" s="33"/>
      <c r="Z535" s="33"/>
    </row>
    <row r="536" spans="5:26" ht="11.25" customHeight="1" x14ac:dyDescent="0.2">
      <c r="E536" s="155"/>
      <c r="F536" s="155"/>
      <c r="G536" s="33"/>
      <c r="K536" s="33"/>
      <c r="L536" s="33"/>
      <c r="W536" s="33"/>
      <c r="Y536" s="33"/>
      <c r="Z536" s="33"/>
    </row>
    <row r="537" spans="5:26" ht="11.25" customHeight="1" x14ac:dyDescent="0.2">
      <c r="E537" s="155"/>
      <c r="F537" s="155"/>
      <c r="G537" s="33"/>
      <c r="K537" s="33"/>
      <c r="L537" s="33"/>
      <c r="W537" s="33"/>
      <c r="Y537" s="33"/>
      <c r="Z537" s="33"/>
    </row>
    <row r="538" spans="5:26" ht="11.25" customHeight="1" x14ac:dyDescent="0.2">
      <c r="E538" s="155"/>
      <c r="F538" s="155"/>
      <c r="G538" s="33"/>
      <c r="K538" s="33"/>
      <c r="L538" s="33"/>
      <c r="W538" s="33"/>
      <c r="Y538" s="33"/>
      <c r="Z538" s="33"/>
    </row>
    <row r="539" spans="5:26" ht="11.25" customHeight="1" x14ac:dyDescent="0.2">
      <c r="E539" s="155"/>
      <c r="F539" s="155"/>
      <c r="G539" s="33"/>
      <c r="K539" s="33"/>
      <c r="L539" s="33"/>
      <c r="W539" s="33"/>
      <c r="Y539" s="33"/>
      <c r="Z539" s="33"/>
    </row>
    <row r="540" spans="5:26" ht="11.25" customHeight="1" x14ac:dyDescent="0.2">
      <c r="E540" s="155"/>
      <c r="F540" s="155"/>
      <c r="G540" s="33"/>
      <c r="K540" s="33"/>
      <c r="L540" s="33"/>
      <c r="W540" s="33"/>
      <c r="Y540" s="33"/>
      <c r="Z540" s="33"/>
    </row>
    <row r="541" spans="5:26" ht="11.25" customHeight="1" x14ac:dyDescent="0.2">
      <c r="E541" s="155"/>
      <c r="F541" s="155"/>
      <c r="G541" s="33"/>
      <c r="K541" s="33"/>
      <c r="L541" s="33"/>
      <c r="W541" s="33"/>
      <c r="Y541" s="33"/>
      <c r="Z541" s="33"/>
    </row>
    <row r="542" spans="5:26" ht="11.25" customHeight="1" x14ac:dyDescent="0.2">
      <c r="E542" s="155"/>
      <c r="F542" s="155"/>
      <c r="G542" s="33"/>
      <c r="K542" s="33"/>
      <c r="L542" s="33"/>
      <c r="W542" s="33"/>
      <c r="Y542" s="33"/>
      <c r="Z542" s="33"/>
    </row>
    <row r="543" spans="5:26" ht="11.25" customHeight="1" x14ac:dyDescent="0.2">
      <c r="E543" s="155"/>
      <c r="F543" s="155"/>
      <c r="G543" s="33"/>
      <c r="K543" s="33"/>
      <c r="L543" s="33"/>
      <c r="W543" s="33"/>
      <c r="Y543" s="33"/>
      <c r="Z543" s="33"/>
    </row>
    <row r="544" spans="5:26" ht="11.25" customHeight="1" x14ac:dyDescent="0.2">
      <c r="E544" s="155"/>
      <c r="F544" s="155"/>
      <c r="G544" s="33"/>
      <c r="K544" s="33"/>
      <c r="L544" s="33"/>
      <c r="W544" s="33"/>
      <c r="Y544" s="33"/>
      <c r="Z544" s="33"/>
    </row>
    <row r="545" spans="5:26" ht="11.25" customHeight="1" x14ac:dyDescent="0.2">
      <c r="E545" s="155"/>
      <c r="F545" s="155"/>
      <c r="G545" s="33"/>
      <c r="K545" s="33"/>
      <c r="L545" s="33"/>
      <c r="W545" s="33"/>
      <c r="Y545" s="33"/>
      <c r="Z545" s="33"/>
    </row>
    <row r="546" spans="5:26" ht="11.25" customHeight="1" x14ac:dyDescent="0.2">
      <c r="E546" s="155"/>
      <c r="F546" s="155"/>
      <c r="G546" s="33"/>
      <c r="K546" s="33"/>
      <c r="L546" s="33"/>
      <c r="W546" s="33"/>
      <c r="Y546" s="33"/>
      <c r="Z546" s="33"/>
    </row>
    <row r="547" spans="5:26" ht="11.25" customHeight="1" x14ac:dyDescent="0.2">
      <c r="E547" s="155"/>
      <c r="F547" s="155"/>
      <c r="G547" s="33"/>
      <c r="K547" s="33"/>
      <c r="L547" s="33"/>
      <c r="W547" s="33"/>
      <c r="Y547" s="33"/>
      <c r="Z547" s="33"/>
    </row>
    <row r="548" spans="5:26" ht="11.25" customHeight="1" x14ac:dyDescent="0.2">
      <c r="E548" s="155"/>
      <c r="F548" s="155"/>
      <c r="G548" s="33"/>
      <c r="K548" s="33"/>
      <c r="L548" s="33"/>
      <c r="W548" s="33"/>
      <c r="Y548" s="33"/>
      <c r="Z548" s="33"/>
    </row>
    <row r="549" spans="5:26" ht="11.25" customHeight="1" x14ac:dyDescent="0.2">
      <c r="E549" s="155"/>
      <c r="F549" s="155"/>
      <c r="G549" s="33"/>
      <c r="K549" s="33"/>
      <c r="L549" s="33"/>
      <c r="W549" s="33"/>
      <c r="Y549" s="33"/>
      <c r="Z549" s="33"/>
    </row>
    <row r="550" spans="5:26" ht="11.25" customHeight="1" x14ac:dyDescent="0.2">
      <c r="E550" s="155"/>
      <c r="F550" s="155"/>
      <c r="G550" s="33"/>
      <c r="K550" s="33"/>
      <c r="L550" s="33"/>
      <c r="W550" s="33"/>
      <c r="Y550" s="33"/>
      <c r="Z550" s="33"/>
    </row>
    <row r="551" spans="5:26" ht="11.25" customHeight="1" x14ac:dyDescent="0.2">
      <c r="E551" s="155"/>
      <c r="F551" s="155"/>
      <c r="G551" s="33"/>
      <c r="K551" s="33"/>
      <c r="L551" s="33"/>
      <c r="W551" s="33"/>
      <c r="Y551" s="33"/>
      <c r="Z551" s="33"/>
    </row>
    <row r="552" spans="5:26" ht="11.25" customHeight="1" x14ac:dyDescent="0.2">
      <c r="E552" s="155"/>
      <c r="F552" s="155"/>
      <c r="G552" s="33"/>
      <c r="K552" s="33"/>
      <c r="L552" s="33"/>
      <c r="W552" s="33"/>
      <c r="Y552" s="33"/>
      <c r="Z552" s="33"/>
    </row>
    <row r="553" spans="5:26" ht="11.25" customHeight="1" x14ac:dyDescent="0.2">
      <c r="E553" s="155"/>
      <c r="F553" s="155"/>
      <c r="G553" s="33"/>
      <c r="K553" s="33"/>
      <c r="L553" s="33"/>
      <c r="W553" s="33"/>
      <c r="Y553" s="33"/>
      <c r="Z553" s="33"/>
    </row>
    <row r="554" spans="5:26" ht="11.25" customHeight="1" x14ac:dyDescent="0.2">
      <c r="E554" s="155"/>
      <c r="F554" s="155"/>
      <c r="G554" s="33"/>
      <c r="K554" s="33"/>
      <c r="L554" s="33"/>
      <c r="W554" s="33"/>
      <c r="Y554" s="33"/>
      <c r="Z554" s="33"/>
    </row>
    <row r="555" spans="5:26" ht="11.25" customHeight="1" x14ac:dyDescent="0.2">
      <c r="E555" s="155"/>
      <c r="F555" s="155"/>
      <c r="G555" s="33"/>
      <c r="K555" s="33"/>
      <c r="L555" s="33"/>
      <c r="W555" s="33"/>
      <c r="Y555" s="33"/>
      <c r="Z555" s="33"/>
    </row>
    <row r="556" spans="5:26" ht="11.25" customHeight="1" x14ac:dyDescent="0.2">
      <c r="E556" s="155"/>
      <c r="F556" s="155"/>
      <c r="G556" s="33"/>
      <c r="K556" s="33"/>
      <c r="L556" s="33"/>
      <c r="W556" s="33"/>
      <c r="Y556" s="33"/>
      <c r="Z556" s="33"/>
    </row>
    <row r="557" spans="5:26" ht="11.25" customHeight="1" x14ac:dyDescent="0.2">
      <c r="E557" s="155"/>
      <c r="F557" s="155"/>
      <c r="G557" s="33"/>
      <c r="K557" s="33"/>
      <c r="L557" s="33"/>
      <c r="W557" s="33"/>
      <c r="Y557" s="33"/>
      <c r="Z557" s="33"/>
    </row>
    <row r="558" spans="5:26" ht="11.25" customHeight="1" x14ac:dyDescent="0.2">
      <c r="E558" s="155"/>
      <c r="F558" s="155"/>
      <c r="G558" s="33"/>
      <c r="K558" s="33"/>
      <c r="L558" s="33"/>
      <c r="W558" s="33"/>
      <c r="Y558" s="33"/>
      <c r="Z558" s="33"/>
    </row>
    <row r="559" spans="5:26" ht="11.25" customHeight="1" x14ac:dyDescent="0.2">
      <c r="E559" s="155"/>
      <c r="F559" s="155"/>
      <c r="G559" s="33"/>
      <c r="K559" s="33"/>
      <c r="L559" s="33"/>
      <c r="W559" s="33"/>
      <c r="Y559" s="33"/>
      <c r="Z559" s="33"/>
    </row>
    <row r="560" spans="5:26" ht="11.25" customHeight="1" x14ac:dyDescent="0.2">
      <c r="E560" s="155"/>
      <c r="F560" s="155"/>
      <c r="G560" s="33"/>
      <c r="K560" s="33"/>
      <c r="L560" s="33"/>
      <c r="W560" s="33"/>
      <c r="Y560" s="33"/>
      <c r="Z560" s="33"/>
    </row>
    <row r="561" spans="5:26" ht="11.25" customHeight="1" x14ac:dyDescent="0.2">
      <c r="E561" s="155"/>
      <c r="F561" s="155"/>
      <c r="G561" s="33"/>
      <c r="K561" s="33"/>
      <c r="L561" s="33"/>
      <c r="W561" s="33"/>
      <c r="Y561" s="33"/>
      <c r="Z561" s="33"/>
    </row>
    <row r="562" spans="5:26" ht="11.25" customHeight="1" x14ac:dyDescent="0.2">
      <c r="E562" s="155"/>
      <c r="F562" s="155"/>
      <c r="G562" s="33"/>
      <c r="K562" s="33"/>
      <c r="L562" s="33"/>
      <c r="W562" s="33"/>
      <c r="Y562" s="33"/>
      <c r="Z562" s="33"/>
    </row>
    <row r="563" spans="5:26" ht="11.25" customHeight="1" x14ac:dyDescent="0.2">
      <c r="E563" s="155"/>
      <c r="F563" s="155"/>
      <c r="G563" s="33"/>
      <c r="K563" s="33"/>
      <c r="L563" s="33"/>
      <c r="W563" s="33"/>
      <c r="Y563" s="33"/>
      <c r="Z563" s="33"/>
    </row>
    <row r="564" spans="5:26" ht="11.25" customHeight="1" x14ac:dyDescent="0.2">
      <c r="E564" s="155"/>
      <c r="F564" s="155"/>
      <c r="G564" s="33"/>
      <c r="K564" s="33"/>
      <c r="L564" s="33"/>
      <c r="W564" s="33"/>
      <c r="Y564" s="33"/>
      <c r="Z564" s="33"/>
    </row>
    <row r="565" spans="5:26" ht="11.25" customHeight="1" x14ac:dyDescent="0.2">
      <c r="E565" s="155"/>
      <c r="F565" s="155"/>
      <c r="G565" s="33"/>
      <c r="K565" s="33"/>
      <c r="L565" s="33"/>
      <c r="W565" s="33"/>
      <c r="Y565" s="33"/>
      <c r="Z565" s="33"/>
    </row>
    <row r="566" spans="5:26" ht="11.25" customHeight="1" x14ac:dyDescent="0.2">
      <c r="E566" s="155"/>
      <c r="F566" s="155"/>
      <c r="G566" s="33"/>
      <c r="K566" s="33"/>
      <c r="L566" s="33"/>
      <c r="W566" s="33"/>
      <c r="Y566" s="33"/>
      <c r="Z566" s="33"/>
    </row>
    <row r="567" spans="5:26" ht="11.25" customHeight="1" x14ac:dyDescent="0.2">
      <c r="E567" s="155"/>
      <c r="F567" s="155"/>
      <c r="G567" s="33"/>
      <c r="K567" s="33"/>
      <c r="L567" s="33"/>
      <c r="W567" s="33"/>
      <c r="Y567" s="33"/>
      <c r="Z567" s="33"/>
    </row>
    <row r="568" spans="5:26" ht="11.25" customHeight="1" x14ac:dyDescent="0.2">
      <c r="E568" s="155"/>
      <c r="F568" s="155"/>
      <c r="G568" s="33"/>
      <c r="K568" s="33"/>
      <c r="L568" s="33"/>
      <c r="W568" s="33"/>
      <c r="Y568" s="33"/>
      <c r="Z568" s="33"/>
    </row>
    <row r="569" spans="5:26" ht="11.25" customHeight="1" x14ac:dyDescent="0.2">
      <c r="E569" s="155"/>
      <c r="F569" s="155"/>
      <c r="G569" s="33"/>
      <c r="K569" s="33"/>
      <c r="L569" s="33"/>
      <c r="W569" s="33"/>
      <c r="Y569" s="33"/>
      <c r="Z569" s="33"/>
    </row>
    <row r="570" spans="5:26" ht="11.25" customHeight="1" x14ac:dyDescent="0.2">
      <c r="E570" s="155"/>
      <c r="F570" s="155"/>
      <c r="G570" s="33"/>
      <c r="K570" s="33"/>
      <c r="L570" s="33"/>
      <c r="W570" s="33"/>
      <c r="Y570" s="33"/>
      <c r="Z570" s="33"/>
    </row>
    <row r="571" spans="5:26" ht="11.25" customHeight="1" x14ac:dyDescent="0.2">
      <c r="E571" s="155"/>
      <c r="F571" s="155"/>
      <c r="G571" s="33"/>
      <c r="K571" s="33"/>
      <c r="L571" s="33"/>
      <c r="W571" s="33"/>
      <c r="Y571" s="33"/>
      <c r="Z571" s="33"/>
    </row>
    <row r="572" spans="5:26" ht="11.25" customHeight="1" x14ac:dyDescent="0.2">
      <c r="E572" s="155"/>
      <c r="F572" s="155"/>
      <c r="G572" s="33"/>
      <c r="K572" s="33"/>
      <c r="L572" s="33"/>
      <c r="W572" s="33"/>
      <c r="Y572" s="33"/>
      <c r="Z572" s="33"/>
    </row>
    <row r="573" spans="5:26" ht="11.25" customHeight="1" x14ac:dyDescent="0.2">
      <c r="E573" s="155"/>
      <c r="F573" s="155"/>
      <c r="G573" s="33"/>
      <c r="K573" s="33"/>
      <c r="L573" s="33"/>
      <c r="W573" s="33"/>
      <c r="Y573" s="33"/>
      <c r="Z573" s="33"/>
    </row>
    <row r="574" spans="5:26" ht="11.25" customHeight="1" x14ac:dyDescent="0.2">
      <c r="E574" s="155"/>
      <c r="F574" s="155"/>
      <c r="G574" s="33"/>
      <c r="K574" s="33"/>
      <c r="L574" s="33"/>
      <c r="W574" s="33"/>
      <c r="Y574" s="33"/>
      <c r="Z574" s="33"/>
    </row>
    <row r="575" spans="5:26" ht="11.25" customHeight="1" x14ac:dyDescent="0.2">
      <c r="E575" s="155"/>
      <c r="F575" s="155"/>
      <c r="G575" s="33"/>
      <c r="K575" s="33"/>
      <c r="L575" s="33"/>
      <c r="W575" s="33"/>
      <c r="Y575" s="33"/>
      <c r="Z575" s="33"/>
    </row>
    <row r="576" spans="5:26" ht="11.25" customHeight="1" x14ac:dyDescent="0.2">
      <c r="E576" s="155"/>
      <c r="F576" s="155"/>
      <c r="G576" s="33"/>
      <c r="K576" s="33"/>
      <c r="L576" s="33"/>
      <c r="W576" s="33"/>
      <c r="Y576" s="33"/>
      <c r="Z576" s="33"/>
    </row>
    <row r="577" spans="5:26" ht="11.25" customHeight="1" x14ac:dyDescent="0.2">
      <c r="E577" s="155"/>
      <c r="F577" s="155"/>
      <c r="G577" s="33"/>
      <c r="K577" s="33"/>
      <c r="L577" s="33"/>
      <c r="W577" s="33"/>
      <c r="Y577" s="33"/>
      <c r="Z577" s="33"/>
    </row>
    <row r="578" spans="5:26" ht="11.25" customHeight="1" x14ac:dyDescent="0.2">
      <c r="E578" s="155"/>
      <c r="F578" s="155"/>
      <c r="G578" s="33"/>
      <c r="K578" s="33"/>
      <c r="L578" s="33"/>
      <c r="W578" s="33"/>
      <c r="Y578" s="33"/>
      <c r="Z578" s="33"/>
    </row>
    <row r="579" spans="5:26" ht="11.25" customHeight="1" x14ac:dyDescent="0.2">
      <c r="E579" s="155"/>
      <c r="F579" s="155"/>
      <c r="G579" s="33"/>
      <c r="K579" s="33"/>
      <c r="L579" s="33"/>
      <c r="W579" s="33"/>
      <c r="Y579" s="33"/>
      <c r="Z579" s="33"/>
    </row>
    <row r="580" spans="5:26" ht="11.25" customHeight="1" x14ac:dyDescent="0.2">
      <c r="E580" s="155"/>
      <c r="F580" s="155"/>
      <c r="G580" s="33"/>
      <c r="K580" s="33"/>
      <c r="L580" s="33"/>
      <c r="W580" s="33"/>
      <c r="Y580" s="33"/>
      <c r="Z580" s="33"/>
    </row>
    <row r="581" spans="5:26" ht="11.25" customHeight="1" x14ac:dyDescent="0.2">
      <c r="E581" s="155"/>
      <c r="F581" s="155"/>
      <c r="G581" s="33"/>
      <c r="K581" s="33"/>
      <c r="L581" s="33"/>
      <c r="W581" s="33"/>
      <c r="Y581" s="33"/>
      <c r="Z581" s="33"/>
    </row>
    <row r="582" spans="5:26" ht="11.25" customHeight="1" x14ac:dyDescent="0.2">
      <c r="W582" s="33"/>
      <c r="Y582" s="33"/>
      <c r="Z582" s="33"/>
    </row>
    <row r="583" spans="5:26" x14ac:dyDescent="0.2">
      <c r="W583" s="33"/>
      <c r="Y583" s="33"/>
      <c r="Z583" s="33"/>
    </row>
    <row r="584" spans="5:26" x14ac:dyDescent="0.2">
      <c r="W584" s="33"/>
      <c r="Y584" s="33"/>
      <c r="Z584" s="33"/>
    </row>
    <row r="585" spans="5:26" x14ac:dyDescent="0.2">
      <c r="W585" s="33"/>
      <c r="Y585" s="33"/>
      <c r="Z585" s="33"/>
    </row>
    <row r="586" spans="5:26" x14ac:dyDescent="0.2">
      <c r="W586" s="33"/>
      <c r="Y586" s="33"/>
      <c r="Z586" s="33"/>
    </row>
    <row r="587" spans="5:26" x14ac:dyDescent="0.2">
      <c r="W587" s="33"/>
      <c r="Y587" s="33"/>
      <c r="Z587" s="33"/>
    </row>
    <row r="588" spans="5:26" x14ac:dyDescent="0.2">
      <c r="W588" s="33"/>
      <c r="Y588" s="33"/>
      <c r="Z588" s="33"/>
    </row>
    <row r="589" spans="5:26" x14ac:dyDescent="0.2">
      <c r="W589" s="33"/>
      <c r="Y589" s="33"/>
      <c r="Z589" s="33"/>
    </row>
    <row r="590" spans="5:26" x14ac:dyDescent="0.2">
      <c r="W590" s="33"/>
      <c r="Y590" s="33"/>
      <c r="Z590" s="33"/>
    </row>
    <row r="591" spans="5:26" x14ac:dyDescent="0.2">
      <c r="W591" s="33"/>
      <c r="Y591" s="33"/>
      <c r="Z591" s="33"/>
    </row>
    <row r="592" spans="5:26" x14ac:dyDescent="0.2">
      <c r="W592" s="33"/>
      <c r="Y592" s="33"/>
      <c r="Z592" s="33"/>
    </row>
    <row r="593" spans="23:26" x14ac:dyDescent="0.2">
      <c r="W593" s="33"/>
      <c r="Y593" s="33"/>
      <c r="Z593" s="33"/>
    </row>
    <row r="594" spans="23:26" x14ac:dyDescent="0.2">
      <c r="W594" s="33"/>
      <c r="Y594" s="33"/>
      <c r="Z594" s="33"/>
    </row>
    <row r="595" spans="23:26" x14ac:dyDescent="0.2">
      <c r="W595" s="33"/>
      <c r="Y595" s="33"/>
      <c r="Z595" s="33"/>
    </row>
    <row r="596" spans="23:26" x14ac:dyDescent="0.2">
      <c r="W596" s="33"/>
      <c r="Y596" s="33"/>
      <c r="Z596" s="33"/>
    </row>
    <row r="597" spans="23:26" x14ac:dyDescent="0.2">
      <c r="W597" s="33"/>
      <c r="Y597" s="33"/>
      <c r="Z597" s="33"/>
    </row>
    <row r="598" spans="23:26" x14ac:dyDescent="0.2">
      <c r="W598" s="33"/>
      <c r="Y598" s="33"/>
      <c r="Z598" s="33"/>
    </row>
    <row r="599" spans="23:26" x14ac:dyDescent="0.2">
      <c r="W599" s="33"/>
      <c r="Y599" s="33"/>
      <c r="Z599" s="33"/>
    </row>
    <row r="600" spans="23:26" x14ac:dyDescent="0.2">
      <c r="W600" s="33"/>
      <c r="Y600" s="33"/>
      <c r="Z600" s="33"/>
    </row>
    <row r="601" spans="23:26" x14ac:dyDescent="0.2">
      <c r="W601" s="33"/>
      <c r="Y601" s="33"/>
      <c r="Z601" s="33"/>
    </row>
    <row r="602" spans="23:26" x14ac:dyDescent="0.2">
      <c r="W602" s="33"/>
      <c r="Y602" s="33"/>
      <c r="Z602" s="33"/>
    </row>
    <row r="603" spans="23:26" x14ac:dyDescent="0.2">
      <c r="W603" s="33"/>
      <c r="Y603" s="33"/>
      <c r="Z603" s="33"/>
    </row>
    <row r="604" spans="23:26" x14ac:dyDescent="0.2">
      <c r="W604" s="33"/>
      <c r="Y604" s="33"/>
      <c r="Z604" s="33"/>
    </row>
    <row r="605" spans="23:26" x14ac:dyDescent="0.2">
      <c r="W605" s="33"/>
      <c r="Y605" s="33"/>
      <c r="Z605" s="33"/>
    </row>
    <row r="606" spans="23:26" x14ac:dyDescent="0.2">
      <c r="W606" s="33"/>
      <c r="Y606" s="33"/>
      <c r="Z606" s="33"/>
    </row>
    <row r="607" spans="23:26" x14ac:dyDescent="0.2">
      <c r="W607" s="33"/>
      <c r="Y607" s="33"/>
      <c r="Z607" s="33"/>
    </row>
    <row r="608" spans="23:26" x14ac:dyDescent="0.2">
      <c r="W608" s="33"/>
      <c r="Y608" s="33"/>
      <c r="Z608" s="33"/>
    </row>
    <row r="609" spans="23:26" x14ac:dyDescent="0.2">
      <c r="W609" s="33"/>
      <c r="Y609" s="33"/>
      <c r="Z609" s="33"/>
    </row>
    <row r="610" spans="23:26" x14ac:dyDescent="0.2">
      <c r="W610" s="33"/>
      <c r="Y610" s="33"/>
      <c r="Z610" s="33"/>
    </row>
    <row r="611" spans="23:26" x14ac:dyDescent="0.2">
      <c r="W611" s="33"/>
      <c r="Y611" s="33"/>
      <c r="Z611" s="33"/>
    </row>
    <row r="612" spans="23:26" x14ac:dyDescent="0.2">
      <c r="W612" s="33"/>
      <c r="Y612" s="33"/>
      <c r="Z612" s="33"/>
    </row>
    <row r="613" spans="23:26" x14ac:dyDescent="0.2">
      <c r="W613" s="33"/>
      <c r="Y613" s="33"/>
      <c r="Z613" s="33"/>
    </row>
    <row r="614" spans="23:26" x14ac:dyDescent="0.2">
      <c r="W614" s="33"/>
      <c r="Y614" s="33"/>
      <c r="Z614" s="33"/>
    </row>
    <row r="615" spans="23:26" x14ac:dyDescent="0.2">
      <c r="W615" s="33"/>
      <c r="Y615" s="33"/>
      <c r="Z615" s="33"/>
    </row>
    <row r="616" spans="23:26" x14ac:dyDescent="0.2">
      <c r="W616" s="33"/>
      <c r="Y616" s="33"/>
      <c r="Z616" s="33"/>
    </row>
    <row r="617" spans="23:26" x14ac:dyDescent="0.2">
      <c r="W617" s="33"/>
      <c r="Y617" s="33"/>
      <c r="Z617" s="33"/>
    </row>
    <row r="618" spans="23:26" x14ac:dyDescent="0.2">
      <c r="W618" s="33"/>
      <c r="Y618" s="33"/>
      <c r="Z618" s="33"/>
    </row>
    <row r="619" spans="23:26" x14ac:dyDescent="0.2">
      <c r="W619" s="33"/>
      <c r="Y619" s="33"/>
      <c r="Z619" s="33"/>
    </row>
    <row r="620" spans="23:26" x14ac:dyDescent="0.2">
      <c r="W620" s="33"/>
      <c r="Y620" s="33"/>
      <c r="Z620" s="33"/>
    </row>
    <row r="621" spans="23:26" x14ac:dyDescent="0.2">
      <c r="W621" s="33"/>
      <c r="Y621" s="33"/>
      <c r="Z621" s="33"/>
    </row>
    <row r="622" spans="23:26" x14ac:dyDescent="0.2">
      <c r="W622" s="33"/>
      <c r="Y622" s="33"/>
      <c r="Z622" s="33"/>
    </row>
    <row r="623" spans="23:26" x14ac:dyDescent="0.2">
      <c r="W623" s="33"/>
      <c r="Y623" s="33"/>
      <c r="Z623" s="33"/>
    </row>
    <row r="624" spans="23:26" x14ac:dyDescent="0.2">
      <c r="W624" s="33"/>
      <c r="Y624" s="33"/>
      <c r="Z624" s="33"/>
    </row>
    <row r="625" spans="23:26" x14ac:dyDescent="0.2">
      <c r="W625" s="33"/>
      <c r="Y625" s="33"/>
      <c r="Z625" s="33"/>
    </row>
    <row r="626" spans="23:26" x14ac:dyDescent="0.2">
      <c r="W626" s="33"/>
      <c r="Y626" s="33"/>
      <c r="Z626" s="33"/>
    </row>
    <row r="627" spans="23:26" x14ac:dyDescent="0.2">
      <c r="W627" s="33"/>
      <c r="Y627" s="33"/>
      <c r="Z627" s="33"/>
    </row>
    <row r="628" spans="23:26" x14ac:dyDescent="0.2">
      <c r="W628" s="33"/>
      <c r="Y628" s="33"/>
      <c r="Z628" s="33"/>
    </row>
    <row r="629" spans="23:26" x14ac:dyDescent="0.2">
      <c r="W629" s="33"/>
      <c r="Y629" s="33"/>
      <c r="Z629" s="33"/>
    </row>
    <row r="630" spans="23:26" x14ac:dyDescent="0.2">
      <c r="W630" s="33"/>
      <c r="Y630" s="33"/>
      <c r="Z630" s="33"/>
    </row>
    <row r="631" spans="23:26" x14ac:dyDescent="0.2">
      <c r="W631" s="33"/>
      <c r="Y631" s="33"/>
      <c r="Z631" s="33"/>
    </row>
    <row r="632" spans="23:26" x14ac:dyDescent="0.2">
      <c r="W632" s="33"/>
      <c r="Y632" s="33"/>
      <c r="Z632" s="33"/>
    </row>
    <row r="633" spans="23:26" x14ac:dyDescent="0.2">
      <c r="W633" s="33"/>
      <c r="Y633" s="33"/>
      <c r="Z633" s="33"/>
    </row>
    <row r="634" spans="23:26" x14ac:dyDescent="0.2">
      <c r="W634" s="33"/>
      <c r="Y634" s="33"/>
      <c r="Z634" s="33"/>
    </row>
    <row r="635" spans="23:26" x14ac:dyDescent="0.2">
      <c r="W635" s="33"/>
      <c r="Y635" s="33"/>
      <c r="Z635" s="33"/>
    </row>
    <row r="636" spans="23:26" x14ac:dyDescent="0.2">
      <c r="W636" s="33"/>
      <c r="Y636" s="33"/>
      <c r="Z636" s="33"/>
    </row>
    <row r="637" spans="23:26" x14ac:dyDescent="0.2">
      <c r="W637" s="33"/>
      <c r="Y637" s="33"/>
      <c r="Z637" s="33"/>
    </row>
    <row r="638" spans="23:26" x14ac:dyDescent="0.2">
      <c r="W638" s="33"/>
      <c r="Y638" s="33"/>
      <c r="Z638" s="33"/>
    </row>
    <row r="639" spans="23:26" x14ac:dyDescent="0.2">
      <c r="W639" s="33"/>
      <c r="Y639" s="33"/>
      <c r="Z639" s="33"/>
    </row>
    <row r="640" spans="23:26" x14ac:dyDescent="0.2">
      <c r="W640" s="33"/>
      <c r="Y640" s="33"/>
      <c r="Z640" s="33"/>
    </row>
    <row r="641" spans="23:26" x14ac:dyDescent="0.2">
      <c r="W641" s="33"/>
      <c r="Y641" s="33"/>
      <c r="Z641" s="33"/>
    </row>
    <row r="642" spans="23:26" x14ac:dyDescent="0.2">
      <c r="W642" s="33"/>
      <c r="Y642" s="33"/>
      <c r="Z642" s="33"/>
    </row>
    <row r="643" spans="23:26" x14ac:dyDescent="0.2">
      <c r="W643" s="33"/>
      <c r="Y643" s="33"/>
      <c r="Z643" s="33"/>
    </row>
    <row r="644" spans="23:26" x14ac:dyDescent="0.2">
      <c r="W644" s="33"/>
      <c r="Y644" s="33"/>
      <c r="Z644" s="33"/>
    </row>
    <row r="645" spans="23:26" x14ac:dyDescent="0.2">
      <c r="W645" s="33"/>
      <c r="Y645" s="33"/>
      <c r="Z645" s="33"/>
    </row>
    <row r="646" spans="23:26" x14ac:dyDescent="0.2">
      <c r="W646" s="33"/>
      <c r="Y646" s="33"/>
      <c r="Z646" s="33"/>
    </row>
    <row r="647" spans="23:26" x14ac:dyDescent="0.2">
      <c r="W647" s="33"/>
      <c r="Y647" s="33"/>
      <c r="Z647" s="33"/>
    </row>
    <row r="648" spans="23:26" x14ac:dyDescent="0.2">
      <c r="W648" s="33"/>
      <c r="Y648" s="33"/>
      <c r="Z648" s="33"/>
    </row>
    <row r="649" spans="23:26" x14ac:dyDescent="0.2">
      <c r="W649" s="33"/>
      <c r="Y649" s="33"/>
      <c r="Z649" s="33"/>
    </row>
    <row r="650" spans="23:26" x14ac:dyDescent="0.2">
      <c r="W650" s="33"/>
      <c r="Y650" s="33"/>
      <c r="Z650" s="33"/>
    </row>
    <row r="651" spans="23:26" x14ac:dyDescent="0.2">
      <c r="W651" s="33"/>
      <c r="Y651" s="33"/>
      <c r="Z651" s="33"/>
    </row>
    <row r="652" spans="23:26" x14ac:dyDescent="0.2">
      <c r="W652" s="33"/>
      <c r="Y652" s="33"/>
      <c r="Z652" s="33"/>
    </row>
    <row r="653" spans="23:26" x14ac:dyDescent="0.2">
      <c r="W653" s="33"/>
      <c r="Y653" s="33"/>
      <c r="Z653" s="33"/>
    </row>
    <row r="654" spans="23:26" x14ac:dyDescent="0.2">
      <c r="W654" s="33"/>
      <c r="Y654" s="33"/>
      <c r="Z654" s="33"/>
    </row>
    <row r="655" spans="23:26" x14ac:dyDescent="0.2">
      <c r="W655" s="33"/>
      <c r="Y655" s="33"/>
      <c r="Z655" s="33"/>
    </row>
    <row r="656" spans="23:26" x14ac:dyDescent="0.2">
      <c r="W656" s="33"/>
      <c r="Y656" s="33"/>
      <c r="Z656" s="33"/>
    </row>
    <row r="657" spans="23:26" x14ac:dyDescent="0.2">
      <c r="W657" s="33"/>
      <c r="Y657" s="33"/>
      <c r="Z657" s="33"/>
    </row>
    <row r="658" spans="23:26" x14ac:dyDescent="0.2">
      <c r="W658" s="33"/>
      <c r="Y658" s="33"/>
      <c r="Z658" s="33"/>
    </row>
    <row r="659" spans="23:26" x14ac:dyDescent="0.2">
      <c r="W659" s="33"/>
      <c r="Y659" s="33"/>
      <c r="Z659" s="33"/>
    </row>
    <row r="660" spans="23:26" x14ac:dyDescent="0.2">
      <c r="W660" s="33"/>
      <c r="Y660" s="33"/>
      <c r="Z660" s="33"/>
    </row>
    <row r="661" spans="23:26" x14ac:dyDescent="0.2">
      <c r="W661" s="33"/>
      <c r="Y661" s="33"/>
      <c r="Z661" s="33"/>
    </row>
    <row r="662" spans="23:26" x14ac:dyDescent="0.2">
      <c r="W662" s="33"/>
      <c r="Y662" s="33"/>
      <c r="Z662" s="33"/>
    </row>
    <row r="663" spans="23:26" x14ac:dyDescent="0.2">
      <c r="W663" s="33"/>
      <c r="Y663" s="33"/>
      <c r="Z663" s="33"/>
    </row>
    <row r="664" spans="23:26" x14ac:dyDescent="0.2">
      <c r="W664" s="33"/>
      <c r="Y664" s="33"/>
      <c r="Z664" s="33"/>
    </row>
    <row r="665" spans="23:26" x14ac:dyDescent="0.2">
      <c r="W665" s="33"/>
      <c r="Y665" s="33"/>
      <c r="Z665" s="33"/>
    </row>
    <row r="666" spans="23:26" x14ac:dyDescent="0.2">
      <c r="W666" s="33"/>
      <c r="Y666" s="33"/>
      <c r="Z666" s="33"/>
    </row>
    <row r="667" spans="23:26" x14ac:dyDescent="0.2">
      <c r="W667" s="33"/>
      <c r="Y667" s="33"/>
      <c r="Z667" s="33"/>
    </row>
    <row r="668" spans="23:26" x14ac:dyDescent="0.2">
      <c r="W668" s="33"/>
      <c r="Y668" s="33"/>
      <c r="Z668" s="33"/>
    </row>
    <row r="669" spans="23:26" x14ac:dyDescent="0.2">
      <c r="W669" s="33"/>
      <c r="Y669" s="33"/>
      <c r="Z669" s="33"/>
    </row>
    <row r="670" spans="23:26" x14ac:dyDescent="0.2">
      <c r="W670" s="33"/>
      <c r="Y670" s="33"/>
      <c r="Z670" s="33"/>
    </row>
    <row r="671" spans="23:26" x14ac:dyDescent="0.2">
      <c r="W671" s="33"/>
      <c r="Y671" s="33"/>
      <c r="Z671" s="33"/>
    </row>
    <row r="672" spans="23:26" x14ac:dyDescent="0.2">
      <c r="W672" s="33"/>
      <c r="Y672" s="33"/>
      <c r="Z672" s="33"/>
    </row>
    <row r="673" spans="23:26" x14ac:dyDescent="0.2">
      <c r="W673" s="33"/>
      <c r="Y673" s="33"/>
      <c r="Z673" s="33"/>
    </row>
    <row r="674" spans="23:26" x14ac:dyDescent="0.2">
      <c r="W674" s="33"/>
      <c r="Y674" s="33"/>
      <c r="Z674" s="33"/>
    </row>
    <row r="675" spans="23:26" x14ac:dyDescent="0.2">
      <c r="W675" s="33"/>
      <c r="Y675" s="33"/>
      <c r="Z675" s="33"/>
    </row>
    <row r="676" spans="23:26" x14ac:dyDescent="0.2">
      <c r="W676" s="33"/>
      <c r="Y676" s="33"/>
      <c r="Z676" s="33"/>
    </row>
    <row r="677" spans="23:26" x14ac:dyDescent="0.2">
      <c r="W677" s="33"/>
      <c r="Y677" s="33"/>
      <c r="Z677" s="33"/>
    </row>
    <row r="678" spans="23:26" x14ac:dyDescent="0.2">
      <c r="W678" s="33"/>
      <c r="Y678" s="33"/>
      <c r="Z678" s="33"/>
    </row>
    <row r="679" spans="23:26" x14ac:dyDescent="0.2">
      <c r="W679" s="33"/>
      <c r="Y679" s="33"/>
      <c r="Z679" s="33"/>
    </row>
    <row r="680" spans="23:26" x14ac:dyDescent="0.2">
      <c r="W680" s="33"/>
      <c r="Y680" s="33"/>
      <c r="Z680" s="33"/>
    </row>
    <row r="681" spans="23:26" x14ac:dyDescent="0.2">
      <c r="W681" s="33"/>
      <c r="Y681" s="33"/>
      <c r="Z681" s="33"/>
    </row>
    <row r="682" spans="23:26" x14ac:dyDescent="0.2">
      <c r="W682" s="33"/>
      <c r="Y682" s="33"/>
      <c r="Z682" s="33"/>
    </row>
    <row r="683" spans="23:26" x14ac:dyDescent="0.2">
      <c r="W683" s="33"/>
      <c r="Y683" s="33"/>
      <c r="Z683" s="33"/>
    </row>
    <row r="684" spans="23:26" x14ac:dyDescent="0.2">
      <c r="W684" s="33"/>
      <c r="Y684" s="33"/>
      <c r="Z684" s="33"/>
    </row>
    <row r="685" spans="23:26" x14ac:dyDescent="0.2">
      <c r="W685" s="33"/>
      <c r="Y685" s="33"/>
      <c r="Z685" s="33"/>
    </row>
    <row r="686" spans="23:26" x14ac:dyDescent="0.2">
      <c r="W686" s="33"/>
      <c r="Y686" s="33"/>
      <c r="Z686" s="33"/>
    </row>
    <row r="687" spans="23:26" x14ac:dyDescent="0.2">
      <c r="W687" s="33"/>
      <c r="Y687" s="33"/>
      <c r="Z687" s="33"/>
    </row>
    <row r="688" spans="23:26" x14ac:dyDescent="0.2">
      <c r="W688" s="33"/>
      <c r="Y688" s="33"/>
      <c r="Z688" s="33"/>
    </row>
    <row r="689" spans="23:26" x14ac:dyDescent="0.2">
      <c r="W689" s="33"/>
      <c r="Y689" s="33"/>
      <c r="Z689" s="33"/>
    </row>
    <row r="690" spans="23:26" x14ac:dyDescent="0.2">
      <c r="W690" s="33"/>
      <c r="Y690" s="33"/>
      <c r="Z690" s="33"/>
    </row>
    <row r="691" spans="23:26" x14ac:dyDescent="0.2">
      <c r="W691" s="33"/>
      <c r="Y691" s="33"/>
      <c r="Z691" s="33"/>
    </row>
    <row r="692" spans="23:26" x14ac:dyDescent="0.2">
      <c r="W692" s="33"/>
      <c r="Y692" s="33"/>
      <c r="Z692" s="33"/>
    </row>
    <row r="693" spans="23:26" x14ac:dyDescent="0.2">
      <c r="W693" s="33"/>
      <c r="Y693" s="33"/>
      <c r="Z693" s="33"/>
    </row>
    <row r="694" spans="23:26" x14ac:dyDescent="0.2">
      <c r="W694" s="33"/>
      <c r="Y694" s="33"/>
      <c r="Z694" s="33"/>
    </row>
    <row r="695" spans="23:26" x14ac:dyDescent="0.2">
      <c r="W695" s="33"/>
      <c r="Y695" s="33"/>
      <c r="Z695" s="33"/>
    </row>
    <row r="696" spans="23:26" x14ac:dyDescent="0.2">
      <c r="W696" s="33"/>
      <c r="Y696" s="33"/>
      <c r="Z696" s="33"/>
    </row>
    <row r="697" spans="23:26" x14ac:dyDescent="0.2">
      <c r="W697" s="33"/>
      <c r="Y697" s="33"/>
      <c r="Z697" s="33"/>
    </row>
    <row r="698" spans="23:26" x14ac:dyDescent="0.2">
      <c r="W698" s="33"/>
      <c r="Y698" s="33"/>
      <c r="Z698" s="33"/>
    </row>
    <row r="699" spans="23:26" x14ac:dyDescent="0.2">
      <c r="W699" s="33"/>
      <c r="Y699" s="33"/>
      <c r="Z699" s="33"/>
    </row>
    <row r="700" spans="23:26" x14ac:dyDescent="0.2">
      <c r="W700" s="33"/>
      <c r="Y700" s="33"/>
      <c r="Z700" s="33"/>
    </row>
    <row r="701" spans="23:26" x14ac:dyDescent="0.2">
      <c r="W701" s="33"/>
      <c r="Y701" s="33"/>
      <c r="Z701" s="33"/>
    </row>
    <row r="702" spans="23:26" x14ac:dyDescent="0.2">
      <c r="W702" s="33"/>
      <c r="Y702" s="33"/>
      <c r="Z702" s="33"/>
    </row>
    <row r="703" spans="23:26" x14ac:dyDescent="0.2">
      <c r="W703" s="33"/>
      <c r="Y703" s="33"/>
      <c r="Z703" s="33"/>
    </row>
    <row r="704" spans="23:26" x14ac:dyDescent="0.2">
      <c r="W704" s="33"/>
      <c r="Y704" s="33"/>
      <c r="Z704" s="33"/>
    </row>
    <row r="705" spans="23:26" x14ac:dyDescent="0.2">
      <c r="W705" s="33"/>
      <c r="Y705" s="33"/>
      <c r="Z705" s="33"/>
    </row>
    <row r="706" spans="23:26" x14ac:dyDescent="0.2">
      <c r="W706" s="33"/>
      <c r="Y706" s="33"/>
      <c r="Z706" s="33"/>
    </row>
    <row r="707" spans="23:26" x14ac:dyDescent="0.2">
      <c r="W707" s="33"/>
      <c r="Y707" s="33"/>
      <c r="Z707" s="33"/>
    </row>
    <row r="708" spans="23:26" x14ac:dyDescent="0.2">
      <c r="W708" s="33"/>
      <c r="Y708" s="33"/>
      <c r="Z708" s="33"/>
    </row>
    <row r="709" spans="23:26" x14ac:dyDescent="0.2">
      <c r="W709" s="33"/>
      <c r="Y709" s="33"/>
      <c r="Z709" s="33"/>
    </row>
    <row r="710" spans="23:26" x14ac:dyDescent="0.2">
      <c r="W710" s="33"/>
      <c r="Y710" s="33"/>
      <c r="Z710" s="33"/>
    </row>
    <row r="711" spans="23:26" x14ac:dyDescent="0.2">
      <c r="W711" s="33"/>
      <c r="Y711" s="33"/>
      <c r="Z711" s="33"/>
    </row>
    <row r="712" spans="23:26" x14ac:dyDescent="0.2">
      <c r="W712" s="33"/>
      <c r="Y712" s="33"/>
      <c r="Z712" s="33"/>
    </row>
    <row r="713" spans="23:26" x14ac:dyDescent="0.2">
      <c r="W713" s="33"/>
      <c r="Y713" s="33"/>
      <c r="Z713" s="33"/>
    </row>
    <row r="714" spans="23:26" x14ac:dyDescent="0.2">
      <c r="W714" s="33"/>
      <c r="Y714" s="33"/>
      <c r="Z714" s="33"/>
    </row>
    <row r="715" spans="23:26" x14ac:dyDescent="0.2">
      <c r="W715" s="33"/>
      <c r="Y715" s="33"/>
      <c r="Z715" s="33"/>
    </row>
    <row r="716" spans="23:26" x14ac:dyDescent="0.2">
      <c r="W716" s="33"/>
      <c r="Y716" s="33"/>
      <c r="Z716" s="33"/>
    </row>
    <row r="717" spans="23:26" x14ac:dyDescent="0.2">
      <c r="W717" s="33"/>
      <c r="Y717" s="33"/>
      <c r="Z717" s="33"/>
    </row>
    <row r="718" spans="23:26" x14ac:dyDescent="0.2">
      <c r="W718" s="33"/>
      <c r="Y718" s="33"/>
      <c r="Z718" s="33"/>
    </row>
    <row r="719" spans="23:26" x14ac:dyDescent="0.2">
      <c r="W719" s="33"/>
      <c r="Y719" s="33"/>
      <c r="Z719" s="33"/>
    </row>
    <row r="720" spans="23:26" x14ac:dyDescent="0.2">
      <c r="W720" s="33"/>
      <c r="Y720" s="33"/>
      <c r="Z720" s="33"/>
    </row>
    <row r="721" spans="23:26" x14ac:dyDescent="0.2">
      <c r="W721" s="33"/>
      <c r="Y721" s="33"/>
      <c r="Z721" s="33"/>
    </row>
    <row r="722" spans="23:26" x14ac:dyDescent="0.2">
      <c r="W722" s="33"/>
      <c r="Y722" s="33"/>
      <c r="Z722" s="33"/>
    </row>
    <row r="723" spans="23:26" x14ac:dyDescent="0.2">
      <c r="W723" s="33"/>
      <c r="Y723" s="33"/>
      <c r="Z723" s="33"/>
    </row>
    <row r="724" spans="23:26" x14ac:dyDescent="0.2">
      <c r="W724" s="33"/>
      <c r="Y724" s="33"/>
      <c r="Z724" s="33"/>
    </row>
    <row r="725" spans="23:26" x14ac:dyDescent="0.2">
      <c r="W725" s="33"/>
      <c r="Y725" s="33"/>
      <c r="Z725" s="33"/>
    </row>
    <row r="726" spans="23:26" x14ac:dyDescent="0.2">
      <c r="W726" s="33"/>
      <c r="Y726" s="33"/>
      <c r="Z726" s="33"/>
    </row>
    <row r="727" spans="23:26" x14ac:dyDescent="0.2">
      <c r="W727" s="33"/>
      <c r="Y727" s="33"/>
      <c r="Z727" s="33"/>
    </row>
    <row r="728" spans="23:26" x14ac:dyDescent="0.2">
      <c r="W728" s="33"/>
      <c r="Y728" s="33"/>
      <c r="Z728" s="33"/>
    </row>
    <row r="729" spans="23:26" x14ac:dyDescent="0.2">
      <c r="W729" s="33"/>
      <c r="Y729" s="33"/>
      <c r="Z729" s="33"/>
    </row>
    <row r="730" spans="23:26" x14ac:dyDescent="0.2">
      <c r="W730" s="33"/>
      <c r="Y730" s="33"/>
      <c r="Z730" s="33"/>
    </row>
    <row r="731" spans="23:26" x14ac:dyDescent="0.2">
      <c r="W731" s="33"/>
      <c r="Y731" s="33"/>
      <c r="Z731" s="33"/>
    </row>
    <row r="732" spans="23:26" x14ac:dyDescent="0.2">
      <c r="W732" s="33"/>
      <c r="Y732" s="33"/>
      <c r="Z732" s="33"/>
    </row>
    <row r="733" spans="23:26" x14ac:dyDescent="0.2">
      <c r="W733" s="33"/>
      <c r="Y733" s="33"/>
      <c r="Z733" s="33"/>
    </row>
    <row r="734" spans="23:26" x14ac:dyDescent="0.2">
      <c r="W734" s="33"/>
      <c r="Y734" s="33"/>
      <c r="Z734" s="33"/>
    </row>
    <row r="735" spans="23:26" x14ac:dyDescent="0.2">
      <c r="W735" s="33"/>
      <c r="Y735" s="33"/>
      <c r="Z735" s="33"/>
    </row>
    <row r="736" spans="23:26" x14ac:dyDescent="0.2">
      <c r="W736" s="33"/>
      <c r="Y736" s="33"/>
      <c r="Z736" s="33"/>
    </row>
    <row r="737" spans="23:26" x14ac:dyDescent="0.2">
      <c r="W737" s="33"/>
      <c r="Y737" s="33"/>
      <c r="Z737" s="33"/>
    </row>
    <row r="738" spans="23:26" x14ac:dyDescent="0.2">
      <c r="W738" s="33"/>
      <c r="Y738" s="33"/>
      <c r="Z738" s="33"/>
    </row>
    <row r="739" spans="23:26" x14ac:dyDescent="0.2">
      <c r="W739" s="33"/>
      <c r="Y739" s="33"/>
      <c r="Z739" s="33"/>
    </row>
    <row r="740" spans="23:26" x14ac:dyDescent="0.2">
      <c r="W740" s="33"/>
      <c r="Y740" s="33"/>
      <c r="Z740" s="33"/>
    </row>
    <row r="741" spans="23:26" x14ac:dyDescent="0.2">
      <c r="W741" s="33"/>
      <c r="Y741" s="33"/>
      <c r="Z741" s="33"/>
    </row>
    <row r="742" spans="23:26" x14ac:dyDescent="0.2">
      <c r="W742" s="33"/>
      <c r="Y742" s="33"/>
      <c r="Z742" s="33"/>
    </row>
    <row r="743" spans="23:26" x14ac:dyDescent="0.2">
      <c r="W743" s="33"/>
      <c r="Y743" s="33"/>
      <c r="Z743" s="33"/>
    </row>
    <row r="744" spans="23:26" x14ac:dyDescent="0.2">
      <c r="W744" s="33"/>
      <c r="Y744" s="33"/>
      <c r="Z744" s="33"/>
    </row>
    <row r="745" spans="23:26" x14ac:dyDescent="0.2">
      <c r="W745" s="33"/>
      <c r="Y745" s="33"/>
      <c r="Z745" s="33"/>
    </row>
    <row r="746" spans="23:26" x14ac:dyDescent="0.2">
      <c r="W746" s="33"/>
      <c r="Y746" s="33"/>
      <c r="Z746" s="33"/>
    </row>
    <row r="747" spans="23:26" x14ac:dyDescent="0.2">
      <c r="W747" s="33"/>
      <c r="Y747" s="33"/>
      <c r="Z747" s="33"/>
    </row>
    <row r="748" spans="23:26" x14ac:dyDescent="0.2">
      <c r="W748" s="33"/>
      <c r="Y748" s="33"/>
      <c r="Z748" s="33"/>
    </row>
    <row r="749" spans="23:26" x14ac:dyDescent="0.2">
      <c r="W749" s="33"/>
      <c r="Y749" s="33"/>
      <c r="Z749" s="33"/>
    </row>
    <row r="750" spans="23:26" x14ac:dyDescent="0.2">
      <c r="W750" s="33"/>
      <c r="Y750" s="33"/>
      <c r="Z750" s="33"/>
    </row>
    <row r="751" spans="23:26" x14ac:dyDescent="0.2">
      <c r="W751" s="33"/>
      <c r="Y751" s="33"/>
      <c r="Z751" s="33"/>
    </row>
    <row r="752" spans="23:26" x14ac:dyDescent="0.2">
      <c r="W752" s="33"/>
      <c r="Y752" s="33"/>
      <c r="Z752" s="33"/>
    </row>
    <row r="753" spans="23:26" x14ac:dyDescent="0.2">
      <c r="W753" s="33"/>
      <c r="Y753" s="33"/>
      <c r="Z753" s="33"/>
    </row>
    <row r="754" spans="23:26" x14ac:dyDescent="0.2">
      <c r="W754" s="33"/>
      <c r="Y754" s="33"/>
      <c r="Z754" s="33"/>
    </row>
    <row r="755" spans="23:26" x14ac:dyDescent="0.2">
      <c r="W755" s="33"/>
      <c r="Y755" s="33"/>
      <c r="Z755" s="33"/>
    </row>
    <row r="756" spans="23:26" x14ac:dyDescent="0.2">
      <c r="W756" s="33"/>
      <c r="Y756" s="33"/>
      <c r="Z756" s="33"/>
    </row>
    <row r="757" spans="23:26" x14ac:dyDescent="0.2">
      <c r="W757" s="33"/>
      <c r="Y757" s="33"/>
      <c r="Z757" s="33"/>
    </row>
    <row r="758" spans="23:26" x14ac:dyDescent="0.2">
      <c r="W758" s="33"/>
      <c r="Y758" s="33"/>
      <c r="Z758" s="33"/>
    </row>
    <row r="759" spans="23:26" x14ac:dyDescent="0.2">
      <c r="W759" s="33"/>
      <c r="Y759" s="33"/>
      <c r="Z759" s="33"/>
    </row>
    <row r="760" spans="23:26" x14ac:dyDescent="0.2">
      <c r="W760" s="33"/>
      <c r="Y760" s="33"/>
      <c r="Z760" s="33"/>
    </row>
    <row r="761" spans="23:26" x14ac:dyDescent="0.2">
      <c r="W761" s="33"/>
      <c r="Y761" s="33"/>
      <c r="Z761" s="33"/>
    </row>
    <row r="762" spans="23:26" x14ac:dyDescent="0.2">
      <c r="W762" s="33"/>
      <c r="Y762" s="33"/>
      <c r="Z762" s="33"/>
    </row>
    <row r="763" spans="23:26" x14ac:dyDescent="0.2">
      <c r="W763" s="33"/>
      <c r="Y763" s="33"/>
      <c r="Z763" s="33"/>
    </row>
    <row r="764" spans="23:26" x14ac:dyDescent="0.2">
      <c r="W764" s="33"/>
      <c r="Y764" s="33"/>
      <c r="Z764" s="33"/>
    </row>
    <row r="765" spans="23:26" x14ac:dyDescent="0.2">
      <c r="W765" s="33"/>
      <c r="Y765" s="33"/>
      <c r="Z765" s="33"/>
    </row>
    <row r="766" spans="23:26" x14ac:dyDescent="0.2">
      <c r="W766" s="33"/>
      <c r="Y766" s="33"/>
      <c r="Z766" s="33"/>
    </row>
    <row r="767" spans="23:26" x14ac:dyDescent="0.2">
      <c r="W767" s="33"/>
      <c r="Y767" s="33"/>
      <c r="Z767" s="33"/>
    </row>
    <row r="768" spans="23:26" x14ac:dyDescent="0.2">
      <c r="W768" s="33"/>
      <c r="Y768" s="33"/>
      <c r="Z768" s="33"/>
    </row>
    <row r="769" spans="23:26" x14ac:dyDescent="0.2">
      <c r="W769" s="33"/>
      <c r="Y769" s="33"/>
      <c r="Z769" s="33"/>
    </row>
    <row r="770" spans="23:26" x14ac:dyDescent="0.2">
      <c r="W770" s="33"/>
      <c r="Y770" s="33"/>
      <c r="Z770" s="33"/>
    </row>
    <row r="771" spans="23:26" x14ac:dyDescent="0.2">
      <c r="W771" s="33"/>
      <c r="Y771" s="33"/>
      <c r="Z771" s="33"/>
    </row>
    <row r="772" spans="23:26" x14ac:dyDescent="0.2">
      <c r="W772" s="33"/>
      <c r="Y772" s="33"/>
      <c r="Z772" s="33"/>
    </row>
    <row r="773" spans="23:26" x14ac:dyDescent="0.2">
      <c r="W773" s="33"/>
      <c r="Y773" s="33"/>
      <c r="Z773" s="33"/>
    </row>
    <row r="774" spans="23:26" x14ac:dyDescent="0.2">
      <c r="W774" s="33"/>
      <c r="Y774" s="33"/>
      <c r="Z774" s="33"/>
    </row>
    <row r="775" spans="23:26" x14ac:dyDescent="0.2">
      <c r="W775" s="33"/>
      <c r="Y775" s="33"/>
      <c r="Z775" s="33"/>
    </row>
    <row r="776" spans="23:26" x14ac:dyDescent="0.2">
      <c r="W776" s="33"/>
      <c r="Y776" s="33"/>
      <c r="Z776" s="33"/>
    </row>
    <row r="777" spans="23:26" x14ac:dyDescent="0.2">
      <c r="W777" s="33"/>
      <c r="Y777" s="33"/>
      <c r="Z777" s="33"/>
    </row>
    <row r="778" spans="23:26" x14ac:dyDescent="0.2">
      <c r="W778" s="33"/>
      <c r="Y778" s="33"/>
      <c r="Z778" s="33"/>
    </row>
    <row r="779" spans="23:26" x14ac:dyDescent="0.2">
      <c r="W779" s="33"/>
      <c r="Y779" s="33"/>
      <c r="Z779" s="33"/>
    </row>
    <row r="780" spans="23:26" x14ac:dyDescent="0.2">
      <c r="W780" s="33"/>
      <c r="Y780" s="33"/>
      <c r="Z780" s="33"/>
    </row>
    <row r="781" spans="23:26" x14ac:dyDescent="0.2">
      <c r="W781" s="33"/>
      <c r="Y781" s="33"/>
      <c r="Z781" s="33"/>
    </row>
    <row r="782" spans="23:26" x14ac:dyDescent="0.2">
      <c r="W782" s="33"/>
      <c r="Y782" s="33"/>
      <c r="Z782" s="33"/>
    </row>
    <row r="783" spans="23:26" x14ac:dyDescent="0.2">
      <c r="W783" s="33"/>
      <c r="Y783" s="33"/>
      <c r="Z783" s="33"/>
    </row>
    <row r="784" spans="23:26" x14ac:dyDescent="0.2">
      <c r="W784" s="33"/>
      <c r="Y784" s="33"/>
      <c r="Z784" s="33"/>
    </row>
    <row r="785" spans="23:26" x14ac:dyDescent="0.2">
      <c r="W785" s="33"/>
      <c r="Y785" s="33"/>
      <c r="Z785" s="33"/>
    </row>
    <row r="786" spans="23:26" x14ac:dyDescent="0.2">
      <c r="W786" s="33"/>
      <c r="Y786" s="33"/>
      <c r="Z786" s="33"/>
    </row>
    <row r="787" spans="23:26" x14ac:dyDescent="0.2">
      <c r="W787" s="33"/>
      <c r="Y787" s="33"/>
      <c r="Z787" s="33"/>
    </row>
    <row r="788" spans="23:26" x14ac:dyDescent="0.2">
      <c r="W788" s="33"/>
      <c r="Y788" s="33"/>
      <c r="Z788" s="33"/>
    </row>
    <row r="789" spans="23:26" x14ac:dyDescent="0.2">
      <c r="W789" s="33"/>
      <c r="Y789" s="33"/>
      <c r="Z789" s="33"/>
    </row>
    <row r="790" spans="23:26" x14ac:dyDescent="0.2">
      <c r="W790" s="33"/>
      <c r="Y790" s="33"/>
      <c r="Z790" s="33"/>
    </row>
    <row r="791" spans="23:26" x14ac:dyDescent="0.2">
      <c r="W791" s="33"/>
      <c r="Y791" s="33"/>
      <c r="Z791" s="33"/>
    </row>
    <row r="792" spans="23:26" x14ac:dyDescent="0.2">
      <c r="W792" s="33"/>
      <c r="Y792" s="33"/>
      <c r="Z792" s="33"/>
    </row>
    <row r="793" spans="23:26" x14ac:dyDescent="0.2">
      <c r="W793" s="33"/>
      <c r="Y793" s="33"/>
      <c r="Z793" s="33"/>
    </row>
    <row r="794" spans="23:26" x14ac:dyDescent="0.2">
      <c r="W794" s="33"/>
      <c r="Y794" s="33"/>
      <c r="Z794" s="33"/>
    </row>
    <row r="795" spans="23:26" x14ac:dyDescent="0.2">
      <c r="W795" s="33"/>
      <c r="Y795" s="33"/>
      <c r="Z795" s="33"/>
    </row>
    <row r="796" spans="23:26" x14ac:dyDescent="0.2">
      <c r="W796" s="33"/>
      <c r="Y796" s="33"/>
      <c r="Z796" s="33"/>
    </row>
    <row r="797" spans="23:26" x14ac:dyDescent="0.2">
      <c r="W797" s="33"/>
      <c r="Y797" s="33"/>
      <c r="Z797" s="33"/>
    </row>
    <row r="798" spans="23:26" x14ac:dyDescent="0.2">
      <c r="W798" s="33"/>
      <c r="Y798" s="33"/>
      <c r="Z798" s="33"/>
    </row>
    <row r="799" spans="23:26" x14ac:dyDescent="0.2">
      <c r="W799" s="33"/>
      <c r="Y799" s="33"/>
      <c r="Z799" s="33"/>
    </row>
    <row r="800" spans="23:26" x14ac:dyDescent="0.2">
      <c r="W800" s="33"/>
      <c r="Y800" s="33"/>
      <c r="Z800" s="33"/>
    </row>
    <row r="801" spans="23:26" x14ac:dyDescent="0.2">
      <c r="W801" s="33"/>
      <c r="Y801" s="33"/>
      <c r="Z801" s="33"/>
    </row>
    <row r="802" spans="23:26" x14ac:dyDescent="0.2">
      <c r="W802" s="33"/>
      <c r="Y802" s="33"/>
      <c r="Z802" s="33"/>
    </row>
    <row r="803" spans="23:26" x14ac:dyDescent="0.2">
      <c r="W803" s="33"/>
      <c r="Y803" s="33"/>
      <c r="Z803" s="33"/>
    </row>
    <row r="804" spans="23:26" x14ac:dyDescent="0.2">
      <c r="W804" s="33"/>
      <c r="Y804" s="33"/>
      <c r="Z804" s="33"/>
    </row>
    <row r="805" spans="23:26" x14ac:dyDescent="0.2">
      <c r="W805" s="33"/>
      <c r="Y805" s="33"/>
      <c r="Z805" s="33"/>
    </row>
    <row r="806" spans="23:26" x14ac:dyDescent="0.2">
      <c r="W806" s="33"/>
      <c r="Y806" s="33"/>
      <c r="Z806" s="33"/>
    </row>
    <row r="807" spans="23:26" x14ac:dyDescent="0.2">
      <c r="W807" s="33"/>
      <c r="Y807" s="33"/>
      <c r="Z807" s="33"/>
    </row>
    <row r="808" spans="23:26" x14ac:dyDescent="0.2">
      <c r="W808" s="33"/>
      <c r="Y808" s="33"/>
      <c r="Z808" s="33"/>
    </row>
    <row r="809" spans="23:26" x14ac:dyDescent="0.2">
      <c r="W809" s="33"/>
      <c r="Y809" s="33"/>
      <c r="Z809" s="33"/>
    </row>
    <row r="810" spans="23:26" x14ac:dyDescent="0.2">
      <c r="W810" s="33"/>
      <c r="Y810" s="33"/>
      <c r="Z810" s="33"/>
    </row>
    <row r="811" spans="23:26" x14ac:dyDescent="0.2">
      <c r="W811" s="33"/>
      <c r="Y811" s="33"/>
      <c r="Z811" s="33"/>
    </row>
    <row r="812" spans="23:26" x14ac:dyDescent="0.2">
      <c r="W812" s="33"/>
      <c r="Y812" s="33"/>
      <c r="Z812" s="33"/>
    </row>
    <row r="813" spans="23:26" x14ac:dyDescent="0.2">
      <c r="W813" s="33"/>
      <c r="Y813" s="33"/>
      <c r="Z813" s="33"/>
    </row>
    <row r="814" spans="23:26" x14ac:dyDescent="0.2">
      <c r="W814" s="33"/>
      <c r="Y814" s="33"/>
      <c r="Z814" s="33"/>
    </row>
    <row r="815" spans="23:26" x14ac:dyDescent="0.2">
      <c r="W815" s="33"/>
      <c r="Y815" s="33"/>
      <c r="Z815" s="33"/>
    </row>
    <row r="816" spans="23:26" x14ac:dyDescent="0.2">
      <c r="W816" s="33"/>
      <c r="Y816" s="33"/>
      <c r="Z816" s="33"/>
    </row>
    <row r="817" spans="23:26" x14ac:dyDescent="0.2">
      <c r="W817" s="33"/>
      <c r="Y817" s="33"/>
      <c r="Z817" s="33"/>
    </row>
    <row r="818" spans="23:26" x14ac:dyDescent="0.2">
      <c r="W818" s="33"/>
      <c r="Y818" s="33"/>
      <c r="Z818" s="33"/>
    </row>
    <row r="819" spans="23:26" x14ac:dyDescent="0.2">
      <c r="W819" s="33"/>
      <c r="Y819" s="33"/>
      <c r="Z819" s="33"/>
    </row>
    <row r="820" spans="23:26" x14ac:dyDescent="0.2">
      <c r="W820" s="33"/>
      <c r="Y820" s="33"/>
      <c r="Z820" s="33"/>
    </row>
    <row r="821" spans="23:26" x14ac:dyDescent="0.2">
      <c r="W821" s="33"/>
      <c r="Y821" s="33"/>
      <c r="Z821" s="33"/>
    </row>
    <row r="822" spans="23:26" x14ac:dyDescent="0.2">
      <c r="W822" s="33"/>
      <c r="Y822" s="33"/>
      <c r="Z822" s="33"/>
    </row>
    <row r="823" spans="23:26" x14ac:dyDescent="0.2">
      <c r="W823" s="33"/>
      <c r="Y823" s="33"/>
      <c r="Z823" s="33"/>
    </row>
    <row r="824" spans="23:26" x14ac:dyDescent="0.2">
      <c r="W824" s="33"/>
      <c r="Y824" s="33"/>
      <c r="Z824" s="33"/>
    </row>
    <row r="825" spans="23:26" x14ac:dyDescent="0.2">
      <c r="W825" s="33"/>
      <c r="Y825" s="33"/>
      <c r="Z825" s="33"/>
    </row>
    <row r="826" spans="23:26" x14ac:dyDescent="0.2">
      <c r="W826" s="33"/>
      <c r="Y826" s="33"/>
      <c r="Z826" s="33"/>
    </row>
    <row r="827" spans="23:26" x14ac:dyDescent="0.2">
      <c r="W827" s="33"/>
      <c r="Y827" s="33"/>
      <c r="Z827" s="33"/>
    </row>
    <row r="828" spans="23:26" x14ac:dyDescent="0.2">
      <c r="W828" s="33"/>
      <c r="Y828" s="33"/>
      <c r="Z828" s="33"/>
    </row>
    <row r="829" spans="23:26" x14ac:dyDescent="0.2">
      <c r="W829" s="33"/>
      <c r="Y829" s="33"/>
      <c r="Z829" s="33"/>
    </row>
    <row r="830" spans="23:26" x14ac:dyDescent="0.2">
      <c r="W830" s="33"/>
      <c r="Y830" s="33"/>
      <c r="Z830" s="33"/>
    </row>
    <row r="831" spans="23:26" x14ac:dyDescent="0.2">
      <c r="W831" s="33"/>
      <c r="Y831" s="33"/>
      <c r="Z831" s="33"/>
    </row>
    <row r="832" spans="23:26" x14ac:dyDescent="0.2">
      <c r="W832" s="33"/>
      <c r="Y832" s="33"/>
      <c r="Z832" s="33"/>
    </row>
    <row r="833" spans="23:26" x14ac:dyDescent="0.2">
      <c r="W833" s="33"/>
      <c r="Y833" s="33"/>
      <c r="Z833" s="33"/>
    </row>
    <row r="834" spans="23:26" x14ac:dyDescent="0.2">
      <c r="W834" s="33"/>
      <c r="Y834" s="33"/>
      <c r="Z834" s="33"/>
    </row>
    <row r="835" spans="23:26" x14ac:dyDescent="0.2">
      <c r="W835" s="33"/>
      <c r="Y835" s="33"/>
      <c r="Z835" s="33"/>
    </row>
    <row r="836" spans="23:26" x14ac:dyDescent="0.2">
      <c r="W836" s="33"/>
      <c r="Y836" s="33"/>
      <c r="Z836" s="33"/>
    </row>
    <row r="837" spans="23:26" x14ac:dyDescent="0.2">
      <c r="W837" s="33"/>
      <c r="Y837" s="33"/>
      <c r="Z837" s="33"/>
    </row>
    <row r="838" spans="23:26" x14ac:dyDescent="0.2">
      <c r="W838" s="33"/>
      <c r="Y838" s="33"/>
      <c r="Z838" s="33"/>
    </row>
    <row r="839" spans="23:26" x14ac:dyDescent="0.2">
      <c r="W839" s="33"/>
      <c r="Y839" s="33"/>
      <c r="Z839" s="33"/>
    </row>
    <row r="840" spans="23:26" x14ac:dyDescent="0.2">
      <c r="W840" s="33"/>
      <c r="Y840" s="33"/>
      <c r="Z840" s="33"/>
    </row>
    <row r="841" spans="23:26" x14ac:dyDescent="0.2">
      <c r="W841" s="33"/>
      <c r="Y841" s="33"/>
      <c r="Z841" s="33"/>
    </row>
    <row r="842" spans="23:26" x14ac:dyDescent="0.2">
      <c r="W842" s="33"/>
      <c r="Y842" s="33"/>
      <c r="Z842" s="33"/>
    </row>
    <row r="843" spans="23:26" x14ac:dyDescent="0.2">
      <c r="W843" s="33"/>
      <c r="Y843" s="33"/>
      <c r="Z843" s="33"/>
    </row>
    <row r="844" spans="23:26" x14ac:dyDescent="0.2">
      <c r="W844" s="33"/>
      <c r="Y844" s="33"/>
      <c r="Z844" s="33"/>
    </row>
    <row r="845" spans="23:26" x14ac:dyDescent="0.2">
      <c r="W845" s="33"/>
      <c r="Y845" s="33"/>
      <c r="Z845" s="33"/>
    </row>
    <row r="846" spans="23:26" x14ac:dyDescent="0.2">
      <c r="W846" s="33"/>
      <c r="Y846" s="33"/>
      <c r="Z846" s="33"/>
    </row>
    <row r="847" spans="23:26" x14ac:dyDescent="0.2">
      <c r="W847" s="33"/>
      <c r="Y847" s="33"/>
      <c r="Z847" s="33"/>
    </row>
    <row r="848" spans="23:26" x14ac:dyDescent="0.2">
      <c r="W848" s="33"/>
      <c r="Y848" s="33"/>
      <c r="Z848" s="33"/>
    </row>
    <row r="849" spans="23:26" x14ac:dyDescent="0.2">
      <c r="W849" s="33"/>
      <c r="Y849" s="33"/>
      <c r="Z849" s="33"/>
    </row>
    <row r="850" spans="23:26" x14ac:dyDescent="0.2">
      <c r="W850" s="33"/>
      <c r="Y850" s="33"/>
      <c r="Z850" s="33"/>
    </row>
    <row r="851" spans="23:26" x14ac:dyDescent="0.2">
      <c r="W851" s="33"/>
      <c r="Y851" s="33"/>
      <c r="Z851" s="33"/>
    </row>
    <row r="852" spans="23:26" x14ac:dyDescent="0.2">
      <c r="W852" s="33"/>
      <c r="Y852" s="33"/>
      <c r="Z852" s="33"/>
    </row>
    <row r="853" spans="23:26" x14ac:dyDescent="0.2">
      <c r="W853" s="33"/>
      <c r="Y853" s="33"/>
      <c r="Z853" s="33"/>
    </row>
    <row r="854" spans="23:26" x14ac:dyDescent="0.2">
      <c r="W854" s="33"/>
      <c r="Y854" s="33"/>
      <c r="Z854" s="33"/>
    </row>
    <row r="855" spans="23:26" x14ac:dyDescent="0.2">
      <c r="W855" s="33"/>
      <c r="Y855" s="33"/>
      <c r="Z855" s="33"/>
    </row>
    <row r="856" spans="23:26" x14ac:dyDescent="0.2">
      <c r="W856" s="33"/>
      <c r="Y856" s="33"/>
      <c r="Z856" s="33"/>
    </row>
    <row r="857" spans="23:26" x14ac:dyDescent="0.2">
      <c r="W857" s="33"/>
      <c r="Y857" s="33"/>
      <c r="Z857" s="33"/>
    </row>
    <row r="858" spans="23:26" x14ac:dyDescent="0.2">
      <c r="W858" s="33"/>
      <c r="Y858" s="33"/>
      <c r="Z858" s="33"/>
    </row>
    <row r="859" spans="23:26" x14ac:dyDescent="0.2">
      <c r="W859" s="33"/>
      <c r="Y859" s="33"/>
      <c r="Z859" s="33"/>
    </row>
    <row r="860" spans="23:26" x14ac:dyDescent="0.2">
      <c r="W860" s="33"/>
      <c r="Y860" s="33"/>
      <c r="Z860" s="33"/>
    </row>
    <row r="861" spans="23:26" x14ac:dyDescent="0.2">
      <c r="W861" s="33"/>
      <c r="Y861" s="33"/>
      <c r="Z861" s="33"/>
    </row>
    <row r="862" spans="23:26" x14ac:dyDescent="0.2">
      <c r="W862" s="33"/>
      <c r="Y862" s="33"/>
      <c r="Z862" s="33"/>
    </row>
    <row r="863" spans="23:26" x14ac:dyDescent="0.2">
      <c r="W863" s="33"/>
      <c r="Y863" s="33"/>
      <c r="Z863" s="33"/>
    </row>
    <row r="864" spans="23:26" x14ac:dyDescent="0.2">
      <c r="W864" s="33"/>
      <c r="Y864" s="33"/>
      <c r="Z864" s="33"/>
    </row>
    <row r="865" spans="23:26" x14ac:dyDescent="0.2">
      <c r="W865" s="33"/>
      <c r="Y865" s="33"/>
      <c r="Z865" s="33"/>
    </row>
    <row r="866" spans="23:26" x14ac:dyDescent="0.2">
      <c r="W866" s="33"/>
      <c r="Y866" s="33"/>
      <c r="Z866" s="33"/>
    </row>
    <row r="867" spans="23:26" x14ac:dyDescent="0.2">
      <c r="W867" s="33"/>
      <c r="Y867" s="33"/>
      <c r="Z867" s="33"/>
    </row>
    <row r="868" spans="23:26" x14ac:dyDescent="0.2">
      <c r="W868" s="33"/>
      <c r="Y868" s="33"/>
      <c r="Z868" s="33"/>
    </row>
    <row r="869" spans="23:26" x14ac:dyDescent="0.2">
      <c r="W869" s="33"/>
      <c r="Y869" s="33"/>
      <c r="Z869" s="33"/>
    </row>
    <row r="870" spans="23:26" x14ac:dyDescent="0.2">
      <c r="W870" s="33"/>
      <c r="Y870" s="33"/>
      <c r="Z870" s="33"/>
    </row>
    <row r="871" spans="23:26" x14ac:dyDescent="0.2">
      <c r="W871" s="33"/>
      <c r="Y871" s="33"/>
      <c r="Z871" s="33"/>
    </row>
    <row r="872" spans="23:26" x14ac:dyDescent="0.2">
      <c r="W872" s="33"/>
      <c r="Y872" s="33"/>
      <c r="Z872" s="33"/>
    </row>
    <row r="873" spans="23:26" x14ac:dyDescent="0.2">
      <c r="W873" s="33"/>
      <c r="Y873" s="33"/>
      <c r="Z873" s="33"/>
    </row>
    <row r="874" spans="23:26" x14ac:dyDescent="0.2">
      <c r="W874" s="33"/>
      <c r="Y874" s="33"/>
      <c r="Z874" s="33"/>
    </row>
    <row r="875" spans="23:26" x14ac:dyDescent="0.2">
      <c r="W875" s="33"/>
      <c r="Y875" s="33"/>
      <c r="Z875" s="33"/>
    </row>
    <row r="876" spans="23:26" x14ac:dyDescent="0.2">
      <c r="W876" s="33"/>
      <c r="Y876" s="33"/>
      <c r="Z876" s="33"/>
    </row>
    <row r="877" spans="23:26" x14ac:dyDescent="0.2">
      <c r="W877" s="33"/>
      <c r="Y877" s="33"/>
      <c r="Z877" s="33"/>
    </row>
    <row r="878" spans="23:26" x14ac:dyDescent="0.2">
      <c r="W878" s="33"/>
      <c r="Y878" s="33"/>
      <c r="Z878" s="33"/>
    </row>
    <row r="879" spans="23:26" x14ac:dyDescent="0.2">
      <c r="W879" s="33"/>
      <c r="Y879" s="33"/>
      <c r="Z879" s="33"/>
    </row>
    <row r="880" spans="23:26" x14ac:dyDescent="0.2">
      <c r="W880" s="33"/>
      <c r="Y880" s="33"/>
      <c r="Z880" s="33"/>
    </row>
    <row r="881" spans="23:26" x14ac:dyDescent="0.2">
      <c r="W881" s="33"/>
      <c r="Y881" s="33"/>
      <c r="Z881" s="33"/>
    </row>
    <row r="882" spans="23:26" x14ac:dyDescent="0.2">
      <c r="W882" s="33"/>
      <c r="Y882" s="33"/>
      <c r="Z882" s="33"/>
    </row>
    <row r="883" spans="23:26" x14ac:dyDescent="0.2">
      <c r="W883" s="33"/>
      <c r="Y883" s="33"/>
      <c r="Z883" s="33"/>
    </row>
    <row r="884" spans="23:26" x14ac:dyDescent="0.2">
      <c r="W884" s="33"/>
      <c r="Y884" s="33"/>
      <c r="Z884" s="33"/>
    </row>
    <row r="885" spans="23:26" x14ac:dyDescent="0.2">
      <c r="W885" s="33"/>
      <c r="Y885" s="33"/>
      <c r="Z885" s="33"/>
    </row>
    <row r="886" spans="23:26" x14ac:dyDescent="0.2">
      <c r="W886" s="33"/>
      <c r="Y886" s="33"/>
      <c r="Z886" s="33"/>
    </row>
    <row r="887" spans="23:26" x14ac:dyDescent="0.2">
      <c r="W887" s="33"/>
      <c r="Y887" s="33"/>
      <c r="Z887" s="33"/>
    </row>
    <row r="888" spans="23:26" x14ac:dyDescent="0.2">
      <c r="W888" s="33"/>
      <c r="Y888" s="33"/>
      <c r="Z888" s="33"/>
    </row>
    <row r="889" spans="23:26" x14ac:dyDescent="0.2">
      <c r="W889" s="33"/>
      <c r="Y889" s="33"/>
      <c r="Z889" s="33"/>
    </row>
    <row r="890" spans="23:26" x14ac:dyDescent="0.2">
      <c r="W890" s="33"/>
      <c r="Y890" s="33"/>
      <c r="Z890" s="33"/>
    </row>
    <row r="891" spans="23:26" x14ac:dyDescent="0.2">
      <c r="W891" s="33"/>
      <c r="Y891" s="33"/>
      <c r="Z891" s="33"/>
    </row>
    <row r="892" spans="23:26" x14ac:dyDescent="0.2">
      <c r="W892" s="33"/>
      <c r="Y892" s="33"/>
      <c r="Z892" s="33"/>
    </row>
    <row r="893" spans="23:26" x14ac:dyDescent="0.2">
      <c r="W893" s="33"/>
      <c r="Y893" s="33"/>
      <c r="Z893" s="33"/>
    </row>
    <row r="894" spans="23:26" x14ac:dyDescent="0.2">
      <c r="W894" s="33"/>
      <c r="Y894" s="33"/>
      <c r="Z894" s="33"/>
    </row>
    <row r="895" spans="23:26" x14ac:dyDescent="0.2">
      <c r="W895" s="33"/>
      <c r="Y895" s="33"/>
      <c r="Z895" s="33"/>
    </row>
    <row r="896" spans="23:26" x14ac:dyDescent="0.2">
      <c r="W896" s="33"/>
      <c r="Y896" s="33"/>
      <c r="Z896" s="33"/>
    </row>
    <row r="897" spans="23:26" x14ac:dyDescent="0.2">
      <c r="W897" s="33"/>
      <c r="Y897" s="33"/>
      <c r="Z897" s="33"/>
    </row>
    <row r="898" spans="23:26" x14ac:dyDescent="0.2">
      <c r="W898" s="33"/>
      <c r="Y898" s="33"/>
      <c r="Z898" s="33"/>
    </row>
    <row r="899" spans="23:26" x14ac:dyDescent="0.2">
      <c r="W899" s="33"/>
      <c r="Y899" s="33"/>
      <c r="Z899" s="33"/>
    </row>
    <row r="900" spans="23:26" x14ac:dyDescent="0.2">
      <c r="W900" s="33"/>
      <c r="Y900" s="33"/>
      <c r="Z900" s="33"/>
    </row>
    <row r="901" spans="23:26" x14ac:dyDescent="0.2">
      <c r="W901" s="33"/>
      <c r="Y901" s="33"/>
      <c r="Z901" s="33"/>
    </row>
    <row r="902" spans="23:26" x14ac:dyDescent="0.2">
      <c r="W902" s="33"/>
      <c r="Y902" s="33"/>
      <c r="Z902" s="33"/>
    </row>
    <row r="903" spans="23:26" x14ac:dyDescent="0.2">
      <c r="W903" s="33"/>
      <c r="Y903" s="33"/>
      <c r="Z903" s="33"/>
    </row>
    <row r="904" spans="23:26" x14ac:dyDescent="0.2">
      <c r="W904" s="33"/>
      <c r="Y904" s="33"/>
      <c r="Z904" s="33"/>
    </row>
    <row r="905" spans="23:26" x14ac:dyDescent="0.2">
      <c r="W905" s="33"/>
      <c r="Y905" s="33"/>
      <c r="Z905" s="33"/>
    </row>
    <row r="906" spans="23:26" x14ac:dyDescent="0.2">
      <c r="W906" s="33"/>
      <c r="Y906" s="33"/>
      <c r="Z906" s="33"/>
    </row>
    <row r="907" spans="23:26" x14ac:dyDescent="0.2">
      <c r="W907" s="33"/>
      <c r="Y907" s="33"/>
      <c r="Z907" s="33"/>
    </row>
    <row r="908" spans="23:26" x14ac:dyDescent="0.2">
      <c r="W908" s="33"/>
      <c r="Y908" s="33"/>
      <c r="Z908" s="33"/>
    </row>
    <row r="909" spans="23:26" x14ac:dyDescent="0.2">
      <c r="W909" s="33"/>
      <c r="Y909" s="33"/>
      <c r="Z909" s="33"/>
    </row>
    <row r="910" spans="23:26" x14ac:dyDescent="0.2">
      <c r="W910" s="33"/>
      <c r="Y910" s="33"/>
      <c r="Z910" s="33"/>
    </row>
    <row r="911" spans="23:26" x14ac:dyDescent="0.2">
      <c r="W911" s="33"/>
      <c r="Y911" s="33"/>
      <c r="Z911" s="33"/>
    </row>
    <row r="912" spans="23:26" x14ac:dyDescent="0.2">
      <c r="W912" s="33"/>
      <c r="Y912" s="33"/>
      <c r="Z912" s="33"/>
    </row>
    <row r="913" spans="23:26" x14ac:dyDescent="0.2">
      <c r="W913" s="33"/>
      <c r="Y913" s="33"/>
      <c r="Z913" s="33"/>
    </row>
    <row r="914" spans="23:26" x14ac:dyDescent="0.2">
      <c r="W914" s="33"/>
      <c r="Y914" s="33"/>
      <c r="Z914" s="33"/>
    </row>
    <row r="915" spans="23:26" x14ac:dyDescent="0.2">
      <c r="W915" s="33"/>
      <c r="Y915" s="33"/>
      <c r="Z915" s="33"/>
    </row>
    <row r="916" spans="23:26" x14ac:dyDescent="0.2">
      <c r="W916" s="33"/>
      <c r="Y916" s="33"/>
      <c r="Z916" s="33"/>
    </row>
    <row r="917" spans="23:26" x14ac:dyDescent="0.2">
      <c r="W917" s="33"/>
      <c r="Y917" s="33"/>
      <c r="Z917" s="33"/>
    </row>
    <row r="918" spans="23:26" x14ac:dyDescent="0.2">
      <c r="W918" s="33"/>
      <c r="Y918" s="33"/>
      <c r="Z918" s="33"/>
    </row>
    <row r="919" spans="23:26" x14ac:dyDescent="0.2">
      <c r="W919" s="33"/>
      <c r="Y919" s="33"/>
      <c r="Z919" s="33"/>
    </row>
    <row r="920" spans="23:26" x14ac:dyDescent="0.2">
      <c r="W920" s="33"/>
      <c r="Y920" s="33"/>
      <c r="Z920" s="33"/>
    </row>
    <row r="921" spans="23:26" x14ac:dyDescent="0.2">
      <c r="W921" s="33"/>
      <c r="Y921" s="33"/>
      <c r="Z921" s="33"/>
    </row>
    <row r="922" spans="23:26" x14ac:dyDescent="0.2">
      <c r="W922" s="33"/>
      <c r="Y922" s="33"/>
      <c r="Z922" s="33"/>
    </row>
    <row r="923" spans="23:26" x14ac:dyDescent="0.2">
      <c r="W923" s="33"/>
      <c r="Y923" s="33"/>
      <c r="Z923" s="33"/>
    </row>
    <row r="924" spans="23:26" x14ac:dyDescent="0.2">
      <c r="W924" s="33"/>
      <c r="Y924" s="33"/>
      <c r="Z924" s="33"/>
    </row>
    <row r="925" spans="23:26" x14ac:dyDescent="0.2">
      <c r="W925" s="33"/>
      <c r="Y925" s="33"/>
      <c r="Z925" s="33"/>
    </row>
    <row r="926" spans="23:26" x14ac:dyDescent="0.2">
      <c r="W926" s="33"/>
      <c r="Y926" s="33"/>
      <c r="Z926" s="33"/>
    </row>
    <row r="927" spans="23:26" x14ac:dyDescent="0.2">
      <c r="W927" s="33"/>
      <c r="Y927" s="33"/>
      <c r="Z927" s="33"/>
    </row>
    <row r="928" spans="23:26" x14ac:dyDescent="0.2">
      <c r="W928" s="33"/>
      <c r="Y928" s="33"/>
      <c r="Z928" s="33"/>
    </row>
    <row r="929" spans="23:26" x14ac:dyDescent="0.2">
      <c r="W929" s="33"/>
      <c r="Y929" s="33"/>
      <c r="Z929" s="33"/>
    </row>
    <row r="930" spans="23:26" x14ac:dyDescent="0.2">
      <c r="W930" s="33"/>
      <c r="Y930" s="33"/>
      <c r="Z930" s="33"/>
    </row>
    <row r="931" spans="23:26" x14ac:dyDescent="0.2">
      <c r="W931" s="33"/>
      <c r="Y931" s="33"/>
      <c r="Z931" s="33"/>
    </row>
    <row r="932" spans="23:26" x14ac:dyDescent="0.2">
      <c r="W932" s="33"/>
      <c r="Y932" s="33"/>
      <c r="Z932" s="33"/>
    </row>
    <row r="933" spans="23:26" x14ac:dyDescent="0.2">
      <c r="W933" s="33"/>
      <c r="Y933" s="33"/>
      <c r="Z933" s="33"/>
    </row>
    <row r="934" spans="23:26" x14ac:dyDescent="0.2">
      <c r="W934" s="33"/>
      <c r="Y934" s="33"/>
      <c r="Z934" s="33"/>
    </row>
    <row r="935" spans="23:26" x14ac:dyDescent="0.2">
      <c r="W935" s="33"/>
      <c r="Y935" s="33"/>
      <c r="Z935" s="33"/>
    </row>
    <row r="936" spans="23:26" x14ac:dyDescent="0.2">
      <c r="W936" s="33"/>
      <c r="Y936" s="33"/>
      <c r="Z936" s="33"/>
    </row>
    <row r="937" spans="23:26" x14ac:dyDescent="0.2">
      <c r="W937" s="33"/>
      <c r="Y937" s="33"/>
      <c r="Z937" s="33"/>
    </row>
    <row r="938" spans="23:26" x14ac:dyDescent="0.2">
      <c r="W938" s="33"/>
      <c r="Y938" s="33"/>
      <c r="Z938" s="33"/>
    </row>
    <row r="939" spans="23:26" x14ac:dyDescent="0.2">
      <c r="W939" s="33"/>
      <c r="Y939" s="33"/>
      <c r="Z939" s="33"/>
    </row>
    <row r="940" spans="23:26" x14ac:dyDescent="0.2">
      <c r="W940" s="33"/>
      <c r="Y940" s="33"/>
      <c r="Z940" s="33"/>
    </row>
    <row r="941" spans="23:26" x14ac:dyDescent="0.2">
      <c r="W941" s="33"/>
      <c r="Y941" s="33"/>
      <c r="Z941" s="33"/>
    </row>
    <row r="942" spans="23:26" x14ac:dyDescent="0.2">
      <c r="W942" s="33"/>
      <c r="Y942" s="33"/>
      <c r="Z942" s="33"/>
    </row>
    <row r="943" spans="23:26" x14ac:dyDescent="0.2">
      <c r="W943" s="33"/>
      <c r="Y943" s="33"/>
      <c r="Z943" s="33"/>
    </row>
    <row r="944" spans="23:26" x14ac:dyDescent="0.2">
      <c r="W944" s="33"/>
      <c r="Y944" s="33"/>
      <c r="Z944" s="33"/>
    </row>
    <row r="945" spans="23:26" x14ac:dyDescent="0.2">
      <c r="W945" s="33"/>
      <c r="Y945" s="33"/>
      <c r="Z945" s="33"/>
    </row>
    <row r="946" spans="23:26" x14ac:dyDescent="0.2">
      <c r="W946" s="33"/>
      <c r="Y946" s="33"/>
      <c r="Z946" s="33"/>
    </row>
    <row r="947" spans="23:26" x14ac:dyDescent="0.2">
      <c r="W947" s="33"/>
      <c r="Y947" s="33"/>
      <c r="Z947" s="33"/>
    </row>
    <row r="948" spans="23:26" x14ac:dyDescent="0.2">
      <c r="W948" s="33"/>
      <c r="Y948" s="33"/>
      <c r="Z948" s="33"/>
    </row>
    <row r="949" spans="23:26" x14ac:dyDescent="0.2">
      <c r="W949" s="33"/>
      <c r="Y949" s="33"/>
      <c r="Z949" s="33"/>
    </row>
    <row r="950" spans="23:26" x14ac:dyDescent="0.2">
      <c r="W950" s="33"/>
      <c r="Y950" s="33"/>
      <c r="Z950" s="33"/>
    </row>
    <row r="951" spans="23:26" x14ac:dyDescent="0.2">
      <c r="W951" s="33"/>
      <c r="Y951" s="33"/>
      <c r="Z951" s="33"/>
    </row>
    <row r="952" spans="23:26" x14ac:dyDescent="0.2">
      <c r="W952" s="33"/>
      <c r="Y952" s="33"/>
      <c r="Z952" s="33"/>
    </row>
    <row r="953" spans="23:26" x14ac:dyDescent="0.2">
      <c r="W953" s="33"/>
      <c r="Y953" s="33"/>
      <c r="Z953" s="33"/>
    </row>
    <row r="954" spans="23:26" x14ac:dyDescent="0.2">
      <c r="W954" s="33"/>
      <c r="Y954" s="33"/>
      <c r="Z954" s="33"/>
    </row>
    <row r="955" spans="23:26" x14ac:dyDescent="0.2">
      <c r="W955" s="33"/>
      <c r="Y955" s="33"/>
      <c r="Z955" s="33"/>
    </row>
    <row r="956" spans="23:26" x14ac:dyDescent="0.2">
      <c r="W956" s="33"/>
      <c r="Y956" s="33"/>
      <c r="Z956" s="33"/>
    </row>
    <row r="957" spans="23:26" x14ac:dyDescent="0.2">
      <c r="W957" s="33"/>
      <c r="Y957" s="33"/>
      <c r="Z957" s="33"/>
    </row>
    <row r="958" spans="23:26" x14ac:dyDescent="0.2">
      <c r="W958" s="33"/>
      <c r="Y958" s="33"/>
      <c r="Z958" s="33"/>
    </row>
    <row r="959" spans="23:26" x14ac:dyDescent="0.2">
      <c r="W959" s="33"/>
      <c r="Y959" s="33"/>
      <c r="Z959" s="33"/>
    </row>
    <row r="960" spans="23:26" x14ac:dyDescent="0.2">
      <c r="W960" s="33"/>
      <c r="Y960" s="33"/>
      <c r="Z960" s="33"/>
    </row>
    <row r="961" spans="23:26" x14ac:dyDescent="0.2">
      <c r="W961" s="33"/>
      <c r="Y961" s="33"/>
      <c r="Z961" s="33"/>
    </row>
    <row r="962" spans="23:26" x14ac:dyDescent="0.2">
      <c r="W962" s="33"/>
      <c r="Y962" s="33"/>
      <c r="Z962" s="33"/>
    </row>
    <row r="963" spans="23:26" x14ac:dyDescent="0.2">
      <c r="W963" s="33"/>
      <c r="Y963" s="33"/>
      <c r="Z963" s="33"/>
    </row>
    <row r="964" spans="23:26" x14ac:dyDescent="0.2">
      <c r="W964" s="33"/>
      <c r="Y964" s="33"/>
      <c r="Z964" s="33"/>
    </row>
    <row r="965" spans="23:26" x14ac:dyDescent="0.2">
      <c r="W965" s="33"/>
      <c r="Y965" s="33"/>
      <c r="Z965" s="33"/>
    </row>
    <row r="966" spans="23:26" x14ac:dyDescent="0.2">
      <c r="W966" s="33"/>
      <c r="Y966" s="33"/>
      <c r="Z966" s="33"/>
    </row>
    <row r="967" spans="23:26" x14ac:dyDescent="0.2">
      <c r="W967" s="33"/>
      <c r="Y967" s="33"/>
      <c r="Z967" s="33"/>
    </row>
    <row r="968" spans="23:26" x14ac:dyDescent="0.2">
      <c r="W968" s="33"/>
      <c r="Y968" s="33"/>
      <c r="Z968" s="33"/>
    </row>
    <row r="969" spans="23:26" x14ac:dyDescent="0.2">
      <c r="W969" s="33"/>
      <c r="Y969" s="33"/>
      <c r="Z969" s="33"/>
    </row>
    <row r="970" spans="23:26" x14ac:dyDescent="0.2">
      <c r="W970" s="33"/>
      <c r="Y970" s="33"/>
      <c r="Z970" s="33"/>
    </row>
    <row r="971" spans="23:26" x14ac:dyDescent="0.2">
      <c r="W971" s="33"/>
      <c r="Y971" s="33"/>
      <c r="Z971" s="33"/>
    </row>
    <row r="972" spans="23:26" x14ac:dyDescent="0.2">
      <c r="W972" s="33"/>
      <c r="Y972" s="33"/>
      <c r="Z972" s="33"/>
    </row>
    <row r="973" spans="23:26" x14ac:dyDescent="0.2">
      <c r="W973" s="33"/>
      <c r="Y973" s="33"/>
      <c r="Z973" s="33"/>
    </row>
    <row r="974" spans="23:26" x14ac:dyDescent="0.2">
      <c r="W974" s="33"/>
      <c r="Y974" s="33"/>
      <c r="Z974" s="33"/>
    </row>
    <row r="975" spans="23:26" x14ac:dyDescent="0.2">
      <c r="W975" s="33"/>
      <c r="Y975" s="33"/>
      <c r="Z975" s="33"/>
    </row>
    <row r="976" spans="23:26" x14ac:dyDescent="0.2">
      <c r="W976" s="33"/>
      <c r="Y976" s="33"/>
      <c r="Z976" s="33"/>
    </row>
    <row r="977" spans="23:26" x14ac:dyDescent="0.2">
      <c r="W977" s="33"/>
      <c r="Y977" s="33"/>
      <c r="Z977" s="33"/>
    </row>
    <row r="978" spans="23:26" x14ac:dyDescent="0.2">
      <c r="W978" s="33"/>
      <c r="Y978" s="33"/>
      <c r="Z978" s="33"/>
    </row>
    <row r="979" spans="23:26" x14ac:dyDescent="0.2">
      <c r="W979" s="33"/>
      <c r="Y979" s="33"/>
      <c r="Z979" s="33"/>
    </row>
    <row r="980" spans="23:26" x14ac:dyDescent="0.2">
      <c r="W980" s="33"/>
      <c r="Y980" s="33"/>
      <c r="Z980" s="33"/>
    </row>
    <row r="981" spans="23:26" x14ac:dyDescent="0.2">
      <c r="W981" s="33"/>
      <c r="Y981" s="33"/>
      <c r="Z981" s="33"/>
    </row>
    <row r="982" spans="23:26" x14ac:dyDescent="0.2">
      <c r="W982" s="33"/>
      <c r="Y982" s="33"/>
      <c r="Z982" s="33"/>
    </row>
    <row r="983" spans="23:26" x14ac:dyDescent="0.2">
      <c r="W983" s="33"/>
      <c r="Y983" s="33"/>
      <c r="Z983" s="33"/>
    </row>
    <row r="984" spans="23:26" x14ac:dyDescent="0.2">
      <c r="W984" s="33"/>
      <c r="Y984" s="33"/>
      <c r="Z984" s="33"/>
    </row>
    <row r="985" spans="23:26" x14ac:dyDescent="0.2">
      <c r="W985" s="33"/>
      <c r="Y985" s="33"/>
      <c r="Z985" s="33"/>
    </row>
    <row r="986" spans="23:26" x14ac:dyDescent="0.2">
      <c r="W986" s="33"/>
      <c r="Y986" s="33"/>
      <c r="Z986" s="33"/>
    </row>
    <row r="987" spans="23:26" x14ac:dyDescent="0.2">
      <c r="W987" s="33"/>
      <c r="Y987" s="33"/>
      <c r="Z987" s="33"/>
    </row>
    <row r="988" spans="23:26" x14ac:dyDescent="0.2">
      <c r="W988" s="33"/>
      <c r="Y988" s="33"/>
      <c r="Z988" s="33"/>
    </row>
    <row r="989" spans="23:26" x14ac:dyDescent="0.2">
      <c r="W989" s="33"/>
      <c r="Y989" s="33"/>
      <c r="Z989" s="33"/>
    </row>
    <row r="990" spans="23:26" x14ac:dyDescent="0.2">
      <c r="W990" s="33"/>
      <c r="Y990" s="33"/>
      <c r="Z990" s="33"/>
    </row>
    <row r="991" spans="23:26" x14ac:dyDescent="0.2">
      <c r="W991" s="33"/>
      <c r="Y991" s="33"/>
      <c r="Z991" s="33"/>
    </row>
    <row r="992" spans="23:26" x14ac:dyDescent="0.2">
      <c r="W992" s="33"/>
      <c r="Y992" s="33"/>
      <c r="Z992" s="33"/>
    </row>
    <row r="993" spans="23:26" x14ac:dyDescent="0.2">
      <c r="W993" s="33"/>
      <c r="Y993" s="33"/>
      <c r="Z993" s="33"/>
    </row>
    <row r="994" spans="23:26" x14ac:dyDescent="0.2">
      <c r="W994" s="33"/>
      <c r="Y994" s="33"/>
      <c r="Z994" s="33"/>
    </row>
    <row r="995" spans="23:26" x14ac:dyDescent="0.2">
      <c r="W995" s="33"/>
      <c r="Y995" s="33"/>
      <c r="Z995" s="33"/>
    </row>
    <row r="996" spans="23:26" x14ac:dyDescent="0.2">
      <c r="W996" s="33"/>
      <c r="Y996" s="33"/>
      <c r="Z996" s="33"/>
    </row>
    <row r="997" spans="23:26" x14ac:dyDescent="0.2">
      <c r="W997" s="33"/>
      <c r="Y997" s="33"/>
      <c r="Z997" s="33"/>
    </row>
    <row r="998" spans="23:26" x14ac:dyDescent="0.2">
      <c r="W998" s="33"/>
      <c r="Y998" s="33"/>
      <c r="Z998" s="33"/>
    </row>
    <row r="999" spans="23:26" x14ac:dyDescent="0.2">
      <c r="W999" s="33"/>
      <c r="Y999" s="33"/>
      <c r="Z999" s="33"/>
    </row>
    <row r="1000" spans="23:26" x14ac:dyDescent="0.2">
      <c r="W1000" s="33"/>
      <c r="Y1000" s="33"/>
      <c r="Z1000" s="33"/>
    </row>
    <row r="1001" spans="23:26" x14ac:dyDescent="0.2">
      <c r="W1001" s="33"/>
      <c r="Y1001" s="33"/>
      <c r="Z1001" s="33"/>
    </row>
    <row r="1002" spans="23:26" x14ac:dyDescent="0.2">
      <c r="W1002" s="33"/>
      <c r="Y1002" s="33"/>
      <c r="Z1002" s="33"/>
    </row>
    <row r="1003" spans="23:26" x14ac:dyDescent="0.2">
      <c r="W1003" s="33"/>
      <c r="Y1003" s="33"/>
      <c r="Z1003" s="33"/>
    </row>
    <row r="1004" spans="23:26" x14ac:dyDescent="0.2">
      <c r="W1004" s="33"/>
      <c r="Y1004" s="33"/>
      <c r="Z1004" s="33"/>
    </row>
    <row r="1005" spans="23:26" x14ac:dyDescent="0.2">
      <c r="W1005" s="33"/>
      <c r="Y1005" s="33"/>
      <c r="Z1005" s="33"/>
    </row>
    <row r="1006" spans="23:26" x14ac:dyDescent="0.2">
      <c r="W1006" s="33"/>
      <c r="Y1006" s="33"/>
      <c r="Z1006" s="33"/>
    </row>
    <row r="1007" spans="23:26" x14ac:dyDescent="0.2">
      <c r="W1007" s="33"/>
      <c r="Y1007" s="33"/>
      <c r="Z1007" s="33"/>
    </row>
    <row r="1008" spans="23:26" x14ac:dyDescent="0.2">
      <c r="W1008" s="33"/>
      <c r="Y1008" s="33"/>
      <c r="Z1008" s="33"/>
    </row>
    <row r="1009" spans="23:26" x14ac:dyDescent="0.2">
      <c r="W1009" s="33"/>
      <c r="Y1009" s="33"/>
      <c r="Z1009" s="33"/>
    </row>
    <row r="1010" spans="23:26" x14ac:dyDescent="0.2">
      <c r="W1010" s="33"/>
      <c r="Y1010" s="33"/>
      <c r="Z1010" s="33"/>
    </row>
    <row r="1011" spans="23:26" x14ac:dyDescent="0.2">
      <c r="W1011" s="33"/>
      <c r="Y1011" s="33"/>
      <c r="Z1011" s="33"/>
    </row>
    <row r="1012" spans="23:26" x14ac:dyDescent="0.2">
      <c r="W1012" s="33"/>
      <c r="Y1012" s="33"/>
      <c r="Z1012" s="33"/>
    </row>
    <row r="1013" spans="23:26" x14ac:dyDescent="0.2">
      <c r="W1013" s="33"/>
      <c r="Y1013" s="33"/>
      <c r="Z1013" s="33"/>
    </row>
    <row r="1014" spans="23:26" x14ac:dyDescent="0.2">
      <c r="W1014" s="33"/>
      <c r="Y1014" s="33"/>
      <c r="Z1014" s="33"/>
    </row>
    <row r="1015" spans="23:26" x14ac:dyDescent="0.2">
      <c r="W1015" s="33"/>
      <c r="Y1015" s="33"/>
      <c r="Z1015" s="33"/>
    </row>
    <row r="1016" spans="23:26" x14ac:dyDescent="0.2">
      <c r="W1016" s="33"/>
      <c r="Y1016" s="33"/>
      <c r="Z1016" s="33"/>
    </row>
    <row r="1017" spans="23:26" x14ac:dyDescent="0.2">
      <c r="W1017" s="33"/>
      <c r="Y1017" s="33"/>
      <c r="Z1017" s="33"/>
    </row>
    <row r="1018" spans="23:26" x14ac:dyDescent="0.2">
      <c r="W1018" s="33"/>
      <c r="Y1018" s="33"/>
      <c r="Z1018" s="33"/>
    </row>
    <row r="1019" spans="23:26" x14ac:dyDescent="0.2">
      <c r="W1019" s="33"/>
      <c r="Y1019" s="33"/>
      <c r="Z1019" s="33"/>
    </row>
    <row r="1020" spans="23:26" x14ac:dyDescent="0.2">
      <c r="W1020" s="33"/>
      <c r="Y1020" s="33"/>
      <c r="Z1020" s="33"/>
    </row>
    <row r="1021" spans="23:26" x14ac:dyDescent="0.2">
      <c r="W1021" s="33"/>
      <c r="Y1021" s="33"/>
      <c r="Z1021" s="33"/>
    </row>
    <row r="1022" spans="23:26" x14ac:dyDescent="0.2">
      <c r="W1022" s="33"/>
      <c r="Y1022" s="33"/>
      <c r="Z1022" s="33"/>
    </row>
    <row r="1023" spans="23:26" x14ac:dyDescent="0.2">
      <c r="W1023" s="33"/>
      <c r="Y1023" s="33"/>
      <c r="Z1023" s="33"/>
    </row>
    <row r="1024" spans="23:26" x14ac:dyDescent="0.2">
      <c r="W1024" s="33"/>
      <c r="Y1024" s="33"/>
      <c r="Z1024" s="33"/>
    </row>
    <row r="1025" spans="23:26" x14ac:dyDescent="0.2">
      <c r="W1025" s="33"/>
      <c r="Y1025" s="33"/>
      <c r="Z1025" s="33"/>
    </row>
    <row r="1026" spans="23:26" x14ac:dyDescent="0.2">
      <c r="W1026" s="33"/>
      <c r="Y1026" s="33"/>
      <c r="Z1026" s="33"/>
    </row>
    <row r="1027" spans="23:26" x14ac:dyDescent="0.2">
      <c r="W1027" s="33"/>
      <c r="Y1027" s="33"/>
      <c r="Z1027" s="33"/>
    </row>
    <row r="1028" spans="23:26" x14ac:dyDescent="0.2">
      <c r="W1028" s="33"/>
      <c r="Y1028" s="33"/>
      <c r="Z1028" s="33"/>
    </row>
    <row r="1029" spans="23:26" x14ac:dyDescent="0.2">
      <c r="W1029" s="33"/>
      <c r="Y1029" s="33"/>
      <c r="Z1029" s="33"/>
    </row>
    <row r="1030" spans="23:26" x14ac:dyDescent="0.2">
      <c r="W1030" s="33"/>
      <c r="Y1030" s="33"/>
      <c r="Z1030" s="33"/>
    </row>
    <row r="1031" spans="23:26" x14ac:dyDescent="0.2">
      <c r="W1031" s="33"/>
      <c r="Y1031" s="33"/>
      <c r="Z1031" s="33"/>
    </row>
    <row r="1032" spans="23:26" x14ac:dyDescent="0.2">
      <c r="W1032" s="33"/>
      <c r="Y1032" s="33"/>
      <c r="Z1032" s="33"/>
    </row>
    <row r="1033" spans="23:26" x14ac:dyDescent="0.2">
      <c r="W1033" s="33"/>
      <c r="Y1033" s="33"/>
      <c r="Z1033" s="33"/>
    </row>
    <row r="1034" spans="23:26" x14ac:dyDescent="0.2">
      <c r="W1034" s="33"/>
      <c r="Y1034" s="33"/>
      <c r="Z1034" s="33"/>
    </row>
    <row r="1035" spans="23:26" x14ac:dyDescent="0.2">
      <c r="W1035" s="33"/>
      <c r="Y1035" s="33"/>
      <c r="Z1035" s="33"/>
    </row>
    <row r="1036" spans="23:26" x14ac:dyDescent="0.2">
      <c r="W1036" s="33"/>
      <c r="Y1036" s="33"/>
      <c r="Z1036" s="33"/>
    </row>
    <row r="1037" spans="23:26" x14ac:dyDescent="0.2">
      <c r="W1037" s="33"/>
      <c r="Y1037" s="33"/>
      <c r="Z1037" s="33"/>
    </row>
    <row r="1038" spans="23:26" x14ac:dyDescent="0.2">
      <c r="W1038" s="33"/>
      <c r="Y1038" s="33"/>
      <c r="Z1038" s="33"/>
    </row>
    <row r="1039" spans="23:26" x14ac:dyDescent="0.2">
      <c r="W1039" s="33"/>
      <c r="Y1039" s="33"/>
      <c r="Z1039" s="33"/>
    </row>
    <row r="1040" spans="23:26" x14ac:dyDescent="0.2">
      <c r="W1040" s="33"/>
      <c r="Y1040" s="33"/>
      <c r="Z1040" s="33"/>
    </row>
    <row r="1041" spans="23:26" x14ac:dyDescent="0.2">
      <c r="W1041" s="33"/>
      <c r="Y1041" s="33"/>
      <c r="Z1041" s="33"/>
    </row>
    <row r="1042" spans="23:26" x14ac:dyDescent="0.2">
      <c r="W1042" s="33"/>
      <c r="Y1042" s="33"/>
      <c r="Z1042" s="33"/>
    </row>
    <row r="1043" spans="23:26" x14ac:dyDescent="0.2">
      <c r="W1043" s="33"/>
      <c r="Y1043" s="33"/>
      <c r="Z1043" s="33"/>
    </row>
    <row r="1044" spans="23:26" x14ac:dyDescent="0.2">
      <c r="W1044" s="33"/>
      <c r="Y1044" s="33"/>
      <c r="Z1044" s="33"/>
    </row>
    <row r="1045" spans="23:26" x14ac:dyDescent="0.2">
      <c r="W1045" s="33"/>
      <c r="Y1045" s="33"/>
      <c r="Z1045" s="33"/>
    </row>
    <row r="1046" spans="23:26" x14ac:dyDescent="0.2">
      <c r="W1046" s="33"/>
      <c r="Y1046" s="33"/>
      <c r="Z1046" s="33"/>
    </row>
    <row r="1047" spans="23:26" x14ac:dyDescent="0.2">
      <c r="W1047" s="33"/>
      <c r="Y1047" s="33"/>
      <c r="Z1047" s="33"/>
    </row>
    <row r="1048" spans="23:26" x14ac:dyDescent="0.2">
      <c r="W1048" s="33"/>
      <c r="Y1048" s="33"/>
      <c r="Z1048" s="33"/>
    </row>
    <row r="1049" spans="23:26" x14ac:dyDescent="0.2">
      <c r="W1049" s="33"/>
      <c r="Y1049" s="33"/>
      <c r="Z1049" s="33"/>
    </row>
    <row r="1050" spans="23:26" x14ac:dyDescent="0.2">
      <c r="W1050" s="33"/>
      <c r="Y1050" s="33"/>
      <c r="Z1050" s="33"/>
    </row>
    <row r="1051" spans="23:26" x14ac:dyDescent="0.2">
      <c r="W1051" s="33"/>
      <c r="Y1051" s="33"/>
      <c r="Z1051" s="33"/>
    </row>
    <row r="1052" spans="23:26" x14ac:dyDescent="0.2">
      <c r="W1052" s="33"/>
      <c r="Y1052" s="33"/>
      <c r="Z1052" s="33"/>
    </row>
    <row r="1053" spans="23:26" x14ac:dyDescent="0.2">
      <c r="W1053" s="33"/>
      <c r="Y1053" s="33"/>
      <c r="Z1053" s="33"/>
    </row>
    <row r="1054" spans="23:26" x14ac:dyDescent="0.2">
      <c r="W1054" s="33"/>
      <c r="Y1054" s="33"/>
      <c r="Z1054" s="33"/>
    </row>
    <row r="1055" spans="23:26" x14ac:dyDescent="0.2">
      <c r="W1055" s="33"/>
      <c r="Y1055" s="33"/>
      <c r="Z1055" s="33"/>
    </row>
    <row r="1056" spans="23:26" x14ac:dyDescent="0.2">
      <c r="W1056" s="33"/>
      <c r="Y1056" s="33"/>
      <c r="Z1056" s="33"/>
    </row>
    <row r="1057" spans="23:26" x14ac:dyDescent="0.2">
      <c r="W1057" s="33"/>
      <c r="Y1057" s="33"/>
      <c r="Z1057" s="33"/>
    </row>
    <row r="1058" spans="23:26" x14ac:dyDescent="0.2">
      <c r="W1058" s="33"/>
      <c r="Y1058" s="33"/>
      <c r="Z1058" s="33"/>
    </row>
    <row r="1059" spans="23:26" x14ac:dyDescent="0.2">
      <c r="W1059" s="33"/>
      <c r="Y1059" s="33"/>
      <c r="Z1059" s="33"/>
    </row>
    <row r="1060" spans="23:26" x14ac:dyDescent="0.2">
      <c r="W1060" s="33"/>
      <c r="Y1060" s="33"/>
      <c r="Z1060" s="33"/>
    </row>
    <row r="1061" spans="23:26" x14ac:dyDescent="0.2">
      <c r="W1061" s="33"/>
      <c r="Y1061" s="33"/>
      <c r="Z1061" s="33"/>
    </row>
    <row r="1062" spans="23:26" x14ac:dyDescent="0.2">
      <c r="W1062" s="33"/>
      <c r="Y1062" s="33"/>
      <c r="Z1062" s="33"/>
    </row>
    <row r="1063" spans="23:26" x14ac:dyDescent="0.2">
      <c r="W1063" s="33"/>
      <c r="Y1063" s="33"/>
      <c r="Z1063" s="33"/>
    </row>
    <row r="1064" spans="23:26" x14ac:dyDescent="0.2">
      <c r="W1064" s="33"/>
      <c r="Y1064" s="33"/>
      <c r="Z1064" s="33"/>
    </row>
    <row r="1065" spans="23:26" x14ac:dyDescent="0.2">
      <c r="W1065" s="33"/>
      <c r="Y1065" s="33"/>
      <c r="Z1065" s="33"/>
    </row>
    <row r="1066" spans="23:26" x14ac:dyDescent="0.2">
      <c r="W1066" s="33"/>
      <c r="Y1066" s="33"/>
      <c r="Z1066" s="33"/>
    </row>
    <row r="1067" spans="23:26" x14ac:dyDescent="0.2">
      <c r="W1067" s="33"/>
      <c r="Y1067" s="33"/>
      <c r="Z1067" s="33"/>
    </row>
    <row r="1068" spans="23:26" x14ac:dyDescent="0.2">
      <c r="W1068" s="33"/>
      <c r="Y1068" s="33"/>
      <c r="Z1068" s="33"/>
    </row>
    <row r="1069" spans="23:26" x14ac:dyDescent="0.2">
      <c r="W1069" s="33"/>
      <c r="Y1069" s="33"/>
      <c r="Z1069" s="33"/>
    </row>
    <row r="1070" spans="23:26" x14ac:dyDescent="0.2">
      <c r="W1070" s="33"/>
      <c r="Y1070" s="33"/>
      <c r="Z1070" s="33"/>
    </row>
    <row r="1071" spans="23:26" x14ac:dyDescent="0.2">
      <c r="W1071" s="33"/>
      <c r="Y1071" s="33"/>
      <c r="Z1071" s="33"/>
    </row>
    <row r="1072" spans="23:26" x14ac:dyDescent="0.2">
      <c r="W1072" s="33"/>
      <c r="Y1072" s="33"/>
      <c r="Z1072" s="33"/>
    </row>
    <row r="1073" spans="23:26" x14ac:dyDescent="0.2">
      <c r="W1073" s="33"/>
      <c r="Y1073" s="33"/>
      <c r="Z1073" s="33"/>
    </row>
    <row r="1074" spans="23:26" x14ac:dyDescent="0.2">
      <c r="W1074" s="33"/>
      <c r="Y1074" s="33"/>
      <c r="Z1074" s="33"/>
    </row>
    <row r="1075" spans="23:26" x14ac:dyDescent="0.2">
      <c r="W1075" s="33"/>
      <c r="Y1075" s="33"/>
      <c r="Z1075" s="33"/>
    </row>
    <row r="1076" spans="23:26" x14ac:dyDescent="0.2">
      <c r="W1076" s="33"/>
      <c r="Y1076" s="33"/>
      <c r="Z1076" s="33"/>
    </row>
    <row r="1077" spans="23:26" x14ac:dyDescent="0.2">
      <c r="W1077" s="33"/>
      <c r="Y1077" s="33"/>
      <c r="Z1077" s="33"/>
    </row>
    <row r="1078" spans="23:26" x14ac:dyDescent="0.2">
      <c r="W1078" s="33"/>
      <c r="Y1078" s="33"/>
      <c r="Z1078" s="33"/>
    </row>
    <row r="1079" spans="23:26" x14ac:dyDescent="0.2">
      <c r="W1079" s="33"/>
      <c r="Y1079" s="33"/>
      <c r="Z1079" s="33"/>
    </row>
    <row r="1080" spans="23:26" x14ac:dyDescent="0.2">
      <c r="W1080" s="33"/>
      <c r="Y1080" s="33"/>
      <c r="Z1080" s="33"/>
    </row>
    <row r="1081" spans="23:26" x14ac:dyDescent="0.2">
      <c r="W1081" s="33"/>
      <c r="Y1081" s="33"/>
      <c r="Z1081" s="33"/>
    </row>
    <row r="1082" spans="23:26" x14ac:dyDescent="0.2">
      <c r="W1082" s="33"/>
      <c r="Y1082" s="33"/>
      <c r="Z1082" s="33"/>
    </row>
    <row r="1083" spans="23:26" x14ac:dyDescent="0.2">
      <c r="W1083" s="33"/>
      <c r="Y1083" s="33"/>
      <c r="Z1083" s="33"/>
    </row>
    <row r="1084" spans="23:26" x14ac:dyDescent="0.2">
      <c r="W1084" s="33"/>
      <c r="Y1084" s="33"/>
      <c r="Z1084" s="33"/>
    </row>
    <row r="1085" spans="23:26" x14ac:dyDescent="0.2">
      <c r="W1085" s="33"/>
      <c r="Y1085" s="33"/>
      <c r="Z1085" s="33"/>
    </row>
    <row r="1086" spans="23:26" x14ac:dyDescent="0.2">
      <c r="W1086" s="33"/>
      <c r="Y1086" s="33"/>
      <c r="Z1086" s="33"/>
    </row>
    <row r="1087" spans="23:26" x14ac:dyDescent="0.2">
      <c r="W1087" s="33"/>
      <c r="Y1087" s="33"/>
      <c r="Z1087" s="33"/>
    </row>
    <row r="1088" spans="23:26" x14ac:dyDescent="0.2">
      <c r="W1088" s="33"/>
      <c r="Y1088" s="33"/>
      <c r="Z1088" s="33"/>
    </row>
    <row r="1089" spans="23:26" x14ac:dyDescent="0.2">
      <c r="W1089" s="33"/>
      <c r="Y1089" s="33"/>
      <c r="Z1089" s="33"/>
    </row>
    <row r="1090" spans="23:26" x14ac:dyDescent="0.2">
      <c r="W1090" s="33"/>
      <c r="Y1090" s="33"/>
      <c r="Z1090" s="33"/>
    </row>
    <row r="1091" spans="23:26" x14ac:dyDescent="0.2">
      <c r="W1091" s="33"/>
      <c r="Y1091" s="33"/>
      <c r="Z1091" s="33"/>
    </row>
    <row r="1092" spans="23:26" x14ac:dyDescent="0.2">
      <c r="W1092" s="33"/>
      <c r="Y1092" s="33"/>
      <c r="Z1092" s="33"/>
    </row>
    <row r="1093" spans="23:26" x14ac:dyDescent="0.2">
      <c r="W1093" s="33"/>
      <c r="Y1093" s="33"/>
      <c r="Z1093" s="33"/>
    </row>
    <row r="1094" spans="23:26" x14ac:dyDescent="0.2">
      <c r="W1094" s="33"/>
      <c r="Y1094" s="33"/>
      <c r="Z1094" s="33"/>
    </row>
    <row r="1095" spans="23:26" x14ac:dyDescent="0.2">
      <c r="W1095" s="33"/>
      <c r="Y1095" s="33"/>
      <c r="Z1095" s="33"/>
    </row>
    <row r="1096" spans="23:26" x14ac:dyDescent="0.2">
      <c r="W1096" s="33"/>
      <c r="Y1096" s="33"/>
      <c r="Z1096" s="33"/>
    </row>
    <row r="1097" spans="23:26" x14ac:dyDescent="0.2">
      <c r="W1097" s="33"/>
      <c r="Y1097" s="33"/>
      <c r="Z1097" s="33"/>
    </row>
    <row r="1098" spans="23:26" x14ac:dyDescent="0.2">
      <c r="W1098" s="33"/>
      <c r="Y1098" s="33"/>
      <c r="Z1098" s="33"/>
    </row>
    <row r="1099" spans="23:26" x14ac:dyDescent="0.2">
      <c r="W1099" s="33"/>
      <c r="Y1099" s="33"/>
      <c r="Z1099" s="33"/>
    </row>
    <row r="1100" spans="23:26" x14ac:dyDescent="0.2">
      <c r="W1100" s="33"/>
      <c r="Y1100" s="33"/>
      <c r="Z1100" s="33"/>
    </row>
    <row r="1101" spans="23:26" x14ac:dyDescent="0.2">
      <c r="W1101" s="33"/>
      <c r="Y1101" s="33"/>
      <c r="Z1101" s="33"/>
    </row>
    <row r="1102" spans="23:26" x14ac:dyDescent="0.2">
      <c r="W1102" s="33"/>
      <c r="Y1102" s="33"/>
      <c r="Z1102" s="33"/>
    </row>
    <row r="1103" spans="23:26" x14ac:dyDescent="0.2">
      <c r="W1103" s="33"/>
      <c r="Y1103" s="33"/>
      <c r="Z1103" s="33"/>
    </row>
    <row r="1104" spans="23:26" x14ac:dyDescent="0.2">
      <c r="W1104" s="33"/>
      <c r="Y1104" s="33"/>
      <c r="Z1104" s="33"/>
    </row>
    <row r="1105" spans="23:26" x14ac:dyDescent="0.2">
      <c r="W1105" s="33"/>
      <c r="Y1105" s="33"/>
      <c r="Z1105" s="33"/>
    </row>
    <row r="1106" spans="23:26" x14ac:dyDescent="0.2">
      <c r="W1106" s="33"/>
      <c r="Y1106" s="33"/>
      <c r="Z1106" s="33"/>
    </row>
    <row r="1107" spans="23:26" x14ac:dyDescent="0.2">
      <c r="W1107" s="33"/>
      <c r="Y1107" s="33"/>
      <c r="Z1107" s="33"/>
    </row>
    <row r="1108" spans="23:26" x14ac:dyDescent="0.2">
      <c r="W1108" s="33"/>
      <c r="Y1108" s="33"/>
      <c r="Z1108" s="33"/>
    </row>
    <row r="1109" spans="23:26" x14ac:dyDescent="0.2">
      <c r="W1109" s="33"/>
      <c r="Y1109" s="33"/>
      <c r="Z1109" s="33"/>
    </row>
    <row r="1110" spans="23:26" x14ac:dyDescent="0.2">
      <c r="W1110" s="33"/>
      <c r="Y1110" s="33"/>
      <c r="Z1110" s="33"/>
    </row>
    <row r="1111" spans="23:26" x14ac:dyDescent="0.2">
      <c r="W1111" s="33"/>
      <c r="Y1111" s="33"/>
      <c r="Z1111" s="33"/>
    </row>
    <row r="1112" spans="23:26" x14ac:dyDescent="0.2">
      <c r="W1112" s="33"/>
      <c r="Y1112" s="33"/>
      <c r="Z1112" s="33"/>
    </row>
    <row r="1113" spans="23:26" x14ac:dyDescent="0.2">
      <c r="W1113" s="33"/>
      <c r="Y1113" s="33"/>
      <c r="Z1113" s="33"/>
    </row>
    <row r="1114" spans="23:26" x14ac:dyDescent="0.2">
      <c r="W1114" s="33"/>
      <c r="Y1114" s="33"/>
      <c r="Z1114" s="33"/>
    </row>
    <row r="1115" spans="23:26" x14ac:dyDescent="0.2">
      <c r="W1115" s="33"/>
      <c r="Y1115" s="33"/>
      <c r="Z1115" s="33"/>
    </row>
    <row r="1116" spans="23:26" x14ac:dyDescent="0.2">
      <c r="W1116" s="33"/>
      <c r="Y1116" s="33"/>
      <c r="Z1116" s="33"/>
    </row>
    <row r="1117" spans="23:26" x14ac:dyDescent="0.2">
      <c r="W1117" s="33"/>
      <c r="Y1117" s="33"/>
      <c r="Z1117" s="33"/>
    </row>
    <row r="1118" spans="23:26" x14ac:dyDescent="0.2">
      <c r="W1118" s="33"/>
      <c r="Y1118" s="33"/>
      <c r="Z1118" s="33"/>
    </row>
    <row r="1119" spans="23:26" x14ac:dyDescent="0.2">
      <c r="W1119" s="33"/>
      <c r="Y1119" s="33"/>
      <c r="Z1119" s="33"/>
    </row>
    <row r="1120" spans="23:26" x14ac:dyDescent="0.2">
      <c r="W1120" s="33"/>
      <c r="Y1120" s="33"/>
      <c r="Z1120" s="33"/>
    </row>
    <row r="1121" spans="23:26" x14ac:dyDescent="0.2">
      <c r="W1121" s="33"/>
      <c r="Y1121" s="33"/>
      <c r="Z1121" s="33"/>
    </row>
    <row r="1122" spans="23:26" x14ac:dyDescent="0.2">
      <c r="W1122" s="33"/>
      <c r="Y1122" s="33"/>
      <c r="Z1122" s="33"/>
    </row>
    <row r="1123" spans="23:26" x14ac:dyDescent="0.2">
      <c r="W1123" s="33"/>
      <c r="Y1123" s="33"/>
      <c r="Z1123" s="33"/>
    </row>
    <row r="1124" spans="23:26" x14ac:dyDescent="0.2">
      <c r="W1124" s="33"/>
      <c r="Y1124" s="33"/>
      <c r="Z1124" s="33"/>
    </row>
    <row r="1125" spans="23:26" x14ac:dyDescent="0.2">
      <c r="W1125" s="33"/>
      <c r="Y1125" s="33"/>
      <c r="Z1125" s="33"/>
    </row>
    <row r="1126" spans="23:26" x14ac:dyDescent="0.2">
      <c r="W1126" s="33"/>
      <c r="Y1126" s="33"/>
      <c r="Z1126" s="33"/>
    </row>
    <row r="1127" spans="23:26" x14ac:dyDescent="0.2">
      <c r="W1127" s="33"/>
      <c r="Y1127" s="33"/>
      <c r="Z1127" s="33"/>
    </row>
    <row r="1128" spans="23:26" x14ac:dyDescent="0.2">
      <c r="W1128" s="33"/>
      <c r="Y1128" s="33"/>
      <c r="Z1128" s="33"/>
    </row>
    <row r="1129" spans="23:26" x14ac:dyDescent="0.2">
      <c r="W1129" s="33"/>
      <c r="Y1129" s="33"/>
      <c r="Z1129" s="33"/>
    </row>
    <row r="1130" spans="23:26" x14ac:dyDescent="0.2">
      <c r="W1130" s="33"/>
      <c r="Y1130" s="33"/>
      <c r="Z1130" s="33"/>
    </row>
    <row r="1131" spans="23:26" x14ac:dyDescent="0.2">
      <c r="W1131" s="33"/>
      <c r="Y1131" s="33"/>
      <c r="Z1131" s="33"/>
    </row>
    <row r="1132" spans="23:26" x14ac:dyDescent="0.2">
      <c r="W1132" s="33"/>
      <c r="Y1132" s="33"/>
      <c r="Z1132" s="33"/>
    </row>
    <row r="1133" spans="23:26" x14ac:dyDescent="0.2">
      <c r="W1133" s="33"/>
      <c r="Y1133" s="33"/>
      <c r="Z1133" s="33"/>
    </row>
    <row r="1134" spans="23:26" x14ac:dyDescent="0.2">
      <c r="W1134" s="33"/>
      <c r="Y1134" s="33"/>
      <c r="Z1134" s="33"/>
    </row>
    <row r="1135" spans="23:26" x14ac:dyDescent="0.2">
      <c r="W1135" s="33"/>
      <c r="Y1135" s="33"/>
      <c r="Z1135" s="33"/>
    </row>
    <row r="1136" spans="23:26" x14ac:dyDescent="0.2">
      <c r="W1136" s="33"/>
      <c r="Y1136" s="33"/>
      <c r="Z1136" s="33"/>
    </row>
    <row r="1137" spans="23:26" x14ac:dyDescent="0.2">
      <c r="W1137" s="33"/>
      <c r="Y1137" s="33"/>
      <c r="Z1137" s="33"/>
    </row>
    <row r="1138" spans="23:26" x14ac:dyDescent="0.2">
      <c r="W1138" s="33"/>
      <c r="Y1138" s="33"/>
      <c r="Z1138" s="33"/>
    </row>
    <row r="1139" spans="23:26" x14ac:dyDescent="0.2">
      <c r="W1139" s="33"/>
      <c r="Y1139" s="33"/>
      <c r="Z1139" s="33"/>
    </row>
    <row r="1140" spans="23:26" x14ac:dyDescent="0.2">
      <c r="W1140" s="33"/>
      <c r="Y1140" s="33"/>
      <c r="Z1140" s="33"/>
    </row>
    <row r="1141" spans="23:26" x14ac:dyDescent="0.2">
      <c r="W1141" s="33"/>
      <c r="Y1141" s="33"/>
      <c r="Z1141" s="33"/>
    </row>
    <row r="1142" spans="23:26" x14ac:dyDescent="0.2">
      <c r="W1142" s="33"/>
      <c r="Y1142" s="33"/>
      <c r="Z1142" s="33"/>
    </row>
    <row r="1143" spans="23:26" x14ac:dyDescent="0.2">
      <c r="W1143" s="33"/>
      <c r="Y1143" s="33"/>
      <c r="Z1143" s="33"/>
    </row>
    <row r="1144" spans="23:26" x14ac:dyDescent="0.2">
      <c r="W1144" s="33"/>
      <c r="Y1144" s="33"/>
      <c r="Z1144" s="33"/>
    </row>
    <row r="1145" spans="23:26" x14ac:dyDescent="0.2">
      <c r="W1145" s="33"/>
      <c r="Y1145" s="33"/>
      <c r="Z1145" s="33"/>
    </row>
    <row r="1146" spans="23:26" x14ac:dyDescent="0.2">
      <c r="W1146" s="33"/>
      <c r="Y1146" s="33"/>
      <c r="Z1146" s="33"/>
    </row>
    <row r="1147" spans="23:26" x14ac:dyDescent="0.2">
      <c r="W1147" s="33"/>
      <c r="Y1147" s="33"/>
      <c r="Z1147" s="33"/>
    </row>
    <row r="1148" spans="23:26" x14ac:dyDescent="0.2">
      <c r="W1148" s="33"/>
      <c r="Y1148" s="33"/>
      <c r="Z1148" s="33"/>
    </row>
    <row r="1149" spans="23:26" x14ac:dyDescent="0.2">
      <c r="W1149" s="33"/>
      <c r="Y1149" s="33"/>
      <c r="Z1149" s="33"/>
    </row>
    <row r="1150" spans="23:26" x14ac:dyDescent="0.2">
      <c r="W1150" s="33"/>
      <c r="Y1150" s="33"/>
      <c r="Z1150" s="33"/>
    </row>
    <row r="1151" spans="23:26" x14ac:dyDescent="0.2">
      <c r="W1151" s="33"/>
      <c r="Y1151" s="33"/>
      <c r="Z1151" s="33"/>
    </row>
    <row r="1152" spans="23:26" x14ac:dyDescent="0.2">
      <c r="W1152" s="33"/>
      <c r="Y1152" s="33"/>
      <c r="Z1152" s="33"/>
    </row>
    <row r="1153" spans="23:26" x14ac:dyDescent="0.2">
      <c r="W1153" s="33"/>
      <c r="Y1153" s="33"/>
      <c r="Z1153" s="33"/>
    </row>
    <row r="1154" spans="23:26" x14ac:dyDescent="0.2">
      <c r="W1154" s="33"/>
      <c r="Y1154" s="33"/>
      <c r="Z1154" s="33"/>
    </row>
    <row r="1155" spans="23:26" x14ac:dyDescent="0.2">
      <c r="W1155" s="33"/>
      <c r="Y1155" s="33"/>
      <c r="Z1155" s="33"/>
    </row>
    <row r="1156" spans="23:26" x14ac:dyDescent="0.2">
      <c r="W1156" s="33"/>
      <c r="Y1156" s="33"/>
      <c r="Z1156" s="33"/>
    </row>
    <row r="1157" spans="23:26" x14ac:dyDescent="0.2">
      <c r="W1157" s="33"/>
      <c r="Y1157" s="33"/>
      <c r="Z1157" s="33"/>
    </row>
    <row r="1158" spans="23:26" x14ac:dyDescent="0.2">
      <c r="W1158" s="33"/>
      <c r="Y1158" s="33"/>
      <c r="Z1158" s="33"/>
    </row>
    <row r="1159" spans="23:26" x14ac:dyDescent="0.2">
      <c r="W1159" s="33"/>
      <c r="Y1159" s="33"/>
      <c r="Z1159" s="33"/>
    </row>
    <row r="1160" spans="23:26" x14ac:dyDescent="0.2">
      <c r="W1160" s="33"/>
      <c r="Y1160" s="33"/>
      <c r="Z1160" s="33"/>
    </row>
    <row r="1161" spans="23:26" x14ac:dyDescent="0.2">
      <c r="W1161" s="33"/>
      <c r="Y1161" s="33"/>
      <c r="Z1161" s="33"/>
    </row>
    <row r="1162" spans="23:26" x14ac:dyDescent="0.2">
      <c r="W1162" s="33"/>
      <c r="Y1162" s="33"/>
      <c r="Z1162" s="33"/>
    </row>
    <row r="1163" spans="23:26" x14ac:dyDescent="0.2">
      <c r="W1163" s="33"/>
      <c r="Y1163" s="33"/>
      <c r="Z1163" s="33"/>
    </row>
    <row r="1164" spans="23:26" x14ac:dyDescent="0.2">
      <c r="W1164" s="33"/>
      <c r="Y1164" s="33"/>
      <c r="Z1164" s="33"/>
    </row>
    <row r="1165" spans="23:26" x14ac:dyDescent="0.2">
      <c r="W1165" s="33"/>
      <c r="Y1165" s="33"/>
      <c r="Z1165" s="33"/>
    </row>
    <row r="1166" spans="23:26" x14ac:dyDescent="0.2">
      <c r="W1166" s="33"/>
      <c r="Y1166" s="33"/>
      <c r="Z1166" s="33"/>
    </row>
    <row r="1167" spans="23:26" x14ac:dyDescent="0.2">
      <c r="W1167" s="33"/>
      <c r="Y1167" s="33"/>
      <c r="Z1167" s="33"/>
    </row>
    <row r="1168" spans="23:26" x14ac:dyDescent="0.2">
      <c r="W1168" s="33"/>
      <c r="Y1168" s="33"/>
      <c r="Z1168" s="33"/>
    </row>
    <row r="1169" spans="23:26" x14ac:dyDescent="0.2">
      <c r="W1169" s="33"/>
      <c r="Y1169" s="33"/>
      <c r="Z1169" s="33"/>
    </row>
    <row r="1170" spans="23:26" x14ac:dyDescent="0.2">
      <c r="W1170" s="33"/>
      <c r="Y1170" s="33"/>
      <c r="Z1170" s="33"/>
    </row>
    <row r="1171" spans="23:26" x14ac:dyDescent="0.2">
      <c r="W1171" s="33"/>
      <c r="Y1171" s="33"/>
      <c r="Z1171" s="33"/>
    </row>
    <row r="1172" spans="23:26" x14ac:dyDescent="0.2">
      <c r="W1172" s="33"/>
      <c r="Y1172" s="33"/>
      <c r="Z1172" s="33"/>
    </row>
    <row r="1173" spans="23:26" x14ac:dyDescent="0.2">
      <c r="W1173" s="33"/>
      <c r="Y1173" s="33"/>
      <c r="Z1173" s="33"/>
    </row>
    <row r="1174" spans="23:26" x14ac:dyDescent="0.2">
      <c r="W1174" s="33"/>
      <c r="Y1174" s="33"/>
      <c r="Z1174" s="33"/>
    </row>
    <row r="1175" spans="23:26" x14ac:dyDescent="0.2">
      <c r="W1175" s="33"/>
      <c r="Y1175" s="33"/>
      <c r="Z1175" s="33"/>
    </row>
    <row r="1176" spans="23:26" x14ac:dyDescent="0.2">
      <c r="W1176" s="33"/>
      <c r="Y1176" s="33"/>
      <c r="Z1176" s="33"/>
    </row>
    <row r="1177" spans="23:26" x14ac:dyDescent="0.2">
      <c r="W1177" s="33"/>
      <c r="Y1177" s="33"/>
      <c r="Z1177" s="33"/>
    </row>
    <row r="1178" spans="23:26" x14ac:dyDescent="0.2">
      <c r="W1178" s="33"/>
      <c r="Y1178" s="33"/>
      <c r="Z1178" s="33"/>
    </row>
    <row r="1179" spans="23:26" x14ac:dyDescent="0.2">
      <c r="W1179" s="33"/>
      <c r="Y1179" s="33"/>
      <c r="Z1179" s="33"/>
    </row>
    <row r="1180" spans="23:26" x14ac:dyDescent="0.2">
      <c r="W1180" s="33"/>
      <c r="Y1180" s="33"/>
      <c r="Z1180" s="33"/>
    </row>
    <row r="1181" spans="23:26" x14ac:dyDescent="0.2">
      <c r="W1181" s="33"/>
      <c r="Y1181" s="33"/>
      <c r="Z1181" s="33"/>
    </row>
    <row r="1182" spans="23:26" x14ac:dyDescent="0.2">
      <c r="W1182" s="33"/>
      <c r="Y1182" s="33"/>
      <c r="Z1182" s="33"/>
    </row>
    <row r="1183" spans="23:26" x14ac:dyDescent="0.2">
      <c r="W1183" s="33"/>
      <c r="Y1183" s="33"/>
      <c r="Z1183" s="33"/>
    </row>
    <row r="1184" spans="23:26" x14ac:dyDescent="0.2">
      <c r="W1184" s="33"/>
      <c r="Y1184" s="33"/>
      <c r="Z1184" s="33"/>
    </row>
    <row r="1185" spans="23:26" x14ac:dyDescent="0.2">
      <c r="W1185" s="33"/>
      <c r="Y1185" s="33"/>
      <c r="Z1185" s="33"/>
    </row>
    <row r="1186" spans="23:26" x14ac:dyDescent="0.2">
      <c r="W1186" s="33"/>
      <c r="Y1186" s="33"/>
      <c r="Z1186" s="33"/>
    </row>
    <row r="1187" spans="23:26" x14ac:dyDescent="0.2">
      <c r="W1187" s="33"/>
      <c r="Y1187" s="33"/>
      <c r="Z1187" s="33"/>
    </row>
    <row r="1188" spans="23:26" x14ac:dyDescent="0.2">
      <c r="W1188" s="33"/>
      <c r="Y1188" s="33"/>
      <c r="Z1188" s="33"/>
    </row>
    <row r="1189" spans="23:26" x14ac:dyDescent="0.2">
      <c r="W1189" s="33"/>
      <c r="Y1189" s="33"/>
      <c r="Z1189" s="33"/>
    </row>
    <row r="1190" spans="23:26" x14ac:dyDescent="0.2">
      <c r="W1190" s="33"/>
      <c r="Y1190" s="33"/>
      <c r="Z1190" s="33"/>
    </row>
    <row r="1191" spans="23:26" x14ac:dyDescent="0.2">
      <c r="W1191" s="33"/>
      <c r="Y1191" s="33"/>
      <c r="Z1191" s="33"/>
    </row>
    <row r="1192" spans="23:26" x14ac:dyDescent="0.2">
      <c r="W1192" s="33"/>
      <c r="Y1192" s="33"/>
      <c r="Z1192" s="33"/>
    </row>
    <row r="1193" spans="23:26" x14ac:dyDescent="0.2">
      <c r="W1193" s="33"/>
      <c r="Y1193" s="33"/>
      <c r="Z1193" s="33"/>
    </row>
    <row r="1194" spans="23:26" x14ac:dyDescent="0.2">
      <c r="W1194" s="33"/>
      <c r="Y1194" s="33"/>
      <c r="Z1194" s="33"/>
    </row>
    <row r="1195" spans="23:26" x14ac:dyDescent="0.2">
      <c r="W1195" s="33"/>
      <c r="Y1195" s="33"/>
      <c r="Z1195" s="33"/>
    </row>
    <row r="1196" spans="23:26" x14ac:dyDescent="0.2">
      <c r="W1196" s="33"/>
      <c r="Y1196" s="33"/>
      <c r="Z1196" s="33"/>
    </row>
    <row r="1197" spans="23:26" x14ac:dyDescent="0.2">
      <c r="W1197" s="33"/>
      <c r="Y1197" s="33"/>
      <c r="Z1197" s="33"/>
    </row>
    <row r="1198" spans="23:26" x14ac:dyDescent="0.2">
      <c r="W1198" s="33"/>
      <c r="Y1198" s="33"/>
      <c r="Z1198" s="33"/>
    </row>
    <row r="1199" spans="23:26" x14ac:dyDescent="0.2">
      <c r="W1199" s="33"/>
      <c r="Y1199" s="33"/>
      <c r="Z1199" s="33"/>
    </row>
    <row r="1200" spans="23:26" x14ac:dyDescent="0.2">
      <c r="W1200" s="33"/>
      <c r="Y1200" s="33"/>
      <c r="Z1200" s="33"/>
    </row>
    <row r="1201" spans="23:26" x14ac:dyDescent="0.2">
      <c r="W1201" s="33"/>
      <c r="Y1201" s="33"/>
      <c r="Z1201" s="33"/>
    </row>
    <row r="1202" spans="23:26" x14ac:dyDescent="0.2">
      <c r="W1202" s="33"/>
      <c r="Y1202" s="33"/>
      <c r="Z1202" s="33"/>
    </row>
    <row r="1203" spans="23:26" x14ac:dyDescent="0.2">
      <c r="W1203" s="33"/>
      <c r="Y1203" s="33"/>
      <c r="Z1203" s="33"/>
    </row>
    <row r="1204" spans="23:26" x14ac:dyDescent="0.2">
      <c r="W1204" s="33"/>
      <c r="Y1204" s="33"/>
      <c r="Z1204" s="33"/>
    </row>
    <row r="1205" spans="23:26" x14ac:dyDescent="0.2">
      <c r="W1205" s="33"/>
      <c r="Y1205" s="33"/>
      <c r="Z1205" s="33"/>
    </row>
    <row r="1206" spans="23:26" x14ac:dyDescent="0.2">
      <c r="W1206" s="33"/>
      <c r="Y1206" s="33"/>
      <c r="Z1206" s="33"/>
    </row>
    <row r="1207" spans="23:26" x14ac:dyDescent="0.2">
      <c r="W1207" s="33"/>
      <c r="Y1207" s="33"/>
      <c r="Z1207" s="33"/>
    </row>
    <row r="1208" spans="23:26" x14ac:dyDescent="0.2">
      <c r="W1208" s="33"/>
      <c r="Y1208" s="33"/>
      <c r="Z1208" s="33"/>
    </row>
    <row r="1209" spans="23:26" x14ac:dyDescent="0.2">
      <c r="W1209" s="33"/>
      <c r="Y1209" s="33"/>
      <c r="Z1209" s="33"/>
    </row>
    <row r="1210" spans="23:26" x14ac:dyDescent="0.2">
      <c r="W1210" s="33"/>
      <c r="Y1210" s="33"/>
      <c r="Z1210" s="33"/>
    </row>
    <row r="1211" spans="23:26" x14ac:dyDescent="0.2">
      <c r="W1211" s="33"/>
      <c r="Y1211" s="33"/>
      <c r="Z1211" s="33"/>
    </row>
    <row r="1212" spans="23:26" x14ac:dyDescent="0.2">
      <c r="W1212" s="33"/>
      <c r="Y1212" s="33"/>
      <c r="Z1212" s="33"/>
    </row>
    <row r="1213" spans="23:26" x14ac:dyDescent="0.2">
      <c r="W1213" s="33"/>
      <c r="Y1213" s="33"/>
      <c r="Z1213" s="33"/>
    </row>
    <row r="1214" spans="23:26" x14ac:dyDescent="0.2">
      <c r="W1214" s="33"/>
      <c r="Y1214" s="33"/>
      <c r="Z1214" s="33"/>
    </row>
    <row r="1215" spans="23:26" x14ac:dyDescent="0.2">
      <c r="W1215" s="33"/>
      <c r="Y1215" s="33"/>
      <c r="Z1215" s="33"/>
    </row>
    <row r="1216" spans="23:26" x14ac:dyDescent="0.2">
      <c r="W1216" s="33"/>
      <c r="Y1216" s="33"/>
      <c r="Z1216" s="33"/>
    </row>
    <row r="1217" spans="23:26" x14ac:dyDescent="0.2">
      <c r="W1217" s="33"/>
      <c r="Y1217" s="33"/>
      <c r="Z1217" s="33"/>
    </row>
    <row r="1218" spans="23:26" x14ac:dyDescent="0.2">
      <c r="W1218" s="33"/>
      <c r="Y1218" s="33"/>
      <c r="Z1218" s="33"/>
    </row>
    <row r="1219" spans="23:26" x14ac:dyDescent="0.2">
      <c r="W1219" s="33"/>
      <c r="Y1219" s="33"/>
      <c r="Z1219" s="33"/>
    </row>
    <row r="1220" spans="23:26" x14ac:dyDescent="0.2">
      <c r="W1220" s="33"/>
      <c r="Y1220" s="33"/>
      <c r="Z1220" s="33"/>
    </row>
    <row r="1221" spans="23:26" x14ac:dyDescent="0.2">
      <c r="W1221" s="33"/>
      <c r="Y1221" s="33"/>
      <c r="Z1221" s="33"/>
    </row>
    <row r="1222" spans="23:26" x14ac:dyDescent="0.2">
      <c r="W1222" s="33"/>
      <c r="Y1222" s="33"/>
      <c r="Z1222" s="33"/>
    </row>
    <row r="1223" spans="23:26" x14ac:dyDescent="0.2">
      <c r="W1223" s="33"/>
      <c r="Y1223" s="33"/>
      <c r="Z1223" s="33"/>
    </row>
    <row r="1224" spans="23:26" x14ac:dyDescent="0.2">
      <c r="W1224" s="33"/>
      <c r="Y1224" s="33"/>
      <c r="Z1224" s="33"/>
    </row>
    <row r="1225" spans="23:26" x14ac:dyDescent="0.2">
      <c r="W1225" s="33"/>
      <c r="Y1225" s="33"/>
      <c r="Z1225" s="33"/>
    </row>
    <row r="1226" spans="23:26" x14ac:dyDescent="0.2">
      <c r="W1226" s="33"/>
      <c r="Y1226" s="33"/>
      <c r="Z1226" s="33"/>
    </row>
    <row r="1227" spans="23:26" x14ac:dyDescent="0.2">
      <c r="W1227" s="33"/>
      <c r="Y1227" s="33"/>
      <c r="Z1227" s="33"/>
    </row>
    <row r="1228" spans="23:26" x14ac:dyDescent="0.2">
      <c r="W1228" s="33"/>
      <c r="Y1228" s="33"/>
      <c r="Z1228" s="33"/>
    </row>
    <row r="1229" spans="23:26" x14ac:dyDescent="0.2">
      <c r="W1229" s="33"/>
      <c r="Y1229" s="33"/>
      <c r="Z1229" s="33"/>
    </row>
    <row r="1230" spans="23:26" x14ac:dyDescent="0.2">
      <c r="W1230" s="33"/>
      <c r="Y1230" s="33"/>
      <c r="Z1230" s="33"/>
    </row>
    <row r="1231" spans="23:26" x14ac:dyDescent="0.2">
      <c r="W1231" s="33"/>
      <c r="Y1231" s="33"/>
      <c r="Z1231" s="33"/>
    </row>
    <row r="1232" spans="23:26" x14ac:dyDescent="0.2">
      <c r="W1232" s="33"/>
      <c r="Y1232" s="33"/>
      <c r="Z1232" s="33"/>
    </row>
    <row r="1233" spans="23:26" x14ac:dyDescent="0.2">
      <c r="W1233" s="33"/>
      <c r="Y1233" s="33"/>
      <c r="Z1233" s="33"/>
    </row>
    <row r="1234" spans="23:26" x14ac:dyDescent="0.2">
      <c r="W1234" s="33"/>
      <c r="Y1234" s="33"/>
      <c r="Z1234" s="33"/>
    </row>
    <row r="1235" spans="23:26" x14ac:dyDescent="0.2">
      <c r="W1235" s="33"/>
      <c r="Y1235" s="33"/>
      <c r="Z1235" s="33"/>
    </row>
    <row r="1236" spans="23:26" x14ac:dyDescent="0.2">
      <c r="W1236" s="33"/>
      <c r="Y1236" s="33"/>
      <c r="Z1236" s="33"/>
    </row>
    <row r="1237" spans="23:26" x14ac:dyDescent="0.2">
      <c r="W1237" s="33"/>
      <c r="Y1237" s="33"/>
      <c r="Z1237" s="33"/>
    </row>
    <row r="1238" spans="23:26" x14ac:dyDescent="0.2">
      <c r="W1238" s="33"/>
      <c r="Y1238" s="33"/>
      <c r="Z1238" s="33"/>
    </row>
    <row r="1239" spans="23:26" x14ac:dyDescent="0.2">
      <c r="W1239" s="33"/>
      <c r="Y1239" s="33"/>
      <c r="Z1239" s="33"/>
    </row>
    <row r="1240" spans="23:26" x14ac:dyDescent="0.2">
      <c r="W1240" s="33"/>
      <c r="Y1240" s="33"/>
      <c r="Z1240" s="33"/>
    </row>
    <row r="1241" spans="23:26" x14ac:dyDescent="0.2">
      <c r="W1241" s="33"/>
      <c r="Y1241" s="33"/>
      <c r="Z1241" s="33"/>
    </row>
    <row r="1242" spans="23:26" x14ac:dyDescent="0.2">
      <c r="W1242" s="33"/>
      <c r="Y1242" s="33"/>
      <c r="Z1242" s="33"/>
    </row>
    <row r="1243" spans="23:26" x14ac:dyDescent="0.2">
      <c r="W1243" s="33"/>
      <c r="Y1243" s="33"/>
      <c r="Z1243" s="33"/>
    </row>
    <row r="1244" spans="23:26" x14ac:dyDescent="0.2">
      <c r="W1244" s="33"/>
      <c r="Y1244" s="33"/>
      <c r="Z1244" s="33"/>
    </row>
    <row r="1245" spans="23:26" x14ac:dyDescent="0.2">
      <c r="W1245" s="33"/>
      <c r="Y1245" s="33"/>
      <c r="Z1245" s="33"/>
    </row>
    <row r="1246" spans="23:26" x14ac:dyDescent="0.2">
      <c r="W1246" s="33"/>
      <c r="Y1246" s="33"/>
      <c r="Z1246" s="33"/>
    </row>
    <row r="1247" spans="23:26" x14ac:dyDescent="0.2">
      <c r="W1247" s="33"/>
      <c r="Y1247" s="33"/>
      <c r="Z1247" s="33"/>
    </row>
    <row r="1248" spans="23:26" x14ac:dyDescent="0.2">
      <c r="W1248" s="33"/>
      <c r="Y1248" s="33"/>
      <c r="Z1248" s="33"/>
    </row>
    <row r="1249" spans="23:26" x14ac:dyDescent="0.2">
      <c r="W1249" s="33"/>
      <c r="Y1249" s="33"/>
      <c r="Z1249" s="33"/>
    </row>
    <row r="1250" spans="23:26" x14ac:dyDescent="0.2">
      <c r="W1250" s="33"/>
      <c r="Y1250" s="33"/>
      <c r="Z1250" s="33"/>
    </row>
    <row r="1251" spans="23:26" x14ac:dyDescent="0.2">
      <c r="W1251" s="33"/>
      <c r="Y1251" s="33"/>
      <c r="Z1251" s="33"/>
    </row>
    <row r="1252" spans="23:26" x14ac:dyDescent="0.2">
      <c r="W1252" s="33"/>
      <c r="Y1252" s="33"/>
      <c r="Z1252" s="33"/>
    </row>
    <row r="1253" spans="23:26" x14ac:dyDescent="0.2">
      <c r="W1253" s="33"/>
      <c r="Y1253" s="33"/>
      <c r="Z1253" s="33"/>
    </row>
    <row r="1254" spans="23:26" x14ac:dyDescent="0.2">
      <c r="W1254" s="33"/>
      <c r="Y1254" s="33"/>
      <c r="Z1254" s="33"/>
    </row>
    <row r="1255" spans="23:26" x14ac:dyDescent="0.2">
      <c r="W1255" s="33"/>
      <c r="Y1255" s="33"/>
      <c r="Z1255" s="33"/>
    </row>
    <row r="1256" spans="23:26" x14ac:dyDescent="0.2">
      <c r="W1256" s="33"/>
      <c r="Y1256" s="33"/>
      <c r="Z1256" s="33"/>
    </row>
    <row r="1257" spans="23:26" x14ac:dyDescent="0.2">
      <c r="W1257" s="33"/>
      <c r="Y1257" s="33"/>
      <c r="Z1257" s="33"/>
    </row>
    <row r="1258" spans="23:26" x14ac:dyDescent="0.2">
      <c r="W1258" s="33"/>
      <c r="Y1258" s="33"/>
      <c r="Z1258" s="33"/>
    </row>
    <row r="1259" spans="23:26" x14ac:dyDescent="0.2">
      <c r="W1259" s="33"/>
      <c r="Y1259" s="33"/>
      <c r="Z1259" s="33"/>
    </row>
    <row r="1260" spans="23:26" x14ac:dyDescent="0.2">
      <c r="W1260" s="33"/>
      <c r="Y1260" s="33"/>
      <c r="Z1260" s="33"/>
    </row>
    <row r="1261" spans="23:26" x14ac:dyDescent="0.2">
      <c r="W1261" s="33"/>
      <c r="Y1261" s="33"/>
      <c r="Z1261" s="33"/>
    </row>
    <row r="1262" spans="23:26" x14ac:dyDescent="0.2">
      <c r="W1262" s="33"/>
      <c r="Y1262" s="33"/>
      <c r="Z1262" s="33"/>
    </row>
    <row r="1263" spans="23:26" x14ac:dyDescent="0.2">
      <c r="W1263" s="33"/>
      <c r="Y1263" s="33"/>
      <c r="Z1263" s="33"/>
    </row>
    <row r="1264" spans="23:26" x14ac:dyDescent="0.2">
      <c r="W1264" s="33"/>
      <c r="Y1264" s="33"/>
      <c r="Z1264" s="33"/>
    </row>
    <row r="1265" spans="23:26" x14ac:dyDescent="0.2">
      <c r="W1265" s="33"/>
      <c r="Y1265" s="33"/>
      <c r="Z1265" s="33"/>
    </row>
    <row r="1266" spans="23:26" x14ac:dyDescent="0.2">
      <c r="W1266" s="33"/>
      <c r="Y1266" s="33"/>
      <c r="Z1266" s="33"/>
    </row>
    <row r="1267" spans="23:26" x14ac:dyDescent="0.2">
      <c r="W1267" s="33"/>
      <c r="Y1267" s="33"/>
      <c r="Z1267" s="33"/>
    </row>
    <row r="1268" spans="23:26" x14ac:dyDescent="0.2">
      <c r="W1268" s="33"/>
      <c r="Y1268" s="33"/>
      <c r="Z1268" s="33"/>
    </row>
    <row r="1269" spans="23:26" x14ac:dyDescent="0.2">
      <c r="W1269" s="33"/>
      <c r="Y1269" s="33"/>
      <c r="Z1269" s="33"/>
    </row>
    <row r="1270" spans="23:26" x14ac:dyDescent="0.2">
      <c r="W1270" s="33"/>
      <c r="Y1270" s="33"/>
      <c r="Z1270" s="33"/>
    </row>
    <row r="1271" spans="23:26" x14ac:dyDescent="0.2">
      <c r="W1271" s="33"/>
      <c r="Y1271" s="33"/>
      <c r="Z1271" s="33"/>
    </row>
    <row r="1272" spans="23:26" x14ac:dyDescent="0.2">
      <c r="W1272" s="33"/>
      <c r="Y1272" s="33"/>
      <c r="Z1272" s="33"/>
    </row>
    <row r="1273" spans="23:26" x14ac:dyDescent="0.2">
      <c r="W1273" s="33"/>
      <c r="Y1273" s="33"/>
      <c r="Z1273" s="33"/>
    </row>
    <row r="1274" spans="23:26" x14ac:dyDescent="0.2">
      <c r="W1274" s="33"/>
      <c r="Y1274" s="33"/>
      <c r="Z1274" s="33"/>
    </row>
    <row r="1275" spans="23:26" x14ac:dyDescent="0.2">
      <c r="W1275" s="33"/>
      <c r="Y1275" s="33"/>
      <c r="Z1275" s="33"/>
    </row>
    <row r="1276" spans="23:26" x14ac:dyDescent="0.2">
      <c r="W1276" s="33"/>
      <c r="Y1276" s="33"/>
      <c r="Z1276" s="33"/>
    </row>
    <row r="1277" spans="23:26" x14ac:dyDescent="0.2">
      <c r="W1277" s="33"/>
      <c r="Y1277" s="33"/>
      <c r="Z1277" s="33"/>
    </row>
    <row r="1278" spans="23:26" x14ac:dyDescent="0.2">
      <c r="W1278" s="33"/>
      <c r="Y1278" s="33"/>
      <c r="Z1278" s="33"/>
    </row>
    <row r="1279" spans="23:26" x14ac:dyDescent="0.2">
      <c r="W1279" s="33"/>
      <c r="Y1279" s="33"/>
      <c r="Z1279" s="33"/>
    </row>
    <row r="1280" spans="23:26" x14ac:dyDescent="0.2">
      <c r="W1280" s="33"/>
      <c r="Y1280" s="33"/>
      <c r="Z1280" s="33"/>
    </row>
    <row r="1281" spans="23:26" x14ac:dyDescent="0.2">
      <c r="W1281" s="33"/>
      <c r="Y1281" s="33"/>
      <c r="Z1281" s="33"/>
    </row>
    <row r="1282" spans="23:26" x14ac:dyDescent="0.2">
      <c r="W1282" s="33"/>
      <c r="Y1282" s="33"/>
      <c r="Z1282" s="33"/>
    </row>
    <row r="1283" spans="23:26" x14ac:dyDescent="0.2">
      <c r="W1283" s="33"/>
      <c r="Y1283" s="33"/>
      <c r="Z1283" s="33"/>
    </row>
    <row r="1284" spans="23:26" x14ac:dyDescent="0.2">
      <c r="W1284" s="33"/>
      <c r="Y1284" s="33"/>
      <c r="Z1284" s="33"/>
    </row>
    <row r="1285" spans="23:26" x14ac:dyDescent="0.2">
      <c r="W1285" s="33"/>
      <c r="Y1285" s="33"/>
      <c r="Z1285" s="33"/>
    </row>
    <row r="1286" spans="23:26" x14ac:dyDescent="0.2">
      <c r="W1286" s="33"/>
      <c r="Y1286" s="33"/>
      <c r="Z1286" s="33"/>
    </row>
    <row r="1287" spans="23:26" x14ac:dyDescent="0.2">
      <c r="W1287" s="33"/>
      <c r="Y1287" s="33"/>
      <c r="Z1287" s="33"/>
    </row>
    <row r="1288" spans="23:26" x14ac:dyDescent="0.2">
      <c r="W1288" s="33"/>
      <c r="Y1288" s="33"/>
      <c r="Z1288" s="33"/>
    </row>
    <row r="1289" spans="23:26" x14ac:dyDescent="0.2">
      <c r="W1289" s="33"/>
      <c r="Y1289" s="33"/>
      <c r="Z1289" s="33"/>
    </row>
    <row r="1290" spans="23:26" x14ac:dyDescent="0.2">
      <c r="W1290" s="33"/>
      <c r="Y1290" s="33"/>
      <c r="Z1290" s="33"/>
    </row>
    <row r="1291" spans="23:26" x14ac:dyDescent="0.2">
      <c r="W1291" s="33"/>
      <c r="Y1291" s="33"/>
      <c r="Z1291" s="33"/>
    </row>
    <row r="1292" spans="23:26" x14ac:dyDescent="0.2">
      <c r="W1292" s="33"/>
      <c r="Y1292" s="33"/>
      <c r="Z1292" s="33"/>
    </row>
    <row r="1293" spans="23:26" x14ac:dyDescent="0.2">
      <c r="W1293" s="33"/>
      <c r="Y1293" s="33"/>
      <c r="Z1293" s="33"/>
    </row>
    <row r="1294" spans="23:26" x14ac:dyDescent="0.2">
      <c r="W1294" s="33"/>
      <c r="Y1294" s="33"/>
      <c r="Z1294" s="33"/>
    </row>
    <row r="1295" spans="23:26" x14ac:dyDescent="0.2">
      <c r="W1295" s="33"/>
      <c r="Y1295" s="33"/>
      <c r="Z1295" s="33"/>
    </row>
    <row r="1296" spans="23:26" x14ac:dyDescent="0.2">
      <c r="W1296" s="33"/>
      <c r="Y1296" s="33"/>
      <c r="Z1296" s="33"/>
    </row>
    <row r="1297" spans="23:26" x14ac:dyDescent="0.2">
      <c r="W1297" s="33"/>
      <c r="Y1297" s="33"/>
      <c r="Z1297" s="33"/>
    </row>
    <row r="1298" spans="23:26" x14ac:dyDescent="0.2">
      <c r="W1298" s="33"/>
      <c r="Y1298" s="33"/>
      <c r="Z1298" s="33"/>
    </row>
    <row r="1299" spans="23:26" x14ac:dyDescent="0.2">
      <c r="W1299" s="33"/>
      <c r="Y1299" s="33"/>
      <c r="Z1299" s="33"/>
    </row>
    <row r="1300" spans="23:26" x14ac:dyDescent="0.2">
      <c r="W1300" s="33"/>
      <c r="Y1300" s="33"/>
      <c r="Z1300" s="33"/>
    </row>
    <row r="1301" spans="23:26" x14ac:dyDescent="0.2">
      <c r="W1301" s="33"/>
      <c r="Y1301" s="33"/>
      <c r="Z1301" s="33"/>
    </row>
    <row r="1302" spans="23:26" x14ac:dyDescent="0.2">
      <c r="W1302" s="33"/>
      <c r="Y1302" s="33"/>
      <c r="Z1302" s="33"/>
    </row>
    <row r="1303" spans="23:26" x14ac:dyDescent="0.2">
      <c r="W1303" s="33"/>
      <c r="Y1303" s="33"/>
      <c r="Z1303" s="33"/>
    </row>
    <row r="1304" spans="23:26" x14ac:dyDescent="0.2">
      <c r="W1304" s="33"/>
      <c r="Y1304" s="33"/>
      <c r="Z1304" s="33"/>
    </row>
    <row r="1305" spans="23:26" x14ac:dyDescent="0.2">
      <c r="W1305" s="33"/>
      <c r="Y1305" s="33"/>
      <c r="Z1305" s="33"/>
    </row>
    <row r="1306" spans="23:26" x14ac:dyDescent="0.2">
      <c r="W1306" s="33"/>
      <c r="Y1306" s="33"/>
      <c r="Z1306" s="33"/>
    </row>
    <row r="1307" spans="23:26" x14ac:dyDescent="0.2">
      <c r="W1307" s="33"/>
      <c r="Y1307" s="33"/>
      <c r="Z1307" s="33"/>
    </row>
    <row r="1308" spans="23:26" x14ac:dyDescent="0.2">
      <c r="W1308" s="33"/>
      <c r="Y1308" s="33"/>
      <c r="Z1308" s="33"/>
    </row>
    <row r="1309" spans="23:26" x14ac:dyDescent="0.2">
      <c r="W1309" s="33"/>
      <c r="Y1309" s="33"/>
      <c r="Z1309" s="33"/>
    </row>
    <row r="1310" spans="23:26" x14ac:dyDescent="0.2">
      <c r="W1310" s="33"/>
      <c r="Y1310" s="33"/>
      <c r="Z1310" s="33"/>
    </row>
    <row r="1311" spans="23:26" x14ac:dyDescent="0.2">
      <c r="W1311" s="33"/>
      <c r="Y1311" s="33"/>
      <c r="Z1311" s="33"/>
    </row>
    <row r="1312" spans="23:26" x14ac:dyDescent="0.2">
      <c r="W1312" s="33"/>
      <c r="Y1312" s="33"/>
      <c r="Z1312" s="33"/>
    </row>
    <row r="1313" spans="23:26" x14ac:dyDescent="0.2">
      <c r="W1313" s="33"/>
      <c r="Y1313" s="33"/>
      <c r="Z1313" s="33"/>
    </row>
    <row r="1314" spans="23:26" x14ac:dyDescent="0.2">
      <c r="W1314" s="33"/>
      <c r="Y1314" s="33"/>
      <c r="Z1314" s="33"/>
    </row>
    <row r="1315" spans="23:26" x14ac:dyDescent="0.2">
      <c r="W1315" s="33"/>
      <c r="Y1315" s="33"/>
      <c r="Z1315" s="33"/>
    </row>
    <row r="1316" spans="23:26" x14ac:dyDescent="0.2">
      <c r="W1316" s="33"/>
      <c r="Y1316" s="33"/>
      <c r="Z1316" s="33"/>
    </row>
    <row r="1317" spans="23:26" x14ac:dyDescent="0.2">
      <c r="W1317" s="33"/>
      <c r="Y1317" s="33"/>
      <c r="Z1317" s="33"/>
    </row>
    <row r="1318" spans="23:26" x14ac:dyDescent="0.2">
      <c r="W1318" s="33"/>
      <c r="Y1318" s="33"/>
      <c r="Z1318" s="33"/>
    </row>
    <row r="1319" spans="23:26" x14ac:dyDescent="0.2">
      <c r="W1319" s="33"/>
      <c r="Y1319" s="33"/>
      <c r="Z1319" s="33"/>
    </row>
    <row r="1320" spans="23:26" x14ac:dyDescent="0.2">
      <c r="W1320" s="33"/>
      <c r="Y1320" s="33"/>
      <c r="Z1320" s="33"/>
    </row>
    <row r="1321" spans="23:26" x14ac:dyDescent="0.2">
      <c r="W1321" s="33"/>
      <c r="Y1321" s="33"/>
      <c r="Z1321" s="33"/>
    </row>
    <row r="1322" spans="23:26" x14ac:dyDescent="0.2">
      <c r="W1322" s="33"/>
      <c r="Y1322" s="33"/>
      <c r="Z1322" s="33"/>
    </row>
    <row r="1323" spans="23:26" x14ac:dyDescent="0.2">
      <c r="W1323" s="33"/>
      <c r="Y1323" s="33"/>
      <c r="Z1323" s="33"/>
    </row>
    <row r="1324" spans="23:26" x14ac:dyDescent="0.2">
      <c r="W1324" s="33"/>
      <c r="Y1324" s="33"/>
      <c r="Z1324" s="33"/>
    </row>
    <row r="1325" spans="23:26" x14ac:dyDescent="0.2">
      <c r="W1325" s="33"/>
      <c r="Y1325" s="33"/>
      <c r="Z1325" s="33"/>
    </row>
    <row r="1326" spans="23:26" x14ac:dyDescent="0.2">
      <c r="W1326" s="33"/>
      <c r="Y1326" s="33"/>
      <c r="Z1326" s="33"/>
    </row>
    <row r="1327" spans="23:26" x14ac:dyDescent="0.2">
      <c r="W1327" s="33"/>
      <c r="Y1327" s="33"/>
      <c r="Z1327" s="33"/>
    </row>
    <row r="1328" spans="23:26" x14ac:dyDescent="0.2">
      <c r="W1328" s="33"/>
      <c r="Y1328" s="33"/>
      <c r="Z1328" s="33"/>
    </row>
    <row r="1329" spans="23:26" x14ac:dyDescent="0.2">
      <c r="W1329" s="33"/>
      <c r="Y1329" s="33"/>
      <c r="Z1329" s="33"/>
    </row>
    <row r="1330" spans="23:26" x14ac:dyDescent="0.2">
      <c r="W1330" s="33"/>
      <c r="Y1330" s="33"/>
      <c r="Z1330" s="33"/>
    </row>
    <row r="1331" spans="23:26" x14ac:dyDescent="0.2">
      <c r="W1331" s="33"/>
      <c r="Y1331" s="33"/>
      <c r="Z1331" s="33"/>
    </row>
    <row r="1332" spans="23:26" x14ac:dyDescent="0.2">
      <c r="W1332" s="33"/>
      <c r="Y1332" s="33"/>
      <c r="Z1332" s="33"/>
    </row>
    <row r="1333" spans="23:26" x14ac:dyDescent="0.2">
      <c r="W1333" s="33"/>
      <c r="Y1333" s="33"/>
      <c r="Z1333" s="33"/>
    </row>
    <row r="1334" spans="23:26" x14ac:dyDescent="0.2">
      <c r="W1334" s="33"/>
      <c r="Y1334" s="33"/>
      <c r="Z1334" s="33"/>
    </row>
    <row r="1335" spans="23:26" x14ac:dyDescent="0.2">
      <c r="W1335" s="33"/>
      <c r="Y1335" s="33"/>
      <c r="Z1335" s="33"/>
    </row>
    <row r="1336" spans="23:26" x14ac:dyDescent="0.2">
      <c r="W1336" s="33"/>
      <c r="Y1336" s="33"/>
      <c r="Z1336" s="33"/>
    </row>
    <row r="1337" spans="23:26" x14ac:dyDescent="0.2">
      <c r="W1337" s="33"/>
      <c r="Y1337" s="33"/>
      <c r="Z1337" s="33"/>
    </row>
    <row r="1338" spans="23:26" x14ac:dyDescent="0.2">
      <c r="W1338" s="33"/>
      <c r="Y1338" s="33"/>
      <c r="Z1338" s="33"/>
    </row>
    <row r="1339" spans="23:26" x14ac:dyDescent="0.2">
      <c r="W1339" s="33"/>
      <c r="Y1339" s="33"/>
      <c r="Z1339" s="33"/>
    </row>
    <row r="1340" spans="23:26" x14ac:dyDescent="0.2">
      <c r="W1340" s="33"/>
      <c r="Y1340" s="33"/>
      <c r="Z1340" s="33"/>
    </row>
    <row r="1341" spans="23:26" x14ac:dyDescent="0.2">
      <c r="W1341" s="33"/>
      <c r="Y1341" s="33"/>
      <c r="Z1341" s="33"/>
    </row>
    <row r="1342" spans="23:26" x14ac:dyDescent="0.2">
      <c r="W1342" s="33"/>
      <c r="Y1342" s="33"/>
      <c r="Z1342" s="33"/>
    </row>
    <row r="1343" spans="23:26" x14ac:dyDescent="0.2">
      <c r="W1343" s="33"/>
      <c r="Y1343" s="33"/>
      <c r="Z1343" s="33"/>
    </row>
    <row r="1344" spans="23:26" x14ac:dyDescent="0.2">
      <c r="W1344" s="33"/>
      <c r="Y1344" s="33"/>
      <c r="Z1344" s="33"/>
    </row>
    <row r="1345" spans="23:26" x14ac:dyDescent="0.2">
      <c r="W1345" s="33"/>
      <c r="Y1345" s="33"/>
      <c r="Z1345" s="33"/>
    </row>
    <row r="1346" spans="23:26" x14ac:dyDescent="0.2">
      <c r="W1346" s="33"/>
      <c r="Y1346" s="33"/>
      <c r="Z1346" s="33"/>
    </row>
    <row r="1347" spans="23:26" x14ac:dyDescent="0.2">
      <c r="W1347" s="33"/>
      <c r="Y1347" s="33"/>
      <c r="Z1347" s="33"/>
    </row>
    <row r="1348" spans="23:26" x14ac:dyDescent="0.2">
      <c r="W1348" s="33"/>
      <c r="Y1348" s="33"/>
      <c r="Z1348" s="33"/>
    </row>
    <row r="1349" spans="23:26" x14ac:dyDescent="0.2">
      <c r="W1349" s="33"/>
      <c r="Y1349" s="33"/>
      <c r="Z1349" s="33"/>
    </row>
    <row r="1350" spans="23:26" x14ac:dyDescent="0.2">
      <c r="W1350" s="33"/>
      <c r="Y1350" s="33"/>
      <c r="Z1350" s="33"/>
    </row>
    <row r="1351" spans="23:26" x14ac:dyDescent="0.2">
      <c r="W1351" s="33"/>
      <c r="Y1351" s="33"/>
      <c r="Z1351" s="33"/>
    </row>
    <row r="1352" spans="23:26" x14ac:dyDescent="0.2">
      <c r="W1352" s="33"/>
      <c r="Y1352" s="33"/>
      <c r="Z1352" s="33"/>
    </row>
    <row r="1353" spans="23:26" x14ac:dyDescent="0.2">
      <c r="W1353" s="33"/>
      <c r="Y1353" s="33"/>
      <c r="Z1353" s="33"/>
    </row>
    <row r="1354" spans="23:26" x14ac:dyDescent="0.2">
      <c r="W1354" s="33"/>
      <c r="Y1354" s="33"/>
      <c r="Z1354" s="33"/>
    </row>
    <row r="1355" spans="23:26" x14ac:dyDescent="0.2">
      <c r="W1355" s="33"/>
      <c r="Y1355" s="33"/>
      <c r="Z1355" s="33"/>
    </row>
    <row r="1356" spans="23:26" x14ac:dyDescent="0.2">
      <c r="W1356" s="33"/>
      <c r="Y1356" s="33"/>
      <c r="Z1356" s="33"/>
    </row>
    <row r="1357" spans="23:26" x14ac:dyDescent="0.2">
      <c r="W1357" s="33"/>
      <c r="Y1357" s="33"/>
      <c r="Z1357" s="33"/>
    </row>
    <row r="1358" spans="23:26" x14ac:dyDescent="0.2">
      <c r="W1358" s="33"/>
      <c r="Y1358" s="33"/>
      <c r="Z1358" s="33"/>
    </row>
    <row r="1359" spans="23:26" x14ac:dyDescent="0.2">
      <c r="W1359" s="33"/>
      <c r="Y1359" s="33"/>
      <c r="Z1359" s="33"/>
    </row>
    <row r="1360" spans="23:26" x14ac:dyDescent="0.2">
      <c r="W1360" s="33"/>
      <c r="Y1360" s="33"/>
      <c r="Z1360" s="33"/>
    </row>
    <row r="1361" spans="23:26" x14ac:dyDescent="0.2">
      <c r="W1361" s="33"/>
      <c r="Y1361" s="33"/>
      <c r="Z1361" s="33"/>
    </row>
    <row r="1362" spans="23:26" x14ac:dyDescent="0.2">
      <c r="W1362" s="33"/>
      <c r="Y1362" s="33"/>
      <c r="Z1362" s="33"/>
    </row>
    <row r="1363" spans="23:26" x14ac:dyDescent="0.2">
      <c r="W1363" s="33"/>
      <c r="Y1363" s="33"/>
      <c r="Z1363" s="33"/>
    </row>
    <row r="1364" spans="23:26" x14ac:dyDescent="0.2">
      <c r="W1364" s="33"/>
      <c r="Y1364" s="33"/>
      <c r="Z1364" s="33"/>
    </row>
    <row r="1365" spans="23:26" x14ac:dyDescent="0.2">
      <c r="W1365" s="33"/>
      <c r="Y1365" s="33"/>
      <c r="Z1365" s="33"/>
    </row>
    <row r="1366" spans="23:26" x14ac:dyDescent="0.2">
      <c r="W1366" s="33"/>
      <c r="Y1366" s="33"/>
      <c r="Z1366" s="33"/>
    </row>
    <row r="1367" spans="23:26" x14ac:dyDescent="0.2">
      <c r="W1367" s="33"/>
      <c r="Y1367" s="33"/>
      <c r="Z1367" s="33"/>
    </row>
    <row r="1368" spans="23:26" x14ac:dyDescent="0.2">
      <c r="W1368" s="33"/>
      <c r="Y1368" s="33"/>
      <c r="Z1368" s="33"/>
    </row>
    <row r="1369" spans="23:26" x14ac:dyDescent="0.2">
      <c r="W1369" s="33"/>
      <c r="Y1369" s="33"/>
      <c r="Z1369" s="33"/>
    </row>
    <row r="1370" spans="23:26" x14ac:dyDescent="0.2">
      <c r="W1370" s="33"/>
      <c r="Y1370" s="33"/>
      <c r="Z1370" s="33"/>
    </row>
    <row r="1371" spans="23:26" x14ac:dyDescent="0.2">
      <c r="W1371" s="33"/>
      <c r="Y1371" s="33"/>
      <c r="Z1371" s="33"/>
    </row>
    <row r="1372" spans="23:26" x14ac:dyDescent="0.2">
      <c r="W1372" s="33"/>
      <c r="Y1372" s="33"/>
      <c r="Z1372" s="33"/>
    </row>
    <row r="1373" spans="23:26" x14ac:dyDescent="0.2">
      <c r="W1373" s="33"/>
      <c r="Y1373" s="33"/>
      <c r="Z1373" s="33"/>
    </row>
    <row r="1374" spans="23:26" x14ac:dyDescent="0.2">
      <c r="W1374" s="33"/>
      <c r="Y1374" s="33"/>
      <c r="Z1374" s="33"/>
    </row>
    <row r="1375" spans="23:26" x14ac:dyDescent="0.2">
      <c r="W1375" s="33"/>
      <c r="Y1375" s="33"/>
      <c r="Z1375" s="33"/>
    </row>
    <row r="1376" spans="23:26" x14ac:dyDescent="0.2">
      <c r="W1376" s="33"/>
      <c r="Y1376" s="33"/>
      <c r="Z1376" s="33"/>
    </row>
    <row r="1377" spans="23:26" x14ac:dyDescent="0.2">
      <c r="W1377" s="33"/>
      <c r="Y1377" s="33"/>
      <c r="Z1377" s="33"/>
    </row>
    <row r="1378" spans="23:26" x14ac:dyDescent="0.2">
      <c r="W1378" s="33"/>
      <c r="Y1378" s="33"/>
      <c r="Z1378" s="33"/>
    </row>
    <row r="1379" spans="23:26" x14ac:dyDescent="0.2">
      <c r="W1379" s="33"/>
      <c r="Y1379" s="33"/>
      <c r="Z1379" s="33"/>
    </row>
    <row r="1380" spans="23:26" x14ac:dyDescent="0.2">
      <c r="W1380" s="33"/>
      <c r="Y1380" s="33"/>
      <c r="Z1380" s="33"/>
    </row>
    <row r="1381" spans="23:26" x14ac:dyDescent="0.2">
      <c r="W1381" s="33"/>
      <c r="Y1381" s="33"/>
      <c r="Z1381" s="33"/>
    </row>
    <row r="1382" spans="23:26" x14ac:dyDescent="0.2">
      <c r="W1382" s="33"/>
      <c r="Y1382" s="33"/>
      <c r="Z1382" s="33"/>
    </row>
    <row r="1383" spans="23:26" x14ac:dyDescent="0.2">
      <c r="W1383" s="33"/>
      <c r="Y1383" s="33"/>
      <c r="Z1383" s="33"/>
    </row>
    <row r="1384" spans="23:26" x14ac:dyDescent="0.2">
      <c r="W1384" s="33"/>
      <c r="Y1384" s="33"/>
      <c r="Z1384" s="33"/>
    </row>
    <row r="1385" spans="23:26" x14ac:dyDescent="0.2">
      <c r="W1385" s="33"/>
      <c r="Y1385" s="33"/>
      <c r="Z1385" s="33"/>
    </row>
    <row r="1386" spans="23:26" x14ac:dyDescent="0.2">
      <c r="W1386" s="33"/>
      <c r="Y1386" s="33"/>
      <c r="Z1386" s="33"/>
    </row>
    <row r="1387" spans="23:26" x14ac:dyDescent="0.2">
      <c r="W1387" s="33"/>
      <c r="Y1387" s="33"/>
      <c r="Z1387" s="33"/>
    </row>
    <row r="1388" spans="23:26" x14ac:dyDescent="0.2">
      <c r="W1388" s="33"/>
      <c r="Y1388" s="33"/>
      <c r="Z1388" s="33"/>
    </row>
    <row r="1389" spans="23:26" x14ac:dyDescent="0.2">
      <c r="W1389" s="33"/>
      <c r="Y1389" s="33"/>
      <c r="Z1389" s="33"/>
    </row>
    <row r="1390" spans="23:26" x14ac:dyDescent="0.2">
      <c r="W1390" s="33"/>
      <c r="Y1390" s="33"/>
      <c r="Z1390" s="33"/>
    </row>
    <row r="1391" spans="23:26" x14ac:dyDescent="0.2">
      <c r="W1391" s="33"/>
      <c r="Y1391" s="33"/>
      <c r="Z1391" s="33"/>
    </row>
    <row r="1392" spans="23:26" x14ac:dyDescent="0.2">
      <c r="W1392" s="33"/>
      <c r="Y1392" s="33"/>
      <c r="Z1392" s="33"/>
    </row>
    <row r="1393" spans="23:26" x14ac:dyDescent="0.2">
      <c r="W1393" s="33"/>
      <c r="Y1393" s="33"/>
      <c r="Z1393" s="33"/>
    </row>
    <row r="1394" spans="23:26" x14ac:dyDescent="0.2">
      <c r="W1394" s="33"/>
      <c r="Y1394" s="33"/>
      <c r="Z1394" s="33"/>
    </row>
    <row r="1395" spans="23:26" x14ac:dyDescent="0.2">
      <c r="W1395" s="33"/>
      <c r="Y1395" s="33"/>
      <c r="Z1395" s="33"/>
    </row>
    <row r="1396" spans="23:26" x14ac:dyDescent="0.2">
      <c r="W1396" s="33"/>
      <c r="Y1396" s="33"/>
      <c r="Z1396" s="33"/>
    </row>
    <row r="1397" spans="23:26" x14ac:dyDescent="0.2">
      <c r="W1397" s="33"/>
      <c r="Y1397" s="33"/>
      <c r="Z1397" s="33"/>
    </row>
    <row r="1398" spans="23:26" x14ac:dyDescent="0.2">
      <c r="W1398" s="33"/>
      <c r="Y1398" s="33"/>
      <c r="Z1398" s="33"/>
    </row>
    <row r="1399" spans="23:26" x14ac:dyDescent="0.2">
      <c r="W1399" s="33"/>
      <c r="Y1399" s="33"/>
      <c r="Z1399" s="33"/>
    </row>
    <row r="1400" spans="23:26" x14ac:dyDescent="0.2">
      <c r="W1400" s="33"/>
      <c r="Y1400" s="33"/>
      <c r="Z1400" s="33"/>
    </row>
    <row r="1401" spans="23:26" x14ac:dyDescent="0.2">
      <c r="W1401" s="33"/>
      <c r="Y1401" s="33"/>
      <c r="Z1401" s="33"/>
    </row>
    <row r="1402" spans="23:26" x14ac:dyDescent="0.2">
      <c r="W1402" s="33"/>
      <c r="Y1402" s="33"/>
      <c r="Z1402" s="33"/>
    </row>
    <row r="1403" spans="23:26" x14ac:dyDescent="0.2">
      <c r="W1403" s="33"/>
      <c r="Y1403" s="33"/>
      <c r="Z1403" s="33"/>
    </row>
    <row r="1404" spans="23:26" x14ac:dyDescent="0.2">
      <c r="W1404" s="33"/>
      <c r="Y1404" s="33"/>
      <c r="Z1404" s="33"/>
    </row>
    <row r="1405" spans="23:26" x14ac:dyDescent="0.2">
      <c r="W1405" s="33"/>
      <c r="Y1405" s="33"/>
      <c r="Z1405" s="33"/>
    </row>
    <row r="1406" spans="23:26" x14ac:dyDescent="0.2">
      <c r="W1406" s="33"/>
      <c r="Y1406" s="33"/>
      <c r="Z1406" s="33"/>
    </row>
    <row r="1407" spans="23:26" x14ac:dyDescent="0.2">
      <c r="W1407" s="33"/>
      <c r="Y1407" s="33"/>
      <c r="Z1407" s="33"/>
    </row>
    <row r="1408" spans="23:26" x14ac:dyDescent="0.2">
      <c r="W1408" s="33"/>
      <c r="Y1408" s="33"/>
      <c r="Z1408" s="33"/>
    </row>
    <row r="1409" spans="23:26" x14ac:dyDescent="0.2">
      <c r="W1409" s="33"/>
      <c r="Y1409" s="33"/>
      <c r="Z1409" s="33"/>
    </row>
    <row r="1410" spans="23:26" x14ac:dyDescent="0.2">
      <c r="W1410" s="33"/>
      <c r="Y1410" s="33"/>
      <c r="Z1410" s="33"/>
    </row>
    <row r="1411" spans="23:26" x14ac:dyDescent="0.2">
      <c r="W1411" s="33"/>
      <c r="Y1411" s="33"/>
      <c r="Z1411" s="33"/>
    </row>
    <row r="1412" spans="23:26" x14ac:dyDescent="0.2">
      <c r="W1412" s="33"/>
      <c r="Y1412" s="33"/>
      <c r="Z1412" s="33"/>
    </row>
    <row r="1413" spans="23:26" x14ac:dyDescent="0.2">
      <c r="W1413" s="33"/>
      <c r="Y1413" s="33"/>
      <c r="Z1413" s="33"/>
    </row>
    <row r="1414" spans="23:26" x14ac:dyDescent="0.2">
      <c r="W1414" s="33"/>
      <c r="Y1414" s="33"/>
      <c r="Z1414" s="33"/>
    </row>
    <row r="1415" spans="23:26" x14ac:dyDescent="0.2">
      <c r="W1415" s="33"/>
      <c r="Y1415" s="33"/>
      <c r="Z1415" s="33"/>
    </row>
    <row r="1416" spans="23:26" x14ac:dyDescent="0.2">
      <c r="W1416" s="33"/>
      <c r="Y1416" s="33"/>
      <c r="Z1416" s="33"/>
    </row>
    <row r="1417" spans="23:26" x14ac:dyDescent="0.2">
      <c r="W1417" s="33"/>
      <c r="Y1417" s="33"/>
      <c r="Z1417" s="33"/>
    </row>
    <row r="1418" spans="23:26" x14ac:dyDescent="0.2">
      <c r="W1418" s="33"/>
      <c r="Y1418" s="33"/>
      <c r="Z1418" s="33"/>
    </row>
    <row r="1419" spans="23:26" x14ac:dyDescent="0.2">
      <c r="W1419" s="33"/>
      <c r="Y1419" s="33"/>
      <c r="Z1419" s="33"/>
    </row>
    <row r="1420" spans="23:26" x14ac:dyDescent="0.2">
      <c r="W1420" s="33"/>
      <c r="Y1420" s="33"/>
      <c r="Z1420" s="33"/>
    </row>
    <row r="1421" spans="23:26" x14ac:dyDescent="0.2">
      <c r="W1421" s="33"/>
      <c r="Y1421" s="33"/>
      <c r="Z1421" s="33"/>
    </row>
    <row r="1422" spans="23:26" x14ac:dyDescent="0.2">
      <c r="W1422" s="33"/>
      <c r="Y1422" s="33"/>
      <c r="Z1422" s="33"/>
    </row>
    <row r="1423" spans="23:26" x14ac:dyDescent="0.2">
      <c r="W1423" s="33"/>
      <c r="Y1423" s="33"/>
      <c r="Z1423" s="33"/>
    </row>
    <row r="1424" spans="23:26" x14ac:dyDescent="0.2">
      <c r="W1424" s="33"/>
      <c r="Y1424" s="33"/>
      <c r="Z1424" s="33"/>
    </row>
    <row r="1425" spans="23:26" x14ac:dyDescent="0.2">
      <c r="W1425" s="33"/>
      <c r="Y1425" s="33"/>
      <c r="Z1425" s="33"/>
    </row>
    <row r="1426" spans="23:26" x14ac:dyDescent="0.2">
      <c r="W1426" s="33"/>
      <c r="Y1426" s="33"/>
      <c r="Z1426" s="33"/>
    </row>
    <row r="1427" spans="23:26" x14ac:dyDescent="0.2">
      <c r="W1427" s="33"/>
      <c r="Y1427" s="33"/>
      <c r="Z1427" s="33"/>
    </row>
    <row r="1428" spans="23:26" x14ac:dyDescent="0.2">
      <c r="W1428" s="33"/>
      <c r="Y1428" s="33"/>
      <c r="Z1428" s="33"/>
    </row>
    <row r="1429" spans="23:26" x14ac:dyDescent="0.2">
      <c r="W1429" s="33"/>
      <c r="Y1429" s="33"/>
      <c r="Z1429" s="33"/>
    </row>
    <row r="1430" spans="23:26" x14ac:dyDescent="0.2">
      <c r="W1430" s="33"/>
      <c r="Y1430" s="33"/>
      <c r="Z1430" s="33"/>
    </row>
    <row r="1431" spans="23:26" x14ac:dyDescent="0.2">
      <c r="W1431" s="33"/>
      <c r="Y1431" s="33"/>
      <c r="Z1431" s="33"/>
    </row>
    <row r="1432" spans="23:26" x14ac:dyDescent="0.2">
      <c r="W1432" s="33"/>
      <c r="Y1432" s="33"/>
      <c r="Z1432" s="33"/>
    </row>
    <row r="1433" spans="23:26" x14ac:dyDescent="0.2">
      <c r="W1433" s="33"/>
      <c r="Y1433" s="33"/>
      <c r="Z1433" s="33"/>
    </row>
    <row r="1434" spans="23:26" x14ac:dyDescent="0.2">
      <c r="W1434" s="33"/>
      <c r="Y1434" s="33"/>
      <c r="Z1434" s="33"/>
    </row>
    <row r="1435" spans="23:26" x14ac:dyDescent="0.2">
      <c r="W1435" s="33"/>
      <c r="Y1435" s="33"/>
      <c r="Z1435" s="33"/>
    </row>
    <row r="1436" spans="23:26" x14ac:dyDescent="0.2">
      <c r="W1436" s="33"/>
      <c r="Y1436" s="33"/>
      <c r="Z1436" s="33"/>
    </row>
    <row r="1437" spans="23:26" x14ac:dyDescent="0.2">
      <c r="W1437" s="33"/>
      <c r="Y1437" s="33"/>
      <c r="Z1437" s="33"/>
    </row>
    <row r="1438" spans="23:26" x14ac:dyDescent="0.2">
      <c r="W1438" s="33"/>
      <c r="Y1438" s="33"/>
      <c r="Z1438" s="33"/>
    </row>
    <row r="1439" spans="23:26" x14ac:dyDescent="0.2">
      <c r="W1439" s="33"/>
      <c r="Y1439" s="33"/>
      <c r="Z1439" s="33"/>
    </row>
    <row r="1440" spans="23:26" x14ac:dyDescent="0.2">
      <c r="W1440" s="33"/>
      <c r="Y1440" s="33"/>
      <c r="Z1440" s="33"/>
    </row>
    <row r="1441" spans="23:26" x14ac:dyDescent="0.2">
      <c r="W1441" s="33"/>
      <c r="Y1441" s="33"/>
      <c r="Z1441" s="33"/>
    </row>
    <row r="1442" spans="23:26" x14ac:dyDescent="0.2">
      <c r="W1442" s="33"/>
      <c r="Y1442" s="33"/>
      <c r="Z1442" s="33"/>
    </row>
    <row r="1443" spans="23:26" x14ac:dyDescent="0.2">
      <c r="W1443" s="33"/>
      <c r="Y1443" s="33"/>
      <c r="Z1443" s="33"/>
    </row>
    <row r="1444" spans="23:26" x14ac:dyDescent="0.2">
      <c r="W1444" s="33"/>
      <c r="Y1444" s="33"/>
      <c r="Z1444" s="33"/>
    </row>
    <row r="1445" spans="23:26" x14ac:dyDescent="0.2">
      <c r="W1445" s="33"/>
      <c r="Y1445" s="33"/>
      <c r="Z1445" s="33"/>
    </row>
    <row r="1446" spans="23:26" x14ac:dyDescent="0.2">
      <c r="W1446" s="33"/>
      <c r="Y1446" s="33"/>
      <c r="Z1446" s="33"/>
    </row>
    <row r="1447" spans="23:26" x14ac:dyDescent="0.2">
      <c r="W1447" s="33"/>
      <c r="Y1447" s="33"/>
      <c r="Z1447" s="33"/>
    </row>
    <row r="1448" spans="23:26" x14ac:dyDescent="0.2">
      <c r="W1448" s="33"/>
      <c r="Y1448" s="33"/>
      <c r="Z1448" s="33"/>
    </row>
    <row r="1449" spans="23:26" x14ac:dyDescent="0.2">
      <c r="W1449" s="33"/>
      <c r="Y1449" s="33"/>
      <c r="Z1449" s="33"/>
    </row>
    <row r="1450" spans="23:26" x14ac:dyDescent="0.2">
      <c r="W1450" s="33"/>
      <c r="Y1450" s="33"/>
      <c r="Z1450" s="33"/>
    </row>
    <row r="1451" spans="23:26" x14ac:dyDescent="0.2">
      <c r="W1451" s="33"/>
      <c r="Y1451" s="33"/>
      <c r="Z1451" s="33"/>
    </row>
    <row r="1452" spans="23:26" x14ac:dyDescent="0.2">
      <c r="W1452" s="33"/>
      <c r="Y1452" s="33"/>
      <c r="Z1452" s="33"/>
    </row>
    <row r="1453" spans="23:26" x14ac:dyDescent="0.2">
      <c r="W1453" s="33"/>
      <c r="Y1453" s="33"/>
      <c r="Z1453" s="33"/>
    </row>
    <row r="1454" spans="23:26" x14ac:dyDescent="0.2">
      <c r="W1454" s="33"/>
      <c r="Y1454" s="33"/>
      <c r="Z1454" s="33"/>
    </row>
    <row r="1455" spans="23:26" x14ac:dyDescent="0.2">
      <c r="W1455" s="33"/>
      <c r="Y1455" s="33"/>
      <c r="Z1455" s="33"/>
    </row>
    <row r="1456" spans="23:26" x14ac:dyDescent="0.2">
      <c r="W1456" s="33"/>
      <c r="Y1456" s="33"/>
      <c r="Z1456" s="33"/>
    </row>
    <row r="1457" spans="23:26" x14ac:dyDescent="0.2">
      <c r="W1457" s="33"/>
      <c r="Y1457" s="33"/>
      <c r="Z1457" s="33"/>
    </row>
    <row r="1458" spans="23:26" x14ac:dyDescent="0.2">
      <c r="W1458" s="33"/>
      <c r="Y1458" s="33"/>
      <c r="Z1458" s="33"/>
    </row>
    <row r="1459" spans="23:26" x14ac:dyDescent="0.2">
      <c r="W1459" s="33"/>
      <c r="Y1459" s="33"/>
      <c r="Z1459" s="33"/>
    </row>
    <row r="1460" spans="23:26" x14ac:dyDescent="0.2">
      <c r="W1460" s="33"/>
      <c r="Y1460" s="33"/>
      <c r="Z1460" s="33"/>
    </row>
    <row r="1461" spans="23:26" x14ac:dyDescent="0.2">
      <c r="W1461" s="33"/>
      <c r="Y1461" s="33"/>
      <c r="Z1461" s="33"/>
    </row>
    <row r="1462" spans="23:26" x14ac:dyDescent="0.2">
      <c r="W1462" s="33"/>
      <c r="Y1462" s="33"/>
      <c r="Z1462" s="33"/>
    </row>
    <row r="1463" spans="23:26" x14ac:dyDescent="0.2">
      <c r="W1463" s="33"/>
      <c r="Y1463" s="33"/>
      <c r="Z1463" s="33"/>
    </row>
    <row r="1464" spans="23:26" x14ac:dyDescent="0.2">
      <c r="W1464" s="33"/>
      <c r="Y1464" s="33"/>
      <c r="Z1464" s="33"/>
    </row>
    <row r="1465" spans="23:26" x14ac:dyDescent="0.2">
      <c r="W1465" s="33"/>
      <c r="Y1465" s="33"/>
      <c r="Z1465" s="33"/>
    </row>
    <row r="1466" spans="23:26" x14ac:dyDescent="0.2">
      <c r="W1466" s="33"/>
      <c r="Y1466" s="33"/>
      <c r="Z1466" s="33"/>
    </row>
    <row r="1467" spans="23:26" x14ac:dyDescent="0.2">
      <c r="W1467" s="33"/>
      <c r="Y1467" s="33"/>
      <c r="Z1467" s="33"/>
    </row>
    <row r="1468" spans="23:26" x14ac:dyDescent="0.2">
      <c r="W1468" s="33"/>
      <c r="Y1468" s="33"/>
      <c r="Z1468" s="33"/>
    </row>
    <row r="1469" spans="23:26" x14ac:dyDescent="0.2">
      <c r="W1469" s="33"/>
      <c r="Y1469" s="33"/>
      <c r="Z1469" s="33"/>
    </row>
    <row r="1470" spans="23:26" x14ac:dyDescent="0.2">
      <c r="W1470" s="33"/>
      <c r="Y1470" s="33"/>
      <c r="Z1470" s="33"/>
    </row>
    <row r="1471" spans="23:26" x14ac:dyDescent="0.2">
      <c r="W1471" s="33"/>
      <c r="Y1471" s="33"/>
      <c r="Z1471" s="33"/>
    </row>
    <row r="1472" spans="23:26" x14ac:dyDescent="0.2">
      <c r="W1472" s="33"/>
      <c r="Y1472" s="33"/>
      <c r="Z1472" s="33"/>
    </row>
    <row r="1473" spans="23:26" x14ac:dyDescent="0.2">
      <c r="W1473" s="33"/>
      <c r="Y1473" s="33"/>
      <c r="Z1473" s="33"/>
    </row>
    <row r="1474" spans="23:26" x14ac:dyDescent="0.2">
      <c r="W1474" s="33"/>
      <c r="Y1474" s="33"/>
      <c r="Z1474" s="33"/>
    </row>
    <row r="1475" spans="23:26" x14ac:dyDescent="0.2">
      <c r="W1475" s="33"/>
      <c r="Y1475" s="33"/>
      <c r="Z1475" s="33"/>
    </row>
    <row r="1476" spans="23:26" x14ac:dyDescent="0.2">
      <c r="W1476" s="33"/>
      <c r="Y1476" s="33"/>
      <c r="Z1476" s="33"/>
    </row>
    <row r="1477" spans="23:26" x14ac:dyDescent="0.2">
      <c r="W1477" s="33"/>
      <c r="Y1477" s="33"/>
      <c r="Z1477" s="33"/>
    </row>
    <row r="1478" spans="23:26" x14ac:dyDescent="0.2">
      <c r="W1478" s="33"/>
      <c r="Y1478" s="33"/>
      <c r="Z1478" s="33"/>
    </row>
    <row r="1479" spans="23:26" x14ac:dyDescent="0.2">
      <c r="W1479" s="33"/>
      <c r="Y1479" s="33"/>
      <c r="Z1479" s="33"/>
    </row>
    <row r="1480" spans="23:26" x14ac:dyDescent="0.2">
      <c r="W1480" s="33"/>
      <c r="Y1480" s="33"/>
      <c r="Z1480" s="33"/>
    </row>
    <row r="1481" spans="23:26" x14ac:dyDescent="0.2">
      <c r="W1481" s="33"/>
      <c r="Y1481" s="33"/>
      <c r="Z1481" s="33"/>
    </row>
    <row r="1482" spans="23:26" x14ac:dyDescent="0.2">
      <c r="W1482" s="33"/>
      <c r="Y1482" s="33"/>
      <c r="Z1482" s="33"/>
    </row>
    <row r="1483" spans="23:26" x14ac:dyDescent="0.2">
      <c r="W1483" s="33"/>
      <c r="Y1483" s="33"/>
      <c r="Z1483" s="33"/>
    </row>
    <row r="1484" spans="23:26" x14ac:dyDescent="0.2">
      <c r="W1484" s="33"/>
      <c r="Y1484" s="33"/>
      <c r="Z1484" s="33"/>
    </row>
    <row r="1485" spans="23:26" x14ac:dyDescent="0.2">
      <c r="W1485" s="33"/>
      <c r="Y1485" s="33"/>
      <c r="Z1485" s="33"/>
    </row>
    <row r="1486" spans="23:26" x14ac:dyDescent="0.2">
      <c r="W1486" s="33"/>
      <c r="Y1486" s="33"/>
      <c r="Z1486" s="33"/>
    </row>
    <row r="1487" spans="23:26" x14ac:dyDescent="0.2">
      <c r="W1487" s="33"/>
      <c r="Y1487" s="33"/>
      <c r="Z1487" s="33"/>
    </row>
    <row r="1488" spans="23:26" x14ac:dyDescent="0.2">
      <c r="W1488" s="33"/>
      <c r="Y1488" s="33"/>
      <c r="Z1488" s="33"/>
    </row>
    <row r="1489" spans="23:26" x14ac:dyDescent="0.2">
      <c r="W1489" s="33"/>
      <c r="Y1489" s="33"/>
      <c r="Z1489" s="33"/>
    </row>
    <row r="1490" spans="23:26" x14ac:dyDescent="0.2">
      <c r="W1490" s="33"/>
      <c r="Y1490" s="33"/>
      <c r="Z1490" s="33"/>
    </row>
    <row r="1491" spans="23:26" x14ac:dyDescent="0.2">
      <c r="W1491" s="33"/>
      <c r="Y1491" s="33"/>
      <c r="Z1491" s="33"/>
    </row>
    <row r="1492" spans="23:26" x14ac:dyDescent="0.2">
      <c r="W1492" s="33"/>
      <c r="Y1492" s="33"/>
      <c r="Z1492" s="33"/>
    </row>
    <row r="1493" spans="23:26" x14ac:dyDescent="0.2">
      <c r="W1493" s="33"/>
      <c r="Y1493" s="33"/>
      <c r="Z1493" s="33"/>
    </row>
    <row r="1494" spans="23:26" x14ac:dyDescent="0.2">
      <c r="W1494" s="33"/>
      <c r="Y1494" s="33"/>
      <c r="Z1494" s="33"/>
    </row>
    <row r="1495" spans="23:26" x14ac:dyDescent="0.2">
      <c r="W1495" s="33"/>
      <c r="Y1495" s="33"/>
      <c r="Z1495" s="33"/>
    </row>
    <row r="1496" spans="23:26" x14ac:dyDescent="0.2">
      <c r="W1496" s="33"/>
      <c r="Y1496" s="33"/>
      <c r="Z1496" s="33"/>
    </row>
    <row r="1497" spans="23:26" x14ac:dyDescent="0.2">
      <c r="W1497" s="33"/>
      <c r="Y1497" s="33"/>
      <c r="Z1497" s="33"/>
    </row>
    <row r="1498" spans="23:26" x14ac:dyDescent="0.2">
      <c r="W1498" s="33"/>
      <c r="Y1498" s="33"/>
      <c r="Z1498" s="33"/>
    </row>
    <row r="1499" spans="23:26" x14ac:dyDescent="0.2">
      <c r="W1499" s="33"/>
      <c r="Y1499" s="33"/>
      <c r="Z1499" s="33"/>
    </row>
    <row r="1500" spans="23:26" x14ac:dyDescent="0.2">
      <c r="W1500" s="33"/>
      <c r="Y1500" s="33"/>
      <c r="Z1500" s="33"/>
    </row>
    <row r="1501" spans="23:26" x14ac:dyDescent="0.2">
      <c r="W1501" s="33"/>
      <c r="Y1501" s="33"/>
      <c r="Z1501" s="33"/>
    </row>
    <row r="1502" spans="23:26" x14ac:dyDescent="0.2">
      <c r="W1502" s="33"/>
      <c r="Y1502" s="33"/>
      <c r="Z1502" s="33"/>
    </row>
    <row r="1503" spans="23:26" x14ac:dyDescent="0.2">
      <c r="W1503" s="33"/>
      <c r="Y1503" s="33"/>
      <c r="Z1503" s="33"/>
    </row>
    <row r="1504" spans="23:26" x14ac:dyDescent="0.2">
      <c r="W1504" s="33"/>
      <c r="Y1504" s="33"/>
      <c r="Z1504" s="33"/>
    </row>
    <row r="1505" spans="23:26" x14ac:dyDescent="0.2">
      <c r="W1505" s="33"/>
      <c r="Y1505" s="33"/>
      <c r="Z1505" s="33"/>
    </row>
    <row r="1506" spans="23:26" x14ac:dyDescent="0.2">
      <c r="W1506" s="33"/>
      <c r="Y1506" s="33"/>
      <c r="Z1506" s="33"/>
    </row>
    <row r="1507" spans="23:26" x14ac:dyDescent="0.2">
      <c r="W1507" s="33"/>
      <c r="Y1507" s="33"/>
      <c r="Z1507" s="33"/>
    </row>
    <row r="1508" spans="23:26" x14ac:dyDescent="0.2">
      <c r="W1508" s="33"/>
      <c r="Y1508" s="33"/>
      <c r="Z1508" s="33"/>
    </row>
    <row r="1509" spans="23:26" x14ac:dyDescent="0.2">
      <c r="W1509" s="33"/>
      <c r="Y1509" s="33"/>
      <c r="Z1509" s="33"/>
    </row>
    <row r="1510" spans="23:26" x14ac:dyDescent="0.2">
      <c r="W1510" s="33"/>
      <c r="Y1510" s="33"/>
      <c r="Z1510" s="33"/>
    </row>
    <row r="1511" spans="23:26" x14ac:dyDescent="0.2">
      <c r="W1511" s="33"/>
      <c r="Y1511" s="33"/>
      <c r="Z1511" s="33"/>
    </row>
    <row r="1512" spans="23:26" x14ac:dyDescent="0.2">
      <c r="W1512" s="33"/>
      <c r="Y1512" s="33"/>
      <c r="Z1512" s="33"/>
    </row>
    <row r="1513" spans="23:26" x14ac:dyDescent="0.2">
      <c r="W1513" s="33"/>
      <c r="Y1513" s="33"/>
      <c r="Z1513" s="33"/>
    </row>
    <row r="1514" spans="23:26" x14ac:dyDescent="0.2">
      <c r="W1514" s="33"/>
      <c r="Y1514" s="33"/>
      <c r="Z1514" s="33"/>
    </row>
    <row r="1515" spans="23:26" x14ac:dyDescent="0.2">
      <c r="W1515" s="33"/>
      <c r="Y1515" s="33"/>
      <c r="Z1515" s="33"/>
    </row>
    <row r="1516" spans="23:26" x14ac:dyDescent="0.2">
      <c r="W1516" s="33"/>
      <c r="Y1516" s="33"/>
      <c r="Z1516" s="33"/>
    </row>
    <row r="1517" spans="23:26" x14ac:dyDescent="0.2">
      <c r="W1517" s="33"/>
      <c r="Y1517" s="33"/>
      <c r="Z1517" s="33"/>
    </row>
    <row r="1518" spans="23:26" x14ac:dyDescent="0.2">
      <c r="W1518" s="33"/>
      <c r="Y1518" s="33"/>
      <c r="Z1518" s="33"/>
    </row>
    <row r="1519" spans="23:26" x14ac:dyDescent="0.2">
      <c r="W1519" s="33"/>
      <c r="Y1519" s="33"/>
      <c r="Z1519" s="33"/>
    </row>
    <row r="1520" spans="23:26" x14ac:dyDescent="0.2">
      <c r="W1520" s="33"/>
      <c r="Y1520" s="33"/>
      <c r="Z1520" s="33"/>
    </row>
    <row r="1521" spans="23:26" x14ac:dyDescent="0.2">
      <c r="W1521" s="33"/>
      <c r="Y1521" s="33"/>
      <c r="Z1521" s="33"/>
    </row>
    <row r="1522" spans="23:26" x14ac:dyDescent="0.2">
      <c r="W1522" s="33"/>
      <c r="Y1522" s="33"/>
      <c r="Z1522" s="33"/>
    </row>
    <row r="1523" spans="23:26" x14ac:dyDescent="0.2">
      <c r="W1523" s="33"/>
      <c r="Y1523" s="33"/>
      <c r="Z1523" s="33"/>
    </row>
    <row r="1524" spans="23:26" x14ac:dyDescent="0.2">
      <c r="W1524" s="33"/>
      <c r="Y1524" s="33"/>
      <c r="Z1524" s="33"/>
    </row>
    <row r="1525" spans="23:26" x14ac:dyDescent="0.2">
      <c r="W1525" s="33"/>
      <c r="Y1525" s="33"/>
      <c r="Z1525" s="33"/>
    </row>
    <row r="1526" spans="23:26" x14ac:dyDescent="0.2">
      <c r="W1526" s="33"/>
      <c r="Y1526" s="33"/>
      <c r="Z1526" s="33"/>
    </row>
    <row r="1527" spans="23:26" x14ac:dyDescent="0.2">
      <c r="W1527" s="33"/>
      <c r="Y1527" s="33"/>
      <c r="Z1527" s="33"/>
    </row>
    <row r="1528" spans="23:26" x14ac:dyDescent="0.2">
      <c r="W1528" s="33"/>
      <c r="Y1528" s="33"/>
      <c r="Z1528" s="33"/>
    </row>
    <row r="1529" spans="23:26" x14ac:dyDescent="0.2">
      <c r="W1529" s="33"/>
      <c r="Y1529" s="33"/>
      <c r="Z1529" s="33"/>
    </row>
    <row r="1530" spans="23:26" x14ac:dyDescent="0.2">
      <c r="W1530" s="33"/>
      <c r="Y1530" s="33"/>
      <c r="Z1530" s="33"/>
    </row>
    <row r="1531" spans="23:26" x14ac:dyDescent="0.2">
      <c r="W1531" s="33"/>
      <c r="Y1531" s="33"/>
      <c r="Z1531" s="33"/>
    </row>
    <row r="1532" spans="23:26" x14ac:dyDescent="0.2">
      <c r="W1532" s="33"/>
      <c r="Y1532" s="33"/>
      <c r="Z1532" s="33"/>
    </row>
    <row r="1533" spans="23:26" x14ac:dyDescent="0.2">
      <c r="W1533" s="33"/>
      <c r="Y1533" s="33"/>
      <c r="Z1533" s="33"/>
    </row>
    <row r="1534" spans="23:26" x14ac:dyDescent="0.2">
      <c r="W1534" s="33"/>
      <c r="Y1534" s="33"/>
      <c r="Z1534" s="33"/>
    </row>
    <row r="1535" spans="23:26" x14ac:dyDescent="0.2">
      <c r="W1535" s="33"/>
      <c r="Y1535" s="33"/>
      <c r="Z1535" s="33"/>
    </row>
    <row r="1536" spans="23:26" x14ac:dyDescent="0.2">
      <c r="W1536" s="33"/>
      <c r="Y1536" s="33"/>
      <c r="Z1536" s="33"/>
    </row>
    <row r="1537" spans="23:26" x14ac:dyDescent="0.2">
      <c r="W1537" s="33"/>
      <c r="Y1537" s="33"/>
      <c r="Z1537" s="33"/>
    </row>
    <row r="1538" spans="23:26" x14ac:dyDescent="0.2">
      <c r="W1538" s="33"/>
      <c r="Y1538" s="33"/>
      <c r="Z1538" s="33"/>
    </row>
    <row r="1539" spans="23:26" x14ac:dyDescent="0.2">
      <c r="W1539" s="33"/>
      <c r="Y1539" s="33"/>
      <c r="Z1539" s="33"/>
    </row>
    <row r="1540" spans="23:26" x14ac:dyDescent="0.2">
      <c r="W1540" s="33"/>
      <c r="Y1540" s="33"/>
      <c r="Z1540" s="33"/>
    </row>
    <row r="1541" spans="23:26" x14ac:dyDescent="0.2">
      <c r="W1541" s="33"/>
      <c r="Y1541" s="33"/>
      <c r="Z1541" s="33"/>
    </row>
    <row r="1542" spans="23:26" x14ac:dyDescent="0.2">
      <c r="W1542" s="33"/>
      <c r="Y1542" s="33"/>
      <c r="Z1542" s="33"/>
    </row>
    <row r="1543" spans="23:26" x14ac:dyDescent="0.2">
      <c r="W1543" s="33"/>
      <c r="Y1543" s="33"/>
      <c r="Z1543" s="33"/>
    </row>
    <row r="1544" spans="23:26" x14ac:dyDescent="0.2">
      <c r="W1544" s="33"/>
      <c r="Y1544" s="33"/>
      <c r="Z1544" s="33"/>
    </row>
    <row r="1545" spans="23:26" x14ac:dyDescent="0.2">
      <c r="W1545" s="33"/>
      <c r="Y1545" s="33"/>
      <c r="Z1545" s="33"/>
    </row>
    <row r="1546" spans="23:26" x14ac:dyDescent="0.2">
      <c r="W1546" s="33"/>
      <c r="Y1546" s="33"/>
      <c r="Z1546" s="33"/>
    </row>
    <row r="1547" spans="23:26" x14ac:dyDescent="0.2">
      <c r="W1547" s="33"/>
      <c r="Y1547" s="33"/>
      <c r="Z1547" s="33"/>
    </row>
    <row r="1548" spans="23:26" x14ac:dyDescent="0.2">
      <c r="W1548" s="33"/>
      <c r="Y1548" s="33"/>
      <c r="Z1548" s="33"/>
    </row>
    <row r="1549" spans="23:26" x14ac:dyDescent="0.2">
      <c r="W1549" s="33"/>
      <c r="Y1549" s="33"/>
      <c r="Z1549" s="33"/>
    </row>
    <row r="1550" spans="23:26" x14ac:dyDescent="0.2">
      <c r="W1550" s="33"/>
      <c r="Y1550" s="33"/>
      <c r="Z1550" s="33"/>
    </row>
    <row r="1551" spans="23:26" x14ac:dyDescent="0.2">
      <c r="W1551" s="33"/>
      <c r="Y1551" s="33"/>
      <c r="Z1551" s="33"/>
    </row>
    <row r="1552" spans="23:26" x14ac:dyDescent="0.2">
      <c r="W1552" s="33"/>
      <c r="Y1552" s="33"/>
      <c r="Z1552" s="33"/>
    </row>
    <row r="1553" spans="23:26" x14ac:dyDescent="0.2">
      <c r="W1553" s="33"/>
      <c r="Y1553" s="33"/>
      <c r="Z1553" s="33"/>
    </row>
    <row r="1554" spans="23:26" x14ac:dyDescent="0.2">
      <c r="W1554" s="33"/>
      <c r="Y1554" s="33"/>
      <c r="Z1554" s="33"/>
    </row>
    <row r="1555" spans="23:26" x14ac:dyDescent="0.2">
      <c r="W1555" s="33"/>
      <c r="Y1555" s="33"/>
      <c r="Z1555" s="33"/>
    </row>
    <row r="1556" spans="23:26" x14ac:dyDescent="0.2">
      <c r="W1556" s="33"/>
      <c r="Y1556" s="33"/>
      <c r="Z1556" s="33"/>
    </row>
    <row r="1557" spans="23:26" x14ac:dyDescent="0.2">
      <c r="W1557" s="33"/>
      <c r="Y1557" s="33"/>
      <c r="Z1557" s="33"/>
    </row>
    <row r="1558" spans="23:26" x14ac:dyDescent="0.2">
      <c r="W1558" s="33"/>
      <c r="Y1558" s="33"/>
      <c r="Z1558" s="33"/>
    </row>
    <row r="1559" spans="23:26" x14ac:dyDescent="0.2">
      <c r="W1559" s="33"/>
      <c r="Y1559" s="33"/>
      <c r="Z1559" s="33"/>
    </row>
    <row r="1560" spans="23:26" x14ac:dyDescent="0.2">
      <c r="W1560" s="33"/>
      <c r="Y1560" s="33"/>
      <c r="Z1560" s="33"/>
    </row>
    <row r="1561" spans="23:26" x14ac:dyDescent="0.2">
      <c r="W1561" s="33"/>
      <c r="Y1561" s="33"/>
      <c r="Z1561" s="33"/>
    </row>
    <row r="1562" spans="23:26" x14ac:dyDescent="0.2">
      <c r="W1562" s="33"/>
      <c r="Y1562" s="33"/>
      <c r="Z1562" s="33"/>
    </row>
    <row r="1563" spans="23:26" x14ac:dyDescent="0.2">
      <c r="W1563" s="33"/>
      <c r="Y1563" s="33"/>
      <c r="Z1563" s="33"/>
    </row>
    <row r="1564" spans="23:26" x14ac:dyDescent="0.2">
      <c r="W1564" s="33"/>
      <c r="Y1564" s="33"/>
      <c r="Z1564" s="33"/>
    </row>
    <row r="1565" spans="23:26" x14ac:dyDescent="0.2">
      <c r="W1565" s="33"/>
      <c r="Y1565" s="33"/>
      <c r="Z1565" s="33"/>
    </row>
    <row r="1566" spans="23:26" x14ac:dyDescent="0.2">
      <c r="W1566" s="33"/>
      <c r="Y1566" s="33"/>
      <c r="Z1566" s="33"/>
    </row>
    <row r="1567" spans="23:26" x14ac:dyDescent="0.2">
      <c r="W1567" s="33"/>
      <c r="Y1567" s="33"/>
      <c r="Z1567" s="33"/>
    </row>
    <row r="1568" spans="23:26" x14ac:dyDescent="0.2">
      <c r="W1568" s="33"/>
      <c r="Y1568" s="33"/>
      <c r="Z1568" s="33"/>
    </row>
    <row r="1569" spans="23:26" x14ac:dyDescent="0.2">
      <c r="W1569" s="33"/>
      <c r="Y1569" s="33"/>
      <c r="Z1569" s="33"/>
    </row>
    <row r="1570" spans="23:26" x14ac:dyDescent="0.2">
      <c r="W1570" s="33"/>
      <c r="Y1570" s="33"/>
      <c r="Z1570" s="33"/>
    </row>
    <row r="1571" spans="23:26" x14ac:dyDescent="0.2">
      <c r="W1571" s="33"/>
      <c r="Y1571" s="33"/>
      <c r="Z1571" s="33"/>
    </row>
    <row r="1572" spans="23:26" x14ac:dyDescent="0.2">
      <c r="W1572" s="33"/>
      <c r="Y1572" s="33"/>
      <c r="Z1572" s="33"/>
    </row>
    <row r="1573" spans="23:26" x14ac:dyDescent="0.2">
      <c r="W1573" s="33"/>
      <c r="Y1573" s="33"/>
      <c r="Z1573" s="33"/>
    </row>
    <row r="1574" spans="23:26" x14ac:dyDescent="0.2">
      <c r="W1574" s="33"/>
      <c r="Y1574" s="33"/>
      <c r="Z1574" s="33"/>
    </row>
    <row r="1575" spans="23:26" x14ac:dyDescent="0.2">
      <c r="W1575" s="33"/>
      <c r="Y1575" s="33"/>
      <c r="Z1575" s="33"/>
    </row>
    <row r="1576" spans="23:26" x14ac:dyDescent="0.2">
      <c r="W1576" s="33"/>
      <c r="Y1576" s="33"/>
      <c r="Z1576" s="33"/>
    </row>
    <row r="1577" spans="23:26" x14ac:dyDescent="0.2">
      <c r="W1577" s="33"/>
      <c r="Y1577" s="33"/>
      <c r="Z1577" s="33"/>
    </row>
    <row r="1578" spans="23:26" x14ac:dyDescent="0.2">
      <c r="W1578" s="33"/>
      <c r="Y1578" s="33"/>
      <c r="Z1578" s="33"/>
    </row>
    <row r="1579" spans="23:26" x14ac:dyDescent="0.2">
      <c r="W1579" s="33"/>
      <c r="Y1579" s="33"/>
      <c r="Z1579" s="33"/>
    </row>
    <row r="1580" spans="23:26" x14ac:dyDescent="0.2">
      <c r="W1580" s="33"/>
      <c r="Y1580" s="33"/>
      <c r="Z1580" s="33"/>
    </row>
    <row r="1581" spans="23:26" x14ac:dyDescent="0.2">
      <c r="W1581" s="33"/>
      <c r="Y1581" s="33"/>
      <c r="Z1581" s="33"/>
    </row>
    <row r="1582" spans="23:26" x14ac:dyDescent="0.2">
      <c r="W1582" s="33"/>
      <c r="Y1582" s="33"/>
      <c r="Z1582" s="33"/>
    </row>
    <row r="1583" spans="23:26" x14ac:dyDescent="0.2">
      <c r="W1583" s="33"/>
      <c r="Y1583" s="33"/>
      <c r="Z1583" s="33"/>
    </row>
    <row r="1584" spans="23:26" x14ac:dyDescent="0.2">
      <c r="W1584" s="33"/>
      <c r="Y1584" s="33"/>
      <c r="Z1584" s="33"/>
    </row>
    <row r="1585" spans="23:26" x14ac:dyDescent="0.2">
      <c r="W1585" s="33"/>
      <c r="Y1585" s="33"/>
      <c r="Z1585" s="33"/>
    </row>
    <row r="1586" spans="23:26" x14ac:dyDescent="0.2">
      <c r="W1586" s="33"/>
      <c r="Y1586" s="33"/>
      <c r="Z1586" s="33"/>
    </row>
    <row r="1587" spans="23:26" x14ac:dyDescent="0.2">
      <c r="W1587" s="33"/>
      <c r="Y1587" s="33"/>
      <c r="Z1587" s="33"/>
    </row>
    <row r="1588" spans="23:26" x14ac:dyDescent="0.2">
      <c r="W1588" s="33"/>
      <c r="Y1588" s="33"/>
      <c r="Z1588" s="33"/>
    </row>
    <row r="1589" spans="23:26" x14ac:dyDescent="0.2">
      <c r="W1589" s="33"/>
      <c r="Y1589" s="33"/>
      <c r="Z1589" s="33"/>
    </row>
    <row r="1590" spans="23:26" x14ac:dyDescent="0.2">
      <c r="W1590" s="33"/>
      <c r="Y1590" s="33"/>
      <c r="Z1590" s="33"/>
    </row>
    <row r="1591" spans="23:26" x14ac:dyDescent="0.2">
      <c r="W1591" s="33"/>
      <c r="Y1591" s="33"/>
      <c r="Z1591" s="33"/>
    </row>
    <row r="1592" spans="23:26" x14ac:dyDescent="0.2">
      <c r="W1592" s="33"/>
      <c r="Y1592" s="33"/>
      <c r="Z1592" s="33"/>
    </row>
    <row r="1593" spans="23:26" x14ac:dyDescent="0.2">
      <c r="W1593" s="33"/>
      <c r="Y1593" s="33"/>
      <c r="Z1593" s="33"/>
    </row>
    <row r="1594" spans="23:26" x14ac:dyDescent="0.2">
      <c r="W1594" s="33"/>
      <c r="Y1594" s="33"/>
      <c r="Z1594" s="33"/>
    </row>
    <row r="1595" spans="23:26" x14ac:dyDescent="0.2">
      <c r="W1595" s="33"/>
      <c r="Y1595" s="33"/>
      <c r="Z1595" s="33"/>
    </row>
    <row r="1596" spans="23:26" x14ac:dyDescent="0.2">
      <c r="W1596" s="33"/>
      <c r="Y1596" s="33"/>
      <c r="Z1596" s="33"/>
    </row>
    <row r="1597" spans="23:26" x14ac:dyDescent="0.2">
      <c r="W1597" s="33"/>
      <c r="Y1597" s="33"/>
      <c r="Z1597" s="33"/>
    </row>
    <row r="1598" spans="23:26" x14ac:dyDescent="0.2">
      <c r="W1598" s="33"/>
      <c r="Y1598" s="33"/>
      <c r="Z1598" s="33"/>
    </row>
    <row r="1599" spans="23:26" x14ac:dyDescent="0.2">
      <c r="W1599" s="33"/>
      <c r="Y1599" s="33"/>
      <c r="Z1599" s="33"/>
    </row>
    <row r="1600" spans="23:26" x14ac:dyDescent="0.2">
      <c r="W1600" s="33"/>
      <c r="Y1600" s="33"/>
      <c r="Z1600" s="33"/>
    </row>
    <row r="1601" spans="23:26" x14ac:dyDescent="0.2">
      <c r="W1601" s="33"/>
      <c r="Y1601" s="33"/>
      <c r="Z1601" s="33"/>
    </row>
    <row r="1602" spans="23:26" x14ac:dyDescent="0.2">
      <c r="W1602" s="33"/>
      <c r="Y1602" s="33"/>
      <c r="Z1602" s="33"/>
    </row>
    <row r="1603" spans="23:26" x14ac:dyDescent="0.2">
      <c r="W1603" s="33"/>
      <c r="Y1603" s="33"/>
      <c r="Z1603" s="33"/>
    </row>
    <row r="1604" spans="23:26" x14ac:dyDescent="0.2">
      <c r="W1604" s="33"/>
      <c r="Y1604" s="33"/>
      <c r="Z1604" s="33"/>
    </row>
    <row r="1605" spans="23:26" x14ac:dyDescent="0.2">
      <c r="W1605" s="33"/>
      <c r="Y1605" s="33"/>
      <c r="Z1605" s="33"/>
    </row>
    <row r="1606" spans="23:26" x14ac:dyDescent="0.2">
      <c r="W1606" s="33"/>
      <c r="Y1606" s="33"/>
      <c r="Z1606" s="33"/>
    </row>
    <row r="1607" spans="23:26" x14ac:dyDescent="0.2">
      <c r="W1607" s="33"/>
      <c r="Y1607" s="33"/>
      <c r="Z1607" s="33"/>
    </row>
    <row r="1608" spans="23:26" x14ac:dyDescent="0.2">
      <c r="W1608" s="33"/>
      <c r="Y1608" s="33"/>
      <c r="Z1608" s="33"/>
    </row>
    <row r="1609" spans="23:26" x14ac:dyDescent="0.2">
      <c r="W1609" s="33"/>
      <c r="Y1609" s="33"/>
      <c r="Z1609" s="33"/>
    </row>
    <row r="1610" spans="23:26" x14ac:dyDescent="0.2">
      <c r="W1610" s="33"/>
      <c r="Y1610" s="33"/>
      <c r="Z1610" s="33"/>
    </row>
    <row r="1611" spans="23:26" x14ac:dyDescent="0.2">
      <c r="W1611" s="33"/>
      <c r="Y1611" s="33"/>
      <c r="Z1611" s="33"/>
    </row>
    <row r="1612" spans="23:26" x14ac:dyDescent="0.2">
      <c r="W1612" s="33"/>
      <c r="Y1612" s="33"/>
      <c r="Z1612" s="33"/>
    </row>
    <row r="1613" spans="23:26" x14ac:dyDescent="0.2">
      <c r="W1613" s="33"/>
      <c r="Y1613" s="33"/>
      <c r="Z1613" s="33"/>
    </row>
    <row r="1614" spans="23:26" x14ac:dyDescent="0.2">
      <c r="W1614" s="33"/>
      <c r="Y1614" s="33"/>
      <c r="Z1614" s="33"/>
    </row>
    <row r="1615" spans="23:26" x14ac:dyDescent="0.2">
      <c r="W1615" s="33"/>
      <c r="Y1615" s="33"/>
      <c r="Z1615" s="33"/>
    </row>
    <row r="1616" spans="23:26" x14ac:dyDescent="0.2">
      <c r="W1616" s="33"/>
      <c r="Y1616" s="33"/>
      <c r="Z1616" s="33"/>
    </row>
    <row r="1617" spans="23:26" x14ac:dyDescent="0.2">
      <c r="W1617" s="33"/>
      <c r="Y1617" s="33"/>
      <c r="Z1617" s="33"/>
    </row>
    <row r="1618" spans="23:26" x14ac:dyDescent="0.2">
      <c r="W1618" s="33"/>
      <c r="Y1618" s="33"/>
      <c r="Z1618" s="33"/>
    </row>
    <row r="1619" spans="23:26" x14ac:dyDescent="0.2">
      <c r="W1619" s="33"/>
      <c r="Y1619" s="33"/>
      <c r="Z1619" s="33"/>
    </row>
    <row r="1620" spans="23:26" x14ac:dyDescent="0.2">
      <c r="W1620" s="33"/>
      <c r="Y1620" s="33"/>
      <c r="Z1620" s="33"/>
    </row>
    <row r="1621" spans="23:26" x14ac:dyDescent="0.2">
      <c r="W1621" s="33"/>
      <c r="Y1621" s="33"/>
      <c r="Z1621" s="33"/>
    </row>
    <row r="1622" spans="23:26" x14ac:dyDescent="0.2">
      <c r="W1622" s="33"/>
      <c r="Y1622" s="33"/>
      <c r="Z1622" s="33"/>
    </row>
    <row r="1623" spans="23:26" x14ac:dyDescent="0.2">
      <c r="W1623" s="33"/>
      <c r="Y1623" s="33"/>
      <c r="Z1623" s="33"/>
    </row>
    <row r="1624" spans="23:26" x14ac:dyDescent="0.2">
      <c r="W1624" s="33"/>
      <c r="Y1624" s="33"/>
      <c r="Z1624" s="33"/>
    </row>
    <row r="1625" spans="23:26" x14ac:dyDescent="0.2">
      <c r="W1625" s="33"/>
      <c r="Y1625" s="33"/>
      <c r="Z1625" s="33"/>
    </row>
    <row r="1626" spans="23:26" x14ac:dyDescent="0.2">
      <c r="W1626" s="33"/>
      <c r="Y1626" s="33"/>
      <c r="Z1626" s="33"/>
    </row>
    <row r="1627" spans="23:26" x14ac:dyDescent="0.2">
      <c r="W1627" s="33"/>
      <c r="Y1627" s="33"/>
      <c r="Z1627" s="33"/>
    </row>
    <row r="1628" spans="23:26" x14ac:dyDescent="0.2">
      <c r="W1628" s="33"/>
      <c r="Y1628" s="33"/>
      <c r="Z1628" s="33"/>
    </row>
    <row r="1629" spans="23:26" x14ac:dyDescent="0.2">
      <c r="W1629" s="33"/>
      <c r="Y1629" s="33"/>
      <c r="Z1629" s="33"/>
    </row>
    <row r="1630" spans="23:26" x14ac:dyDescent="0.2">
      <c r="W1630" s="33"/>
      <c r="Y1630" s="33"/>
      <c r="Z1630" s="33"/>
    </row>
    <row r="1631" spans="23:26" x14ac:dyDescent="0.2">
      <c r="W1631" s="33"/>
      <c r="Y1631" s="33"/>
      <c r="Z1631" s="33"/>
    </row>
    <row r="1632" spans="23:26" x14ac:dyDescent="0.2">
      <c r="W1632" s="33"/>
      <c r="Y1632" s="33"/>
      <c r="Z1632" s="33"/>
    </row>
    <row r="1633" spans="23:26" x14ac:dyDescent="0.2">
      <c r="W1633" s="33"/>
      <c r="Y1633" s="33"/>
      <c r="Z1633" s="33"/>
    </row>
    <row r="1634" spans="23:26" x14ac:dyDescent="0.2">
      <c r="W1634" s="33"/>
      <c r="Y1634" s="33"/>
      <c r="Z1634" s="33"/>
    </row>
    <row r="1635" spans="23:26" x14ac:dyDescent="0.2">
      <c r="W1635" s="33"/>
      <c r="Y1635" s="33"/>
      <c r="Z1635" s="33"/>
    </row>
    <row r="1636" spans="23:26" x14ac:dyDescent="0.2">
      <c r="W1636" s="33"/>
      <c r="Y1636" s="33"/>
      <c r="Z1636" s="33"/>
    </row>
    <row r="1637" spans="23:26" x14ac:dyDescent="0.2">
      <c r="W1637" s="33"/>
      <c r="Y1637" s="33"/>
      <c r="Z1637" s="33"/>
    </row>
    <row r="1638" spans="23:26" x14ac:dyDescent="0.2">
      <c r="W1638" s="33"/>
      <c r="Y1638" s="33"/>
      <c r="Z1638" s="33"/>
    </row>
    <row r="1639" spans="23:26" x14ac:dyDescent="0.2">
      <c r="W1639" s="33"/>
      <c r="Y1639" s="33"/>
      <c r="Z1639" s="33"/>
    </row>
    <row r="1640" spans="23:26" x14ac:dyDescent="0.2">
      <c r="W1640" s="33"/>
      <c r="Y1640" s="33"/>
      <c r="Z1640" s="33"/>
    </row>
    <row r="1641" spans="23:26" x14ac:dyDescent="0.2">
      <c r="W1641" s="33"/>
      <c r="Y1641" s="33"/>
      <c r="Z1641" s="33"/>
    </row>
    <row r="1642" spans="23:26" x14ac:dyDescent="0.2">
      <c r="W1642" s="33"/>
      <c r="Y1642" s="33"/>
      <c r="Z1642" s="33"/>
    </row>
    <row r="1643" spans="23:26" x14ac:dyDescent="0.2">
      <c r="W1643" s="33"/>
      <c r="Y1643" s="33"/>
      <c r="Z1643" s="33"/>
    </row>
    <row r="1644" spans="23:26" x14ac:dyDescent="0.2">
      <c r="W1644" s="33"/>
      <c r="Y1644" s="33"/>
      <c r="Z1644" s="33"/>
    </row>
    <row r="1645" spans="23:26" x14ac:dyDescent="0.2">
      <c r="W1645" s="33"/>
      <c r="Y1645" s="33"/>
      <c r="Z1645" s="33"/>
    </row>
    <row r="1646" spans="23:26" x14ac:dyDescent="0.2">
      <c r="W1646" s="33"/>
      <c r="Y1646" s="33"/>
      <c r="Z1646" s="33"/>
    </row>
    <row r="1647" spans="23:26" x14ac:dyDescent="0.2">
      <c r="W1647" s="33"/>
      <c r="Y1647" s="33"/>
      <c r="Z1647" s="33"/>
    </row>
    <row r="1648" spans="23:26" x14ac:dyDescent="0.2">
      <c r="W1648" s="33"/>
      <c r="Y1648" s="33"/>
      <c r="Z1648" s="33"/>
    </row>
    <row r="1649" spans="23:26" x14ac:dyDescent="0.2">
      <c r="W1649" s="33"/>
      <c r="Y1649" s="33"/>
      <c r="Z1649" s="33"/>
    </row>
    <row r="1650" spans="23:26" x14ac:dyDescent="0.2">
      <c r="W1650" s="33"/>
      <c r="Y1650" s="33"/>
      <c r="Z1650" s="33"/>
    </row>
    <row r="1651" spans="23:26" x14ac:dyDescent="0.2">
      <c r="W1651" s="33"/>
      <c r="Y1651" s="33"/>
      <c r="Z1651" s="33"/>
    </row>
    <row r="1652" spans="23:26" x14ac:dyDescent="0.2">
      <c r="W1652" s="33"/>
      <c r="Y1652" s="33"/>
      <c r="Z1652" s="33"/>
    </row>
    <row r="1653" spans="23:26" x14ac:dyDescent="0.2">
      <c r="W1653" s="33"/>
      <c r="Y1653" s="33"/>
      <c r="Z1653" s="33"/>
    </row>
    <row r="1654" spans="23:26" x14ac:dyDescent="0.2">
      <c r="W1654" s="33"/>
      <c r="Y1654" s="33"/>
      <c r="Z1654" s="33"/>
    </row>
    <row r="1655" spans="23:26" x14ac:dyDescent="0.2">
      <c r="W1655" s="33"/>
      <c r="Y1655" s="33"/>
      <c r="Z1655" s="33"/>
    </row>
    <row r="1656" spans="23:26" x14ac:dyDescent="0.2">
      <c r="W1656" s="33"/>
      <c r="Y1656" s="33"/>
      <c r="Z1656" s="33"/>
    </row>
    <row r="1657" spans="23:26" x14ac:dyDescent="0.2">
      <c r="W1657" s="33"/>
      <c r="Y1657" s="33"/>
      <c r="Z1657" s="33"/>
    </row>
    <row r="1658" spans="23:26" x14ac:dyDescent="0.2">
      <c r="W1658" s="33"/>
      <c r="Y1658" s="33"/>
      <c r="Z1658" s="33"/>
    </row>
    <row r="1659" spans="23:26" x14ac:dyDescent="0.2">
      <c r="W1659" s="33"/>
      <c r="Y1659" s="33"/>
      <c r="Z1659" s="33"/>
    </row>
    <row r="1660" spans="23:26" x14ac:dyDescent="0.2">
      <c r="W1660" s="33"/>
      <c r="Y1660" s="33"/>
      <c r="Z1660" s="33"/>
    </row>
    <row r="1661" spans="23:26" x14ac:dyDescent="0.2">
      <c r="W1661" s="33"/>
      <c r="Y1661" s="33"/>
      <c r="Z1661" s="33"/>
    </row>
    <row r="1662" spans="23:26" x14ac:dyDescent="0.2">
      <c r="W1662" s="33"/>
      <c r="Y1662" s="33"/>
      <c r="Z1662" s="33"/>
    </row>
    <row r="1663" spans="23:26" x14ac:dyDescent="0.2">
      <c r="W1663" s="33"/>
      <c r="Y1663" s="33"/>
      <c r="Z1663" s="33"/>
    </row>
    <row r="1664" spans="23:26" x14ac:dyDescent="0.2">
      <c r="W1664" s="33"/>
      <c r="Y1664" s="33"/>
      <c r="Z1664" s="33"/>
    </row>
    <row r="1665" spans="23:26" x14ac:dyDescent="0.2">
      <c r="W1665" s="33"/>
      <c r="Y1665" s="33"/>
      <c r="Z1665" s="33"/>
    </row>
    <row r="1666" spans="23:26" x14ac:dyDescent="0.2">
      <c r="W1666" s="33"/>
      <c r="Y1666" s="33"/>
      <c r="Z1666" s="33"/>
    </row>
    <row r="1667" spans="23:26" x14ac:dyDescent="0.2">
      <c r="W1667" s="33"/>
      <c r="Y1667" s="33"/>
      <c r="Z1667" s="33"/>
    </row>
    <row r="1668" spans="23:26" x14ac:dyDescent="0.2">
      <c r="W1668" s="33"/>
      <c r="Y1668" s="33"/>
      <c r="Z1668" s="33"/>
    </row>
    <row r="1669" spans="23:26" x14ac:dyDescent="0.2">
      <c r="W1669" s="33"/>
      <c r="Y1669" s="33"/>
      <c r="Z1669" s="33"/>
    </row>
    <row r="1670" spans="23:26" x14ac:dyDescent="0.2">
      <c r="W1670" s="33"/>
      <c r="Y1670" s="33"/>
      <c r="Z1670" s="33"/>
    </row>
    <row r="1671" spans="23:26" x14ac:dyDescent="0.2">
      <c r="W1671" s="33"/>
      <c r="Y1671" s="33"/>
      <c r="Z1671" s="33"/>
    </row>
    <row r="1672" spans="23:26" x14ac:dyDescent="0.2">
      <c r="W1672" s="33"/>
      <c r="Y1672" s="33"/>
      <c r="Z1672" s="33"/>
    </row>
    <row r="1673" spans="23:26" x14ac:dyDescent="0.2">
      <c r="W1673" s="33"/>
      <c r="Y1673" s="33"/>
      <c r="Z1673" s="33"/>
    </row>
    <row r="1674" spans="23:26" x14ac:dyDescent="0.2">
      <c r="W1674" s="33"/>
      <c r="Y1674" s="33"/>
      <c r="Z1674" s="33"/>
    </row>
    <row r="1675" spans="23:26" x14ac:dyDescent="0.2">
      <c r="W1675" s="33"/>
      <c r="Y1675" s="33"/>
      <c r="Z1675" s="33"/>
    </row>
    <row r="1676" spans="23:26" x14ac:dyDescent="0.2">
      <c r="W1676" s="33"/>
      <c r="Y1676" s="33"/>
      <c r="Z1676" s="33"/>
    </row>
    <row r="1677" spans="23:26" x14ac:dyDescent="0.2">
      <c r="W1677" s="33"/>
      <c r="Y1677" s="33"/>
      <c r="Z1677" s="33"/>
    </row>
    <row r="1678" spans="23:26" x14ac:dyDescent="0.2">
      <c r="W1678" s="33"/>
      <c r="Y1678" s="33"/>
      <c r="Z1678" s="33"/>
    </row>
    <row r="1679" spans="23:26" x14ac:dyDescent="0.2">
      <c r="W1679" s="33"/>
      <c r="Y1679" s="33"/>
      <c r="Z1679" s="33"/>
    </row>
    <row r="1680" spans="23:26" x14ac:dyDescent="0.2">
      <c r="W1680" s="33"/>
      <c r="Y1680" s="33"/>
      <c r="Z1680" s="33"/>
    </row>
    <row r="1681" spans="23:26" x14ac:dyDescent="0.2">
      <c r="W1681" s="33"/>
      <c r="Y1681" s="33"/>
      <c r="Z1681" s="33"/>
    </row>
    <row r="1682" spans="23:26" x14ac:dyDescent="0.2">
      <c r="W1682" s="33"/>
      <c r="Y1682" s="33"/>
      <c r="Z1682" s="33"/>
    </row>
    <row r="1683" spans="23:26" x14ac:dyDescent="0.2">
      <c r="W1683" s="33"/>
      <c r="Y1683" s="33"/>
      <c r="Z1683" s="33"/>
    </row>
    <row r="1684" spans="23:26" x14ac:dyDescent="0.2">
      <c r="W1684" s="33"/>
      <c r="Y1684" s="33"/>
      <c r="Z1684" s="33"/>
    </row>
    <row r="1685" spans="23:26" x14ac:dyDescent="0.2">
      <c r="W1685" s="33"/>
      <c r="Y1685" s="33"/>
      <c r="Z1685" s="33"/>
    </row>
    <row r="1686" spans="23:26" x14ac:dyDescent="0.2">
      <c r="W1686" s="33"/>
      <c r="Y1686" s="33"/>
      <c r="Z1686" s="33"/>
    </row>
    <row r="1687" spans="23:26" x14ac:dyDescent="0.2">
      <c r="W1687" s="33"/>
      <c r="Y1687" s="33"/>
      <c r="Z1687" s="33"/>
    </row>
    <row r="1688" spans="23:26" x14ac:dyDescent="0.2">
      <c r="W1688" s="33"/>
      <c r="Y1688" s="33"/>
      <c r="Z1688" s="33"/>
    </row>
    <row r="1689" spans="23:26" x14ac:dyDescent="0.2">
      <c r="W1689" s="33"/>
      <c r="Y1689" s="33"/>
      <c r="Z1689" s="33"/>
    </row>
    <row r="1690" spans="23:26" x14ac:dyDescent="0.2">
      <c r="W1690" s="33"/>
      <c r="Y1690" s="33"/>
      <c r="Z1690" s="33"/>
    </row>
    <row r="1691" spans="23:26" x14ac:dyDescent="0.2">
      <c r="W1691" s="33"/>
      <c r="Y1691" s="33"/>
      <c r="Z1691" s="33"/>
    </row>
    <row r="1692" spans="23:26" x14ac:dyDescent="0.2">
      <c r="W1692" s="33"/>
      <c r="Y1692" s="33"/>
      <c r="Z1692" s="33"/>
    </row>
    <row r="1693" spans="23:26" x14ac:dyDescent="0.2">
      <c r="W1693" s="33"/>
      <c r="Y1693" s="33"/>
      <c r="Z1693" s="33"/>
    </row>
    <row r="1694" spans="23:26" x14ac:dyDescent="0.2">
      <c r="W1694" s="33"/>
      <c r="Y1694" s="33"/>
      <c r="Z1694" s="33"/>
    </row>
    <row r="1695" spans="23:26" x14ac:dyDescent="0.2">
      <c r="W1695" s="33"/>
      <c r="Y1695" s="33"/>
      <c r="Z1695" s="33"/>
    </row>
    <row r="1696" spans="23:26" x14ac:dyDescent="0.2">
      <c r="W1696" s="33"/>
      <c r="Y1696" s="33"/>
      <c r="Z1696" s="33"/>
    </row>
    <row r="1697" spans="23:26" x14ac:dyDescent="0.2">
      <c r="W1697" s="33"/>
      <c r="Y1697" s="33"/>
      <c r="Z1697" s="33"/>
    </row>
    <row r="1698" spans="23:26" x14ac:dyDescent="0.2">
      <c r="W1698" s="33"/>
      <c r="Y1698" s="33"/>
      <c r="Z1698" s="33"/>
    </row>
    <row r="1699" spans="23:26" x14ac:dyDescent="0.2">
      <c r="W1699" s="33"/>
      <c r="Y1699" s="33"/>
      <c r="Z1699" s="33"/>
    </row>
    <row r="1700" spans="23:26" x14ac:dyDescent="0.2">
      <c r="W1700" s="33"/>
      <c r="Y1700" s="33"/>
      <c r="Z1700" s="33"/>
    </row>
    <row r="1701" spans="23:26" x14ac:dyDescent="0.2">
      <c r="W1701" s="33"/>
      <c r="Y1701" s="33"/>
      <c r="Z1701" s="33"/>
    </row>
    <row r="1702" spans="23:26" x14ac:dyDescent="0.2">
      <c r="W1702" s="33"/>
      <c r="Y1702" s="33"/>
      <c r="Z1702" s="33"/>
    </row>
    <row r="1703" spans="23:26" x14ac:dyDescent="0.2">
      <c r="W1703" s="33"/>
      <c r="Y1703" s="33"/>
      <c r="Z1703" s="33"/>
    </row>
    <row r="1704" spans="23:26" x14ac:dyDescent="0.2">
      <c r="W1704" s="33"/>
      <c r="Y1704" s="33"/>
      <c r="Z1704" s="33"/>
    </row>
    <row r="1705" spans="23:26" x14ac:dyDescent="0.2">
      <c r="W1705" s="33"/>
      <c r="Y1705" s="33"/>
      <c r="Z1705" s="33"/>
    </row>
    <row r="1706" spans="23:26" x14ac:dyDescent="0.2">
      <c r="W1706" s="33"/>
      <c r="Y1706" s="33"/>
      <c r="Z1706" s="33"/>
    </row>
    <row r="1707" spans="23:26" x14ac:dyDescent="0.2">
      <c r="W1707" s="33"/>
      <c r="Y1707" s="33"/>
      <c r="Z1707" s="33"/>
    </row>
    <row r="1708" spans="23:26" x14ac:dyDescent="0.2">
      <c r="W1708" s="33"/>
      <c r="Y1708" s="33"/>
      <c r="Z1708" s="33"/>
    </row>
    <row r="1709" spans="23:26" x14ac:dyDescent="0.2">
      <c r="W1709" s="33"/>
      <c r="Y1709" s="33"/>
      <c r="Z1709" s="33"/>
    </row>
    <row r="1710" spans="23:26" x14ac:dyDescent="0.2">
      <c r="W1710" s="33"/>
      <c r="Y1710" s="33"/>
      <c r="Z1710" s="33"/>
    </row>
    <row r="1711" spans="23:26" x14ac:dyDescent="0.2">
      <c r="W1711" s="33"/>
      <c r="Y1711" s="33"/>
      <c r="Z1711" s="33"/>
    </row>
    <row r="1712" spans="23:26" x14ac:dyDescent="0.2">
      <c r="W1712" s="33"/>
      <c r="Y1712" s="33"/>
      <c r="Z1712" s="33"/>
    </row>
    <row r="1713" spans="23:26" x14ac:dyDescent="0.2">
      <c r="W1713" s="33"/>
      <c r="Y1713" s="33"/>
      <c r="Z1713" s="33"/>
    </row>
    <row r="1714" spans="23:26" x14ac:dyDescent="0.2">
      <c r="W1714" s="33"/>
      <c r="Y1714" s="33"/>
      <c r="Z1714" s="33"/>
    </row>
    <row r="1715" spans="23:26" x14ac:dyDescent="0.2">
      <c r="W1715" s="33"/>
      <c r="Y1715" s="33"/>
      <c r="Z1715" s="33"/>
    </row>
    <row r="1716" spans="23:26" x14ac:dyDescent="0.2">
      <c r="W1716" s="33"/>
      <c r="Y1716" s="33"/>
      <c r="Z1716" s="33"/>
    </row>
    <row r="1717" spans="23:26" x14ac:dyDescent="0.2">
      <c r="W1717" s="33"/>
      <c r="Y1717" s="33"/>
      <c r="Z1717" s="33"/>
    </row>
    <row r="1718" spans="23:26" x14ac:dyDescent="0.2">
      <c r="W1718" s="33"/>
      <c r="Y1718" s="33"/>
      <c r="Z1718" s="33"/>
    </row>
    <row r="1719" spans="23:26" x14ac:dyDescent="0.2">
      <c r="W1719" s="33"/>
      <c r="Y1719" s="33"/>
      <c r="Z1719" s="33"/>
    </row>
    <row r="1720" spans="23:26" x14ac:dyDescent="0.2">
      <c r="W1720" s="33"/>
      <c r="Y1720" s="33"/>
      <c r="Z1720" s="33"/>
    </row>
    <row r="1721" spans="23:26" x14ac:dyDescent="0.2">
      <c r="W1721" s="33"/>
      <c r="Y1721" s="33"/>
      <c r="Z1721" s="33"/>
    </row>
    <row r="1722" spans="23:26" x14ac:dyDescent="0.2">
      <c r="W1722" s="33"/>
      <c r="Y1722" s="33"/>
      <c r="Z1722" s="33"/>
    </row>
    <row r="1723" spans="23:26" x14ac:dyDescent="0.2">
      <c r="W1723" s="33"/>
      <c r="Y1723" s="33"/>
      <c r="Z1723" s="33"/>
    </row>
    <row r="1724" spans="23:26" x14ac:dyDescent="0.2">
      <c r="W1724" s="33"/>
      <c r="Y1724" s="33"/>
      <c r="Z1724" s="33"/>
    </row>
    <row r="1725" spans="23:26" x14ac:dyDescent="0.2">
      <c r="W1725" s="33"/>
      <c r="Y1725" s="33"/>
      <c r="Z1725" s="33"/>
    </row>
    <row r="1726" spans="23:26" x14ac:dyDescent="0.2">
      <c r="W1726" s="33"/>
      <c r="Y1726" s="33"/>
      <c r="Z1726" s="33"/>
    </row>
    <row r="1727" spans="23:26" x14ac:dyDescent="0.2">
      <c r="W1727" s="33"/>
      <c r="Y1727" s="33"/>
      <c r="Z1727" s="33"/>
    </row>
    <row r="1728" spans="23:26" x14ac:dyDescent="0.2">
      <c r="W1728" s="33"/>
      <c r="Y1728" s="33"/>
      <c r="Z1728" s="33"/>
    </row>
    <row r="1729" spans="23:26" x14ac:dyDescent="0.2">
      <c r="W1729" s="33"/>
      <c r="Y1729" s="33"/>
      <c r="Z1729" s="33"/>
    </row>
    <row r="1730" spans="23:26" x14ac:dyDescent="0.2">
      <c r="W1730" s="33"/>
      <c r="Y1730" s="33"/>
      <c r="Z1730" s="33"/>
    </row>
    <row r="1731" spans="23:26" x14ac:dyDescent="0.2">
      <c r="W1731" s="33"/>
      <c r="Y1731" s="33"/>
      <c r="Z1731" s="33"/>
    </row>
    <row r="1732" spans="23:26" x14ac:dyDescent="0.2">
      <c r="W1732" s="33"/>
      <c r="Y1732" s="33"/>
      <c r="Z1732" s="33"/>
    </row>
    <row r="1733" spans="23:26" x14ac:dyDescent="0.2">
      <c r="W1733" s="33"/>
      <c r="Y1733" s="33"/>
      <c r="Z1733" s="33"/>
    </row>
    <row r="1734" spans="23:26" x14ac:dyDescent="0.2">
      <c r="W1734" s="33"/>
      <c r="Y1734" s="33"/>
      <c r="Z1734" s="33"/>
    </row>
    <row r="1735" spans="23:26" x14ac:dyDescent="0.2">
      <c r="W1735" s="33"/>
      <c r="Y1735" s="33"/>
      <c r="Z1735" s="33"/>
    </row>
    <row r="1736" spans="23:26" x14ac:dyDescent="0.2">
      <c r="W1736" s="33"/>
      <c r="Y1736" s="33"/>
      <c r="Z1736" s="33"/>
    </row>
    <row r="1737" spans="23:26" x14ac:dyDescent="0.2">
      <c r="W1737" s="33"/>
      <c r="Y1737" s="33"/>
      <c r="Z1737" s="33"/>
    </row>
    <row r="1738" spans="23:26" x14ac:dyDescent="0.2">
      <c r="W1738" s="33"/>
      <c r="Y1738" s="33"/>
      <c r="Z1738" s="33"/>
    </row>
    <row r="1739" spans="23:26" x14ac:dyDescent="0.2">
      <c r="W1739" s="33"/>
      <c r="Y1739" s="33"/>
      <c r="Z1739" s="33"/>
    </row>
    <row r="1740" spans="23:26" x14ac:dyDescent="0.2">
      <c r="W1740" s="33"/>
      <c r="Y1740" s="33"/>
      <c r="Z1740" s="33"/>
    </row>
    <row r="1741" spans="23:26" x14ac:dyDescent="0.2">
      <c r="W1741" s="33"/>
      <c r="Y1741" s="33"/>
      <c r="Z1741" s="33"/>
    </row>
    <row r="1742" spans="23:26" x14ac:dyDescent="0.2">
      <c r="W1742" s="33"/>
      <c r="Y1742" s="33"/>
      <c r="Z1742" s="33"/>
    </row>
    <row r="1743" spans="23:26" x14ac:dyDescent="0.2">
      <c r="W1743" s="33"/>
      <c r="Y1743" s="33"/>
      <c r="Z1743" s="33"/>
    </row>
    <row r="1744" spans="23:26" x14ac:dyDescent="0.2">
      <c r="W1744" s="33"/>
      <c r="Y1744" s="33"/>
      <c r="Z1744" s="33"/>
    </row>
    <row r="1745" spans="23:26" x14ac:dyDescent="0.2">
      <c r="W1745" s="33"/>
      <c r="Y1745" s="33"/>
      <c r="Z1745" s="33"/>
    </row>
    <row r="1746" spans="23:26" x14ac:dyDescent="0.2">
      <c r="W1746" s="33"/>
      <c r="Y1746" s="33"/>
      <c r="Z1746" s="33"/>
    </row>
    <row r="1747" spans="23:26" x14ac:dyDescent="0.2">
      <c r="W1747" s="33"/>
      <c r="Y1747" s="33"/>
      <c r="Z1747" s="33"/>
    </row>
    <row r="1748" spans="23:26" x14ac:dyDescent="0.2">
      <c r="W1748" s="33"/>
      <c r="Y1748" s="33"/>
      <c r="Z1748" s="33"/>
    </row>
    <row r="1749" spans="23:26" x14ac:dyDescent="0.2">
      <c r="W1749" s="33"/>
      <c r="Y1749" s="33"/>
      <c r="Z1749" s="33"/>
    </row>
    <row r="1750" spans="23:26" x14ac:dyDescent="0.2">
      <c r="W1750" s="33"/>
      <c r="Y1750" s="33"/>
      <c r="Z1750" s="33"/>
    </row>
    <row r="1751" spans="23:26" x14ac:dyDescent="0.2">
      <c r="W1751" s="33"/>
      <c r="Y1751" s="33"/>
      <c r="Z1751" s="33"/>
    </row>
    <row r="1752" spans="23:26" x14ac:dyDescent="0.2">
      <c r="W1752" s="33"/>
      <c r="Y1752" s="33"/>
      <c r="Z1752" s="33"/>
    </row>
    <row r="1753" spans="23:26" x14ac:dyDescent="0.2">
      <c r="W1753" s="33"/>
      <c r="Y1753" s="33"/>
      <c r="Z1753" s="33"/>
    </row>
    <row r="1754" spans="23:26" x14ac:dyDescent="0.2">
      <c r="W1754" s="33"/>
      <c r="Y1754" s="33"/>
      <c r="Z1754" s="33"/>
    </row>
    <row r="1755" spans="23:26" x14ac:dyDescent="0.2">
      <c r="W1755" s="33"/>
      <c r="Y1755" s="33"/>
      <c r="Z1755" s="33"/>
    </row>
    <row r="1756" spans="23:26" x14ac:dyDescent="0.2">
      <c r="W1756" s="33"/>
      <c r="Y1756" s="33"/>
      <c r="Z1756" s="33"/>
    </row>
    <row r="1757" spans="23:26" x14ac:dyDescent="0.2">
      <c r="W1757" s="33"/>
      <c r="Y1757" s="33"/>
      <c r="Z1757" s="33"/>
    </row>
    <row r="1758" spans="23:26" x14ac:dyDescent="0.2">
      <c r="W1758" s="33"/>
      <c r="Y1758" s="33"/>
      <c r="Z1758" s="33"/>
    </row>
    <row r="1759" spans="23:26" x14ac:dyDescent="0.2">
      <c r="W1759" s="33"/>
      <c r="Y1759" s="33"/>
      <c r="Z1759" s="33"/>
    </row>
    <row r="1760" spans="23:26" x14ac:dyDescent="0.2">
      <c r="W1760" s="33"/>
      <c r="Y1760" s="33"/>
      <c r="Z1760" s="33"/>
    </row>
    <row r="1761" spans="23:26" x14ac:dyDescent="0.2">
      <c r="W1761" s="33"/>
      <c r="Y1761" s="33"/>
      <c r="Z1761" s="33"/>
    </row>
    <row r="1762" spans="23:26" x14ac:dyDescent="0.2">
      <c r="W1762" s="33"/>
      <c r="Y1762" s="33"/>
      <c r="Z1762" s="33"/>
    </row>
    <row r="1763" spans="23:26" x14ac:dyDescent="0.2">
      <c r="W1763" s="33"/>
      <c r="Y1763" s="33"/>
      <c r="Z1763" s="33"/>
    </row>
    <row r="1764" spans="23:26" x14ac:dyDescent="0.2">
      <c r="W1764" s="33"/>
      <c r="Y1764" s="33"/>
      <c r="Z1764" s="33"/>
    </row>
    <row r="1765" spans="23:26" x14ac:dyDescent="0.2">
      <c r="W1765" s="33"/>
      <c r="Y1765" s="33"/>
      <c r="Z1765" s="33"/>
    </row>
    <row r="1766" spans="23:26" x14ac:dyDescent="0.2">
      <c r="W1766" s="33"/>
      <c r="Y1766" s="33"/>
      <c r="Z1766" s="33"/>
    </row>
    <row r="1767" spans="23:26" x14ac:dyDescent="0.2">
      <c r="W1767" s="33"/>
      <c r="Y1767" s="33"/>
      <c r="Z1767" s="33"/>
    </row>
    <row r="1768" spans="23:26" x14ac:dyDescent="0.2">
      <c r="W1768" s="33"/>
      <c r="Y1768" s="33"/>
      <c r="Z1768" s="33"/>
    </row>
    <row r="1769" spans="23:26" x14ac:dyDescent="0.2">
      <c r="W1769" s="33"/>
      <c r="Y1769" s="33"/>
      <c r="Z1769" s="33"/>
    </row>
    <row r="1770" spans="23:26" x14ac:dyDescent="0.2">
      <c r="W1770" s="33"/>
      <c r="Y1770" s="33"/>
      <c r="Z1770" s="33"/>
    </row>
    <row r="1771" spans="23:26" x14ac:dyDescent="0.2">
      <c r="W1771" s="33"/>
      <c r="Y1771" s="33"/>
      <c r="Z1771" s="33"/>
    </row>
    <row r="1772" spans="23:26" x14ac:dyDescent="0.2">
      <c r="W1772" s="33"/>
      <c r="Y1772" s="33"/>
      <c r="Z1772" s="33"/>
    </row>
    <row r="1773" spans="23:26" x14ac:dyDescent="0.2">
      <c r="W1773" s="33"/>
      <c r="Y1773" s="33"/>
      <c r="Z1773" s="33"/>
    </row>
    <row r="1774" spans="23:26" x14ac:dyDescent="0.2">
      <c r="W1774" s="33"/>
      <c r="Y1774" s="33"/>
      <c r="Z1774" s="33"/>
    </row>
    <row r="1775" spans="23:26" x14ac:dyDescent="0.2">
      <c r="W1775" s="33"/>
      <c r="Y1775" s="33"/>
      <c r="Z1775" s="33"/>
    </row>
    <row r="1776" spans="23:26" x14ac:dyDescent="0.2">
      <c r="W1776" s="33"/>
      <c r="Y1776" s="33"/>
      <c r="Z1776" s="33"/>
    </row>
    <row r="1777" spans="23:26" x14ac:dyDescent="0.2">
      <c r="W1777" s="33"/>
      <c r="Y1777" s="33"/>
      <c r="Z1777" s="33"/>
    </row>
    <row r="1778" spans="23:26" x14ac:dyDescent="0.2">
      <c r="W1778" s="33"/>
      <c r="Y1778" s="33"/>
      <c r="Z1778" s="33"/>
    </row>
    <row r="1779" spans="23:26" x14ac:dyDescent="0.2">
      <c r="W1779" s="33"/>
      <c r="Y1779" s="33"/>
      <c r="Z1779" s="33"/>
    </row>
    <row r="1780" spans="23:26" x14ac:dyDescent="0.2">
      <c r="W1780" s="33"/>
      <c r="Y1780" s="33"/>
      <c r="Z1780" s="33"/>
    </row>
    <row r="1781" spans="23:26" x14ac:dyDescent="0.2">
      <c r="W1781" s="33"/>
      <c r="Y1781" s="33"/>
      <c r="Z1781" s="33"/>
    </row>
    <row r="1782" spans="23:26" x14ac:dyDescent="0.2">
      <c r="W1782" s="33"/>
      <c r="Y1782" s="33"/>
      <c r="Z1782" s="33"/>
    </row>
    <row r="1783" spans="23:26" x14ac:dyDescent="0.2">
      <c r="W1783" s="33"/>
      <c r="Y1783" s="33"/>
      <c r="Z1783" s="33"/>
    </row>
    <row r="1784" spans="23:26" x14ac:dyDescent="0.2">
      <c r="W1784" s="33"/>
      <c r="Y1784" s="33"/>
      <c r="Z1784" s="33"/>
    </row>
    <row r="1785" spans="23:26" x14ac:dyDescent="0.2">
      <c r="W1785" s="33"/>
      <c r="Y1785" s="33"/>
      <c r="Z1785" s="33"/>
    </row>
    <row r="1786" spans="23:26" x14ac:dyDescent="0.2">
      <c r="W1786" s="33"/>
      <c r="Y1786" s="33"/>
      <c r="Z1786" s="33"/>
    </row>
    <row r="1787" spans="23:26" x14ac:dyDescent="0.2">
      <c r="W1787" s="33"/>
      <c r="Y1787" s="33"/>
      <c r="Z1787" s="33"/>
    </row>
    <row r="1788" spans="23:26" x14ac:dyDescent="0.2">
      <c r="W1788" s="33"/>
      <c r="Y1788" s="33"/>
      <c r="Z1788" s="33"/>
    </row>
    <row r="1789" spans="23:26" x14ac:dyDescent="0.2">
      <c r="W1789" s="33"/>
      <c r="Y1789" s="33"/>
      <c r="Z1789" s="33"/>
    </row>
    <row r="1790" spans="23:26" x14ac:dyDescent="0.2">
      <c r="W1790" s="33"/>
      <c r="Y1790" s="33"/>
      <c r="Z1790" s="33"/>
    </row>
    <row r="1791" spans="23:26" x14ac:dyDescent="0.2">
      <c r="W1791" s="33"/>
      <c r="Y1791" s="33"/>
      <c r="Z1791" s="33"/>
    </row>
    <row r="1792" spans="23:26" x14ac:dyDescent="0.2">
      <c r="W1792" s="33"/>
      <c r="Y1792" s="33"/>
      <c r="Z1792" s="33"/>
    </row>
    <row r="1793" spans="23:26" x14ac:dyDescent="0.2">
      <c r="W1793" s="33"/>
      <c r="Y1793" s="33"/>
      <c r="Z1793" s="33"/>
    </row>
    <row r="1794" spans="23:26" x14ac:dyDescent="0.2">
      <c r="W1794" s="33"/>
      <c r="Y1794" s="33"/>
      <c r="Z1794" s="33"/>
    </row>
    <row r="1795" spans="23:26" x14ac:dyDescent="0.2">
      <c r="W1795" s="33"/>
      <c r="Y1795" s="33"/>
      <c r="Z1795" s="33"/>
    </row>
    <row r="1796" spans="23:26" x14ac:dyDescent="0.2">
      <c r="W1796" s="33"/>
      <c r="Y1796" s="33"/>
      <c r="Z1796" s="33"/>
    </row>
    <row r="1797" spans="23:26" x14ac:dyDescent="0.2">
      <c r="W1797" s="33"/>
      <c r="Y1797" s="33"/>
      <c r="Z1797" s="33"/>
    </row>
    <row r="1798" spans="23:26" x14ac:dyDescent="0.2">
      <c r="W1798" s="33"/>
      <c r="Y1798" s="33"/>
      <c r="Z1798" s="33"/>
    </row>
    <row r="1799" spans="23:26" x14ac:dyDescent="0.2">
      <c r="W1799" s="33"/>
      <c r="Y1799" s="33"/>
      <c r="Z1799" s="33"/>
    </row>
    <row r="1800" spans="23:26" x14ac:dyDescent="0.2">
      <c r="W1800" s="33"/>
      <c r="Y1800" s="33"/>
      <c r="Z1800" s="33"/>
    </row>
    <row r="1801" spans="23:26" x14ac:dyDescent="0.2">
      <c r="W1801" s="33"/>
      <c r="Y1801" s="33"/>
      <c r="Z1801" s="33"/>
    </row>
    <row r="1802" spans="23:26" x14ac:dyDescent="0.2">
      <c r="W1802" s="33"/>
      <c r="Y1802" s="33"/>
      <c r="Z1802" s="33"/>
    </row>
    <row r="1803" spans="23:26" x14ac:dyDescent="0.2">
      <c r="W1803" s="33"/>
      <c r="Y1803" s="33"/>
      <c r="Z1803" s="33"/>
    </row>
    <row r="1804" spans="23:26" x14ac:dyDescent="0.2">
      <c r="W1804" s="33"/>
      <c r="Y1804" s="33"/>
      <c r="Z1804" s="33"/>
    </row>
    <row r="1805" spans="23:26" x14ac:dyDescent="0.2">
      <c r="W1805" s="33"/>
      <c r="Y1805" s="33"/>
      <c r="Z1805" s="33"/>
    </row>
    <row r="1806" spans="23:26" x14ac:dyDescent="0.2">
      <c r="W1806" s="33"/>
      <c r="Y1806" s="33"/>
      <c r="Z1806" s="33"/>
    </row>
    <row r="1807" spans="23:26" x14ac:dyDescent="0.2">
      <c r="W1807" s="33"/>
      <c r="Y1807" s="33"/>
      <c r="Z1807" s="33"/>
    </row>
    <row r="1808" spans="23:26" x14ac:dyDescent="0.2">
      <c r="W1808" s="33"/>
      <c r="Y1808" s="33"/>
      <c r="Z1808" s="33"/>
    </row>
    <row r="1809" spans="23:26" x14ac:dyDescent="0.2">
      <c r="W1809" s="33"/>
      <c r="Y1809" s="33"/>
      <c r="Z1809" s="33"/>
    </row>
    <row r="1810" spans="23:26" x14ac:dyDescent="0.2">
      <c r="W1810" s="33"/>
      <c r="Y1810" s="33"/>
      <c r="Z1810" s="33"/>
    </row>
    <row r="1811" spans="23:26" x14ac:dyDescent="0.2">
      <c r="W1811" s="33"/>
      <c r="Y1811" s="33"/>
      <c r="Z1811" s="33"/>
    </row>
    <row r="1812" spans="23:26" x14ac:dyDescent="0.2">
      <c r="W1812" s="33"/>
      <c r="Y1812" s="33"/>
      <c r="Z1812" s="33"/>
    </row>
    <row r="1813" spans="23:26" x14ac:dyDescent="0.2">
      <c r="W1813" s="33"/>
      <c r="Y1813" s="33"/>
      <c r="Z1813" s="33"/>
    </row>
    <row r="1814" spans="23:26" x14ac:dyDescent="0.2">
      <c r="W1814" s="33"/>
      <c r="Y1814" s="33"/>
      <c r="Z1814" s="33"/>
    </row>
    <row r="1815" spans="23:26" x14ac:dyDescent="0.2">
      <c r="W1815" s="33"/>
      <c r="Y1815" s="33"/>
      <c r="Z1815" s="33"/>
    </row>
    <row r="1816" spans="23:26" x14ac:dyDescent="0.2">
      <c r="W1816" s="33"/>
      <c r="Y1816" s="33"/>
      <c r="Z1816" s="33"/>
    </row>
    <row r="1817" spans="23:26" x14ac:dyDescent="0.2">
      <c r="W1817" s="33"/>
      <c r="Y1817" s="33"/>
      <c r="Z1817" s="33"/>
    </row>
    <row r="1818" spans="23:26" x14ac:dyDescent="0.2">
      <c r="W1818" s="33"/>
      <c r="Y1818" s="33"/>
      <c r="Z1818" s="33"/>
    </row>
    <row r="1819" spans="23:26" x14ac:dyDescent="0.2">
      <c r="W1819" s="33"/>
      <c r="Y1819" s="33"/>
      <c r="Z1819" s="33"/>
    </row>
    <row r="1820" spans="23:26" x14ac:dyDescent="0.2">
      <c r="W1820" s="33"/>
      <c r="Y1820" s="33"/>
      <c r="Z1820" s="33"/>
    </row>
    <row r="1821" spans="23:26" x14ac:dyDescent="0.2">
      <c r="W1821" s="33"/>
      <c r="Y1821" s="33"/>
      <c r="Z1821" s="33"/>
    </row>
    <row r="1822" spans="23:26" x14ac:dyDescent="0.2">
      <c r="W1822" s="33"/>
      <c r="Y1822" s="33"/>
      <c r="Z1822" s="33"/>
    </row>
    <row r="1823" spans="23:26" x14ac:dyDescent="0.2">
      <c r="W1823" s="33"/>
      <c r="Y1823" s="33"/>
      <c r="Z1823" s="33"/>
    </row>
    <row r="1824" spans="23:26" x14ac:dyDescent="0.2">
      <c r="W1824" s="33"/>
      <c r="Y1824" s="33"/>
      <c r="Z1824" s="33"/>
    </row>
    <row r="1825" spans="23:26" x14ac:dyDescent="0.2">
      <c r="W1825" s="33"/>
      <c r="Y1825" s="33"/>
      <c r="Z1825" s="33"/>
    </row>
    <row r="1826" spans="23:26" x14ac:dyDescent="0.2">
      <c r="W1826" s="33"/>
      <c r="Y1826" s="33"/>
      <c r="Z1826" s="33"/>
    </row>
    <row r="1827" spans="23:26" x14ac:dyDescent="0.2">
      <c r="W1827" s="33"/>
      <c r="Y1827" s="33"/>
      <c r="Z1827" s="33"/>
    </row>
    <row r="1828" spans="23:26" x14ac:dyDescent="0.2">
      <c r="W1828" s="33"/>
      <c r="Y1828" s="33"/>
      <c r="Z1828" s="33"/>
    </row>
    <row r="1829" spans="23:26" x14ac:dyDescent="0.2">
      <c r="W1829" s="33"/>
      <c r="Y1829" s="33"/>
      <c r="Z1829" s="33"/>
    </row>
    <row r="1830" spans="23:26" x14ac:dyDescent="0.2">
      <c r="W1830" s="33"/>
      <c r="Y1830" s="33"/>
      <c r="Z1830" s="33"/>
    </row>
    <row r="1831" spans="23:26" x14ac:dyDescent="0.2">
      <c r="W1831" s="33"/>
      <c r="Y1831" s="33"/>
      <c r="Z1831" s="33"/>
    </row>
    <row r="1832" spans="23:26" x14ac:dyDescent="0.2">
      <c r="W1832" s="33"/>
      <c r="Y1832" s="33"/>
      <c r="Z1832" s="33"/>
    </row>
    <row r="1833" spans="23:26" x14ac:dyDescent="0.2">
      <c r="W1833" s="33"/>
      <c r="Y1833" s="33"/>
      <c r="Z1833" s="33"/>
    </row>
    <row r="1834" spans="23:26" x14ac:dyDescent="0.2">
      <c r="W1834" s="33"/>
      <c r="Y1834" s="33"/>
      <c r="Z1834" s="33"/>
    </row>
    <row r="1835" spans="23:26" x14ac:dyDescent="0.2">
      <c r="W1835" s="33"/>
      <c r="Y1835" s="33"/>
      <c r="Z1835" s="33"/>
    </row>
    <row r="1836" spans="23:26" x14ac:dyDescent="0.2">
      <c r="W1836" s="33"/>
      <c r="Y1836" s="33"/>
      <c r="Z1836" s="33"/>
    </row>
    <row r="1837" spans="23:26" x14ac:dyDescent="0.2">
      <c r="W1837" s="33"/>
      <c r="Y1837" s="33"/>
      <c r="Z1837" s="33"/>
    </row>
    <row r="1838" spans="23:26" x14ac:dyDescent="0.2">
      <c r="W1838" s="33"/>
      <c r="Y1838" s="33"/>
      <c r="Z1838" s="33"/>
    </row>
    <row r="1839" spans="23:26" x14ac:dyDescent="0.2">
      <c r="W1839" s="33"/>
      <c r="Y1839" s="33"/>
      <c r="Z1839" s="33"/>
    </row>
    <row r="1840" spans="23:26" x14ac:dyDescent="0.2">
      <c r="W1840" s="33"/>
      <c r="Y1840" s="33"/>
      <c r="Z1840" s="33"/>
    </row>
    <row r="1841" spans="23:26" x14ac:dyDescent="0.2">
      <c r="W1841" s="33"/>
      <c r="Y1841" s="33"/>
      <c r="Z1841" s="33"/>
    </row>
    <row r="1842" spans="23:26" x14ac:dyDescent="0.2">
      <c r="W1842" s="33"/>
      <c r="Y1842" s="33"/>
      <c r="Z1842" s="33"/>
    </row>
    <row r="1843" spans="23:26" x14ac:dyDescent="0.2">
      <c r="W1843" s="33"/>
      <c r="Y1843" s="33"/>
      <c r="Z1843" s="33"/>
    </row>
    <row r="1844" spans="23:26" x14ac:dyDescent="0.2">
      <c r="W1844" s="33"/>
      <c r="Y1844" s="33"/>
      <c r="Z1844" s="33"/>
    </row>
    <row r="1845" spans="23:26" x14ac:dyDescent="0.2">
      <c r="W1845" s="33"/>
      <c r="Y1845" s="33"/>
      <c r="Z1845" s="33"/>
    </row>
    <row r="1846" spans="23:26" x14ac:dyDescent="0.2">
      <c r="W1846" s="33"/>
      <c r="Y1846" s="33"/>
      <c r="Z1846" s="33"/>
    </row>
    <row r="1847" spans="23:26" x14ac:dyDescent="0.2">
      <c r="W1847" s="33"/>
      <c r="Y1847" s="33"/>
      <c r="Z1847" s="33"/>
    </row>
    <row r="1848" spans="23:26" x14ac:dyDescent="0.2">
      <c r="W1848" s="33"/>
      <c r="Y1848" s="33"/>
      <c r="Z1848" s="33"/>
    </row>
    <row r="1849" spans="23:26" x14ac:dyDescent="0.2">
      <c r="W1849" s="33"/>
      <c r="Y1849" s="33"/>
      <c r="Z1849" s="33"/>
    </row>
    <row r="1850" spans="23:26" x14ac:dyDescent="0.2">
      <c r="W1850" s="33"/>
      <c r="Y1850" s="33"/>
      <c r="Z1850" s="33"/>
    </row>
    <row r="1851" spans="23:26" x14ac:dyDescent="0.2">
      <c r="W1851" s="33"/>
      <c r="Y1851" s="33"/>
      <c r="Z1851" s="33"/>
    </row>
    <row r="1852" spans="23:26" x14ac:dyDescent="0.2">
      <c r="W1852" s="33"/>
      <c r="Y1852" s="33"/>
      <c r="Z1852" s="33"/>
    </row>
    <row r="1853" spans="23:26" x14ac:dyDescent="0.2">
      <c r="W1853" s="33"/>
      <c r="Y1853" s="33"/>
      <c r="Z1853" s="33"/>
    </row>
    <row r="1854" spans="23:26" x14ac:dyDescent="0.2">
      <c r="W1854" s="33"/>
      <c r="Y1854" s="33"/>
      <c r="Z1854" s="33"/>
    </row>
    <row r="1855" spans="23:26" x14ac:dyDescent="0.2">
      <c r="W1855" s="33"/>
      <c r="Y1855" s="33"/>
      <c r="Z1855" s="33"/>
    </row>
    <row r="1856" spans="23:26" x14ac:dyDescent="0.2">
      <c r="W1856" s="33"/>
      <c r="Y1856" s="33"/>
      <c r="Z1856" s="33"/>
    </row>
    <row r="1857" spans="23:26" x14ac:dyDescent="0.2">
      <c r="W1857" s="33"/>
      <c r="Y1857" s="33"/>
      <c r="Z1857" s="33"/>
    </row>
    <row r="1858" spans="23:26" x14ac:dyDescent="0.2">
      <c r="W1858" s="33"/>
      <c r="Y1858" s="33"/>
      <c r="Z1858" s="33"/>
    </row>
    <row r="1859" spans="23:26" x14ac:dyDescent="0.2">
      <c r="W1859" s="33"/>
      <c r="Y1859" s="33"/>
      <c r="Z1859" s="33"/>
    </row>
    <row r="1860" spans="23:26" x14ac:dyDescent="0.2">
      <c r="W1860" s="33"/>
      <c r="Y1860" s="33"/>
      <c r="Z1860" s="33"/>
    </row>
    <row r="1861" spans="23:26" x14ac:dyDescent="0.2">
      <c r="W1861" s="33"/>
      <c r="Y1861" s="33"/>
      <c r="Z1861" s="33"/>
    </row>
    <row r="1862" spans="23:26" x14ac:dyDescent="0.2">
      <c r="W1862" s="33"/>
      <c r="Y1862" s="33"/>
      <c r="Z1862" s="33"/>
    </row>
    <row r="1863" spans="23:26" x14ac:dyDescent="0.2">
      <c r="W1863" s="33"/>
      <c r="Y1863" s="33"/>
      <c r="Z1863" s="33"/>
    </row>
    <row r="1864" spans="23:26" x14ac:dyDescent="0.2">
      <c r="W1864" s="33"/>
      <c r="Y1864" s="33"/>
      <c r="Z1864" s="33"/>
    </row>
    <row r="1865" spans="23:26" x14ac:dyDescent="0.2">
      <c r="W1865" s="33"/>
      <c r="Y1865" s="33"/>
      <c r="Z1865" s="33"/>
    </row>
    <row r="1866" spans="23:26" x14ac:dyDescent="0.2">
      <c r="W1866" s="33"/>
      <c r="Y1866" s="33"/>
      <c r="Z1866" s="33"/>
    </row>
    <row r="1867" spans="23:26" x14ac:dyDescent="0.2">
      <c r="W1867" s="33"/>
      <c r="Y1867" s="33"/>
      <c r="Z1867" s="33"/>
    </row>
    <row r="1868" spans="23:26" x14ac:dyDescent="0.2">
      <c r="W1868" s="33"/>
      <c r="Y1868" s="33"/>
      <c r="Z1868" s="33"/>
    </row>
    <row r="1869" spans="23:26" x14ac:dyDescent="0.2">
      <c r="W1869" s="33"/>
      <c r="Y1869" s="33"/>
      <c r="Z1869" s="33"/>
    </row>
    <row r="1870" spans="23:26" x14ac:dyDescent="0.2">
      <c r="W1870" s="33"/>
      <c r="Y1870" s="33"/>
      <c r="Z1870" s="33"/>
    </row>
    <row r="1871" spans="23:26" x14ac:dyDescent="0.2">
      <c r="W1871" s="33"/>
      <c r="Y1871" s="33"/>
      <c r="Z1871" s="33"/>
    </row>
    <row r="1872" spans="23:26" x14ac:dyDescent="0.2">
      <c r="W1872" s="33"/>
      <c r="Y1872" s="33"/>
      <c r="Z1872" s="33"/>
    </row>
    <row r="1873" spans="23:26" x14ac:dyDescent="0.2">
      <c r="W1873" s="33"/>
      <c r="Y1873" s="33"/>
      <c r="Z1873" s="33"/>
    </row>
    <row r="1874" spans="23:26" x14ac:dyDescent="0.2">
      <c r="W1874" s="33"/>
      <c r="Y1874" s="33"/>
      <c r="Z1874" s="33"/>
    </row>
    <row r="1875" spans="23:26" x14ac:dyDescent="0.2">
      <c r="W1875" s="33"/>
      <c r="Y1875" s="33"/>
      <c r="Z1875" s="33"/>
    </row>
    <row r="1876" spans="23:26" x14ac:dyDescent="0.2">
      <c r="W1876" s="33"/>
      <c r="Y1876" s="33"/>
      <c r="Z1876" s="33"/>
    </row>
    <row r="1877" spans="23:26" x14ac:dyDescent="0.2">
      <c r="W1877" s="33"/>
      <c r="Y1877" s="33"/>
      <c r="Z1877" s="33"/>
    </row>
    <row r="1878" spans="23:26" x14ac:dyDescent="0.2">
      <c r="W1878" s="33"/>
      <c r="Y1878" s="33"/>
      <c r="Z1878" s="33"/>
    </row>
    <row r="1879" spans="23:26" x14ac:dyDescent="0.2">
      <c r="W1879" s="33"/>
      <c r="Y1879" s="33"/>
      <c r="Z1879" s="33"/>
    </row>
    <row r="1880" spans="23:26" x14ac:dyDescent="0.2">
      <c r="W1880" s="33"/>
      <c r="Y1880" s="33"/>
      <c r="Z1880" s="33"/>
    </row>
    <row r="1881" spans="23:26" x14ac:dyDescent="0.2">
      <c r="W1881" s="33"/>
      <c r="Y1881" s="33"/>
      <c r="Z1881" s="33"/>
    </row>
    <row r="1882" spans="23:26" x14ac:dyDescent="0.2">
      <c r="W1882" s="33"/>
      <c r="Y1882" s="33"/>
      <c r="Z1882" s="33"/>
    </row>
    <row r="1883" spans="23:26" x14ac:dyDescent="0.2">
      <c r="W1883" s="33"/>
      <c r="Y1883" s="33"/>
      <c r="Z1883" s="33"/>
    </row>
    <row r="1884" spans="23:26" x14ac:dyDescent="0.2">
      <c r="W1884" s="33"/>
      <c r="Y1884" s="33"/>
      <c r="Z1884" s="33"/>
    </row>
    <row r="1885" spans="23:26" x14ac:dyDescent="0.2">
      <c r="W1885" s="33"/>
      <c r="Y1885" s="33"/>
      <c r="Z1885" s="33"/>
    </row>
    <row r="1886" spans="23:26" x14ac:dyDescent="0.2">
      <c r="W1886" s="33"/>
      <c r="Y1886" s="33"/>
      <c r="Z1886" s="33"/>
    </row>
    <row r="1887" spans="23:26" x14ac:dyDescent="0.2">
      <c r="W1887" s="33"/>
      <c r="Y1887" s="33"/>
      <c r="Z1887" s="33"/>
    </row>
    <row r="1888" spans="23:26" x14ac:dyDescent="0.2">
      <c r="W1888" s="33"/>
      <c r="Y1888" s="33"/>
      <c r="Z1888" s="33"/>
    </row>
    <row r="1889" spans="23:26" x14ac:dyDescent="0.2">
      <c r="W1889" s="33"/>
      <c r="Y1889" s="33"/>
      <c r="Z1889" s="33"/>
    </row>
    <row r="1890" spans="23:26" x14ac:dyDescent="0.2">
      <c r="W1890" s="33"/>
      <c r="Y1890" s="33"/>
      <c r="Z1890" s="33"/>
    </row>
    <row r="1891" spans="23:26" x14ac:dyDescent="0.2">
      <c r="W1891" s="33"/>
      <c r="Y1891" s="33"/>
      <c r="Z1891" s="33"/>
    </row>
    <row r="1892" spans="23:26" x14ac:dyDescent="0.2">
      <c r="W1892" s="33"/>
      <c r="Y1892" s="33"/>
      <c r="Z1892" s="33"/>
    </row>
    <row r="1893" spans="23:26" x14ac:dyDescent="0.2">
      <c r="W1893" s="33"/>
      <c r="Y1893" s="33"/>
      <c r="Z1893" s="33"/>
    </row>
    <row r="1894" spans="23:26" x14ac:dyDescent="0.2">
      <c r="W1894" s="33"/>
      <c r="Y1894" s="33"/>
      <c r="Z1894" s="33"/>
    </row>
    <row r="1895" spans="23:26" x14ac:dyDescent="0.2">
      <c r="W1895" s="33"/>
      <c r="Y1895" s="33"/>
      <c r="Z1895" s="33"/>
    </row>
    <row r="1896" spans="23:26" x14ac:dyDescent="0.2">
      <c r="W1896" s="33"/>
      <c r="Y1896" s="33"/>
      <c r="Z1896" s="33"/>
    </row>
    <row r="1897" spans="23:26" x14ac:dyDescent="0.2">
      <c r="W1897" s="33"/>
      <c r="Y1897" s="33"/>
      <c r="Z1897" s="33"/>
    </row>
    <row r="1898" spans="23:26" x14ac:dyDescent="0.2">
      <c r="W1898" s="33"/>
      <c r="Y1898" s="33"/>
      <c r="Z1898" s="33"/>
    </row>
    <row r="1899" spans="23:26" x14ac:dyDescent="0.2">
      <c r="W1899" s="33"/>
      <c r="Y1899" s="33"/>
      <c r="Z1899" s="33"/>
    </row>
    <row r="1900" spans="23:26" x14ac:dyDescent="0.2">
      <c r="W1900" s="33"/>
      <c r="Y1900" s="33"/>
      <c r="Z1900" s="33"/>
    </row>
    <row r="1901" spans="23:26" x14ac:dyDescent="0.2">
      <c r="W1901" s="33"/>
      <c r="Y1901" s="33"/>
      <c r="Z1901" s="33"/>
    </row>
    <row r="1902" spans="23:26" x14ac:dyDescent="0.2">
      <c r="W1902" s="33"/>
      <c r="Y1902" s="33"/>
      <c r="Z1902" s="33"/>
    </row>
    <row r="1903" spans="23:26" x14ac:dyDescent="0.2">
      <c r="W1903" s="33"/>
      <c r="Y1903" s="33"/>
      <c r="Z1903" s="33"/>
    </row>
    <row r="1904" spans="23:26" x14ac:dyDescent="0.2">
      <c r="W1904" s="33"/>
      <c r="Y1904" s="33"/>
      <c r="Z1904" s="33"/>
    </row>
    <row r="1905" spans="23:26" x14ac:dyDescent="0.2">
      <c r="W1905" s="33"/>
      <c r="Y1905" s="33"/>
      <c r="Z1905" s="33"/>
    </row>
    <row r="1906" spans="23:26" x14ac:dyDescent="0.2">
      <c r="W1906" s="33"/>
      <c r="Y1906" s="33"/>
      <c r="Z1906" s="33"/>
    </row>
    <row r="1907" spans="23:26" x14ac:dyDescent="0.2">
      <c r="W1907" s="33"/>
      <c r="Y1907" s="33"/>
      <c r="Z1907" s="33"/>
    </row>
    <row r="1908" spans="23:26" x14ac:dyDescent="0.2">
      <c r="W1908" s="33"/>
      <c r="Y1908" s="33"/>
      <c r="Z1908" s="33"/>
    </row>
    <row r="1909" spans="23:26" x14ac:dyDescent="0.2">
      <c r="W1909" s="33"/>
      <c r="Y1909" s="33"/>
      <c r="Z1909" s="33"/>
    </row>
    <row r="1910" spans="23:26" x14ac:dyDescent="0.2">
      <c r="W1910" s="33"/>
      <c r="Y1910" s="33"/>
      <c r="Z1910" s="33"/>
    </row>
    <row r="1911" spans="23:26" x14ac:dyDescent="0.2">
      <c r="W1911" s="33"/>
      <c r="Y1911" s="33"/>
      <c r="Z1911" s="33"/>
    </row>
    <row r="1912" spans="23:26" x14ac:dyDescent="0.2">
      <c r="W1912" s="33"/>
      <c r="Y1912" s="33"/>
      <c r="Z1912" s="33"/>
    </row>
    <row r="1913" spans="23:26" x14ac:dyDescent="0.2">
      <c r="W1913" s="33"/>
      <c r="Y1913" s="33"/>
      <c r="Z1913" s="33"/>
    </row>
    <row r="1914" spans="23:26" x14ac:dyDescent="0.2">
      <c r="W1914" s="33"/>
      <c r="Y1914" s="33"/>
      <c r="Z1914" s="33"/>
    </row>
    <row r="1915" spans="23:26" x14ac:dyDescent="0.2">
      <c r="W1915" s="33"/>
      <c r="Y1915" s="33"/>
      <c r="Z1915" s="33"/>
    </row>
    <row r="1916" spans="23:26" x14ac:dyDescent="0.2">
      <c r="W1916" s="33"/>
      <c r="Y1916" s="33"/>
      <c r="Z1916" s="33"/>
    </row>
    <row r="1917" spans="23:26" x14ac:dyDescent="0.2">
      <c r="W1917" s="33"/>
      <c r="Y1917" s="33"/>
      <c r="Z1917" s="33"/>
    </row>
    <row r="1918" spans="23:26" x14ac:dyDescent="0.2">
      <c r="W1918" s="33"/>
      <c r="Y1918" s="33"/>
      <c r="Z1918" s="33"/>
    </row>
    <row r="1919" spans="23:26" x14ac:dyDescent="0.2">
      <c r="W1919" s="33"/>
      <c r="Y1919" s="33"/>
      <c r="Z1919" s="33"/>
    </row>
    <row r="1920" spans="23:26" x14ac:dyDescent="0.2">
      <c r="W1920" s="33"/>
      <c r="Y1920" s="33"/>
      <c r="Z1920" s="33"/>
    </row>
    <row r="1921" spans="23:26" x14ac:dyDescent="0.2">
      <c r="W1921" s="33"/>
      <c r="Y1921" s="33"/>
      <c r="Z1921" s="33"/>
    </row>
    <row r="1922" spans="23:26" x14ac:dyDescent="0.2">
      <c r="W1922" s="33"/>
      <c r="Y1922" s="33"/>
      <c r="Z1922" s="33"/>
    </row>
    <row r="1923" spans="23:26" x14ac:dyDescent="0.2">
      <c r="W1923" s="33"/>
      <c r="Y1923" s="33"/>
      <c r="Z1923" s="33"/>
    </row>
    <row r="1924" spans="23:26" x14ac:dyDescent="0.2">
      <c r="W1924" s="33"/>
      <c r="Y1924" s="33"/>
      <c r="Z1924" s="33"/>
    </row>
    <row r="1925" spans="23:26" x14ac:dyDescent="0.2">
      <c r="W1925" s="33"/>
      <c r="Y1925" s="33"/>
      <c r="Z1925" s="33"/>
    </row>
    <row r="1926" spans="23:26" x14ac:dyDescent="0.2">
      <c r="W1926" s="33"/>
      <c r="Y1926" s="33"/>
      <c r="Z1926" s="33"/>
    </row>
    <row r="1927" spans="23:26" x14ac:dyDescent="0.2">
      <c r="W1927" s="33"/>
      <c r="Y1927" s="33"/>
      <c r="Z1927" s="33"/>
    </row>
    <row r="1928" spans="23:26" x14ac:dyDescent="0.2">
      <c r="W1928" s="33"/>
      <c r="Y1928" s="33"/>
      <c r="Z1928" s="33"/>
    </row>
    <row r="1929" spans="23:26" x14ac:dyDescent="0.2">
      <c r="W1929" s="33"/>
      <c r="Y1929" s="33"/>
      <c r="Z1929" s="33"/>
    </row>
    <row r="1930" spans="23:26" x14ac:dyDescent="0.2">
      <c r="W1930" s="33"/>
      <c r="Y1930" s="33"/>
      <c r="Z1930" s="33"/>
    </row>
    <row r="1931" spans="23:26" x14ac:dyDescent="0.2">
      <c r="W1931" s="33"/>
      <c r="Y1931" s="33"/>
      <c r="Z1931" s="33"/>
    </row>
    <row r="1932" spans="23:26" x14ac:dyDescent="0.2">
      <c r="W1932" s="33"/>
      <c r="Y1932" s="33"/>
      <c r="Z1932" s="33"/>
    </row>
    <row r="1933" spans="23:26" x14ac:dyDescent="0.2">
      <c r="W1933" s="33"/>
      <c r="Y1933" s="33"/>
      <c r="Z1933" s="33"/>
    </row>
    <row r="1934" spans="23:26" x14ac:dyDescent="0.2">
      <c r="W1934" s="33"/>
      <c r="Y1934" s="33"/>
      <c r="Z1934" s="33"/>
    </row>
    <row r="1935" spans="23:26" x14ac:dyDescent="0.2">
      <c r="W1935" s="33"/>
      <c r="Y1935" s="33"/>
      <c r="Z1935" s="33"/>
    </row>
    <row r="1936" spans="23:26" x14ac:dyDescent="0.2">
      <c r="W1936" s="33"/>
      <c r="Y1936" s="33"/>
      <c r="Z1936" s="33"/>
    </row>
    <row r="1937" spans="23:26" x14ac:dyDescent="0.2">
      <c r="W1937" s="33"/>
      <c r="Y1937" s="33"/>
      <c r="Z1937" s="33"/>
    </row>
    <row r="1938" spans="23:26" x14ac:dyDescent="0.2">
      <c r="W1938" s="33"/>
      <c r="Y1938" s="33"/>
      <c r="Z1938" s="33"/>
    </row>
    <row r="1939" spans="23:26" x14ac:dyDescent="0.2">
      <c r="W1939" s="33"/>
      <c r="Y1939" s="33"/>
      <c r="Z1939" s="33"/>
    </row>
    <row r="1940" spans="23:26" x14ac:dyDescent="0.2">
      <c r="W1940" s="33"/>
      <c r="Y1940" s="33"/>
      <c r="Z1940" s="33"/>
    </row>
    <row r="1941" spans="23:26" x14ac:dyDescent="0.2">
      <c r="W1941" s="33"/>
      <c r="Y1941" s="33"/>
      <c r="Z1941" s="33"/>
    </row>
    <row r="1942" spans="23:26" x14ac:dyDescent="0.2">
      <c r="W1942" s="33"/>
      <c r="Y1942" s="33"/>
      <c r="Z1942" s="33"/>
    </row>
    <row r="1943" spans="23:26" x14ac:dyDescent="0.2">
      <c r="W1943" s="33"/>
      <c r="Y1943" s="33"/>
      <c r="Z1943" s="33"/>
    </row>
    <row r="1944" spans="23:26" x14ac:dyDescent="0.2">
      <c r="W1944" s="33"/>
      <c r="Y1944" s="33"/>
      <c r="Z1944" s="33"/>
    </row>
    <row r="1945" spans="23:26" x14ac:dyDescent="0.2">
      <c r="W1945" s="33"/>
      <c r="Y1945" s="33"/>
      <c r="Z1945" s="33"/>
    </row>
    <row r="1946" spans="23:26" x14ac:dyDescent="0.2">
      <c r="W1946" s="33"/>
      <c r="Y1946" s="33"/>
      <c r="Z1946" s="33"/>
    </row>
    <row r="1947" spans="23:26" x14ac:dyDescent="0.2">
      <c r="W1947" s="33"/>
      <c r="Y1947" s="33"/>
      <c r="Z1947" s="33"/>
    </row>
    <row r="1948" spans="23:26" x14ac:dyDescent="0.2">
      <c r="W1948" s="33"/>
      <c r="Y1948" s="33"/>
      <c r="Z1948" s="33"/>
    </row>
    <row r="1949" spans="23:26" x14ac:dyDescent="0.2">
      <c r="W1949" s="33"/>
      <c r="Y1949" s="33"/>
      <c r="Z1949" s="33"/>
    </row>
    <row r="1950" spans="23:26" x14ac:dyDescent="0.2">
      <c r="W1950" s="33"/>
      <c r="Y1950" s="33"/>
      <c r="Z1950" s="33"/>
    </row>
    <row r="1951" spans="23:26" x14ac:dyDescent="0.2">
      <c r="W1951" s="33"/>
      <c r="Y1951" s="33"/>
      <c r="Z1951" s="33"/>
    </row>
    <row r="1952" spans="23:26" x14ac:dyDescent="0.2">
      <c r="W1952" s="33"/>
      <c r="Y1952" s="33"/>
      <c r="Z1952" s="33"/>
    </row>
    <row r="1953" spans="23:26" x14ac:dyDescent="0.2">
      <c r="W1953" s="33"/>
      <c r="Y1953" s="33"/>
      <c r="Z1953" s="33"/>
    </row>
    <row r="1954" spans="23:26" x14ac:dyDescent="0.2">
      <c r="W1954" s="33"/>
      <c r="Y1954" s="33"/>
      <c r="Z1954" s="33"/>
    </row>
    <row r="1955" spans="23:26" x14ac:dyDescent="0.2">
      <c r="W1955" s="33"/>
      <c r="Y1955" s="33"/>
      <c r="Z1955" s="33"/>
    </row>
    <row r="1956" spans="23:26" x14ac:dyDescent="0.2">
      <c r="W1956" s="33"/>
      <c r="Y1956" s="33"/>
      <c r="Z1956" s="33"/>
    </row>
    <row r="1957" spans="23:26" x14ac:dyDescent="0.2">
      <c r="W1957" s="33"/>
      <c r="Y1957" s="33"/>
      <c r="Z1957" s="33"/>
    </row>
    <row r="1958" spans="23:26" x14ac:dyDescent="0.2">
      <c r="W1958" s="33"/>
      <c r="Y1958" s="33"/>
      <c r="Z1958" s="33"/>
    </row>
    <row r="1959" spans="23:26" x14ac:dyDescent="0.2">
      <c r="W1959" s="33"/>
      <c r="Y1959" s="33"/>
      <c r="Z1959" s="33"/>
    </row>
    <row r="1960" spans="23:26" x14ac:dyDescent="0.2">
      <c r="W1960" s="33"/>
      <c r="Y1960" s="33"/>
      <c r="Z1960" s="33"/>
    </row>
    <row r="1961" spans="23:26" x14ac:dyDescent="0.2">
      <c r="W1961" s="33"/>
      <c r="Y1961" s="33"/>
      <c r="Z1961" s="33"/>
    </row>
    <row r="1962" spans="23:26" x14ac:dyDescent="0.2">
      <c r="W1962" s="33"/>
      <c r="Y1962" s="33"/>
      <c r="Z1962" s="33"/>
    </row>
    <row r="1963" spans="23:26" x14ac:dyDescent="0.2">
      <c r="W1963" s="33"/>
      <c r="Y1963" s="33"/>
      <c r="Z1963" s="33"/>
    </row>
    <row r="1964" spans="23:26" x14ac:dyDescent="0.2">
      <c r="W1964" s="33"/>
      <c r="Y1964" s="33"/>
      <c r="Z1964" s="33"/>
    </row>
    <row r="1965" spans="23:26" x14ac:dyDescent="0.2">
      <c r="W1965" s="33"/>
      <c r="Y1965" s="33"/>
      <c r="Z1965" s="33"/>
    </row>
    <row r="1966" spans="23:26" x14ac:dyDescent="0.2">
      <c r="W1966" s="33"/>
      <c r="Y1966" s="33"/>
      <c r="Z1966" s="33"/>
    </row>
    <row r="1967" spans="23:26" x14ac:dyDescent="0.2">
      <c r="W1967" s="33"/>
      <c r="Y1967" s="33"/>
      <c r="Z1967" s="33"/>
    </row>
    <row r="1968" spans="23:26" x14ac:dyDescent="0.2">
      <c r="W1968" s="33"/>
      <c r="Y1968" s="33"/>
      <c r="Z1968" s="33"/>
    </row>
    <row r="1969" spans="23:26" x14ac:dyDescent="0.2">
      <c r="W1969" s="33"/>
      <c r="Y1969" s="33"/>
      <c r="Z1969" s="33"/>
    </row>
    <row r="1970" spans="23:26" x14ac:dyDescent="0.2">
      <c r="W1970" s="33"/>
      <c r="Y1970" s="33"/>
      <c r="Z1970" s="33"/>
    </row>
    <row r="1971" spans="23:26" x14ac:dyDescent="0.2">
      <c r="W1971" s="33"/>
      <c r="Y1971" s="33"/>
      <c r="Z1971" s="33"/>
    </row>
    <row r="1972" spans="23:26" x14ac:dyDescent="0.2">
      <c r="W1972" s="33"/>
      <c r="Y1972" s="33"/>
      <c r="Z1972" s="33"/>
    </row>
    <row r="1973" spans="23:26" x14ac:dyDescent="0.2">
      <c r="W1973" s="33"/>
      <c r="Y1973" s="33"/>
      <c r="Z1973" s="33"/>
    </row>
    <row r="1974" spans="23:26" x14ac:dyDescent="0.2">
      <c r="W1974" s="33"/>
      <c r="Y1974" s="33"/>
      <c r="Z1974" s="33"/>
    </row>
    <row r="1975" spans="23:26" x14ac:dyDescent="0.2">
      <c r="W1975" s="33"/>
      <c r="Y1975" s="33"/>
      <c r="Z1975" s="33"/>
    </row>
    <row r="1976" spans="23:26" x14ac:dyDescent="0.2">
      <c r="W1976" s="33"/>
      <c r="Y1976" s="33"/>
      <c r="Z1976" s="33"/>
    </row>
    <row r="1977" spans="23:26" x14ac:dyDescent="0.2">
      <c r="W1977" s="33"/>
      <c r="Y1977" s="33"/>
      <c r="Z1977" s="33"/>
    </row>
    <row r="1978" spans="23:26" x14ac:dyDescent="0.2">
      <c r="W1978" s="33"/>
      <c r="Y1978" s="33"/>
      <c r="Z1978" s="33"/>
    </row>
    <row r="1979" spans="23:26" x14ac:dyDescent="0.2">
      <c r="W1979" s="33"/>
      <c r="Y1979" s="33"/>
      <c r="Z1979" s="33"/>
    </row>
    <row r="1980" spans="23:26" x14ac:dyDescent="0.2">
      <c r="W1980" s="33"/>
      <c r="Y1980" s="33"/>
      <c r="Z1980" s="33"/>
    </row>
    <row r="1981" spans="23:26" x14ac:dyDescent="0.2">
      <c r="W1981" s="33"/>
      <c r="Y1981" s="33"/>
      <c r="Z1981" s="33"/>
    </row>
    <row r="1982" spans="23:26" x14ac:dyDescent="0.2">
      <c r="W1982" s="33"/>
      <c r="Y1982" s="33"/>
      <c r="Z1982" s="33"/>
    </row>
    <row r="1983" spans="23:26" x14ac:dyDescent="0.2">
      <c r="W1983" s="33"/>
      <c r="Y1983" s="33"/>
      <c r="Z1983" s="33"/>
    </row>
    <row r="1984" spans="23:26" x14ac:dyDescent="0.2">
      <c r="W1984" s="33"/>
      <c r="Y1984" s="33"/>
      <c r="Z1984" s="33"/>
    </row>
    <row r="1985" spans="23:26" x14ac:dyDescent="0.2">
      <c r="W1985" s="33"/>
      <c r="Y1985" s="33"/>
      <c r="Z1985" s="33"/>
    </row>
    <row r="1986" spans="23:26" x14ac:dyDescent="0.2">
      <c r="W1986" s="33"/>
      <c r="Y1986" s="33"/>
      <c r="Z1986" s="33"/>
    </row>
    <row r="1987" spans="23:26" x14ac:dyDescent="0.2">
      <c r="W1987" s="33"/>
      <c r="Y1987" s="33"/>
      <c r="Z1987" s="33"/>
    </row>
    <row r="1988" spans="23:26" x14ac:dyDescent="0.2">
      <c r="W1988" s="33"/>
      <c r="Y1988" s="33"/>
      <c r="Z1988" s="33"/>
    </row>
    <row r="1989" spans="23:26" x14ac:dyDescent="0.2">
      <c r="W1989" s="33"/>
      <c r="Y1989" s="33"/>
      <c r="Z1989" s="33"/>
    </row>
    <row r="1990" spans="23:26" x14ac:dyDescent="0.2">
      <c r="W1990" s="33"/>
      <c r="Y1990" s="33"/>
      <c r="Z1990" s="33"/>
    </row>
    <row r="1991" spans="23:26" x14ac:dyDescent="0.2">
      <c r="W1991" s="33"/>
      <c r="Y1991" s="33"/>
      <c r="Z1991" s="33"/>
    </row>
    <row r="1992" spans="23:26" x14ac:dyDescent="0.2">
      <c r="W1992" s="33"/>
      <c r="Y1992" s="33"/>
      <c r="Z1992" s="33"/>
    </row>
    <row r="1993" spans="23:26" x14ac:dyDescent="0.2">
      <c r="W1993" s="33"/>
      <c r="Y1993" s="33"/>
      <c r="Z1993" s="33"/>
    </row>
    <row r="1994" spans="23:26" x14ac:dyDescent="0.2">
      <c r="W1994" s="33"/>
      <c r="Y1994" s="33"/>
      <c r="Z1994" s="33"/>
    </row>
    <row r="1995" spans="23:26" x14ac:dyDescent="0.2">
      <c r="W1995" s="33"/>
      <c r="Y1995" s="33"/>
      <c r="Z1995" s="33"/>
    </row>
    <row r="1996" spans="23:26" x14ac:dyDescent="0.2">
      <c r="W1996" s="33"/>
      <c r="Y1996" s="33"/>
      <c r="Z1996" s="33"/>
    </row>
    <row r="1997" spans="23:26" x14ac:dyDescent="0.2">
      <c r="W1997" s="33"/>
      <c r="Y1997" s="33"/>
      <c r="Z1997" s="33"/>
    </row>
    <row r="1998" spans="23:26" x14ac:dyDescent="0.2">
      <c r="W1998" s="33"/>
      <c r="Y1998" s="33"/>
      <c r="Z1998" s="33"/>
    </row>
    <row r="1999" spans="23:26" x14ac:dyDescent="0.2">
      <c r="W1999" s="33"/>
      <c r="Y1999" s="33"/>
      <c r="Z1999" s="33"/>
    </row>
    <row r="2000" spans="23:26" x14ac:dyDescent="0.2">
      <c r="W2000" s="33"/>
      <c r="Y2000" s="33"/>
      <c r="Z2000" s="33"/>
    </row>
    <row r="2001" spans="23:26" x14ac:dyDescent="0.2">
      <c r="W2001" s="33"/>
      <c r="Y2001" s="33"/>
      <c r="Z2001" s="33"/>
    </row>
    <row r="2002" spans="23:26" x14ac:dyDescent="0.2">
      <c r="W2002" s="33"/>
      <c r="Y2002" s="33"/>
      <c r="Z2002" s="33"/>
    </row>
    <row r="2003" spans="23:26" x14ac:dyDescent="0.2">
      <c r="W2003" s="33"/>
      <c r="Y2003" s="33"/>
      <c r="Z2003" s="33"/>
    </row>
    <row r="2004" spans="23:26" x14ac:dyDescent="0.2">
      <c r="W2004" s="33"/>
      <c r="Y2004" s="33"/>
      <c r="Z2004" s="33"/>
    </row>
    <row r="2005" spans="23:26" x14ac:dyDescent="0.2">
      <c r="W2005" s="33"/>
      <c r="Y2005" s="33"/>
      <c r="Z2005" s="33"/>
    </row>
    <row r="2006" spans="23:26" x14ac:dyDescent="0.2">
      <c r="W2006" s="33"/>
      <c r="Y2006" s="33"/>
      <c r="Z2006" s="33"/>
    </row>
    <row r="2007" spans="23:26" x14ac:dyDescent="0.2">
      <c r="W2007" s="33"/>
      <c r="Y2007" s="33"/>
      <c r="Z2007" s="33"/>
    </row>
    <row r="2008" spans="23:26" x14ac:dyDescent="0.2">
      <c r="W2008" s="33"/>
      <c r="Y2008" s="33"/>
      <c r="Z2008" s="33"/>
    </row>
    <row r="2009" spans="23:26" x14ac:dyDescent="0.2">
      <c r="W2009" s="33"/>
      <c r="Y2009" s="33"/>
      <c r="Z2009" s="33"/>
    </row>
    <row r="2010" spans="23:26" x14ac:dyDescent="0.2">
      <c r="W2010" s="33"/>
      <c r="Y2010" s="33"/>
      <c r="Z2010" s="33"/>
    </row>
    <row r="2011" spans="23:26" x14ac:dyDescent="0.2">
      <c r="W2011" s="33"/>
      <c r="Y2011" s="33"/>
      <c r="Z2011" s="33"/>
    </row>
    <row r="2012" spans="23:26" x14ac:dyDescent="0.2">
      <c r="W2012" s="33"/>
      <c r="Y2012" s="33"/>
      <c r="Z2012" s="33"/>
    </row>
    <row r="2013" spans="23:26" x14ac:dyDescent="0.2">
      <c r="W2013" s="33"/>
      <c r="Y2013" s="33"/>
      <c r="Z2013" s="33"/>
    </row>
    <row r="2014" spans="23:26" x14ac:dyDescent="0.2">
      <c r="W2014" s="33"/>
      <c r="Y2014" s="33"/>
      <c r="Z2014" s="33"/>
    </row>
    <row r="2015" spans="23:26" x14ac:dyDescent="0.2">
      <c r="W2015" s="33"/>
      <c r="Y2015" s="33"/>
      <c r="Z2015" s="33"/>
    </row>
    <row r="2016" spans="23:26" x14ac:dyDescent="0.2">
      <c r="W2016" s="33"/>
      <c r="Y2016" s="33"/>
      <c r="Z2016" s="33"/>
    </row>
    <row r="2017" spans="23:26" x14ac:dyDescent="0.2">
      <c r="W2017" s="33"/>
      <c r="Y2017" s="33"/>
      <c r="Z2017" s="33"/>
    </row>
    <row r="2018" spans="23:26" x14ac:dyDescent="0.2">
      <c r="W2018" s="33"/>
      <c r="Y2018" s="33"/>
      <c r="Z2018" s="33"/>
    </row>
    <row r="2019" spans="23:26" x14ac:dyDescent="0.2">
      <c r="W2019" s="33"/>
      <c r="Y2019" s="33"/>
      <c r="Z2019" s="33"/>
    </row>
    <row r="2020" spans="23:26" x14ac:dyDescent="0.2">
      <c r="W2020" s="33"/>
      <c r="Y2020" s="33"/>
      <c r="Z2020" s="33"/>
    </row>
    <row r="2021" spans="23:26" x14ac:dyDescent="0.2">
      <c r="W2021" s="33"/>
      <c r="Y2021" s="33"/>
      <c r="Z2021" s="33"/>
    </row>
    <row r="2022" spans="23:26" x14ac:dyDescent="0.2">
      <c r="W2022" s="33"/>
      <c r="Y2022" s="33"/>
      <c r="Z2022" s="33"/>
    </row>
    <row r="2023" spans="23:26" x14ac:dyDescent="0.2">
      <c r="W2023" s="33"/>
      <c r="Y2023" s="33"/>
      <c r="Z2023" s="33"/>
    </row>
    <row r="2024" spans="23:26" x14ac:dyDescent="0.2">
      <c r="W2024" s="33"/>
      <c r="Y2024" s="33"/>
      <c r="Z2024" s="33"/>
    </row>
    <row r="2025" spans="23:26" x14ac:dyDescent="0.2">
      <c r="W2025" s="33"/>
      <c r="Y2025" s="33"/>
      <c r="Z2025" s="33"/>
    </row>
    <row r="2026" spans="23:26" x14ac:dyDescent="0.2">
      <c r="W2026" s="33"/>
      <c r="Y2026" s="33"/>
      <c r="Z2026" s="33"/>
    </row>
    <row r="2027" spans="23:26" x14ac:dyDescent="0.2">
      <c r="W2027" s="33"/>
      <c r="Y2027" s="33"/>
      <c r="Z2027" s="33"/>
    </row>
    <row r="2028" spans="23:26" x14ac:dyDescent="0.2">
      <c r="W2028" s="33"/>
      <c r="Y2028" s="33"/>
      <c r="Z2028" s="33"/>
    </row>
    <row r="2029" spans="23:26" x14ac:dyDescent="0.2">
      <c r="W2029" s="33"/>
      <c r="Y2029" s="33"/>
      <c r="Z2029" s="33"/>
    </row>
    <row r="2030" spans="23:26" x14ac:dyDescent="0.2">
      <c r="W2030" s="33"/>
      <c r="Y2030" s="33"/>
      <c r="Z2030" s="33"/>
    </row>
    <row r="2031" spans="23:26" x14ac:dyDescent="0.2">
      <c r="W2031" s="33"/>
      <c r="Y2031" s="33"/>
      <c r="Z2031" s="33"/>
    </row>
    <row r="2032" spans="23:26" x14ac:dyDescent="0.2">
      <c r="W2032" s="33"/>
      <c r="Y2032" s="33"/>
      <c r="Z2032" s="33"/>
    </row>
    <row r="2033" spans="23:26" x14ac:dyDescent="0.2">
      <c r="W2033" s="33"/>
      <c r="Y2033" s="33"/>
      <c r="Z2033" s="33"/>
    </row>
    <row r="2034" spans="23:26" x14ac:dyDescent="0.2">
      <c r="W2034" s="33"/>
      <c r="Y2034" s="33"/>
      <c r="Z2034" s="33"/>
    </row>
    <row r="2035" spans="23:26" x14ac:dyDescent="0.2">
      <c r="W2035" s="33"/>
      <c r="Y2035" s="33"/>
      <c r="Z2035" s="33"/>
    </row>
    <row r="2036" spans="23:26" x14ac:dyDescent="0.2">
      <c r="W2036" s="33"/>
      <c r="Y2036" s="33"/>
      <c r="Z2036" s="33"/>
    </row>
    <row r="2037" spans="23:26" x14ac:dyDescent="0.2">
      <c r="W2037" s="33"/>
      <c r="Y2037" s="33"/>
      <c r="Z2037" s="33"/>
    </row>
    <row r="2038" spans="23:26" x14ac:dyDescent="0.2">
      <c r="W2038" s="33"/>
      <c r="Y2038" s="33"/>
      <c r="Z2038" s="33"/>
    </row>
    <row r="2039" spans="23:26" x14ac:dyDescent="0.2">
      <c r="W2039" s="33"/>
      <c r="Y2039" s="33"/>
      <c r="Z2039" s="33"/>
    </row>
    <row r="2040" spans="23:26" x14ac:dyDescent="0.2">
      <c r="W2040" s="33"/>
      <c r="Y2040" s="33"/>
      <c r="Z2040" s="33"/>
    </row>
    <row r="2041" spans="23:26" x14ac:dyDescent="0.2">
      <c r="W2041" s="33"/>
      <c r="Y2041" s="33"/>
      <c r="Z2041" s="33"/>
    </row>
    <row r="2042" spans="23:26" x14ac:dyDescent="0.2">
      <c r="W2042" s="33"/>
      <c r="Y2042" s="33"/>
      <c r="Z2042" s="33"/>
    </row>
    <row r="2043" spans="23:26" x14ac:dyDescent="0.2">
      <c r="W2043" s="33"/>
      <c r="Y2043" s="33"/>
      <c r="Z2043" s="33"/>
    </row>
    <row r="2044" spans="23:26" x14ac:dyDescent="0.2">
      <c r="W2044" s="33"/>
      <c r="Y2044" s="33"/>
      <c r="Z2044" s="33"/>
    </row>
    <row r="2045" spans="23:26" x14ac:dyDescent="0.2">
      <c r="W2045" s="33"/>
      <c r="Y2045" s="33"/>
      <c r="Z2045" s="33"/>
    </row>
    <row r="2046" spans="23:26" x14ac:dyDescent="0.2">
      <c r="W2046" s="33"/>
      <c r="Y2046" s="33"/>
      <c r="Z2046" s="33"/>
    </row>
    <row r="2047" spans="23:26" x14ac:dyDescent="0.2">
      <c r="W2047" s="33"/>
      <c r="Y2047" s="33"/>
      <c r="Z2047" s="33"/>
    </row>
    <row r="2048" spans="23:26" x14ac:dyDescent="0.2">
      <c r="W2048" s="33"/>
      <c r="Y2048" s="33"/>
      <c r="Z2048" s="33"/>
    </row>
    <row r="2049" spans="23:26" x14ac:dyDescent="0.2">
      <c r="W2049" s="33"/>
      <c r="Y2049" s="33"/>
      <c r="Z2049" s="33"/>
    </row>
    <row r="2050" spans="23:26" x14ac:dyDescent="0.2">
      <c r="W2050" s="33"/>
      <c r="Y2050" s="33"/>
      <c r="Z2050" s="33"/>
    </row>
    <row r="2051" spans="23:26" x14ac:dyDescent="0.2">
      <c r="W2051" s="33"/>
      <c r="Y2051" s="33"/>
      <c r="Z2051" s="33"/>
    </row>
    <row r="2052" spans="23:26" x14ac:dyDescent="0.2">
      <c r="W2052" s="33"/>
      <c r="Y2052" s="33"/>
      <c r="Z2052" s="33"/>
    </row>
    <row r="2053" spans="23:26" x14ac:dyDescent="0.2">
      <c r="W2053" s="33"/>
      <c r="Y2053" s="33"/>
      <c r="Z2053" s="33"/>
    </row>
    <row r="2054" spans="23:26" x14ac:dyDescent="0.2">
      <c r="W2054" s="33"/>
      <c r="Y2054" s="33"/>
      <c r="Z2054" s="33"/>
    </row>
    <row r="2055" spans="23:26" x14ac:dyDescent="0.2">
      <c r="W2055" s="33"/>
      <c r="Y2055" s="33"/>
      <c r="Z2055" s="33"/>
    </row>
    <row r="2056" spans="23:26" x14ac:dyDescent="0.2">
      <c r="W2056" s="33"/>
      <c r="Y2056" s="33"/>
      <c r="Z2056" s="33"/>
    </row>
    <row r="2057" spans="23:26" x14ac:dyDescent="0.2">
      <c r="W2057" s="33"/>
      <c r="Y2057" s="33"/>
      <c r="Z2057" s="33"/>
    </row>
    <row r="2058" spans="23:26" x14ac:dyDescent="0.2">
      <c r="W2058" s="33"/>
      <c r="Y2058" s="33"/>
      <c r="Z2058" s="33"/>
    </row>
    <row r="2059" spans="23:26" x14ac:dyDescent="0.2">
      <c r="W2059" s="33"/>
      <c r="Y2059" s="33"/>
      <c r="Z2059" s="33"/>
    </row>
    <row r="2060" spans="23:26" x14ac:dyDescent="0.2">
      <c r="W2060" s="33"/>
      <c r="Y2060" s="33"/>
      <c r="Z2060" s="33"/>
    </row>
    <row r="2061" spans="23:26" x14ac:dyDescent="0.2">
      <c r="W2061" s="33"/>
      <c r="Y2061" s="33"/>
      <c r="Z2061" s="33"/>
    </row>
    <row r="2062" spans="23:26" x14ac:dyDescent="0.2">
      <c r="W2062" s="33"/>
      <c r="Y2062" s="33"/>
      <c r="Z2062" s="33"/>
    </row>
    <row r="2063" spans="23:26" x14ac:dyDescent="0.2">
      <c r="W2063" s="33"/>
      <c r="Y2063" s="33"/>
      <c r="Z2063" s="33"/>
    </row>
    <row r="2064" spans="23:26" x14ac:dyDescent="0.2">
      <c r="W2064" s="33"/>
      <c r="Y2064" s="33"/>
      <c r="Z2064" s="33"/>
    </row>
    <row r="2065" spans="23:26" x14ac:dyDescent="0.2">
      <c r="W2065" s="33"/>
      <c r="Y2065" s="33"/>
      <c r="Z2065" s="33"/>
    </row>
    <row r="2066" spans="23:26" x14ac:dyDescent="0.2">
      <c r="W2066" s="33"/>
      <c r="Y2066" s="33"/>
      <c r="Z2066" s="33"/>
    </row>
    <row r="2067" spans="23:26" x14ac:dyDescent="0.2">
      <c r="W2067" s="33"/>
      <c r="Y2067" s="33"/>
      <c r="Z2067" s="33"/>
    </row>
    <row r="2068" spans="23:26" x14ac:dyDescent="0.2">
      <c r="W2068" s="33"/>
      <c r="Y2068" s="33"/>
      <c r="Z2068" s="33"/>
    </row>
    <row r="2069" spans="23:26" x14ac:dyDescent="0.2">
      <c r="W2069" s="33"/>
      <c r="Y2069" s="33"/>
      <c r="Z2069" s="33"/>
    </row>
    <row r="2070" spans="23:26" x14ac:dyDescent="0.2">
      <c r="W2070" s="33"/>
      <c r="Y2070" s="33"/>
      <c r="Z2070" s="33"/>
    </row>
    <row r="2071" spans="23:26" x14ac:dyDescent="0.2">
      <c r="W2071" s="33"/>
      <c r="Y2071" s="33"/>
      <c r="Z2071" s="33"/>
    </row>
    <row r="2072" spans="23:26" x14ac:dyDescent="0.2">
      <c r="W2072" s="33"/>
      <c r="Y2072" s="33"/>
      <c r="Z2072" s="33"/>
    </row>
    <row r="2073" spans="23:26" x14ac:dyDescent="0.2">
      <c r="W2073" s="33"/>
      <c r="Y2073" s="33"/>
      <c r="Z2073" s="33"/>
    </row>
    <row r="2074" spans="23:26" x14ac:dyDescent="0.2">
      <c r="W2074" s="33"/>
      <c r="Y2074" s="33"/>
      <c r="Z2074" s="33"/>
    </row>
    <row r="2075" spans="23:26" x14ac:dyDescent="0.2">
      <c r="W2075" s="33"/>
      <c r="Y2075" s="33"/>
      <c r="Z2075" s="33"/>
    </row>
    <row r="2076" spans="23:26" x14ac:dyDescent="0.2">
      <c r="W2076" s="33"/>
      <c r="Y2076" s="33"/>
      <c r="Z2076" s="33"/>
    </row>
    <row r="2077" spans="23:26" x14ac:dyDescent="0.2">
      <c r="W2077" s="33"/>
      <c r="Y2077" s="33"/>
      <c r="Z2077" s="33"/>
    </row>
    <row r="2078" spans="23:26" x14ac:dyDescent="0.2">
      <c r="W2078" s="33"/>
      <c r="Y2078" s="33"/>
      <c r="Z2078" s="33"/>
    </row>
    <row r="2079" spans="23:26" x14ac:dyDescent="0.2">
      <c r="W2079" s="33"/>
      <c r="Y2079" s="33"/>
      <c r="Z2079" s="33"/>
    </row>
    <row r="2080" spans="23:26" x14ac:dyDescent="0.2">
      <c r="W2080" s="33"/>
      <c r="Y2080" s="33"/>
      <c r="Z2080" s="33"/>
    </row>
    <row r="2081" spans="23:26" x14ac:dyDescent="0.2">
      <c r="W2081" s="33"/>
      <c r="Y2081" s="33"/>
      <c r="Z2081" s="33"/>
    </row>
    <row r="2082" spans="23:26" x14ac:dyDescent="0.2">
      <c r="W2082" s="33"/>
      <c r="Y2082" s="33"/>
      <c r="Z2082" s="33"/>
    </row>
    <row r="2083" spans="23:26" x14ac:dyDescent="0.2">
      <c r="W2083" s="33"/>
      <c r="Y2083" s="33"/>
      <c r="Z2083" s="33"/>
    </row>
    <row r="2084" spans="23:26" x14ac:dyDescent="0.2">
      <c r="W2084" s="33"/>
      <c r="Y2084" s="33"/>
      <c r="Z2084" s="33"/>
    </row>
    <row r="2085" spans="23:26" x14ac:dyDescent="0.2">
      <c r="W2085" s="33"/>
      <c r="Y2085" s="33"/>
      <c r="Z2085" s="33"/>
    </row>
    <row r="2086" spans="23:26" x14ac:dyDescent="0.2">
      <c r="W2086" s="33"/>
      <c r="Y2086" s="33"/>
      <c r="Z2086" s="33"/>
    </row>
    <row r="2087" spans="23:26" x14ac:dyDescent="0.2">
      <c r="W2087" s="33"/>
      <c r="Y2087" s="33"/>
      <c r="Z2087" s="33"/>
    </row>
    <row r="2088" spans="23:26" x14ac:dyDescent="0.2">
      <c r="W2088" s="33"/>
      <c r="Y2088" s="33"/>
      <c r="Z2088" s="33"/>
    </row>
    <row r="2089" spans="23:26" x14ac:dyDescent="0.2">
      <c r="W2089" s="33"/>
      <c r="Y2089" s="33"/>
      <c r="Z2089" s="33"/>
    </row>
    <row r="2090" spans="23:26" x14ac:dyDescent="0.2">
      <c r="W2090" s="33"/>
      <c r="Y2090" s="33"/>
      <c r="Z2090" s="33"/>
    </row>
    <row r="2091" spans="23:26" x14ac:dyDescent="0.2">
      <c r="W2091" s="33"/>
      <c r="Y2091" s="33"/>
      <c r="Z2091" s="33"/>
    </row>
    <row r="2092" spans="23:26" x14ac:dyDescent="0.2">
      <c r="W2092" s="33"/>
      <c r="Y2092" s="33"/>
      <c r="Z2092" s="33"/>
    </row>
    <row r="2093" spans="23:26" x14ac:dyDescent="0.2">
      <c r="W2093" s="33"/>
      <c r="Y2093" s="33"/>
      <c r="Z2093" s="33"/>
    </row>
    <row r="2094" spans="23:26" x14ac:dyDescent="0.2">
      <c r="W2094" s="33"/>
      <c r="Y2094" s="33"/>
      <c r="Z2094" s="33"/>
    </row>
    <row r="2095" spans="23:26" x14ac:dyDescent="0.2">
      <c r="W2095" s="33"/>
      <c r="Y2095" s="33"/>
      <c r="Z2095" s="33"/>
    </row>
    <row r="2096" spans="23:26" x14ac:dyDescent="0.2">
      <c r="W2096" s="33"/>
      <c r="Y2096" s="33"/>
      <c r="Z2096" s="33"/>
    </row>
    <row r="2097" spans="23:26" x14ac:dyDescent="0.2">
      <c r="W2097" s="33"/>
      <c r="Y2097" s="33"/>
      <c r="Z2097" s="33"/>
    </row>
    <row r="2098" spans="23:26" x14ac:dyDescent="0.2">
      <c r="W2098" s="33"/>
      <c r="Y2098" s="33"/>
      <c r="Z2098" s="33"/>
    </row>
    <row r="2099" spans="23:26" x14ac:dyDescent="0.2">
      <c r="W2099" s="33"/>
      <c r="Y2099" s="33"/>
      <c r="Z2099" s="33"/>
    </row>
    <row r="2100" spans="23:26" x14ac:dyDescent="0.2">
      <c r="W2100" s="33"/>
      <c r="Y2100" s="33"/>
      <c r="Z2100" s="33"/>
    </row>
    <row r="2101" spans="23:26" x14ac:dyDescent="0.2">
      <c r="W2101" s="33"/>
      <c r="Y2101" s="33"/>
      <c r="Z2101" s="33"/>
    </row>
    <row r="2102" spans="23:26" x14ac:dyDescent="0.2">
      <c r="W2102" s="33"/>
      <c r="Y2102" s="33"/>
      <c r="Z2102" s="33"/>
    </row>
    <row r="2103" spans="23:26" x14ac:dyDescent="0.2">
      <c r="W2103" s="33"/>
      <c r="Y2103" s="33"/>
      <c r="Z2103" s="33"/>
    </row>
    <row r="2104" spans="23:26" x14ac:dyDescent="0.2">
      <c r="W2104" s="33"/>
      <c r="Y2104" s="33"/>
      <c r="Z2104" s="33"/>
    </row>
    <row r="2105" spans="23:26" x14ac:dyDescent="0.2">
      <c r="W2105" s="33"/>
      <c r="Y2105" s="33"/>
      <c r="Z2105" s="33"/>
    </row>
    <row r="2106" spans="23:26" x14ac:dyDescent="0.2">
      <c r="W2106" s="33"/>
      <c r="Y2106" s="33"/>
      <c r="Z2106" s="33"/>
    </row>
    <row r="2107" spans="23:26" x14ac:dyDescent="0.2">
      <c r="W2107" s="33"/>
      <c r="Y2107" s="33"/>
      <c r="Z2107" s="33"/>
    </row>
    <row r="2108" spans="23:26" x14ac:dyDescent="0.2">
      <c r="W2108" s="33"/>
      <c r="Y2108" s="33"/>
      <c r="Z2108" s="33"/>
    </row>
    <row r="2109" spans="23:26" x14ac:dyDescent="0.2">
      <c r="W2109" s="33"/>
      <c r="Y2109" s="33"/>
      <c r="Z2109" s="33"/>
    </row>
    <row r="2110" spans="23:26" x14ac:dyDescent="0.2">
      <c r="W2110" s="33"/>
      <c r="Y2110" s="33"/>
      <c r="Z2110" s="33"/>
    </row>
    <row r="2111" spans="23:26" x14ac:dyDescent="0.2">
      <c r="W2111" s="33"/>
      <c r="Y2111" s="33"/>
      <c r="Z2111" s="33"/>
    </row>
    <row r="2112" spans="23:26" x14ac:dyDescent="0.2">
      <c r="W2112" s="33"/>
      <c r="Y2112" s="33"/>
      <c r="Z2112" s="33"/>
    </row>
    <row r="2113" spans="23:26" x14ac:dyDescent="0.2">
      <c r="W2113" s="33"/>
      <c r="Y2113" s="33"/>
      <c r="Z2113" s="33"/>
    </row>
    <row r="2114" spans="23:26" x14ac:dyDescent="0.2">
      <c r="W2114" s="33"/>
      <c r="Y2114" s="33"/>
      <c r="Z2114" s="33"/>
    </row>
    <row r="2115" spans="23:26" x14ac:dyDescent="0.2">
      <c r="W2115" s="33"/>
      <c r="Y2115" s="33"/>
      <c r="Z2115" s="33"/>
    </row>
    <row r="2116" spans="23:26" x14ac:dyDescent="0.2">
      <c r="W2116" s="33"/>
      <c r="Y2116" s="33"/>
      <c r="Z2116" s="33"/>
    </row>
    <row r="2117" spans="23:26" x14ac:dyDescent="0.2">
      <c r="W2117" s="33"/>
      <c r="Y2117" s="33"/>
      <c r="Z2117" s="33"/>
    </row>
    <row r="2118" spans="23:26" x14ac:dyDescent="0.2">
      <c r="W2118" s="33"/>
      <c r="Y2118" s="33"/>
      <c r="Z2118" s="33"/>
    </row>
    <row r="2119" spans="23:26" x14ac:dyDescent="0.2">
      <c r="W2119" s="33"/>
      <c r="Y2119" s="33"/>
      <c r="Z2119" s="33"/>
    </row>
    <row r="2120" spans="23:26" x14ac:dyDescent="0.2">
      <c r="W2120" s="33"/>
      <c r="Y2120" s="33"/>
      <c r="Z2120" s="33"/>
    </row>
    <row r="2121" spans="23:26" x14ac:dyDescent="0.2">
      <c r="W2121" s="33"/>
      <c r="Y2121" s="33"/>
      <c r="Z2121" s="33"/>
    </row>
    <row r="2122" spans="23:26" x14ac:dyDescent="0.2">
      <c r="W2122" s="33"/>
      <c r="Y2122" s="33"/>
      <c r="Z2122" s="33"/>
    </row>
    <row r="2123" spans="23:26" x14ac:dyDescent="0.2">
      <c r="W2123" s="33"/>
      <c r="Y2123" s="33"/>
      <c r="Z2123" s="33"/>
    </row>
    <row r="2124" spans="23:26" x14ac:dyDescent="0.2">
      <c r="W2124" s="33"/>
      <c r="Y2124" s="33"/>
      <c r="Z2124" s="33"/>
    </row>
    <row r="2125" spans="23:26" x14ac:dyDescent="0.2">
      <c r="W2125" s="33"/>
      <c r="Y2125" s="33"/>
      <c r="Z2125" s="33"/>
    </row>
    <row r="2126" spans="23:26" x14ac:dyDescent="0.2">
      <c r="W2126" s="33"/>
      <c r="Y2126" s="33"/>
      <c r="Z2126" s="33"/>
    </row>
    <row r="2127" spans="23:26" x14ac:dyDescent="0.2">
      <c r="W2127" s="33"/>
      <c r="Y2127" s="33"/>
      <c r="Z2127" s="33"/>
    </row>
    <row r="2128" spans="23:26" x14ac:dyDescent="0.2">
      <c r="W2128" s="33"/>
      <c r="Y2128" s="33"/>
      <c r="Z2128" s="33"/>
    </row>
    <row r="2129" spans="23:26" x14ac:dyDescent="0.2">
      <c r="W2129" s="33"/>
      <c r="Y2129" s="33"/>
      <c r="Z2129" s="33"/>
    </row>
    <row r="2130" spans="23:26" x14ac:dyDescent="0.2">
      <c r="W2130" s="33"/>
      <c r="Y2130" s="33"/>
      <c r="Z2130" s="33"/>
    </row>
    <row r="2131" spans="23:26" x14ac:dyDescent="0.2">
      <c r="W2131" s="33"/>
      <c r="Y2131" s="33"/>
      <c r="Z2131" s="33"/>
    </row>
    <row r="2132" spans="23:26" x14ac:dyDescent="0.2">
      <c r="W2132" s="33"/>
      <c r="Y2132" s="33"/>
      <c r="Z2132" s="33"/>
    </row>
    <row r="2133" spans="23:26" x14ac:dyDescent="0.2">
      <c r="W2133" s="33"/>
      <c r="Y2133" s="33"/>
      <c r="Z2133" s="33"/>
    </row>
    <row r="2134" spans="23:26" x14ac:dyDescent="0.2">
      <c r="W2134" s="33"/>
      <c r="Y2134" s="33"/>
      <c r="Z2134" s="33"/>
    </row>
    <row r="2135" spans="23:26" x14ac:dyDescent="0.2">
      <c r="W2135" s="33"/>
      <c r="Y2135" s="33"/>
      <c r="Z2135" s="33"/>
    </row>
    <row r="2136" spans="23:26" x14ac:dyDescent="0.2">
      <c r="W2136" s="33"/>
      <c r="Y2136" s="33"/>
      <c r="Z2136" s="33"/>
    </row>
    <row r="2137" spans="23:26" x14ac:dyDescent="0.2">
      <c r="W2137" s="33"/>
      <c r="Y2137" s="33"/>
      <c r="Z2137" s="33"/>
    </row>
    <row r="2138" spans="23:26" x14ac:dyDescent="0.2">
      <c r="W2138" s="33"/>
      <c r="Y2138" s="33"/>
      <c r="Z2138" s="33"/>
    </row>
    <row r="2139" spans="23:26" x14ac:dyDescent="0.2">
      <c r="W2139" s="33"/>
      <c r="Y2139" s="33"/>
      <c r="Z2139" s="33"/>
    </row>
    <row r="2140" spans="23:26" x14ac:dyDescent="0.2">
      <c r="W2140" s="33"/>
      <c r="Y2140" s="33"/>
      <c r="Z2140" s="33"/>
    </row>
    <row r="2141" spans="23:26" x14ac:dyDescent="0.2">
      <c r="W2141" s="33"/>
      <c r="Y2141" s="33"/>
      <c r="Z2141" s="33"/>
    </row>
    <row r="2142" spans="23:26" x14ac:dyDescent="0.2">
      <c r="W2142" s="33"/>
      <c r="Y2142" s="33"/>
      <c r="Z2142" s="33"/>
    </row>
    <row r="2143" spans="23:26" x14ac:dyDescent="0.2">
      <c r="W2143" s="33"/>
      <c r="Y2143" s="33"/>
      <c r="Z2143" s="33"/>
    </row>
    <row r="2144" spans="23:26" x14ac:dyDescent="0.2">
      <c r="W2144" s="33"/>
      <c r="Y2144" s="33"/>
      <c r="Z2144" s="33"/>
    </row>
    <row r="2145" spans="23:26" x14ac:dyDescent="0.2">
      <c r="W2145" s="33"/>
      <c r="Y2145" s="33"/>
      <c r="Z2145" s="33"/>
    </row>
    <row r="2146" spans="23:26" x14ac:dyDescent="0.2">
      <c r="W2146" s="33"/>
      <c r="Y2146" s="33"/>
      <c r="Z2146" s="33"/>
    </row>
    <row r="2147" spans="23:26" x14ac:dyDescent="0.2">
      <c r="W2147" s="33"/>
      <c r="Y2147" s="33"/>
      <c r="Z2147" s="33"/>
    </row>
    <row r="2148" spans="23:26" x14ac:dyDescent="0.2">
      <c r="W2148" s="33"/>
      <c r="Y2148" s="33"/>
      <c r="Z2148" s="33"/>
    </row>
    <row r="2149" spans="23:26" x14ac:dyDescent="0.2">
      <c r="W2149" s="33"/>
      <c r="Y2149" s="33"/>
      <c r="Z2149" s="33"/>
    </row>
    <row r="2150" spans="23:26" x14ac:dyDescent="0.2">
      <c r="W2150" s="33"/>
      <c r="Y2150" s="33"/>
      <c r="Z2150" s="33"/>
    </row>
    <row r="2151" spans="23:26" x14ac:dyDescent="0.2">
      <c r="W2151" s="33"/>
      <c r="Y2151" s="33"/>
      <c r="Z2151" s="33"/>
    </row>
    <row r="2152" spans="23:26" x14ac:dyDescent="0.2">
      <c r="W2152" s="33"/>
      <c r="Y2152" s="33"/>
      <c r="Z2152" s="33"/>
    </row>
    <row r="2153" spans="23:26" x14ac:dyDescent="0.2">
      <c r="W2153" s="33"/>
      <c r="Y2153" s="33"/>
      <c r="Z2153" s="33"/>
    </row>
    <row r="2154" spans="23:26" x14ac:dyDescent="0.2">
      <c r="W2154" s="33"/>
      <c r="Y2154" s="33"/>
      <c r="Z2154" s="33"/>
    </row>
    <row r="2155" spans="23:26" x14ac:dyDescent="0.2">
      <c r="W2155" s="33"/>
      <c r="Y2155" s="33"/>
      <c r="Z2155" s="33"/>
    </row>
    <row r="2156" spans="23:26" x14ac:dyDescent="0.2">
      <c r="W2156" s="33"/>
      <c r="Y2156" s="33"/>
      <c r="Z2156" s="33"/>
    </row>
    <row r="2157" spans="23:26" x14ac:dyDescent="0.2">
      <c r="W2157" s="33"/>
      <c r="Y2157" s="33"/>
      <c r="Z2157" s="33"/>
    </row>
    <row r="2158" spans="23:26" x14ac:dyDescent="0.2">
      <c r="W2158" s="33"/>
      <c r="Y2158" s="33"/>
      <c r="Z2158" s="33"/>
    </row>
    <row r="2159" spans="23:26" x14ac:dyDescent="0.2">
      <c r="W2159" s="33"/>
      <c r="Y2159" s="33"/>
      <c r="Z2159" s="33"/>
    </row>
    <row r="2160" spans="23:26" x14ac:dyDescent="0.2">
      <c r="W2160" s="33"/>
      <c r="Y2160" s="33"/>
      <c r="Z2160" s="33"/>
    </row>
    <row r="2161" spans="23:26" x14ac:dyDescent="0.2">
      <c r="W2161" s="33"/>
      <c r="Y2161" s="33"/>
      <c r="Z2161" s="33"/>
    </row>
    <row r="2162" spans="23:26" x14ac:dyDescent="0.2">
      <c r="W2162" s="33"/>
      <c r="Y2162" s="33"/>
      <c r="Z2162" s="33"/>
    </row>
    <row r="2163" spans="23:26" x14ac:dyDescent="0.2">
      <c r="W2163" s="33"/>
      <c r="Y2163" s="33"/>
      <c r="Z2163" s="33"/>
    </row>
    <row r="2164" spans="23:26" x14ac:dyDescent="0.2">
      <c r="W2164" s="33"/>
      <c r="Y2164" s="33"/>
      <c r="Z2164" s="33"/>
    </row>
    <row r="2165" spans="23:26" x14ac:dyDescent="0.2">
      <c r="W2165" s="33"/>
      <c r="Y2165" s="33"/>
      <c r="Z2165" s="33"/>
    </row>
    <row r="2166" spans="23:26" x14ac:dyDescent="0.2">
      <c r="W2166" s="33"/>
      <c r="Y2166" s="33"/>
      <c r="Z2166" s="33"/>
    </row>
    <row r="2167" spans="23:26" x14ac:dyDescent="0.2">
      <c r="W2167" s="33"/>
      <c r="Y2167" s="33"/>
      <c r="Z2167" s="33"/>
    </row>
    <row r="2168" spans="23:26" x14ac:dyDescent="0.2">
      <c r="W2168" s="33"/>
      <c r="Y2168" s="33"/>
      <c r="Z2168" s="33"/>
    </row>
    <row r="2169" spans="23:26" x14ac:dyDescent="0.2">
      <c r="W2169" s="33"/>
      <c r="Y2169" s="33"/>
      <c r="Z2169" s="33"/>
    </row>
    <row r="2170" spans="23:26" x14ac:dyDescent="0.2">
      <c r="W2170" s="33"/>
      <c r="Y2170" s="33"/>
      <c r="Z2170" s="33"/>
    </row>
    <row r="2171" spans="23:26" x14ac:dyDescent="0.2">
      <c r="W2171" s="33"/>
      <c r="Y2171" s="33"/>
      <c r="Z2171" s="33"/>
    </row>
    <row r="2172" spans="23:26" x14ac:dyDescent="0.2">
      <c r="W2172" s="33"/>
      <c r="Y2172" s="33"/>
      <c r="Z2172" s="33"/>
    </row>
    <row r="2173" spans="23:26" x14ac:dyDescent="0.2">
      <c r="W2173" s="33"/>
      <c r="Y2173" s="33"/>
      <c r="Z2173" s="33"/>
    </row>
    <row r="2174" spans="23:26" x14ac:dyDescent="0.2">
      <c r="W2174" s="33"/>
      <c r="Y2174" s="33"/>
      <c r="Z2174" s="33"/>
    </row>
    <row r="2175" spans="23:26" x14ac:dyDescent="0.2">
      <c r="W2175" s="33"/>
      <c r="Y2175" s="33"/>
      <c r="Z2175" s="33"/>
    </row>
    <row r="2176" spans="23:26" x14ac:dyDescent="0.2">
      <c r="W2176" s="33"/>
      <c r="Y2176" s="33"/>
      <c r="Z2176" s="33"/>
    </row>
    <row r="2177" spans="23:26" x14ac:dyDescent="0.2">
      <c r="W2177" s="33"/>
      <c r="Y2177" s="33"/>
      <c r="Z2177" s="33"/>
    </row>
    <row r="2178" spans="23:26" x14ac:dyDescent="0.2">
      <c r="W2178" s="33"/>
      <c r="Y2178" s="33"/>
      <c r="Z2178" s="33"/>
    </row>
    <row r="2179" spans="23:26" x14ac:dyDescent="0.2">
      <c r="W2179" s="33"/>
      <c r="Y2179" s="33"/>
      <c r="Z2179" s="33"/>
    </row>
    <row r="2180" spans="23:26" x14ac:dyDescent="0.2">
      <c r="W2180" s="33"/>
      <c r="Y2180" s="33"/>
      <c r="Z2180" s="33"/>
    </row>
    <row r="2181" spans="23:26" x14ac:dyDescent="0.2">
      <c r="W2181" s="33"/>
      <c r="Y2181" s="33"/>
      <c r="Z2181" s="33"/>
    </row>
    <row r="2182" spans="23:26" x14ac:dyDescent="0.2">
      <c r="W2182" s="33"/>
      <c r="Y2182" s="33"/>
      <c r="Z2182" s="33"/>
    </row>
    <row r="2183" spans="23:26" x14ac:dyDescent="0.2">
      <c r="W2183" s="33"/>
      <c r="Y2183" s="33"/>
      <c r="Z2183" s="33"/>
    </row>
    <row r="2184" spans="23:26" x14ac:dyDescent="0.2">
      <c r="W2184" s="33"/>
      <c r="Y2184" s="33"/>
      <c r="Z2184" s="33"/>
    </row>
    <row r="2185" spans="23:26" x14ac:dyDescent="0.2">
      <c r="W2185" s="33"/>
      <c r="Y2185" s="33"/>
      <c r="Z2185" s="33"/>
    </row>
    <row r="2186" spans="23:26" x14ac:dyDescent="0.2">
      <c r="W2186" s="33"/>
      <c r="Y2186" s="33"/>
      <c r="Z2186" s="33"/>
    </row>
    <row r="2187" spans="23:26" x14ac:dyDescent="0.2">
      <c r="W2187" s="33"/>
      <c r="Y2187" s="33"/>
      <c r="Z2187" s="33"/>
    </row>
    <row r="2188" spans="23:26" x14ac:dyDescent="0.2">
      <c r="W2188" s="33"/>
      <c r="Y2188" s="33"/>
      <c r="Z2188" s="33"/>
    </row>
    <row r="2189" spans="23:26" x14ac:dyDescent="0.2">
      <c r="W2189" s="33"/>
      <c r="Y2189" s="33"/>
      <c r="Z2189" s="33"/>
    </row>
    <row r="2190" spans="23:26" x14ac:dyDescent="0.2">
      <c r="W2190" s="33"/>
      <c r="Y2190" s="33"/>
      <c r="Z2190" s="33"/>
    </row>
    <row r="2191" spans="23:26" x14ac:dyDescent="0.2">
      <c r="W2191" s="33"/>
      <c r="Y2191" s="33"/>
      <c r="Z2191" s="33"/>
    </row>
    <row r="2192" spans="23:26" x14ac:dyDescent="0.2">
      <c r="W2192" s="33"/>
      <c r="Y2192" s="33"/>
      <c r="Z2192" s="33"/>
    </row>
    <row r="2193" spans="23:26" x14ac:dyDescent="0.2">
      <c r="W2193" s="33"/>
      <c r="Y2193" s="33"/>
      <c r="Z2193" s="33"/>
    </row>
    <row r="2194" spans="23:26" x14ac:dyDescent="0.2">
      <c r="W2194" s="33"/>
      <c r="Y2194" s="33"/>
      <c r="Z2194" s="33"/>
    </row>
    <row r="2195" spans="23:26" x14ac:dyDescent="0.2">
      <c r="W2195" s="33"/>
      <c r="Y2195" s="33"/>
      <c r="Z2195" s="33"/>
    </row>
    <row r="2196" spans="23:26" x14ac:dyDescent="0.2">
      <c r="W2196" s="33"/>
      <c r="Y2196" s="33"/>
      <c r="Z2196" s="33"/>
    </row>
    <row r="2197" spans="23:26" x14ac:dyDescent="0.2">
      <c r="W2197" s="33"/>
      <c r="Y2197" s="33"/>
      <c r="Z2197" s="33"/>
    </row>
    <row r="2198" spans="23:26" x14ac:dyDescent="0.2">
      <c r="W2198" s="33"/>
      <c r="Y2198" s="33"/>
      <c r="Z2198" s="33"/>
    </row>
    <row r="2199" spans="23:26" x14ac:dyDescent="0.2">
      <c r="W2199" s="33"/>
      <c r="Y2199" s="33"/>
      <c r="Z2199" s="33"/>
    </row>
    <row r="2200" spans="23:26" x14ac:dyDescent="0.2">
      <c r="W2200" s="33"/>
      <c r="Y2200" s="33"/>
      <c r="Z2200" s="33"/>
    </row>
    <row r="2201" spans="23:26" x14ac:dyDescent="0.2">
      <c r="W2201" s="33"/>
      <c r="Y2201" s="33"/>
      <c r="Z2201" s="33"/>
    </row>
    <row r="2202" spans="23:26" x14ac:dyDescent="0.2">
      <c r="W2202" s="33"/>
      <c r="Y2202" s="33"/>
      <c r="Z2202" s="33"/>
    </row>
    <row r="2203" spans="23:26" x14ac:dyDescent="0.2">
      <c r="W2203" s="33"/>
      <c r="Y2203" s="33"/>
      <c r="Z2203" s="33"/>
    </row>
    <row r="2204" spans="23:26" x14ac:dyDescent="0.2">
      <c r="W2204" s="33"/>
      <c r="Y2204" s="33"/>
      <c r="Z2204" s="33"/>
    </row>
    <row r="2205" spans="23:26" x14ac:dyDescent="0.2">
      <c r="W2205" s="33"/>
      <c r="Y2205" s="33"/>
      <c r="Z2205" s="33"/>
    </row>
    <row r="2206" spans="23:26" x14ac:dyDescent="0.2">
      <c r="W2206" s="33"/>
      <c r="Y2206" s="33"/>
      <c r="Z2206" s="33"/>
    </row>
    <row r="2207" spans="23:26" x14ac:dyDescent="0.2">
      <c r="W2207" s="33"/>
      <c r="Y2207" s="33"/>
      <c r="Z2207" s="33"/>
    </row>
    <row r="2208" spans="23:26" x14ac:dyDescent="0.2">
      <c r="W2208" s="33"/>
      <c r="Y2208" s="33"/>
      <c r="Z2208" s="33"/>
    </row>
    <row r="2209" spans="23:26" x14ac:dyDescent="0.2">
      <c r="W2209" s="33"/>
      <c r="Y2209" s="33"/>
      <c r="Z2209" s="33"/>
    </row>
    <row r="2210" spans="23:26" x14ac:dyDescent="0.2">
      <c r="W2210" s="33"/>
      <c r="Y2210" s="33"/>
      <c r="Z2210" s="33"/>
    </row>
    <row r="2211" spans="23:26" x14ac:dyDescent="0.2">
      <c r="W2211" s="33"/>
      <c r="Y2211" s="33"/>
      <c r="Z2211" s="33"/>
    </row>
    <row r="2212" spans="23:26" x14ac:dyDescent="0.2">
      <c r="W2212" s="33"/>
      <c r="Y2212" s="33"/>
      <c r="Z2212" s="33"/>
    </row>
    <row r="2213" spans="23:26" x14ac:dyDescent="0.2">
      <c r="W2213" s="33"/>
      <c r="Y2213" s="33"/>
      <c r="Z2213" s="33"/>
    </row>
    <row r="2214" spans="23:26" x14ac:dyDescent="0.2">
      <c r="W2214" s="33"/>
      <c r="Y2214" s="33"/>
      <c r="Z2214" s="33"/>
    </row>
    <row r="2215" spans="23:26" x14ac:dyDescent="0.2">
      <c r="W2215" s="33"/>
      <c r="Y2215" s="33"/>
      <c r="Z2215" s="33"/>
    </row>
    <row r="2216" spans="23:26" x14ac:dyDescent="0.2">
      <c r="W2216" s="33"/>
      <c r="Y2216" s="33"/>
      <c r="Z2216" s="33"/>
    </row>
    <row r="2217" spans="23:26" x14ac:dyDescent="0.2">
      <c r="W2217" s="33"/>
      <c r="Y2217" s="33"/>
      <c r="Z2217" s="33"/>
    </row>
    <row r="2218" spans="23:26" x14ac:dyDescent="0.2">
      <c r="W2218" s="33"/>
      <c r="Y2218" s="33"/>
      <c r="Z2218" s="33"/>
    </row>
    <row r="2219" spans="23:26" x14ac:dyDescent="0.2">
      <c r="W2219" s="33"/>
      <c r="Y2219" s="33"/>
      <c r="Z2219" s="33"/>
    </row>
    <row r="2220" spans="23:26" x14ac:dyDescent="0.2">
      <c r="W2220" s="33"/>
      <c r="Y2220" s="33"/>
      <c r="Z2220" s="33"/>
    </row>
    <row r="2221" spans="23:26" x14ac:dyDescent="0.2">
      <c r="W2221" s="33"/>
      <c r="Y2221" s="33"/>
      <c r="Z2221" s="33"/>
    </row>
    <row r="2222" spans="23:26" x14ac:dyDescent="0.2">
      <c r="W2222" s="33"/>
      <c r="Y2222" s="33"/>
      <c r="Z2222" s="33"/>
    </row>
    <row r="2223" spans="23:26" x14ac:dyDescent="0.2">
      <c r="W2223" s="33"/>
      <c r="Y2223" s="33"/>
      <c r="Z2223" s="33"/>
    </row>
    <row r="2224" spans="23:26" x14ac:dyDescent="0.2">
      <c r="W2224" s="33"/>
      <c r="Y2224" s="33"/>
      <c r="Z2224" s="33"/>
    </row>
    <row r="2225" spans="23:26" x14ac:dyDescent="0.2">
      <c r="W2225" s="33"/>
      <c r="Y2225" s="33"/>
      <c r="Z2225" s="33"/>
    </row>
    <row r="2226" spans="23:26" x14ac:dyDescent="0.2">
      <c r="W2226" s="33"/>
      <c r="Y2226" s="33"/>
      <c r="Z2226" s="33"/>
    </row>
    <row r="2227" spans="23:26" x14ac:dyDescent="0.2">
      <c r="W2227" s="33"/>
      <c r="Y2227" s="33"/>
      <c r="Z2227" s="33"/>
    </row>
    <row r="2228" spans="23:26" x14ac:dyDescent="0.2">
      <c r="W2228" s="33"/>
      <c r="Y2228" s="33"/>
      <c r="Z2228" s="33"/>
    </row>
    <row r="2229" spans="23:26" x14ac:dyDescent="0.2">
      <c r="W2229" s="33"/>
      <c r="Y2229" s="33"/>
      <c r="Z2229" s="33"/>
    </row>
    <row r="2230" spans="23:26" x14ac:dyDescent="0.2">
      <c r="W2230" s="33"/>
      <c r="Y2230" s="33"/>
      <c r="Z2230" s="33"/>
    </row>
    <row r="2231" spans="23:26" x14ac:dyDescent="0.2">
      <c r="W2231" s="33"/>
      <c r="Y2231" s="33"/>
      <c r="Z2231" s="33"/>
    </row>
    <row r="2232" spans="23:26" x14ac:dyDescent="0.2">
      <c r="W2232" s="33"/>
      <c r="Y2232" s="33"/>
      <c r="Z2232" s="33"/>
    </row>
    <row r="2233" spans="23:26" x14ac:dyDescent="0.2">
      <c r="W2233" s="33"/>
      <c r="Y2233" s="33"/>
      <c r="Z2233" s="33"/>
    </row>
    <row r="2234" spans="23:26" x14ac:dyDescent="0.2">
      <c r="W2234" s="33"/>
      <c r="Y2234" s="33"/>
      <c r="Z2234" s="33"/>
    </row>
    <row r="2235" spans="23:26" x14ac:dyDescent="0.2">
      <c r="W2235" s="33"/>
      <c r="Y2235" s="33"/>
      <c r="Z2235" s="33"/>
    </row>
    <row r="2236" spans="23:26" x14ac:dyDescent="0.2">
      <c r="W2236" s="33"/>
      <c r="Y2236" s="33"/>
      <c r="Z2236" s="33"/>
    </row>
    <row r="2237" spans="23:26" x14ac:dyDescent="0.2">
      <c r="W2237" s="33"/>
      <c r="Y2237" s="33"/>
      <c r="Z2237" s="33"/>
    </row>
    <row r="2238" spans="23:26" x14ac:dyDescent="0.2">
      <c r="W2238" s="33"/>
      <c r="Y2238" s="33"/>
      <c r="Z2238" s="33"/>
    </row>
    <row r="2239" spans="23:26" x14ac:dyDescent="0.2">
      <c r="W2239" s="33"/>
      <c r="Y2239" s="33"/>
      <c r="Z2239" s="33"/>
    </row>
    <row r="2240" spans="23:26" x14ac:dyDescent="0.2">
      <c r="W2240" s="33"/>
      <c r="Y2240" s="33"/>
      <c r="Z2240" s="33"/>
    </row>
    <row r="2241" spans="23:26" x14ac:dyDescent="0.2">
      <c r="W2241" s="33"/>
      <c r="Y2241" s="33"/>
      <c r="Z2241" s="33"/>
    </row>
    <row r="2242" spans="23:26" x14ac:dyDescent="0.2">
      <c r="W2242" s="33"/>
      <c r="Y2242" s="33"/>
      <c r="Z2242" s="33"/>
    </row>
    <row r="2243" spans="23:26" x14ac:dyDescent="0.2">
      <c r="W2243" s="33"/>
      <c r="Y2243" s="33"/>
      <c r="Z2243" s="33"/>
    </row>
    <row r="2244" spans="23:26" x14ac:dyDescent="0.2">
      <c r="W2244" s="33"/>
      <c r="Y2244" s="33"/>
      <c r="Z2244" s="33"/>
    </row>
    <row r="2245" spans="23:26" x14ac:dyDescent="0.2">
      <c r="W2245" s="33"/>
      <c r="Y2245" s="33"/>
      <c r="Z2245" s="33"/>
    </row>
    <row r="2246" spans="23:26" x14ac:dyDescent="0.2">
      <c r="W2246" s="33"/>
      <c r="Y2246" s="33"/>
      <c r="Z2246" s="33"/>
    </row>
    <row r="2247" spans="23:26" x14ac:dyDescent="0.2">
      <c r="W2247" s="33"/>
      <c r="Y2247" s="33"/>
      <c r="Z2247" s="33"/>
    </row>
    <row r="2248" spans="23:26" x14ac:dyDescent="0.2">
      <c r="W2248" s="33"/>
      <c r="Y2248" s="33"/>
      <c r="Z2248" s="33"/>
    </row>
    <row r="2249" spans="23:26" x14ac:dyDescent="0.2">
      <c r="W2249" s="33"/>
      <c r="Y2249" s="33"/>
      <c r="Z2249" s="33"/>
    </row>
    <row r="2250" spans="23:26" x14ac:dyDescent="0.2">
      <c r="W2250" s="33"/>
      <c r="Y2250" s="33"/>
      <c r="Z2250" s="33"/>
    </row>
    <row r="2251" spans="23:26" x14ac:dyDescent="0.2">
      <c r="W2251" s="33"/>
      <c r="Y2251" s="33"/>
      <c r="Z2251" s="33"/>
    </row>
    <row r="2252" spans="23:26" x14ac:dyDescent="0.2">
      <c r="W2252" s="33"/>
      <c r="Y2252" s="33"/>
      <c r="Z2252" s="33"/>
    </row>
    <row r="2253" spans="23:26" x14ac:dyDescent="0.2">
      <c r="W2253" s="33"/>
      <c r="Y2253" s="33"/>
      <c r="Z2253" s="33"/>
    </row>
    <row r="2254" spans="23:26" x14ac:dyDescent="0.2">
      <c r="W2254" s="33"/>
      <c r="Y2254" s="33"/>
      <c r="Z2254" s="33"/>
    </row>
    <row r="2255" spans="23:26" x14ac:dyDescent="0.2">
      <c r="W2255" s="33"/>
      <c r="Y2255" s="33"/>
      <c r="Z2255" s="33"/>
    </row>
    <row r="2256" spans="23:26" x14ac:dyDescent="0.2">
      <c r="W2256" s="33"/>
      <c r="Y2256" s="33"/>
      <c r="Z2256" s="33"/>
    </row>
    <row r="2257" spans="23:26" x14ac:dyDescent="0.2">
      <c r="W2257" s="33"/>
      <c r="Y2257" s="33"/>
      <c r="Z2257" s="33"/>
    </row>
    <row r="2258" spans="23:26" x14ac:dyDescent="0.2">
      <c r="W2258" s="33"/>
      <c r="Y2258" s="33"/>
      <c r="Z2258" s="33"/>
    </row>
    <row r="2259" spans="23:26" x14ac:dyDescent="0.2">
      <c r="W2259" s="33"/>
      <c r="Y2259" s="33"/>
      <c r="Z2259" s="33"/>
    </row>
    <row r="2260" spans="23:26" x14ac:dyDescent="0.2">
      <c r="W2260" s="33"/>
      <c r="Y2260" s="33"/>
      <c r="Z2260" s="33"/>
    </row>
    <row r="2261" spans="23:26" x14ac:dyDescent="0.2">
      <c r="W2261" s="33"/>
      <c r="Y2261" s="33"/>
      <c r="Z2261" s="33"/>
    </row>
    <row r="2262" spans="23:26" x14ac:dyDescent="0.2">
      <c r="W2262" s="33"/>
      <c r="Y2262" s="33"/>
      <c r="Z2262" s="33"/>
    </row>
    <row r="2263" spans="23:26" x14ac:dyDescent="0.2">
      <c r="W2263" s="33"/>
      <c r="Y2263" s="33"/>
      <c r="Z2263" s="33"/>
    </row>
    <row r="2264" spans="23:26" x14ac:dyDescent="0.2">
      <c r="W2264" s="33"/>
      <c r="Y2264" s="33"/>
      <c r="Z2264" s="33"/>
    </row>
    <row r="2265" spans="23:26" x14ac:dyDescent="0.2">
      <c r="W2265" s="33"/>
      <c r="Y2265" s="33"/>
      <c r="Z2265" s="33"/>
    </row>
    <row r="2266" spans="23:26" x14ac:dyDescent="0.2">
      <c r="W2266" s="33"/>
      <c r="Y2266" s="33"/>
      <c r="Z2266" s="33"/>
    </row>
    <row r="2267" spans="23:26" x14ac:dyDescent="0.2">
      <c r="W2267" s="33"/>
      <c r="Y2267" s="33"/>
      <c r="Z2267" s="33"/>
    </row>
    <row r="2268" spans="23:26" x14ac:dyDescent="0.2">
      <c r="W2268" s="33"/>
      <c r="Y2268" s="33"/>
      <c r="Z2268" s="33"/>
    </row>
    <row r="2269" spans="23:26" x14ac:dyDescent="0.2">
      <c r="W2269" s="33"/>
      <c r="Y2269" s="33"/>
      <c r="Z2269" s="33"/>
    </row>
    <row r="2270" spans="23:26" x14ac:dyDescent="0.2">
      <c r="W2270" s="33"/>
      <c r="Y2270" s="33"/>
      <c r="Z2270" s="33"/>
    </row>
    <row r="2271" spans="23:26" x14ac:dyDescent="0.2">
      <c r="W2271" s="33"/>
      <c r="Y2271" s="33"/>
      <c r="Z2271" s="33"/>
    </row>
    <row r="2272" spans="23:26" x14ac:dyDescent="0.2">
      <c r="W2272" s="33"/>
      <c r="Y2272" s="33"/>
      <c r="Z2272" s="33"/>
    </row>
    <row r="2273" spans="23:26" x14ac:dyDescent="0.2">
      <c r="W2273" s="33"/>
      <c r="Y2273" s="33"/>
      <c r="Z2273" s="33"/>
    </row>
    <row r="2274" spans="23:26" x14ac:dyDescent="0.2">
      <c r="W2274" s="33"/>
      <c r="Y2274" s="33"/>
      <c r="Z2274" s="33"/>
    </row>
    <row r="2275" spans="23:26" x14ac:dyDescent="0.2">
      <c r="W2275" s="33"/>
      <c r="Y2275" s="33"/>
      <c r="Z2275" s="33"/>
    </row>
    <row r="2276" spans="23:26" x14ac:dyDescent="0.2">
      <c r="W2276" s="33"/>
      <c r="Y2276" s="33"/>
      <c r="Z2276" s="33"/>
    </row>
    <row r="2277" spans="23:26" x14ac:dyDescent="0.2">
      <c r="W2277" s="33"/>
      <c r="Y2277" s="33"/>
      <c r="Z2277" s="33"/>
    </row>
    <row r="2278" spans="23:26" x14ac:dyDescent="0.2">
      <c r="W2278" s="33"/>
      <c r="Y2278" s="33"/>
      <c r="Z2278" s="33"/>
    </row>
    <row r="2279" spans="23:26" x14ac:dyDescent="0.2">
      <c r="W2279" s="33"/>
      <c r="Y2279" s="33"/>
      <c r="Z2279" s="33"/>
    </row>
    <row r="2280" spans="23:26" x14ac:dyDescent="0.2">
      <c r="W2280" s="33"/>
      <c r="Y2280" s="33"/>
      <c r="Z2280" s="33"/>
    </row>
    <row r="2281" spans="23:26" x14ac:dyDescent="0.2">
      <c r="W2281" s="33"/>
      <c r="Y2281" s="33"/>
      <c r="Z2281" s="33"/>
    </row>
    <row r="2282" spans="23:26" x14ac:dyDescent="0.2">
      <c r="W2282" s="33"/>
      <c r="Y2282" s="33"/>
      <c r="Z2282" s="33"/>
    </row>
    <row r="2283" spans="23:26" x14ac:dyDescent="0.2">
      <c r="W2283" s="33"/>
      <c r="Y2283" s="33"/>
      <c r="Z2283" s="33"/>
    </row>
    <row r="2284" spans="23:26" x14ac:dyDescent="0.2">
      <c r="W2284" s="33"/>
      <c r="Y2284" s="33"/>
      <c r="Z2284" s="33"/>
    </row>
    <row r="2285" spans="23:26" x14ac:dyDescent="0.2">
      <c r="W2285" s="33"/>
      <c r="Y2285" s="33"/>
      <c r="Z2285" s="33"/>
    </row>
    <row r="2286" spans="23:26" x14ac:dyDescent="0.2">
      <c r="W2286" s="33"/>
      <c r="Y2286" s="33"/>
      <c r="Z2286" s="33"/>
    </row>
    <row r="2287" spans="23:26" x14ac:dyDescent="0.2">
      <c r="W2287" s="33"/>
      <c r="Y2287" s="33"/>
      <c r="Z2287" s="33"/>
    </row>
    <row r="2288" spans="23:26" x14ac:dyDescent="0.2">
      <c r="W2288" s="33"/>
      <c r="Y2288" s="33"/>
      <c r="Z2288" s="33"/>
    </row>
    <row r="2289" spans="23:26" x14ac:dyDescent="0.2">
      <c r="W2289" s="33"/>
      <c r="Y2289" s="33"/>
      <c r="Z2289" s="33"/>
    </row>
    <row r="2290" spans="23:26" x14ac:dyDescent="0.2">
      <c r="W2290" s="33"/>
      <c r="Y2290" s="33"/>
      <c r="Z2290" s="33"/>
    </row>
    <row r="2291" spans="23:26" x14ac:dyDescent="0.2">
      <c r="W2291" s="33"/>
      <c r="Y2291" s="33"/>
      <c r="Z2291" s="33"/>
    </row>
    <row r="2292" spans="23:26" x14ac:dyDescent="0.2">
      <c r="W2292" s="33"/>
      <c r="Y2292" s="33"/>
      <c r="Z2292" s="33"/>
    </row>
    <row r="2293" spans="23:26" x14ac:dyDescent="0.2">
      <c r="W2293" s="33"/>
      <c r="Y2293" s="33"/>
      <c r="Z2293" s="33"/>
    </row>
    <row r="2294" spans="23:26" x14ac:dyDescent="0.2">
      <c r="W2294" s="33"/>
      <c r="Y2294" s="33"/>
      <c r="Z2294" s="33"/>
    </row>
    <row r="2295" spans="23:26" x14ac:dyDescent="0.2">
      <c r="W2295" s="33"/>
      <c r="Y2295" s="33"/>
      <c r="Z2295" s="33"/>
    </row>
    <row r="2296" spans="23:26" x14ac:dyDescent="0.2">
      <c r="W2296" s="33"/>
      <c r="Y2296" s="33"/>
      <c r="Z2296" s="33"/>
    </row>
    <row r="2297" spans="23:26" x14ac:dyDescent="0.2">
      <c r="W2297" s="33"/>
      <c r="Y2297" s="33"/>
      <c r="Z2297" s="33"/>
    </row>
    <row r="2298" spans="23:26" x14ac:dyDescent="0.2">
      <c r="W2298" s="33"/>
      <c r="Y2298" s="33"/>
      <c r="Z2298" s="33"/>
    </row>
    <row r="2299" spans="23:26" x14ac:dyDescent="0.2">
      <c r="W2299" s="33"/>
      <c r="Y2299" s="33"/>
      <c r="Z2299" s="33"/>
    </row>
    <row r="2300" spans="23:26" x14ac:dyDescent="0.2">
      <c r="W2300" s="33"/>
      <c r="Y2300" s="33"/>
      <c r="Z2300" s="33"/>
    </row>
    <row r="2301" spans="23:26" x14ac:dyDescent="0.2">
      <c r="W2301" s="33"/>
      <c r="Y2301" s="33"/>
      <c r="Z2301" s="33"/>
    </row>
    <row r="2302" spans="23:26" x14ac:dyDescent="0.2">
      <c r="W2302" s="33"/>
      <c r="Y2302" s="33"/>
      <c r="Z2302" s="33"/>
    </row>
    <row r="2303" spans="23:26" x14ac:dyDescent="0.2">
      <c r="W2303" s="33"/>
      <c r="Y2303" s="33"/>
      <c r="Z2303" s="33"/>
    </row>
    <row r="2304" spans="23:26" x14ac:dyDescent="0.2">
      <c r="W2304" s="33"/>
      <c r="Y2304" s="33"/>
      <c r="Z2304" s="33"/>
    </row>
    <row r="2305" spans="23:26" x14ac:dyDescent="0.2">
      <c r="W2305" s="33"/>
      <c r="Y2305" s="33"/>
      <c r="Z2305" s="33"/>
    </row>
    <row r="2306" spans="23:26" x14ac:dyDescent="0.2">
      <c r="W2306" s="33"/>
      <c r="Y2306" s="33"/>
      <c r="Z2306" s="33"/>
    </row>
    <row r="2307" spans="23:26" x14ac:dyDescent="0.2">
      <c r="W2307" s="33"/>
      <c r="Y2307" s="33"/>
      <c r="Z2307" s="33"/>
    </row>
    <row r="2308" spans="23:26" x14ac:dyDescent="0.2">
      <c r="W2308" s="33"/>
      <c r="Y2308" s="33"/>
      <c r="Z2308" s="33"/>
    </row>
    <row r="2309" spans="23:26" x14ac:dyDescent="0.2">
      <c r="W2309" s="33"/>
      <c r="Y2309" s="33"/>
      <c r="Z2309" s="33"/>
    </row>
    <row r="2310" spans="23:26" x14ac:dyDescent="0.2">
      <c r="W2310" s="33"/>
      <c r="Y2310" s="33"/>
      <c r="Z2310" s="33"/>
    </row>
    <row r="2311" spans="23:26" x14ac:dyDescent="0.2">
      <c r="W2311" s="33"/>
      <c r="Y2311" s="33"/>
      <c r="Z2311" s="33"/>
    </row>
    <row r="2312" spans="23:26" x14ac:dyDescent="0.2">
      <c r="W2312" s="33"/>
      <c r="Y2312" s="33"/>
      <c r="Z2312" s="33"/>
    </row>
    <row r="2313" spans="23:26" x14ac:dyDescent="0.2">
      <c r="W2313" s="33"/>
      <c r="Y2313" s="33"/>
      <c r="Z2313" s="33"/>
    </row>
    <row r="2314" spans="23:26" x14ac:dyDescent="0.2">
      <c r="W2314" s="33"/>
      <c r="Y2314" s="33"/>
      <c r="Z2314" s="33"/>
    </row>
    <row r="2315" spans="23:26" x14ac:dyDescent="0.2">
      <c r="W2315" s="33"/>
      <c r="Y2315" s="33"/>
      <c r="Z2315" s="33"/>
    </row>
    <row r="2316" spans="23:26" x14ac:dyDescent="0.2">
      <c r="W2316" s="33"/>
      <c r="Y2316" s="33"/>
      <c r="Z2316" s="33"/>
    </row>
    <row r="2317" spans="23:26" x14ac:dyDescent="0.2">
      <c r="W2317" s="33"/>
      <c r="Y2317" s="33"/>
      <c r="Z2317" s="33"/>
    </row>
    <row r="2318" spans="23:26" x14ac:dyDescent="0.2">
      <c r="W2318" s="33"/>
      <c r="Y2318" s="33"/>
      <c r="Z2318" s="33"/>
    </row>
    <row r="2319" spans="23:26" x14ac:dyDescent="0.2">
      <c r="W2319" s="33"/>
      <c r="Y2319" s="33"/>
      <c r="Z2319" s="33"/>
    </row>
    <row r="2320" spans="23:26" x14ac:dyDescent="0.2">
      <c r="W2320" s="33"/>
      <c r="Y2320" s="33"/>
      <c r="Z2320" s="33"/>
    </row>
    <row r="2321" spans="23:26" x14ac:dyDescent="0.2">
      <c r="W2321" s="33"/>
      <c r="Y2321" s="33"/>
      <c r="Z2321" s="33"/>
    </row>
    <row r="2322" spans="23:26" x14ac:dyDescent="0.2">
      <c r="W2322" s="33"/>
      <c r="Y2322" s="33"/>
      <c r="Z2322" s="33"/>
    </row>
    <row r="2323" spans="23:26" x14ac:dyDescent="0.2">
      <c r="W2323" s="33"/>
      <c r="Y2323" s="33"/>
      <c r="Z2323" s="33"/>
    </row>
    <row r="2324" spans="23:26" x14ac:dyDescent="0.2">
      <c r="W2324" s="33"/>
      <c r="Y2324" s="33"/>
      <c r="Z2324" s="33"/>
    </row>
    <row r="2325" spans="23:26" x14ac:dyDescent="0.2">
      <c r="W2325" s="33"/>
      <c r="Y2325" s="33"/>
      <c r="Z2325" s="33"/>
    </row>
    <row r="2326" spans="23:26" x14ac:dyDescent="0.2">
      <c r="W2326" s="33"/>
      <c r="Y2326" s="33"/>
      <c r="Z2326" s="33"/>
    </row>
    <row r="2327" spans="23:26" x14ac:dyDescent="0.2">
      <c r="W2327" s="33"/>
      <c r="Y2327" s="33"/>
      <c r="Z2327" s="33"/>
    </row>
    <row r="2328" spans="23:26" x14ac:dyDescent="0.2">
      <c r="W2328" s="33"/>
      <c r="Y2328" s="33"/>
      <c r="Z2328" s="33"/>
    </row>
    <row r="2329" spans="23:26" x14ac:dyDescent="0.2">
      <c r="W2329" s="33"/>
      <c r="Y2329" s="33"/>
      <c r="Z2329" s="33"/>
    </row>
    <row r="2330" spans="23:26" x14ac:dyDescent="0.2">
      <c r="W2330" s="33"/>
      <c r="Y2330" s="33"/>
      <c r="Z2330" s="33"/>
    </row>
    <row r="2331" spans="23:26" x14ac:dyDescent="0.2">
      <c r="W2331" s="33"/>
      <c r="Y2331" s="33"/>
      <c r="Z2331" s="33"/>
    </row>
    <row r="2332" spans="23:26" x14ac:dyDescent="0.2">
      <c r="W2332" s="33"/>
      <c r="Y2332" s="33"/>
      <c r="Z2332" s="33"/>
    </row>
    <row r="2333" spans="23:26" x14ac:dyDescent="0.2">
      <c r="W2333" s="33"/>
      <c r="Y2333" s="33"/>
      <c r="Z2333" s="33"/>
    </row>
    <row r="2334" spans="23:26" x14ac:dyDescent="0.2">
      <c r="W2334" s="33"/>
      <c r="Y2334" s="33"/>
      <c r="Z2334" s="33"/>
    </row>
    <row r="2335" spans="23:26" x14ac:dyDescent="0.2">
      <c r="W2335" s="33"/>
      <c r="Y2335" s="33"/>
      <c r="Z2335" s="33"/>
    </row>
    <row r="2336" spans="23:26" x14ac:dyDescent="0.2">
      <c r="W2336" s="33"/>
      <c r="Y2336" s="33"/>
      <c r="Z2336" s="33"/>
    </row>
    <row r="2337" spans="23:26" x14ac:dyDescent="0.2">
      <c r="W2337" s="33"/>
      <c r="Y2337" s="33"/>
      <c r="Z2337" s="33"/>
    </row>
    <row r="2338" spans="23:26" x14ac:dyDescent="0.2">
      <c r="W2338" s="33"/>
      <c r="Y2338" s="33"/>
      <c r="Z2338" s="33"/>
    </row>
    <row r="2339" spans="23:26" x14ac:dyDescent="0.2">
      <c r="W2339" s="33"/>
      <c r="Y2339" s="33"/>
      <c r="Z2339" s="33"/>
    </row>
    <row r="2340" spans="23:26" x14ac:dyDescent="0.2">
      <c r="W2340" s="33"/>
      <c r="Y2340" s="33"/>
      <c r="Z2340" s="33"/>
    </row>
    <row r="2341" spans="23:26" x14ac:dyDescent="0.2">
      <c r="W2341" s="33"/>
      <c r="Y2341" s="33"/>
      <c r="Z2341" s="33"/>
    </row>
    <row r="2342" spans="23:26" x14ac:dyDescent="0.2">
      <c r="W2342" s="33"/>
      <c r="Y2342" s="33"/>
      <c r="Z2342" s="33"/>
    </row>
    <row r="2343" spans="23:26" x14ac:dyDescent="0.2">
      <c r="W2343" s="33"/>
      <c r="Y2343" s="33"/>
      <c r="Z2343" s="33"/>
    </row>
    <row r="2344" spans="23:26" x14ac:dyDescent="0.2">
      <c r="W2344" s="33"/>
      <c r="Y2344" s="33"/>
      <c r="Z2344" s="33"/>
    </row>
    <row r="2345" spans="23:26" x14ac:dyDescent="0.2">
      <c r="W2345" s="33"/>
      <c r="Y2345" s="33"/>
      <c r="Z2345" s="33"/>
    </row>
    <row r="2346" spans="23:26" x14ac:dyDescent="0.2">
      <c r="W2346" s="33"/>
      <c r="Y2346" s="33"/>
      <c r="Z2346" s="33"/>
    </row>
    <row r="2347" spans="23:26" x14ac:dyDescent="0.2">
      <c r="W2347" s="33"/>
      <c r="Y2347" s="33"/>
      <c r="Z2347" s="33"/>
    </row>
    <row r="2348" spans="23:26" x14ac:dyDescent="0.2">
      <c r="W2348" s="33"/>
      <c r="Y2348" s="33"/>
      <c r="Z2348" s="33"/>
    </row>
    <row r="2349" spans="23:26" x14ac:dyDescent="0.2">
      <c r="W2349" s="33"/>
      <c r="Y2349" s="33"/>
      <c r="Z2349" s="33"/>
    </row>
    <row r="2350" spans="23:26" x14ac:dyDescent="0.2">
      <c r="W2350" s="33"/>
      <c r="Y2350" s="33"/>
      <c r="Z2350" s="33"/>
    </row>
    <row r="2351" spans="23:26" x14ac:dyDescent="0.2">
      <c r="W2351" s="33"/>
      <c r="Y2351" s="33"/>
      <c r="Z2351" s="33"/>
    </row>
    <row r="2352" spans="23:26" x14ac:dyDescent="0.2">
      <c r="W2352" s="33"/>
      <c r="Y2352" s="33"/>
      <c r="Z2352" s="33"/>
    </row>
    <row r="2353" spans="23:26" x14ac:dyDescent="0.2">
      <c r="W2353" s="33"/>
      <c r="Y2353" s="33"/>
      <c r="Z2353" s="33"/>
    </row>
    <row r="2354" spans="23:26" x14ac:dyDescent="0.2">
      <c r="W2354" s="33"/>
      <c r="Y2354" s="33"/>
      <c r="Z2354" s="33"/>
    </row>
    <row r="2355" spans="23:26" x14ac:dyDescent="0.2">
      <c r="W2355" s="33"/>
      <c r="Y2355" s="33"/>
      <c r="Z2355" s="33"/>
    </row>
    <row r="2356" spans="23:26" x14ac:dyDescent="0.2">
      <c r="W2356" s="33"/>
      <c r="Y2356" s="33"/>
      <c r="Z2356" s="33"/>
    </row>
    <row r="2357" spans="23:26" x14ac:dyDescent="0.2">
      <c r="W2357" s="33"/>
      <c r="Y2357" s="33"/>
      <c r="Z2357" s="33"/>
    </row>
    <row r="2358" spans="23:26" x14ac:dyDescent="0.2">
      <c r="W2358" s="33"/>
      <c r="Y2358" s="33"/>
      <c r="Z2358" s="33"/>
    </row>
    <row r="2359" spans="23:26" x14ac:dyDescent="0.2">
      <c r="W2359" s="33"/>
      <c r="Y2359" s="33"/>
      <c r="Z2359" s="33"/>
    </row>
    <row r="2360" spans="23:26" x14ac:dyDescent="0.2">
      <c r="W2360" s="33"/>
      <c r="Y2360" s="33"/>
      <c r="Z2360" s="33"/>
    </row>
    <row r="2361" spans="23:26" x14ac:dyDescent="0.2">
      <c r="W2361" s="33"/>
      <c r="Y2361" s="33"/>
      <c r="Z2361" s="33"/>
    </row>
    <row r="2362" spans="23:26" x14ac:dyDescent="0.2">
      <c r="W2362" s="33"/>
      <c r="Y2362" s="33"/>
      <c r="Z2362" s="33"/>
    </row>
    <row r="2363" spans="23:26" x14ac:dyDescent="0.2">
      <c r="W2363" s="33"/>
      <c r="Y2363" s="33"/>
      <c r="Z2363" s="33"/>
    </row>
    <row r="2364" spans="23:26" x14ac:dyDescent="0.2">
      <c r="W2364" s="33"/>
      <c r="Y2364" s="33"/>
      <c r="Z2364" s="33"/>
    </row>
    <row r="2365" spans="23:26" x14ac:dyDescent="0.2">
      <c r="W2365" s="33"/>
      <c r="Y2365" s="33"/>
      <c r="Z2365" s="33"/>
    </row>
    <row r="2366" spans="23:26" x14ac:dyDescent="0.2">
      <c r="W2366" s="33"/>
      <c r="Y2366" s="33"/>
      <c r="Z2366" s="33"/>
    </row>
    <row r="2367" spans="23:26" x14ac:dyDescent="0.2">
      <c r="W2367" s="33"/>
      <c r="Y2367" s="33"/>
      <c r="Z2367" s="33"/>
    </row>
    <row r="2368" spans="23:26" x14ac:dyDescent="0.2">
      <c r="W2368" s="33"/>
      <c r="Y2368" s="33"/>
      <c r="Z2368" s="33"/>
    </row>
    <row r="2369" spans="23:26" x14ac:dyDescent="0.2">
      <c r="W2369" s="33"/>
      <c r="Y2369" s="33"/>
      <c r="Z2369" s="33"/>
    </row>
    <row r="2370" spans="23:26" x14ac:dyDescent="0.2">
      <c r="W2370" s="33"/>
      <c r="Y2370" s="33"/>
      <c r="Z2370" s="33"/>
    </row>
    <row r="2371" spans="23:26" x14ac:dyDescent="0.2">
      <c r="W2371" s="33"/>
      <c r="Y2371" s="33"/>
      <c r="Z2371" s="33"/>
    </row>
    <row r="2372" spans="23:26" x14ac:dyDescent="0.2">
      <c r="W2372" s="33"/>
      <c r="Y2372" s="33"/>
      <c r="Z2372" s="33"/>
    </row>
    <row r="2373" spans="23:26" x14ac:dyDescent="0.2">
      <c r="W2373" s="33"/>
      <c r="Y2373" s="33"/>
      <c r="Z2373" s="33"/>
    </row>
    <row r="2374" spans="23:26" x14ac:dyDescent="0.2">
      <c r="W2374" s="33"/>
      <c r="Y2374" s="33"/>
      <c r="Z2374" s="33"/>
    </row>
    <row r="2375" spans="23:26" x14ac:dyDescent="0.2">
      <c r="W2375" s="33"/>
      <c r="Y2375" s="33"/>
      <c r="Z2375" s="33"/>
    </row>
    <row r="2376" spans="23:26" x14ac:dyDescent="0.2">
      <c r="W2376" s="33"/>
      <c r="Y2376" s="33"/>
      <c r="Z2376" s="33"/>
    </row>
    <row r="2377" spans="23:26" x14ac:dyDescent="0.2">
      <c r="W2377" s="33"/>
      <c r="Y2377" s="33"/>
      <c r="Z2377" s="33"/>
    </row>
    <row r="2378" spans="23:26" x14ac:dyDescent="0.2">
      <c r="W2378" s="33"/>
      <c r="Y2378" s="33"/>
      <c r="Z2378" s="33"/>
    </row>
    <row r="2379" spans="23:26" x14ac:dyDescent="0.2">
      <c r="W2379" s="33"/>
      <c r="Y2379" s="33"/>
      <c r="Z2379" s="33"/>
    </row>
    <row r="2380" spans="23:26" x14ac:dyDescent="0.2">
      <c r="W2380" s="33"/>
      <c r="Y2380" s="33"/>
      <c r="Z2380" s="33"/>
    </row>
    <row r="2381" spans="23:26" x14ac:dyDescent="0.2">
      <c r="W2381" s="33"/>
      <c r="Y2381" s="33"/>
      <c r="Z2381" s="33"/>
    </row>
    <row r="2382" spans="23:26" x14ac:dyDescent="0.2">
      <c r="W2382" s="33"/>
      <c r="Y2382" s="33"/>
      <c r="Z2382" s="33"/>
    </row>
    <row r="2383" spans="23:26" x14ac:dyDescent="0.2">
      <c r="W2383" s="33"/>
      <c r="Y2383" s="33"/>
      <c r="Z2383" s="33"/>
    </row>
    <row r="2384" spans="23:26" x14ac:dyDescent="0.2">
      <c r="W2384" s="33"/>
      <c r="Y2384" s="33"/>
      <c r="Z2384" s="33"/>
    </row>
    <row r="2385" spans="23:26" x14ac:dyDescent="0.2">
      <c r="W2385" s="33"/>
      <c r="Y2385" s="33"/>
      <c r="Z2385" s="33"/>
    </row>
    <row r="2386" spans="23:26" x14ac:dyDescent="0.2">
      <c r="W2386" s="33"/>
      <c r="Y2386" s="33"/>
      <c r="Z2386" s="33"/>
    </row>
    <row r="2387" spans="23:26" x14ac:dyDescent="0.2">
      <c r="W2387" s="33"/>
      <c r="Y2387" s="33"/>
      <c r="Z2387" s="33"/>
    </row>
    <row r="2388" spans="23:26" x14ac:dyDescent="0.2">
      <c r="W2388" s="33"/>
      <c r="Y2388" s="33"/>
      <c r="Z2388" s="33"/>
    </row>
    <row r="2389" spans="23:26" x14ac:dyDescent="0.2">
      <c r="W2389" s="33"/>
      <c r="Y2389" s="33"/>
      <c r="Z2389" s="33"/>
    </row>
    <row r="2390" spans="23:26" x14ac:dyDescent="0.2">
      <c r="W2390" s="33"/>
      <c r="Y2390" s="33"/>
      <c r="Z2390" s="33"/>
    </row>
    <row r="2391" spans="23:26" x14ac:dyDescent="0.2">
      <c r="W2391" s="33"/>
      <c r="Y2391" s="33"/>
      <c r="Z2391" s="33"/>
    </row>
    <row r="2392" spans="23:26" x14ac:dyDescent="0.2">
      <c r="W2392" s="33"/>
      <c r="Y2392" s="33"/>
      <c r="Z2392" s="33"/>
    </row>
    <row r="2393" spans="23:26" x14ac:dyDescent="0.2">
      <c r="W2393" s="33"/>
      <c r="Y2393" s="33"/>
      <c r="Z2393" s="33"/>
    </row>
    <row r="2394" spans="23:26" x14ac:dyDescent="0.2">
      <c r="W2394" s="33"/>
      <c r="Y2394" s="33"/>
      <c r="Z2394" s="33"/>
    </row>
    <row r="2395" spans="23:26" x14ac:dyDescent="0.2">
      <c r="W2395" s="33"/>
      <c r="Y2395" s="33"/>
      <c r="Z2395" s="33"/>
    </row>
    <row r="2396" spans="23:26" x14ac:dyDescent="0.2">
      <c r="W2396" s="33"/>
      <c r="Y2396" s="33"/>
      <c r="Z2396" s="33"/>
    </row>
    <row r="2397" spans="23:26" x14ac:dyDescent="0.2">
      <c r="W2397" s="33"/>
      <c r="Y2397" s="33"/>
      <c r="Z2397" s="33"/>
    </row>
    <row r="2398" spans="23:26" x14ac:dyDescent="0.2">
      <c r="W2398" s="33"/>
      <c r="Y2398" s="33"/>
      <c r="Z2398" s="33"/>
    </row>
    <row r="2399" spans="23:26" x14ac:dyDescent="0.2">
      <c r="W2399" s="33"/>
      <c r="Y2399" s="33"/>
      <c r="Z2399" s="33"/>
    </row>
    <row r="2400" spans="23:26" x14ac:dyDescent="0.2">
      <c r="W2400" s="33"/>
      <c r="Y2400" s="33"/>
      <c r="Z2400" s="33"/>
    </row>
    <row r="2401" spans="23:26" x14ac:dyDescent="0.2">
      <c r="W2401" s="33"/>
      <c r="Y2401" s="33"/>
      <c r="Z2401" s="33"/>
    </row>
    <row r="2402" spans="23:26" x14ac:dyDescent="0.2">
      <c r="W2402" s="33"/>
      <c r="Y2402" s="33"/>
      <c r="Z2402" s="33"/>
    </row>
    <row r="2403" spans="23:26" x14ac:dyDescent="0.2">
      <c r="W2403" s="33"/>
      <c r="Y2403" s="33"/>
      <c r="Z2403" s="33"/>
    </row>
    <row r="2404" spans="23:26" x14ac:dyDescent="0.2">
      <c r="W2404" s="33"/>
      <c r="Y2404" s="33"/>
      <c r="Z2404" s="33"/>
    </row>
    <row r="2405" spans="23:26" x14ac:dyDescent="0.2">
      <c r="W2405" s="33"/>
      <c r="Y2405" s="33"/>
      <c r="Z2405" s="33"/>
    </row>
    <row r="2406" spans="23:26" x14ac:dyDescent="0.2">
      <c r="W2406" s="33"/>
      <c r="Y2406" s="33"/>
      <c r="Z2406" s="33"/>
    </row>
    <row r="2407" spans="23:26" x14ac:dyDescent="0.2">
      <c r="W2407" s="33"/>
      <c r="Y2407" s="33"/>
      <c r="Z2407" s="33"/>
    </row>
    <row r="2408" spans="23:26" x14ac:dyDescent="0.2">
      <c r="W2408" s="33"/>
      <c r="Y2408" s="33"/>
      <c r="Z2408" s="33"/>
    </row>
    <row r="2409" spans="23:26" x14ac:dyDescent="0.2">
      <c r="W2409" s="33"/>
      <c r="Y2409" s="33"/>
      <c r="Z2409" s="33"/>
    </row>
    <row r="2410" spans="23:26" x14ac:dyDescent="0.2">
      <c r="W2410" s="33"/>
      <c r="Y2410" s="33"/>
      <c r="Z2410" s="33"/>
    </row>
    <row r="2411" spans="23:26" x14ac:dyDescent="0.2">
      <c r="W2411" s="33"/>
      <c r="Y2411" s="33"/>
      <c r="Z2411" s="33"/>
    </row>
    <row r="2412" spans="23:26" x14ac:dyDescent="0.2">
      <c r="W2412" s="33"/>
      <c r="Y2412" s="33"/>
      <c r="Z2412" s="33"/>
    </row>
    <row r="2413" spans="23:26" x14ac:dyDescent="0.2">
      <c r="W2413" s="33"/>
      <c r="Y2413" s="33"/>
      <c r="Z2413" s="33"/>
    </row>
    <row r="2414" spans="23:26" x14ac:dyDescent="0.2">
      <c r="W2414" s="33"/>
      <c r="Y2414" s="33"/>
      <c r="Z2414" s="33"/>
    </row>
    <row r="2415" spans="23:26" x14ac:dyDescent="0.2">
      <c r="W2415" s="33"/>
      <c r="Y2415" s="33"/>
      <c r="Z2415" s="33"/>
    </row>
    <row r="2416" spans="23:26" x14ac:dyDescent="0.2">
      <c r="W2416" s="33"/>
      <c r="Y2416" s="33"/>
      <c r="Z2416" s="33"/>
    </row>
    <row r="2417" spans="23:26" x14ac:dyDescent="0.2">
      <c r="W2417" s="33"/>
      <c r="Y2417" s="33"/>
      <c r="Z2417" s="33"/>
    </row>
    <row r="2418" spans="23:26" x14ac:dyDescent="0.2">
      <c r="W2418" s="33"/>
      <c r="Y2418" s="33"/>
      <c r="Z2418" s="33"/>
    </row>
    <row r="2419" spans="23:26" x14ac:dyDescent="0.2">
      <c r="W2419" s="33"/>
      <c r="Y2419" s="33"/>
      <c r="Z2419" s="33"/>
    </row>
    <row r="2420" spans="23:26" x14ac:dyDescent="0.2">
      <c r="W2420" s="33"/>
      <c r="Y2420" s="33"/>
      <c r="Z2420" s="33"/>
    </row>
    <row r="2421" spans="23:26" x14ac:dyDescent="0.2">
      <c r="W2421" s="33"/>
      <c r="Y2421" s="33"/>
      <c r="Z2421" s="33"/>
    </row>
    <row r="2422" spans="23:26" x14ac:dyDescent="0.2">
      <c r="W2422" s="33"/>
      <c r="Y2422" s="33"/>
      <c r="Z2422" s="33"/>
    </row>
    <row r="2423" spans="23:26" x14ac:dyDescent="0.2">
      <c r="W2423" s="33"/>
      <c r="Y2423" s="33"/>
      <c r="Z2423" s="33"/>
    </row>
    <row r="2424" spans="23:26" x14ac:dyDescent="0.2">
      <c r="W2424" s="33"/>
      <c r="Y2424" s="33"/>
      <c r="Z2424" s="33"/>
    </row>
    <row r="2425" spans="23:26" x14ac:dyDescent="0.2">
      <c r="W2425" s="33"/>
      <c r="Y2425" s="33"/>
      <c r="Z2425" s="33"/>
    </row>
    <row r="2426" spans="23:26" x14ac:dyDescent="0.2">
      <c r="W2426" s="33"/>
      <c r="Y2426" s="33"/>
      <c r="Z2426" s="33"/>
    </row>
    <row r="2427" spans="23:26" x14ac:dyDescent="0.2">
      <c r="W2427" s="33"/>
      <c r="Y2427" s="33"/>
      <c r="Z2427" s="33"/>
    </row>
    <row r="2428" spans="23:26" x14ac:dyDescent="0.2">
      <c r="W2428" s="33"/>
      <c r="Y2428" s="33"/>
      <c r="Z2428" s="33"/>
    </row>
    <row r="2429" spans="23:26" x14ac:dyDescent="0.2">
      <c r="W2429" s="33"/>
      <c r="Y2429" s="33"/>
      <c r="Z2429" s="33"/>
    </row>
    <row r="2430" spans="23:26" x14ac:dyDescent="0.2">
      <c r="W2430" s="33"/>
      <c r="Y2430" s="33"/>
      <c r="Z2430" s="33"/>
    </row>
    <row r="2431" spans="23:26" x14ac:dyDescent="0.2">
      <c r="W2431" s="33"/>
      <c r="Y2431" s="33"/>
      <c r="Z2431" s="33"/>
    </row>
    <row r="2432" spans="23:26" x14ac:dyDescent="0.2">
      <c r="W2432" s="33"/>
      <c r="Y2432" s="33"/>
      <c r="Z2432" s="33"/>
    </row>
    <row r="2433" spans="23:26" x14ac:dyDescent="0.2">
      <c r="W2433" s="33"/>
      <c r="Y2433" s="33"/>
      <c r="Z2433" s="33"/>
    </row>
    <row r="2434" spans="23:26" x14ac:dyDescent="0.2">
      <c r="W2434" s="33"/>
      <c r="Y2434" s="33"/>
      <c r="Z2434" s="33"/>
    </row>
    <row r="2435" spans="23:26" x14ac:dyDescent="0.2">
      <c r="W2435" s="33"/>
      <c r="Y2435" s="33"/>
      <c r="Z2435" s="33"/>
    </row>
    <row r="2436" spans="23:26" x14ac:dyDescent="0.2">
      <c r="W2436" s="33"/>
      <c r="Y2436" s="33"/>
      <c r="Z2436" s="33"/>
    </row>
    <row r="2437" spans="23:26" x14ac:dyDescent="0.2">
      <c r="W2437" s="33"/>
      <c r="Y2437" s="33"/>
      <c r="Z2437" s="33"/>
    </row>
    <row r="2438" spans="23:26" x14ac:dyDescent="0.2">
      <c r="W2438" s="33"/>
      <c r="Y2438" s="33"/>
      <c r="Z2438" s="33"/>
    </row>
    <row r="2439" spans="23:26" x14ac:dyDescent="0.2">
      <c r="W2439" s="33"/>
      <c r="Y2439" s="33"/>
      <c r="Z2439" s="33"/>
    </row>
    <row r="2440" spans="23:26" x14ac:dyDescent="0.2">
      <c r="W2440" s="33"/>
      <c r="Y2440" s="33"/>
      <c r="Z2440" s="33"/>
    </row>
    <row r="2441" spans="23:26" x14ac:dyDescent="0.2">
      <c r="W2441" s="33"/>
      <c r="Y2441" s="33"/>
      <c r="Z2441" s="33"/>
    </row>
    <row r="2442" spans="23:26" x14ac:dyDescent="0.2">
      <c r="W2442" s="33"/>
      <c r="Y2442" s="33"/>
      <c r="Z2442" s="33"/>
    </row>
    <row r="2443" spans="23:26" x14ac:dyDescent="0.2">
      <c r="W2443" s="33"/>
      <c r="Y2443" s="33"/>
      <c r="Z2443" s="33"/>
    </row>
    <row r="2444" spans="23:26" x14ac:dyDescent="0.2">
      <c r="W2444" s="33"/>
      <c r="Y2444" s="33"/>
      <c r="Z2444" s="33"/>
    </row>
    <row r="2445" spans="23:26" x14ac:dyDescent="0.2">
      <c r="W2445" s="33"/>
      <c r="Y2445" s="33"/>
      <c r="Z2445" s="33"/>
    </row>
    <row r="2446" spans="23:26" x14ac:dyDescent="0.2">
      <c r="W2446" s="33"/>
      <c r="Y2446" s="33"/>
      <c r="Z2446" s="33"/>
    </row>
    <row r="2447" spans="23:26" x14ac:dyDescent="0.2">
      <c r="W2447" s="33"/>
      <c r="Y2447" s="33"/>
      <c r="Z2447" s="33"/>
    </row>
    <row r="2448" spans="23:26" x14ac:dyDescent="0.2">
      <c r="W2448" s="33"/>
      <c r="Y2448" s="33"/>
      <c r="Z2448" s="33"/>
    </row>
    <row r="2449" spans="23:26" x14ac:dyDescent="0.2">
      <c r="W2449" s="33"/>
      <c r="Y2449" s="33"/>
      <c r="Z2449" s="33"/>
    </row>
    <row r="2450" spans="23:26" x14ac:dyDescent="0.2">
      <c r="W2450" s="33"/>
      <c r="Y2450" s="33"/>
      <c r="Z2450" s="33"/>
    </row>
    <row r="2451" spans="23:26" x14ac:dyDescent="0.2">
      <c r="W2451" s="33"/>
      <c r="Y2451" s="33"/>
      <c r="Z2451" s="33"/>
    </row>
    <row r="2452" spans="23:26" x14ac:dyDescent="0.2">
      <c r="W2452" s="33"/>
      <c r="Y2452" s="33"/>
      <c r="Z2452" s="33"/>
    </row>
    <row r="2453" spans="23:26" x14ac:dyDescent="0.2">
      <c r="W2453" s="33"/>
      <c r="Y2453" s="33"/>
      <c r="Z2453" s="33"/>
    </row>
    <row r="2454" spans="23:26" x14ac:dyDescent="0.2">
      <c r="W2454" s="33"/>
      <c r="Y2454" s="33"/>
      <c r="Z2454" s="33"/>
    </row>
    <row r="2455" spans="23:26" x14ac:dyDescent="0.2">
      <c r="W2455" s="33"/>
      <c r="Y2455" s="33"/>
      <c r="Z2455" s="33"/>
    </row>
    <row r="2456" spans="23:26" x14ac:dyDescent="0.2">
      <c r="W2456" s="33"/>
      <c r="Y2456" s="33"/>
      <c r="Z2456" s="33"/>
    </row>
    <row r="2457" spans="23:26" x14ac:dyDescent="0.2">
      <c r="W2457" s="33"/>
      <c r="Y2457" s="33"/>
      <c r="Z2457" s="33"/>
    </row>
    <row r="2458" spans="23:26" x14ac:dyDescent="0.2">
      <c r="W2458" s="33"/>
      <c r="Y2458" s="33"/>
      <c r="Z2458" s="33"/>
    </row>
    <row r="2459" spans="23:26" x14ac:dyDescent="0.2">
      <c r="W2459" s="33"/>
      <c r="Y2459" s="33"/>
      <c r="Z2459" s="33"/>
    </row>
    <row r="2460" spans="23:26" x14ac:dyDescent="0.2">
      <c r="W2460" s="33"/>
      <c r="Y2460" s="33"/>
      <c r="Z2460" s="33"/>
    </row>
    <row r="2461" spans="23:26" x14ac:dyDescent="0.2">
      <c r="W2461" s="33"/>
      <c r="Y2461" s="33"/>
      <c r="Z2461" s="33"/>
    </row>
    <row r="2462" spans="23:26" x14ac:dyDescent="0.2">
      <c r="W2462" s="33"/>
      <c r="Y2462" s="33"/>
      <c r="Z2462" s="33"/>
    </row>
    <row r="2463" spans="23:26" x14ac:dyDescent="0.2">
      <c r="W2463" s="33"/>
      <c r="Y2463" s="33"/>
      <c r="Z2463" s="33"/>
    </row>
    <row r="2464" spans="23:26" x14ac:dyDescent="0.2">
      <c r="W2464" s="33"/>
      <c r="Y2464" s="33"/>
      <c r="Z2464" s="33"/>
    </row>
    <row r="2465" spans="23:26" x14ac:dyDescent="0.2">
      <c r="W2465" s="33"/>
      <c r="Y2465" s="33"/>
      <c r="Z2465" s="33"/>
    </row>
    <row r="2466" spans="23:26" x14ac:dyDescent="0.2">
      <c r="W2466" s="33"/>
      <c r="Y2466" s="33"/>
      <c r="Z2466" s="33"/>
    </row>
    <row r="2467" spans="23:26" x14ac:dyDescent="0.2">
      <c r="W2467" s="33"/>
      <c r="Y2467" s="33"/>
      <c r="Z2467" s="33"/>
    </row>
    <row r="2468" spans="23:26" x14ac:dyDescent="0.2">
      <c r="W2468" s="33"/>
      <c r="Y2468" s="33"/>
      <c r="Z2468" s="33"/>
    </row>
    <row r="2469" spans="23:26" x14ac:dyDescent="0.2">
      <c r="W2469" s="33"/>
      <c r="Y2469" s="33"/>
      <c r="Z2469" s="33"/>
    </row>
    <row r="2470" spans="23:26" x14ac:dyDescent="0.2">
      <c r="W2470" s="33"/>
      <c r="Y2470" s="33"/>
      <c r="Z2470" s="33"/>
    </row>
    <row r="2471" spans="23:26" x14ac:dyDescent="0.2">
      <c r="W2471" s="33"/>
      <c r="Y2471" s="33"/>
      <c r="Z2471" s="33"/>
    </row>
    <row r="2472" spans="23:26" x14ac:dyDescent="0.2">
      <c r="W2472" s="33"/>
      <c r="Y2472" s="33"/>
      <c r="Z2472" s="33"/>
    </row>
    <row r="2473" spans="23:26" x14ac:dyDescent="0.2">
      <c r="W2473" s="33"/>
      <c r="Y2473" s="33"/>
      <c r="Z2473" s="33"/>
    </row>
    <row r="2474" spans="23:26" x14ac:dyDescent="0.2">
      <c r="W2474" s="33"/>
      <c r="Y2474" s="33"/>
      <c r="Z2474" s="33"/>
    </row>
    <row r="2475" spans="23:26" x14ac:dyDescent="0.2">
      <c r="W2475" s="33"/>
      <c r="Y2475" s="33"/>
      <c r="Z2475" s="33"/>
    </row>
    <row r="2476" spans="23:26" x14ac:dyDescent="0.2">
      <c r="W2476" s="33"/>
      <c r="Y2476" s="33"/>
      <c r="Z2476" s="33"/>
    </row>
    <row r="2477" spans="23:26" x14ac:dyDescent="0.2">
      <c r="W2477" s="33"/>
      <c r="Y2477" s="33"/>
      <c r="Z2477" s="33"/>
    </row>
    <row r="2478" spans="23:26" x14ac:dyDescent="0.2">
      <c r="W2478" s="33"/>
      <c r="Y2478" s="33"/>
      <c r="Z2478" s="33"/>
    </row>
    <row r="2479" spans="23:26" x14ac:dyDescent="0.2">
      <c r="W2479" s="33"/>
      <c r="Y2479" s="33"/>
      <c r="Z2479" s="33"/>
    </row>
    <row r="2480" spans="23:26" x14ac:dyDescent="0.2">
      <c r="W2480" s="33"/>
      <c r="Y2480" s="33"/>
      <c r="Z2480" s="33"/>
    </row>
    <row r="2481" spans="23:26" x14ac:dyDescent="0.2">
      <c r="W2481" s="33"/>
      <c r="Y2481" s="33"/>
      <c r="Z2481" s="33"/>
    </row>
    <row r="2482" spans="23:26" x14ac:dyDescent="0.2">
      <c r="W2482" s="33"/>
      <c r="Y2482" s="33"/>
      <c r="Z2482" s="33"/>
    </row>
    <row r="2483" spans="23:26" x14ac:dyDescent="0.2">
      <c r="W2483" s="33"/>
      <c r="Y2483" s="33"/>
      <c r="Z2483" s="33"/>
    </row>
    <row r="2484" spans="23:26" x14ac:dyDescent="0.2">
      <c r="W2484" s="33"/>
      <c r="Y2484" s="33"/>
      <c r="Z2484" s="33"/>
    </row>
    <row r="2485" spans="23:26" x14ac:dyDescent="0.2">
      <c r="W2485" s="33"/>
      <c r="Y2485" s="33"/>
      <c r="Z2485" s="33"/>
    </row>
    <row r="2486" spans="23:26" x14ac:dyDescent="0.2">
      <c r="W2486" s="33"/>
      <c r="Y2486" s="33"/>
      <c r="Z2486" s="33"/>
    </row>
    <row r="2487" spans="23:26" x14ac:dyDescent="0.2">
      <c r="W2487" s="33"/>
      <c r="Y2487" s="33"/>
      <c r="Z2487" s="33"/>
    </row>
    <row r="2488" spans="23:26" x14ac:dyDescent="0.2">
      <c r="W2488" s="33"/>
      <c r="Y2488" s="33"/>
      <c r="Z2488" s="33"/>
    </row>
    <row r="2489" spans="23:26" x14ac:dyDescent="0.2">
      <c r="W2489" s="33"/>
      <c r="Y2489" s="33"/>
      <c r="Z2489" s="33"/>
    </row>
    <row r="2490" spans="23:26" x14ac:dyDescent="0.2">
      <c r="W2490" s="33"/>
      <c r="Y2490" s="33"/>
      <c r="Z2490" s="33"/>
    </row>
    <row r="2491" spans="23:26" x14ac:dyDescent="0.2">
      <c r="W2491" s="33"/>
      <c r="Y2491" s="33"/>
      <c r="Z2491" s="33"/>
    </row>
    <row r="2492" spans="23:26" x14ac:dyDescent="0.2">
      <c r="W2492" s="33"/>
      <c r="Y2492" s="33"/>
      <c r="Z2492" s="33"/>
    </row>
    <row r="2493" spans="23:26" x14ac:dyDescent="0.2">
      <c r="W2493" s="33"/>
      <c r="Y2493" s="33"/>
      <c r="Z2493" s="33"/>
    </row>
    <row r="2494" spans="23:26" x14ac:dyDescent="0.2">
      <c r="W2494" s="33"/>
      <c r="Y2494" s="33"/>
      <c r="Z2494" s="33"/>
    </row>
    <row r="2495" spans="23:26" x14ac:dyDescent="0.2">
      <c r="W2495" s="33"/>
      <c r="Y2495" s="33"/>
      <c r="Z2495" s="33"/>
    </row>
    <row r="2496" spans="23:26" x14ac:dyDescent="0.2">
      <c r="W2496" s="33"/>
      <c r="Y2496" s="33"/>
      <c r="Z2496" s="33"/>
    </row>
    <row r="2497" spans="23:26" x14ac:dyDescent="0.2">
      <c r="W2497" s="33"/>
      <c r="Y2497" s="33"/>
      <c r="Z2497" s="33"/>
    </row>
    <row r="2498" spans="23:26" x14ac:dyDescent="0.2">
      <c r="W2498" s="33"/>
      <c r="Y2498" s="33"/>
      <c r="Z2498" s="33"/>
    </row>
    <row r="2499" spans="23:26" x14ac:dyDescent="0.2">
      <c r="W2499" s="33"/>
      <c r="Y2499" s="33"/>
      <c r="Z2499" s="33"/>
    </row>
    <row r="2500" spans="23:26" x14ac:dyDescent="0.2">
      <c r="W2500" s="33"/>
      <c r="Y2500" s="33"/>
      <c r="Z2500" s="33"/>
    </row>
    <row r="2501" spans="23:26" x14ac:dyDescent="0.2">
      <c r="W2501" s="33"/>
      <c r="Y2501" s="33"/>
      <c r="Z2501" s="33"/>
    </row>
    <row r="2502" spans="23:26" x14ac:dyDescent="0.2">
      <c r="W2502" s="33"/>
      <c r="Y2502" s="33"/>
      <c r="Z2502" s="33"/>
    </row>
    <row r="2503" spans="23:26" x14ac:dyDescent="0.2">
      <c r="W2503" s="33"/>
      <c r="Y2503" s="33"/>
      <c r="Z2503" s="33"/>
    </row>
    <row r="2504" spans="23:26" x14ac:dyDescent="0.2">
      <c r="W2504" s="33"/>
      <c r="Y2504" s="33"/>
      <c r="Z2504" s="33"/>
    </row>
    <row r="2505" spans="23:26" x14ac:dyDescent="0.2">
      <c r="W2505" s="33"/>
      <c r="Y2505" s="33"/>
      <c r="Z2505" s="33"/>
    </row>
    <row r="2506" spans="23:26" x14ac:dyDescent="0.2">
      <c r="W2506" s="33"/>
      <c r="Y2506" s="33"/>
      <c r="Z2506" s="33"/>
    </row>
    <row r="2507" spans="23:26" x14ac:dyDescent="0.2">
      <c r="W2507" s="33"/>
      <c r="Y2507" s="33"/>
      <c r="Z2507" s="33"/>
    </row>
    <row r="2508" spans="23:26" x14ac:dyDescent="0.2">
      <c r="W2508" s="33"/>
      <c r="Y2508" s="33"/>
      <c r="Z2508" s="33"/>
    </row>
    <row r="2509" spans="23:26" x14ac:dyDescent="0.2">
      <c r="W2509" s="33"/>
      <c r="Y2509" s="33"/>
      <c r="Z2509" s="33"/>
    </row>
    <row r="2510" spans="23:26" x14ac:dyDescent="0.2">
      <c r="W2510" s="33"/>
      <c r="Y2510" s="33"/>
      <c r="Z2510" s="33"/>
    </row>
    <row r="2511" spans="23:26" x14ac:dyDescent="0.2">
      <c r="W2511" s="33"/>
      <c r="Y2511" s="33"/>
      <c r="Z2511" s="33"/>
    </row>
    <row r="2512" spans="23:26" x14ac:dyDescent="0.2">
      <c r="W2512" s="33"/>
      <c r="Y2512" s="33"/>
      <c r="Z2512" s="33"/>
    </row>
    <row r="2513" spans="23:26" x14ac:dyDescent="0.2">
      <c r="W2513" s="33"/>
      <c r="Y2513" s="33"/>
      <c r="Z2513" s="33"/>
    </row>
    <row r="2514" spans="23:26" x14ac:dyDescent="0.2">
      <c r="W2514" s="33"/>
      <c r="Y2514" s="33"/>
      <c r="Z2514" s="33"/>
    </row>
    <row r="2515" spans="23:26" x14ac:dyDescent="0.2">
      <c r="W2515" s="33"/>
      <c r="Y2515" s="33"/>
      <c r="Z2515" s="33"/>
    </row>
    <row r="2516" spans="23:26" x14ac:dyDescent="0.2">
      <c r="W2516" s="33"/>
      <c r="Y2516" s="33"/>
      <c r="Z2516" s="33"/>
    </row>
    <row r="2517" spans="23:26" x14ac:dyDescent="0.2">
      <c r="W2517" s="33"/>
      <c r="Y2517" s="33"/>
      <c r="Z2517" s="33"/>
    </row>
    <row r="2518" spans="23:26" x14ac:dyDescent="0.2">
      <c r="W2518" s="33"/>
      <c r="Y2518" s="33"/>
      <c r="Z2518" s="33"/>
    </row>
    <row r="2519" spans="23:26" x14ac:dyDescent="0.2">
      <c r="W2519" s="33"/>
      <c r="Y2519" s="33"/>
      <c r="Z2519" s="33"/>
    </row>
    <row r="2520" spans="23:26" x14ac:dyDescent="0.2">
      <c r="W2520" s="33"/>
      <c r="Y2520" s="33"/>
      <c r="Z2520" s="33"/>
    </row>
    <row r="2521" spans="23:26" x14ac:dyDescent="0.2">
      <c r="W2521" s="33"/>
      <c r="Y2521" s="33"/>
      <c r="Z2521" s="33"/>
    </row>
    <row r="2522" spans="23:26" x14ac:dyDescent="0.2">
      <c r="W2522" s="33"/>
      <c r="Y2522" s="33"/>
      <c r="Z2522" s="33"/>
    </row>
    <row r="2523" spans="23:26" x14ac:dyDescent="0.2">
      <c r="W2523" s="33"/>
      <c r="Y2523" s="33"/>
      <c r="Z2523" s="33"/>
    </row>
    <row r="2524" spans="23:26" x14ac:dyDescent="0.2">
      <c r="W2524" s="33"/>
      <c r="Y2524" s="33"/>
      <c r="Z2524" s="33"/>
    </row>
    <row r="2525" spans="23:26" x14ac:dyDescent="0.2">
      <c r="W2525" s="33"/>
      <c r="Y2525" s="33"/>
      <c r="Z2525" s="33"/>
    </row>
    <row r="2526" spans="23:26" x14ac:dyDescent="0.2">
      <c r="W2526" s="33"/>
      <c r="Y2526" s="33"/>
      <c r="Z2526" s="33"/>
    </row>
    <row r="2527" spans="23:26" x14ac:dyDescent="0.2">
      <c r="W2527" s="33"/>
      <c r="Y2527" s="33"/>
      <c r="Z2527" s="33"/>
    </row>
    <row r="2528" spans="23:26" x14ac:dyDescent="0.2">
      <c r="W2528" s="33"/>
      <c r="Y2528" s="33"/>
      <c r="Z2528" s="33"/>
    </row>
    <row r="2529" spans="23:26" x14ac:dyDescent="0.2">
      <c r="W2529" s="33"/>
      <c r="Y2529" s="33"/>
      <c r="Z2529" s="33"/>
    </row>
    <row r="2530" spans="23:26" x14ac:dyDescent="0.2">
      <c r="W2530" s="33"/>
      <c r="Y2530" s="33"/>
      <c r="Z2530" s="33"/>
    </row>
    <row r="2531" spans="23:26" x14ac:dyDescent="0.2">
      <c r="W2531" s="33"/>
      <c r="Y2531" s="33"/>
      <c r="Z2531" s="33"/>
    </row>
    <row r="2532" spans="23:26" x14ac:dyDescent="0.2">
      <c r="W2532" s="33"/>
      <c r="Y2532" s="33"/>
      <c r="Z2532" s="33"/>
    </row>
    <row r="2533" spans="23:26" x14ac:dyDescent="0.2">
      <c r="W2533" s="33"/>
      <c r="Y2533" s="33"/>
      <c r="Z2533" s="33"/>
    </row>
    <row r="2534" spans="23:26" x14ac:dyDescent="0.2">
      <c r="W2534" s="33"/>
      <c r="Y2534" s="33"/>
      <c r="Z2534" s="33"/>
    </row>
    <row r="2535" spans="23:26" x14ac:dyDescent="0.2">
      <c r="W2535" s="33"/>
      <c r="Y2535" s="33"/>
      <c r="Z2535" s="33"/>
    </row>
    <row r="2536" spans="23:26" x14ac:dyDescent="0.2">
      <c r="W2536" s="33"/>
      <c r="Y2536" s="33"/>
      <c r="Z2536" s="33"/>
    </row>
    <row r="2537" spans="23:26" x14ac:dyDescent="0.2">
      <c r="W2537" s="33"/>
      <c r="Y2537" s="33"/>
      <c r="Z2537" s="33"/>
    </row>
    <row r="2538" spans="23:26" x14ac:dyDescent="0.2">
      <c r="W2538" s="33"/>
      <c r="Y2538" s="33"/>
      <c r="Z2538" s="33"/>
    </row>
    <row r="2539" spans="23:26" x14ac:dyDescent="0.2">
      <c r="W2539" s="33"/>
      <c r="Y2539" s="33"/>
      <c r="Z2539" s="33"/>
    </row>
    <row r="2540" spans="23:26" x14ac:dyDescent="0.2">
      <c r="W2540" s="33"/>
      <c r="Y2540" s="33"/>
      <c r="Z2540" s="33"/>
    </row>
    <row r="2541" spans="23:26" x14ac:dyDescent="0.2">
      <c r="W2541" s="33"/>
      <c r="Y2541" s="33"/>
      <c r="Z2541" s="33"/>
    </row>
    <row r="2542" spans="23:26" x14ac:dyDescent="0.2">
      <c r="W2542" s="33"/>
      <c r="Y2542" s="33"/>
      <c r="Z2542" s="33"/>
    </row>
    <row r="2543" spans="23:26" x14ac:dyDescent="0.2">
      <c r="W2543" s="33"/>
      <c r="Y2543" s="33"/>
      <c r="Z2543" s="33"/>
    </row>
    <row r="2544" spans="23:26" x14ac:dyDescent="0.2">
      <c r="W2544" s="33"/>
      <c r="Y2544" s="33"/>
      <c r="Z2544" s="33"/>
    </row>
    <row r="2545" spans="23:26" x14ac:dyDescent="0.2">
      <c r="W2545" s="33"/>
      <c r="Y2545" s="33"/>
      <c r="Z2545" s="33"/>
    </row>
    <row r="2546" spans="23:26" x14ac:dyDescent="0.2">
      <c r="W2546" s="33"/>
      <c r="Y2546" s="33"/>
      <c r="Z2546" s="33"/>
    </row>
    <row r="2547" spans="23:26" x14ac:dyDescent="0.2">
      <c r="W2547" s="33"/>
      <c r="Y2547" s="33"/>
      <c r="Z2547" s="33"/>
    </row>
    <row r="2548" spans="23:26" x14ac:dyDescent="0.2">
      <c r="W2548" s="33"/>
      <c r="Y2548" s="33"/>
      <c r="Z2548" s="33"/>
    </row>
    <row r="2549" spans="23:26" x14ac:dyDescent="0.2">
      <c r="W2549" s="33"/>
      <c r="Y2549" s="33"/>
      <c r="Z2549" s="33"/>
    </row>
    <row r="2550" spans="23:26" x14ac:dyDescent="0.2">
      <c r="W2550" s="33"/>
      <c r="Y2550" s="33"/>
      <c r="Z2550" s="33"/>
    </row>
    <row r="2551" spans="23:26" x14ac:dyDescent="0.2">
      <c r="W2551" s="33"/>
      <c r="Y2551" s="33"/>
      <c r="Z2551" s="33"/>
    </row>
    <row r="2552" spans="23:26" x14ac:dyDescent="0.2">
      <c r="W2552" s="33"/>
      <c r="Y2552" s="33"/>
      <c r="Z2552" s="33"/>
    </row>
    <row r="2553" spans="23:26" x14ac:dyDescent="0.2">
      <c r="W2553" s="33"/>
      <c r="Y2553" s="33"/>
      <c r="Z2553" s="33"/>
    </row>
    <row r="2554" spans="23:26" x14ac:dyDescent="0.2">
      <c r="W2554" s="33"/>
      <c r="Y2554" s="33"/>
      <c r="Z2554" s="33"/>
    </row>
    <row r="2555" spans="23:26" x14ac:dyDescent="0.2">
      <c r="W2555" s="33"/>
      <c r="Y2555" s="33"/>
      <c r="Z2555" s="33"/>
    </row>
    <row r="2556" spans="23:26" x14ac:dyDescent="0.2">
      <c r="W2556" s="33"/>
      <c r="Y2556" s="33"/>
      <c r="Z2556" s="33"/>
    </row>
    <row r="2557" spans="23:26" x14ac:dyDescent="0.2">
      <c r="W2557" s="33"/>
      <c r="Y2557" s="33"/>
      <c r="Z2557" s="33"/>
    </row>
    <row r="2558" spans="23:26" x14ac:dyDescent="0.2">
      <c r="W2558" s="33"/>
      <c r="Y2558" s="33"/>
      <c r="Z2558" s="33"/>
    </row>
    <row r="2559" spans="23:26" x14ac:dyDescent="0.2">
      <c r="W2559" s="33"/>
      <c r="Y2559" s="33"/>
      <c r="Z2559" s="33"/>
    </row>
    <row r="2560" spans="23:26" x14ac:dyDescent="0.2">
      <c r="W2560" s="33"/>
      <c r="Y2560" s="33"/>
      <c r="Z2560" s="33"/>
    </row>
    <row r="2561" spans="23:26" x14ac:dyDescent="0.2">
      <c r="W2561" s="33"/>
      <c r="Y2561" s="33"/>
      <c r="Z2561" s="33"/>
    </row>
    <row r="2562" spans="23:26" x14ac:dyDescent="0.2">
      <c r="W2562" s="33"/>
      <c r="Y2562" s="33"/>
      <c r="Z2562" s="33"/>
    </row>
    <row r="2563" spans="23:26" x14ac:dyDescent="0.2">
      <c r="W2563" s="33"/>
      <c r="Y2563" s="33"/>
      <c r="Z2563" s="33"/>
    </row>
    <row r="2564" spans="23:26" x14ac:dyDescent="0.2">
      <c r="W2564" s="33"/>
      <c r="Y2564" s="33"/>
      <c r="Z2564" s="33"/>
    </row>
    <row r="2565" spans="23:26" x14ac:dyDescent="0.2">
      <c r="W2565" s="33"/>
      <c r="Y2565" s="33"/>
      <c r="Z2565" s="33"/>
    </row>
    <row r="2566" spans="23:26" x14ac:dyDescent="0.2">
      <c r="W2566" s="33"/>
      <c r="Y2566" s="33"/>
      <c r="Z2566" s="33"/>
    </row>
    <row r="2567" spans="23:26" x14ac:dyDescent="0.2">
      <c r="W2567" s="33"/>
      <c r="Y2567" s="33"/>
      <c r="Z2567" s="33"/>
    </row>
    <row r="2568" spans="23:26" x14ac:dyDescent="0.2">
      <c r="W2568" s="33"/>
      <c r="Y2568" s="33"/>
      <c r="Z2568" s="33"/>
    </row>
    <row r="2569" spans="23:26" x14ac:dyDescent="0.2">
      <c r="W2569" s="33"/>
      <c r="Y2569" s="33"/>
      <c r="Z2569" s="33"/>
    </row>
    <row r="2570" spans="23:26" x14ac:dyDescent="0.2">
      <c r="W2570" s="33"/>
      <c r="Y2570" s="33"/>
      <c r="Z2570" s="33"/>
    </row>
    <row r="2571" spans="23:26" x14ac:dyDescent="0.2">
      <c r="W2571" s="33"/>
      <c r="Y2571" s="33"/>
      <c r="Z2571" s="33"/>
    </row>
    <row r="2572" spans="23:26" x14ac:dyDescent="0.2">
      <c r="W2572" s="33"/>
      <c r="Y2572" s="33"/>
      <c r="Z2572" s="33"/>
    </row>
    <row r="2573" spans="23:26" x14ac:dyDescent="0.2">
      <c r="W2573" s="33"/>
      <c r="Y2573" s="33"/>
      <c r="Z2573" s="33"/>
    </row>
    <row r="2574" spans="23:26" x14ac:dyDescent="0.2">
      <c r="W2574" s="33"/>
      <c r="Y2574" s="33"/>
      <c r="Z2574" s="33"/>
    </row>
    <row r="2575" spans="23:26" x14ac:dyDescent="0.2">
      <c r="W2575" s="33"/>
      <c r="Y2575" s="33"/>
      <c r="Z2575" s="33"/>
    </row>
    <row r="2576" spans="23:26" x14ac:dyDescent="0.2">
      <c r="W2576" s="33"/>
      <c r="Y2576" s="33"/>
      <c r="Z2576" s="33"/>
    </row>
    <row r="2577" spans="23:26" x14ac:dyDescent="0.2">
      <c r="W2577" s="33"/>
      <c r="Y2577" s="33"/>
      <c r="Z2577" s="33"/>
    </row>
    <row r="2578" spans="23:26" x14ac:dyDescent="0.2">
      <c r="W2578" s="33"/>
      <c r="Y2578" s="33"/>
      <c r="Z2578" s="33"/>
    </row>
    <row r="2579" spans="23:26" x14ac:dyDescent="0.2">
      <c r="W2579" s="33"/>
      <c r="Y2579" s="33"/>
      <c r="Z2579" s="33"/>
    </row>
    <row r="2580" spans="23:26" x14ac:dyDescent="0.2">
      <c r="W2580" s="33"/>
      <c r="Y2580" s="33"/>
      <c r="Z2580" s="33"/>
    </row>
    <row r="2581" spans="23:26" x14ac:dyDescent="0.2">
      <c r="W2581" s="33"/>
      <c r="Y2581" s="33"/>
      <c r="Z2581" s="33"/>
    </row>
    <row r="2582" spans="23:26" x14ac:dyDescent="0.2">
      <c r="W2582" s="33"/>
      <c r="Y2582" s="33"/>
      <c r="Z2582" s="33"/>
    </row>
    <row r="2583" spans="23:26" x14ac:dyDescent="0.2">
      <c r="W2583" s="33"/>
      <c r="Y2583" s="33"/>
      <c r="Z2583" s="33"/>
    </row>
    <row r="2584" spans="23:26" x14ac:dyDescent="0.2">
      <c r="W2584" s="33"/>
      <c r="Y2584" s="33"/>
      <c r="Z2584" s="33"/>
    </row>
    <row r="2585" spans="23:26" x14ac:dyDescent="0.2">
      <c r="W2585" s="33"/>
      <c r="Y2585" s="33"/>
      <c r="Z2585" s="33"/>
    </row>
    <row r="2586" spans="23:26" x14ac:dyDescent="0.2">
      <c r="W2586" s="33"/>
      <c r="Y2586" s="33"/>
      <c r="Z2586" s="33"/>
    </row>
    <row r="2587" spans="23:26" x14ac:dyDescent="0.2">
      <c r="W2587" s="33"/>
      <c r="Y2587" s="33"/>
      <c r="Z2587" s="33"/>
    </row>
    <row r="2588" spans="23:26" x14ac:dyDescent="0.2">
      <c r="W2588" s="33"/>
      <c r="Y2588" s="33"/>
      <c r="Z2588" s="33"/>
    </row>
    <row r="2589" spans="23:26" x14ac:dyDescent="0.2">
      <c r="W2589" s="33"/>
      <c r="Y2589" s="33"/>
      <c r="Z2589" s="33"/>
    </row>
    <row r="2590" spans="23:26" x14ac:dyDescent="0.2">
      <c r="W2590" s="33"/>
      <c r="Y2590" s="33"/>
      <c r="Z2590" s="33"/>
    </row>
    <row r="2591" spans="23:26" x14ac:dyDescent="0.2">
      <c r="W2591" s="33"/>
      <c r="Y2591" s="33"/>
      <c r="Z2591" s="33"/>
    </row>
    <row r="2592" spans="23:26" x14ac:dyDescent="0.2">
      <c r="W2592" s="33"/>
      <c r="Y2592" s="33"/>
      <c r="Z2592" s="33"/>
    </row>
    <row r="2593" spans="23:26" x14ac:dyDescent="0.2">
      <c r="W2593" s="33"/>
      <c r="Y2593" s="33"/>
      <c r="Z2593" s="33"/>
    </row>
    <row r="2594" spans="23:26" x14ac:dyDescent="0.2">
      <c r="W2594" s="33"/>
      <c r="Y2594" s="33"/>
      <c r="Z2594" s="33"/>
    </row>
    <row r="2595" spans="23:26" x14ac:dyDescent="0.2">
      <c r="W2595" s="33"/>
      <c r="Y2595" s="33"/>
      <c r="Z2595" s="33"/>
    </row>
    <row r="2596" spans="23:26" x14ac:dyDescent="0.2">
      <c r="W2596" s="33"/>
      <c r="Y2596" s="33"/>
      <c r="Z2596" s="33"/>
    </row>
    <row r="2597" spans="23:26" x14ac:dyDescent="0.2">
      <c r="W2597" s="33"/>
      <c r="Y2597" s="33"/>
      <c r="Z2597" s="33"/>
    </row>
    <row r="2598" spans="23:26" x14ac:dyDescent="0.2">
      <c r="W2598" s="33"/>
      <c r="Y2598" s="33"/>
      <c r="Z2598" s="33"/>
    </row>
    <row r="2599" spans="23:26" x14ac:dyDescent="0.2">
      <c r="W2599" s="33"/>
      <c r="Y2599" s="33"/>
      <c r="Z2599" s="33"/>
    </row>
    <row r="2600" spans="23:26" x14ac:dyDescent="0.2">
      <c r="W2600" s="33"/>
      <c r="Y2600" s="33"/>
      <c r="Z2600" s="33"/>
    </row>
    <row r="2601" spans="23:26" x14ac:dyDescent="0.2">
      <c r="W2601" s="33"/>
      <c r="Y2601" s="33"/>
      <c r="Z2601" s="33"/>
    </row>
    <row r="2602" spans="23:26" x14ac:dyDescent="0.2">
      <c r="W2602" s="33"/>
      <c r="Y2602" s="33"/>
      <c r="Z2602" s="33"/>
    </row>
    <row r="2603" spans="23:26" x14ac:dyDescent="0.2">
      <c r="W2603" s="33"/>
      <c r="Y2603" s="33"/>
      <c r="Z2603" s="33"/>
    </row>
    <row r="2604" spans="23:26" x14ac:dyDescent="0.2">
      <c r="W2604" s="33"/>
      <c r="Y2604" s="33"/>
      <c r="Z2604" s="33"/>
    </row>
    <row r="2605" spans="23:26" x14ac:dyDescent="0.2">
      <c r="W2605" s="33"/>
      <c r="Y2605" s="33"/>
      <c r="Z2605" s="33"/>
    </row>
    <row r="2606" spans="23:26" x14ac:dyDescent="0.2">
      <c r="W2606" s="33"/>
      <c r="Y2606" s="33"/>
      <c r="Z2606" s="33"/>
    </row>
    <row r="2607" spans="23:26" x14ac:dyDescent="0.2">
      <c r="W2607" s="33"/>
      <c r="Y2607" s="33"/>
      <c r="Z2607" s="33"/>
    </row>
    <row r="2608" spans="23:26" x14ac:dyDescent="0.2">
      <c r="W2608" s="33"/>
      <c r="Y2608" s="33"/>
      <c r="Z2608" s="33"/>
    </row>
    <row r="2609" spans="23:26" x14ac:dyDescent="0.2">
      <c r="W2609" s="33"/>
      <c r="Y2609" s="33"/>
      <c r="Z2609" s="33"/>
    </row>
    <row r="2610" spans="23:26" x14ac:dyDescent="0.2">
      <c r="W2610" s="33"/>
      <c r="Y2610" s="33"/>
      <c r="Z2610" s="33"/>
    </row>
    <row r="2611" spans="23:26" x14ac:dyDescent="0.2">
      <c r="W2611" s="33"/>
      <c r="Y2611" s="33"/>
      <c r="Z2611" s="33"/>
    </row>
    <row r="2612" spans="23:26" x14ac:dyDescent="0.2">
      <c r="W2612" s="33"/>
      <c r="Y2612" s="33"/>
      <c r="Z2612" s="33"/>
    </row>
    <row r="2613" spans="23:26" x14ac:dyDescent="0.2">
      <c r="W2613" s="33"/>
      <c r="Y2613" s="33"/>
      <c r="Z2613" s="33"/>
    </row>
    <row r="2614" spans="23:26" x14ac:dyDescent="0.2">
      <c r="W2614" s="33"/>
      <c r="Y2614" s="33"/>
      <c r="Z2614" s="33"/>
    </row>
    <row r="2615" spans="23:26" x14ac:dyDescent="0.2">
      <c r="W2615" s="33"/>
      <c r="Y2615" s="33"/>
      <c r="Z2615" s="33"/>
    </row>
    <row r="2616" spans="23:26" x14ac:dyDescent="0.2">
      <c r="W2616" s="33"/>
      <c r="Y2616" s="33"/>
      <c r="Z2616" s="33"/>
    </row>
    <row r="2617" spans="23:26" x14ac:dyDescent="0.2">
      <c r="W2617" s="33"/>
      <c r="Y2617" s="33"/>
      <c r="Z2617" s="33"/>
    </row>
    <row r="2618" spans="23:26" x14ac:dyDescent="0.2">
      <c r="W2618" s="33"/>
      <c r="Y2618" s="33"/>
      <c r="Z2618" s="33"/>
    </row>
    <row r="2619" spans="23:26" x14ac:dyDescent="0.2">
      <c r="W2619" s="33"/>
      <c r="Y2619" s="33"/>
      <c r="Z2619" s="33"/>
    </row>
    <row r="2620" spans="23:26" x14ac:dyDescent="0.2">
      <c r="W2620" s="33"/>
      <c r="Y2620" s="33"/>
      <c r="Z2620" s="33"/>
    </row>
    <row r="2621" spans="23:26" x14ac:dyDescent="0.2">
      <c r="W2621" s="33"/>
      <c r="Y2621" s="33"/>
      <c r="Z2621" s="33"/>
    </row>
    <row r="2622" spans="23:26" x14ac:dyDescent="0.2">
      <c r="W2622" s="33"/>
      <c r="Y2622" s="33"/>
      <c r="Z2622" s="33"/>
    </row>
    <row r="2623" spans="23:26" x14ac:dyDescent="0.2">
      <c r="W2623" s="33"/>
      <c r="Y2623" s="33"/>
      <c r="Z2623" s="33"/>
    </row>
    <row r="2624" spans="23:26" x14ac:dyDescent="0.2">
      <c r="W2624" s="33"/>
      <c r="Y2624" s="33"/>
      <c r="Z2624" s="33"/>
    </row>
    <row r="2625" spans="23:26" x14ac:dyDescent="0.2">
      <c r="W2625" s="33"/>
      <c r="Y2625" s="33"/>
      <c r="Z2625" s="33"/>
    </row>
    <row r="2626" spans="23:26" x14ac:dyDescent="0.2">
      <c r="W2626" s="33"/>
      <c r="Y2626" s="33"/>
      <c r="Z2626" s="33"/>
    </row>
    <row r="2627" spans="23:26" x14ac:dyDescent="0.2">
      <c r="W2627" s="33"/>
      <c r="Y2627" s="33"/>
      <c r="Z2627" s="33"/>
    </row>
    <row r="2628" spans="23:26" x14ac:dyDescent="0.2">
      <c r="W2628" s="33"/>
      <c r="Y2628" s="33"/>
      <c r="Z2628" s="33"/>
    </row>
    <row r="2629" spans="23:26" x14ac:dyDescent="0.2">
      <c r="W2629" s="33"/>
      <c r="Y2629" s="33"/>
      <c r="Z2629" s="33"/>
    </row>
    <row r="2630" spans="23:26" x14ac:dyDescent="0.2">
      <c r="W2630" s="33"/>
      <c r="Y2630" s="33"/>
      <c r="Z2630" s="33"/>
    </row>
    <row r="2631" spans="23:26" x14ac:dyDescent="0.2">
      <c r="W2631" s="33"/>
      <c r="Y2631" s="33"/>
      <c r="Z2631" s="33"/>
    </row>
    <row r="2632" spans="23:26" x14ac:dyDescent="0.2">
      <c r="W2632" s="33"/>
      <c r="Y2632" s="33"/>
      <c r="Z2632" s="33"/>
    </row>
    <row r="2633" spans="23:26" x14ac:dyDescent="0.2">
      <c r="W2633" s="33"/>
      <c r="Y2633" s="33"/>
      <c r="Z2633" s="33"/>
    </row>
    <row r="2634" spans="23:26" x14ac:dyDescent="0.2">
      <c r="W2634" s="33"/>
      <c r="Y2634" s="33"/>
      <c r="Z2634" s="33"/>
    </row>
    <row r="2635" spans="23:26" x14ac:dyDescent="0.2">
      <c r="W2635" s="33"/>
      <c r="Y2635" s="33"/>
      <c r="Z2635" s="33"/>
    </row>
    <row r="2636" spans="23:26" x14ac:dyDescent="0.2">
      <c r="W2636" s="33"/>
      <c r="Y2636" s="33"/>
      <c r="Z2636" s="33"/>
    </row>
    <row r="2637" spans="23:26" x14ac:dyDescent="0.2">
      <c r="W2637" s="33"/>
      <c r="Y2637" s="33"/>
      <c r="Z2637" s="33"/>
    </row>
    <row r="2638" spans="23:26" x14ac:dyDescent="0.2">
      <c r="W2638" s="33"/>
      <c r="Y2638" s="33"/>
      <c r="Z2638" s="33"/>
    </row>
    <row r="2639" spans="23:26" x14ac:dyDescent="0.2">
      <c r="W2639" s="33"/>
      <c r="Y2639" s="33"/>
      <c r="Z2639" s="33"/>
    </row>
    <row r="2640" spans="23:26" x14ac:dyDescent="0.2">
      <c r="W2640" s="33"/>
      <c r="Y2640" s="33"/>
      <c r="Z2640" s="33"/>
    </row>
    <row r="2641" spans="23:26" x14ac:dyDescent="0.2">
      <c r="W2641" s="33"/>
      <c r="Y2641" s="33"/>
      <c r="Z2641" s="33"/>
    </row>
    <row r="2642" spans="23:26" x14ac:dyDescent="0.2">
      <c r="W2642" s="33"/>
      <c r="Y2642" s="33"/>
      <c r="Z2642" s="33"/>
    </row>
    <row r="2643" spans="23:26" x14ac:dyDescent="0.2">
      <c r="W2643" s="33"/>
      <c r="Y2643" s="33"/>
      <c r="Z2643" s="33"/>
    </row>
    <row r="2644" spans="23:26" x14ac:dyDescent="0.2">
      <c r="W2644" s="33"/>
      <c r="Y2644" s="33"/>
      <c r="Z2644" s="33"/>
    </row>
    <row r="2645" spans="23:26" x14ac:dyDescent="0.2">
      <c r="W2645" s="33"/>
      <c r="Y2645" s="33"/>
      <c r="Z2645" s="33"/>
    </row>
    <row r="2646" spans="23:26" x14ac:dyDescent="0.2">
      <c r="W2646" s="33"/>
      <c r="Y2646" s="33"/>
      <c r="Z2646" s="33"/>
    </row>
    <row r="2647" spans="23:26" x14ac:dyDescent="0.2">
      <c r="W2647" s="33"/>
      <c r="Y2647" s="33"/>
      <c r="Z2647" s="33"/>
    </row>
    <row r="2648" spans="23:26" x14ac:dyDescent="0.2">
      <c r="W2648" s="33"/>
      <c r="Y2648" s="33"/>
      <c r="Z2648" s="33"/>
    </row>
    <row r="2649" spans="23:26" x14ac:dyDescent="0.2">
      <c r="W2649" s="33"/>
      <c r="Y2649" s="33"/>
      <c r="Z2649" s="33"/>
    </row>
    <row r="2650" spans="23:26" x14ac:dyDescent="0.2">
      <c r="W2650" s="33"/>
      <c r="Y2650" s="33"/>
      <c r="Z2650" s="33"/>
    </row>
    <row r="2651" spans="23:26" x14ac:dyDescent="0.2">
      <c r="W2651" s="33"/>
      <c r="Y2651" s="33"/>
      <c r="Z2651" s="33"/>
    </row>
    <row r="2652" spans="23:26" x14ac:dyDescent="0.2">
      <c r="W2652" s="33"/>
      <c r="Y2652" s="33"/>
      <c r="Z2652" s="33"/>
    </row>
    <row r="2653" spans="23:26" x14ac:dyDescent="0.2">
      <c r="W2653" s="33"/>
      <c r="Y2653" s="33"/>
      <c r="Z2653" s="33"/>
    </row>
    <row r="2654" spans="23:26" x14ac:dyDescent="0.2">
      <c r="W2654" s="33"/>
      <c r="Y2654" s="33"/>
      <c r="Z2654" s="33"/>
    </row>
    <row r="2655" spans="23:26" x14ac:dyDescent="0.2">
      <c r="W2655" s="33"/>
      <c r="Y2655" s="33"/>
      <c r="Z2655" s="33"/>
    </row>
    <row r="2656" spans="23:26" x14ac:dyDescent="0.2">
      <c r="W2656" s="33"/>
      <c r="Y2656" s="33"/>
      <c r="Z2656" s="33"/>
    </row>
    <row r="2657" spans="23:26" x14ac:dyDescent="0.2">
      <c r="W2657" s="33"/>
      <c r="Y2657" s="33"/>
      <c r="Z2657" s="33"/>
    </row>
    <row r="2658" spans="23:26" x14ac:dyDescent="0.2">
      <c r="W2658" s="33"/>
      <c r="Y2658" s="33"/>
      <c r="Z2658" s="33"/>
    </row>
    <row r="2659" spans="23:26" x14ac:dyDescent="0.2">
      <c r="W2659" s="33"/>
      <c r="Y2659" s="33"/>
      <c r="Z2659" s="33"/>
    </row>
    <row r="2660" spans="23:26" x14ac:dyDescent="0.2">
      <c r="W2660" s="33"/>
      <c r="Y2660" s="33"/>
      <c r="Z2660" s="33"/>
    </row>
    <row r="2661" spans="23:26" x14ac:dyDescent="0.2">
      <c r="W2661" s="33"/>
      <c r="Y2661" s="33"/>
      <c r="Z2661" s="33"/>
    </row>
    <row r="2662" spans="23:26" x14ac:dyDescent="0.2">
      <c r="W2662" s="33"/>
      <c r="Y2662" s="33"/>
      <c r="Z2662" s="33"/>
    </row>
    <row r="2663" spans="23:26" x14ac:dyDescent="0.2">
      <c r="W2663" s="33"/>
      <c r="Y2663" s="33"/>
      <c r="Z2663" s="33"/>
    </row>
    <row r="2664" spans="23:26" x14ac:dyDescent="0.2">
      <c r="W2664" s="33"/>
      <c r="Y2664" s="33"/>
      <c r="Z2664" s="33"/>
    </row>
    <row r="2665" spans="23:26" x14ac:dyDescent="0.2">
      <c r="W2665" s="33"/>
      <c r="Y2665" s="33"/>
      <c r="Z2665" s="33"/>
    </row>
    <row r="2666" spans="23:26" x14ac:dyDescent="0.2">
      <c r="W2666" s="33"/>
      <c r="Y2666" s="33"/>
      <c r="Z2666" s="33"/>
    </row>
    <row r="2667" spans="23:26" x14ac:dyDescent="0.2">
      <c r="W2667" s="33"/>
      <c r="Y2667" s="33"/>
      <c r="Z2667" s="33"/>
    </row>
    <row r="2668" spans="23:26" x14ac:dyDescent="0.2">
      <c r="W2668" s="33"/>
      <c r="Y2668" s="33"/>
      <c r="Z2668" s="33"/>
    </row>
    <row r="2669" spans="23:26" x14ac:dyDescent="0.2">
      <c r="W2669" s="33"/>
      <c r="Y2669" s="33"/>
      <c r="Z2669" s="33"/>
    </row>
    <row r="2670" spans="23:26" x14ac:dyDescent="0.2">
      <c r="W2670" s="33"/>
      <c r="Y2670" s="33"/>
      <c r="Z2670" s="33"/>
    </row>
    <row r="2671" spans="23:26" x14ac:dyDescent="0.2">
      <c r="W2671" s="33"/>
      <c r="Y2671" s="33"/>
      <c r="Z2671" s="33"/>
    </row>
    <row r="2672" spans="23:26" x14ac:dyDescent="0.2">
      <c r="W2672" s="33"/>
      <c r="Y2672" s="33"/>
      <c r="Z2672" s="33"/>
    </row>
    <row r="2673" spans="23:26" x14ac:dyDescent="0.2">
      <c r="W2673" s="33"/>
      <c r="Y2673" s="33"/>
      <c r="Z2673" s="33"/>
    </row>
    <row r="2674" spans="23:26" x14ac:dyDescent="0.2">
      <c r="W2674" s="33"/>
      <c r="Y2674" s="33"/>
      <c r="Z2674" s="33"/>
    </row>
    <row r="2675" spans="23:26" x14ac:dyDescent="0.2">
      <c r="W2675" s="33"/>
      <c r="Y2675" s="33"/>
      <c r="Z2675" s="33"/>
    </row>
    <row r="2676" spans="23:26" x14ac:dyDescent="0.2">
      <c r="W2676" s="33"/>
      <c r="Y2676" s="33"/>
      <c r="Z2676" s="33"/>
    </row>
    <row r="2677" spans="23:26" x14ac:dyDescent="0.2">
      <c r="W2677" s="33"/>
      <c r="Y2677" s="33"/>
      <c r="Z2677" s="33"/>
    </row>
    <row r="2678" spans="23:26" x14ac:dyDescent="0.2">
      <c r="W2678" s="33"/>
      <c r="Y2678" s="33"/>
      <c r="Z2678" s="33"/>
    </row>
    <row r="2679" spans="23:26" x14ac:dyDescent="0.2">
      <c r="W2679" s="33"/>
      <c r="Y2679" s="33"/>
      <c r="Z2679" s="33"/>
    </row>
    <row r="2680" spans="23:26" x14ac:dyDescent="0.2">
      <c r="W2680" s="33"/>
      <c r="Y2680" s="33"/>
      <c r="Z2680" s="33"/>
    </row>
    <row r="2681" spans="23:26" x14ac:dyDescent="0.2">
      <c r="W2681" s="33"/>
      <c r="Y2681" s="33"/>
      <c r="Z2681" s="33"/>
    </row>
    <row r="2682" spans="23:26" x14ac:dyDescent="0.2">
      <c r="W2682" s="33"/>
      <c r="Y2682" s="33"/>
      <c r="Z2682" s="33"/>
    </row>
    <row r="2683" spans="23:26" x14ac:dyDescent="0.2">
      <c r="W2683" s="33"/>
      <c r="Y2683" s="33"/>
      <c r="Z2683" s="33"/>
    </row>
    <row r="2684" spans="23:26" x14ac:dyDescent="0.2">
      <c r="W2684" s="33"/>
      <c r="Y2684" s="33"/>
      <c r="Z2684" s="33"/>
    </row>
    <row r="2685" spans="23:26" x14ac:dyDescent="0.2">
      <c r="W2685" s="33"/>
      <c r="Y2685" s="33"/>
      <c r="Z2685" s="33"/>
    </row>
    <row r="2686" spans="23:26" x14ac:dyDescent="0.2">
      <c r="W2686" s="33"/>
      <c r="Y2686" s="33"/>
      <c r="Z2686" s="33"/>
    </row>
    <row r="2687" spans="23:26" x14ac:dyDescent="0.2">
      <c r="W2687" s="33"/>
      <c r="Y2687" s="33"/>
      <c r="Z2687" s="33"/>
    </row>
    <row r="2688" spans="23:26" x14ac:dyDescent="0.2">
      <c r="W2688" s="33"/>
      <c r="Y2688" s="33"/>
      <c r="Z2688" s="33"/>
    </row>
    <row r="2689" spans="23:26" x14ac:dyDescent="0.2">
      <c r="W2689" s="33"/>
      <c r="Y2689" s="33"/>
      <c r="Z2689" s="33"/>
    </row>
    <row r="2690" spans="23:26" x14ac:dyDescent="0.2">
      <c r="W2690" s="33"/>
      <c r="Y2690" s="33"/>
      <c r="Z2690" s="33"/>
    </row>
    <row r="2691" spans="23:26" x14ac:dyDescent="0.2">
      <c r="W2691" s="33"/>
      <c r="Y2691" s="33"/>
      <c r="Z2691" s="33"/>
    </row>
    <row r="2692" spans="23:26" x14ac:dyDescent="0.2">
      <c r="W2692" s="33"/>
      <c r="Y2692" s="33"/>
      <c r="Z2692" s="33"/>
    </row>
    <row r="2693" spans="23:26" x14ac:dyDescent="0.2">
      <c r="W2693" s="33"/>
      <c r="Y2693" s="33"/>
      <c r="Z2693" s="33"/>
    </row>
    <row r="2694" spans="23:26" x14ac:dyDescent="0.2">
      <c r="W2694" s="33"/>
      <c r="Y2694" s="33"/>
      <c r="Z2694" s="33"/>
    </row>
    <row r="2695" spans="23:26" x14ac:dyDescent="0.2">
      <c r="W2695" s="33"/>
      <c r="Y2695" s="33"/>
      <c r="Z2695" s="33"/>
    </row>
    <row r="2696" spans="23:26" x14ac:dyDescent="0.2">
      <c r="W2696" s="33"/>
      <c r="Y2696" s="33"/>
      <c r="Z2696" s="33"/>
    </row>
    <row r="2697" spans="23:26" x14ac:dyDescent="0.2">
      <c r="W2697" s="33"/>
      <c r="Y2697" s="33"/>
      <c r="Z2697" s="33"/>
    </row>
    <row r="2698" spans="23:26" x14ac:dyDescent="0.2">
      <c r="W2698" s="33"/>
      <c r="Y2698" s="33"/>
      <c r="Z2698" s="33"/>
    </row>
    <row r="2699" spans="23:26" x14ac:dyDescent="0.2">
      <c r="W2699" s="33"/>
      <c r="Y2699" s="33"/>
      <c r="Z2699" s="33"/>
    </row>
    <row r="2700" spans="23:26" x14ac:dyDescent="0.2">
      <c r="W2700" s="33"/>
      <c r="Y2700" s="33"/>
      <c r="Z2700" s="33"/>
    </row>
    <row r="2701" spans="23:26" x14ac:dyDescent="0.2">
      <c r="W2701" s="33"/>
      <c r="Y2701" s="33"/>
      <c r="Z2701" s="33"/>
    </row>
    <row r="2702" spans="23:26" x14ac:dyDescent="0.2">
      <c r="W2702" s="33"/>
      <c r="Y2702" s="33"/>
      <c r="Z2702" s="33"/>
    </row>
    <row r="2703" spans="23:26" x14ac:dyDescent="0.2">
      <c r="W2703" s="33"/>
      <c r="Y2703" s="33"/>
      <c r="Z2703" s="33"/>
    </row>
    <row r="2704" spans="23:26" x14ac:dyDescent="0.2">
      <c r="W2704" s="33"/>
      <c r="Y2704" s="33"/>
      <c r="Z2704" s="33"/>
    </row>
    <row r="2705" spans="23:26" x14ac:dyDescent="0.2">
      <c r="W2705" s="33"/>
      <c r="Y2705" s="33"/>
      <c r="Z2705" s="33"/>
    </row>
    <row r="2706" spans="23:26" x14ac:dyDescent="0.2">
      <c r="W2706" s="33"/>
      <c r="Y2706" s="33"/>
      <c r="Z2706" s="33"/>
    </row>
    <row r="2707" spans="23:26" x14ac:dyDescent="0.2">
      <c r="W2707" s="33"/>
      <c r="Y2707" s="33"/>
      <c r="Z2707" s="33"/>
    </row>
    <row r="2708" spans="23:26" x14ac:dyDescent="0.2">
      <c r="W2708" s="33"/>
      <c r="Y2708" s="33"/>
      <c r="Z2708" s="33"/>
    </row>
    <row r="2709" spans="23:26" x14ac:dyDescent="0.2">
      <c r="W2709" s="33"/>
      <c r="Y2709" s="33"/>
      <c r="Z2709" s="33"/>
    </row>
    <row r="2710" spans="23:26" x14ac:dyDescent="0.2">
      <c r="W2710" s="33"/>
      <c r="Y2710" s="33"/>
      <c r="Z2710" s="33"/>
    </row>
    <row r="2711" spans="23:26" x14ac:dyDescent="0.2">
      <c r="W2711" s="33"/>
      <c r="Y2711" s="33"/>
      <c r="Z2711" s="33"/>
    </row>
    <row r="2712" spans="23:26" x14ac:dyDescent="0.2">
      <c r="W2712" s="33"/>
      <c r="Y2712" s="33"/>
      <c r="Z2712" s="33"/>
    </row>
    <row r="2713" spans="23:26" x14ac:dyDescent="0.2">
      <c r="W2713" s="33"/>
      <c r="Y2713" s="33"/>
      <c r="Z2713" s="33"/>
    </row>
    <row r="2714" spans="23:26" x14ac:dyDescent="0.2">
      <c r="W2714" s="33"/>
      <c r="Y2714" s="33"/>
      <c r="Z2714" s="33"/>
    </row>
    <row r="2715" spans="23:26" x14ac:dyDescent="0.2">
      <c r="W2715" s="33"/>
      <c r="Y2715" s="33"/>
      <c r="Z2715" s="33"/>
    </row>
    <row r="2716" spans="23:26" x14ac:dyDescent="0.2">
      <c r="W2716" s="33"/>
      <c r="Y2716" s="33"/>
      <c r="Z2716" s="33"/>
    </row>
    <row r="2717" spans="23:26" x14ac:dyDescent="0.2">
      <c r="W2717" s="33"/>
      <c r="Y2717" s="33"/>
      <c r="Z2717" s="33"/>
    </row>
    <row r="2718" spans="23:26" x14ac:dyDescent="0.2">
      <c r="W2718" s="33"/>
      <c r="Y2718" s="33"/>
      <c r="Z2718" s="33"/>
    </row>
    <row r="2719" spans="23:26" x14ac:dyDescent="0.2">
      <c r="W2719" s="33"/>
      <c r="Y2719" s="33"/>
      <c r="Z2719" s="33"/>
    </row>
    <row r="2720" spans="23:26" x14ac:dyDescent="0.2">
      <c r="W2720" s="33"/>
      <c r="Y2720" s="33"/>
      <c r="Z2720" s="33"/>
    </row>
    <row r="2721" spans="23:26" x14ac:dyDescent="0.2">
      <c r="W2721" s="33"/>
      <c r="Y2721" s="33"/>
      <c r="Z2721" s="33"/>
    </row>
    <row r="2722" spans="23:26" x14ac:dyDescent="0.2">
      <c r="W2722" s="33"/>
      <c r="Y2722" s="33"/>
      <c r="Z2722" s="33"/>
    </row>
    <row r="2723" spans="23:26" x14ac:dyDescent="0.2">
      <c r="W2723" s="33"/>
      <c r="Y2723" s="33"/>
      <c r="Z2723" s="33"/>
    </row>
    <row r="2724" spans="23:26" x14ac:dyDescent="0.2">
      <c r="W2724" s="33"/>
      <c r="Y2724" s="33"/>
      <c r="Z2724" s="33"/>
    </row>
    <row r="2725" spans="23:26" x14ac:dyDescent="0.2">
      <c r="W2725" s="33"/>
      <c r="Y2725" s="33"/>
      <c r="Z2725" s="33"/>
    </row>
    <row r="2726" spans="23:26" x14ac:dyDescent="0.2">
      <c r="W2726" s="33"/>
      <c r="Y2726" s="33"/>
      <c r="Z2726" s="33"/>
    </row>
    <row r="2727" spans="23:26" x14ac:dyDescent="0.2">
      <c r="W2727" s="33"/>
      <c r="Y2727" s="33"/>
      <c r="Z2727" s="33"/>
    </row>
    <row r="2728" spans="23:26" x14ac:dyDescent="0.2">
      <c r="W2728" s="33"/>
      <c r="Y2728" s="33"/>
      <c r="Z2728" s="33"/>
    </row>
    <row r="2729" spans="23:26" x14ac:dyDescent="0.2">
      <c r="W2729" s="33"/>
      <c r="Y2729" s="33"/>
      <c r="Z2729" s="33"/>
    </row>
    <row r="2730" spans="23:26" x14ac:dyDescent="0.2">
      <c r="W2730" s="33"/>
      <c r="Y2730" s="33"/>
      <c r="Z2730" s="33"/>
    </row>
    <row r="2731" spans="23:26" x14ac:dyDescent="0.2">
      <c r="W2731" s="33"/>
      <c r="Y2731" s="33"/>
      <c r="Z2731" s="33"/>
    </row>
    <row r="2732" spans="23:26" x14ac:dyDescent="0.2">
      <c r="W2732" s="33"/>
      <c r="Y2732" s="33"/>
      <c r="Z2732" s="33"/>
    </row>
    <row r="2733" spans="23:26" x14ac:dyDescent="0.2">
      <c r="W2733" s="33"/>
      <c r="Y2733" s="33"/>
      <c r="Z2733" s="33"/>
    </row>
    <row r="2734" spans="23:26" x14ac:dyDescent="0.2">
      <c r="W2734" s="33"/>
      <c r="Y2734" s="33"/>
      <c r="Z2734" s="33"/>
    </row>
    <row r="2735" spans="23:26" x14ac:dyDescent="0.2">
      <c r="W2735" s="33"/>
      <c r="Y2735" s="33"/>
      <c r="Z2735" s="33"/>
    </row>
    <row r="2736" spans="23:26" x14ac:dyDescent="0.2">
      <c r="W2736" s="33"/>
      <c r="Y2736" s="33"/>
      <c r="Z2736" s="33"/>
    </row>
    <row r="2737" spans="23:26" x14ac:dyDescent="0.2">
      <c r="W2737" s="33"/>
      <c r="Y2737" s="33"/>
      <c r="Z2737" s="33"/>
    </row>
    <row r="2738" spans="23:26" x14ac:dyDescent="0.2">
      <c r="W2738" s="33"/>
      <c r="Y2738" s="33"/>
      <c r="Z2738" s="33"/>
    </row>
    <row r="2739" spans="23:26" x14ac:dyDescent="0.2">
      <c r="W2739" s="33"/>
      <c r="Y2739" s="33"/>
      <c r="Z2739" s="33"/>
    </row>
    <row r="2740" spans="23:26" x14ac:dyDescent="0.2">
      <c r="W2740" s="33"/>
      <c r="Y2740" s="33"/>
      <c r="Z2740" s="33"/>
    </row>
    <row r="2741" spans="23:26" x14ac:dyDescent="0.2">
      <c r="W2741" s="33"/>
      <c r="Y2741" s="33"/>
      <c r="Z2741" s="33"/>
    </row>
    <row r="2742" spans="23:26" x14ac:dyDescent="0.2">
      <c r="W2742" s="33"/>
      <c r="Y2742" s="33"/>
      <c r="Z2742" s="33"/>
    </row>
    <row r="2743" spans="23:26" x14ac:dyDescent="0.2">
      <c r="W2743" s="33"/>
      <c r="Y2743" s="33"/>
      <c r="Z2743" s="33"/>
    </row>
    <row r="2744" spans="23:26" x14ac:dyDescent="0.2">
      <c r="W2744" s="33"/>
      <c r="Y2744" s="33"/>
      <c r="Z2744" s="33"/>
    </row>
    <row r="2745" spans="23:26" x14ac:dyDescent="0.2">
      <c r="W2745" s="33"/>
      <c r="Y2745" s="33"/>
      <c r="Z2745" s="33"/>
    </row>
    <row r="2746" spans="23:26" x14ac:dyDescent="0.2">
      <c r="W2746" s="33"/>
      <c r="Y2746" s="33"/>
      <c r="Z2746" s="33"/>
    </row>
    <row r="2747" spans="23:26" x14ac:dyDescent="0.2">
      <c r="W2747" s="33"/>
      <c r="Y2747" s="33"/>
      <c r="Z2747" s="33"/>
    </row>
    <row r="2748" spans="23:26" x14ac:dyDescent="0.2">
      <c r="W2748" s="33"/>
      <c r="Y2748" s="33"/>
      <c r="Z2748" s="33"/>
    </row>
    <row r="2749" spans="23:26" x14ac:dyDescent="0.2">
      <c r="W2749" s="33"/>
      <c r="Y2749" s="33"/>
      <c r="Z2749" s="33"/>
    </row>
    <row r="2750" spans="23:26" x14ac:dyDescent="0.2">
      <c r="W2750" s="33"/>
      <c r="Y2750" s="33"/>
      <c r="Z2750" s="33"/>
    </row>
    <row r="2751" spans="23:26" x14ac:dyDescent="0.2">
      <c r="W2751" s="33"/>
      <c r="Y2751" s="33"/>
      <c r="Z2751" s="33"/>
    </row>
    <row r="2752" spans="23:26" x14ac:dyDescent="0.2">
      <c r="W2752" s="33"/>
      <c r="Y2752" s="33"/>
      <c r="Z2752" s="33"/>
    </row>
    <row r="2753" spans="23:26" x14ac:dyDescent="0.2">
      <c r="W2753" s="33"/>
      <c r="Y2753" s="33"/>
      <c r="Z2753" s="33"/>
    </row>
    <row r="2754" spans="23:26" x14ac:dyDescent="0.2">
      <c r="W2754" s="33"/>
      <c r="Y2754" s="33"/>
      <c r="Z2754" s="33"/>
    </row>
    <row r="2755" spans="23:26" x14ac:dyDescent="0.2">
      <c r="W2755" s="33"/>
      <c r="Y2755" s="33"/>
      <c r="Z2755" s="33"/>
    </row>
    <row r="2756" spans="23:26" x14ac:dyDescent="0.2">
      <c r="W2756" s="33"/>
      <c r="Y2756" s="33"/>
      <c r="Z2756" s="33"/>
    </row>
    <row r="2757" spans="23:26" x14ac:dyDescent="0.2">
      <c r="W2757" s="33"/>
      <c r="Y2757" s="33"/>
      <c r="Z2757" s="33"/>
    </row>
    <row r="2758" spans="23:26" x14ac:dyDescent="0.2">
      <c r="W2758" s="33"/>
      <c r="Y2758" s="33"/>
      <c r="Z2758" s="33"/>
    </row>
    <row r="2759" spans="23:26" x14ac:dyDescent="0.2">
      <c r="W2759" s="33"/>
      <c r="Y2759" s="33"/>
      <c r="Z2759" s="33"/>
    </row>
    <row r="2760" spans="23:26" x14ac:dyDescent="0.2">
      <c r="W2760" s="33"/>
      <c r="Y2760" s="33"/>
      <c r="Z2760" s="33"/>
    </row>
    <row r="2761" spans="23:26" x14ac:dyDescent="0.2">
      <c r="W2761" s="33"/>
      <c r="Y2761" s="33"/>
      <c r="Z2761" s="33"/>
    </row>
    <row r="2762" spans="23:26" x14ac:dyDescent="0.2">
      <c r="W2762" s="33"/>
      <c r="Y2762" s="33"/>
      <c r="Z2762" s="33"/>
    </row>
    <row r="2763" spans="23:26" x14ac:dyDescent="0.2">
      <c r="W2763" s="33"/>
      <c r="Y2763" s="33"/>
      <c r="Z2763" s="33"/>
    </row>
    <row r="2764" spans="23:26" x14ac:dyDescent="0.2">
      <c r="W2764" s="33"/>
      <c r="Y2764" s="33"/>
      <c r="Z2764" s="33"/>
    </row>
    <row r="2765" spans="23:26" x14ac:dyDescent="0.2">
      <c r="W2765" s="33"/>
      <c r="Y2765" s="33"/>
      <c r="Z2765" s="33"/>
    </row>
    <row r="2766" spans="23:26" x14ac:dyDescent="0.2">
      <c r="W2766" s="33"/>
      <c r="Y2766" s="33"/>
      <c r="Z2766" s="33"/>
    </row>
    <row r="2767" spans="23:26" x14ac:dyDescent="0.2">
      <c r="W2767" s="33"/>
      <c r="Y2767" s="33"/>
      <c r="Z2767" s="33"/>
    </row>
    <row r="2768" spans="23:26" x14ac:dyDescent="0.2">
      <c r="W2768" s="33"/>
      <c r="Y2768" s="33"/>
      <c r="Z2768" s="33"/>
    </row>
    <row r="2769" spans="23:26" x14ac:dyDescent="0.2">
      <c r="W2769" s="33"/>
      <c r="Y2769" s="33"/>
      <c r="Z2769" s="33"/>
    </row>
    <row r="2770" spans="23:26" x14ac:dyDescent="0.2">
      <c r="W2770" s="33"/>
      <c r="Y2770" s="33"/>
      <c r="Z2770" s="33"/>
    </row>
    <row r="2771" spans="23:26" x14ac:dyDescent="0.2">
      <c r="W2771" s="33"/>
      <c r="Y2771" s="33"/>
      <c r="Z2771" s="33"/>
    </row>
    <row r="2772" spans="23:26" x14ac:dyDescent="0.2">
      <c r="W2772" s="33"/>
      <c r="Y2772" s="33"/>
      <c r="Z2772" s="33"/>
    </row>
    <row r="2773" spans="23:26" x14ac:dyDescent="0.2">
      <c r="W2773" s="33"/>
      <c r="Y2773" s="33"/>
      <c r="Z2773" s="33"/>
    </row>
    <row r="2774" spans="23:26" x14ac:dyDescent="0.2">
      <c r="W2774" s="33"/>
      <c r="Y2774" s="33"/>
      <c r="Z2774" s="33"/>
    </row>
    <row r="2775" spans="23:26" x14ac:dyDescent="0.2">
      <c r="W2775" s="33"/>
      <c r="Y2775" s="33"/>
      <c r="Z2775" s="33"/>
    </row>
    <row r="2776" spans="23:26" x14ac:dyDescent="0.2">
      <c r="W2776" s="33"/>
      <c r="Y2776" s="33"/>
      <c r="Z2776" s="33"/>
    </row>
    <row r="2777" spans="23:26" x14ac:dyDescent="0.2">
      <c r="W2777" s="33"/>
      <c r="Y2777" s="33"/>
      <c r="Z2777" s="33"/>
    </row>
    <row r="2778" spans="23:26" x14ac:dyDescent="0.2">
      <c r="W2778" s="33"/>
      <c r="Y2778" s="33"/>
      <c r="Z2778" s="33"/>
    </row>
    <row r="2779" spans="23:26" x14ac:dyDescent="0.2">
      <c r="W2779" s="33"/>
      <c r="Y2779" s="33"/>
      <c r="Z2779" s="33"/>
    </row>
    <row r="2780" spans="23:26" x14ac:dyDescent="0.2">
      <c r="W2780" s="33"/>
      <c r="Y2780" s="33"/>
      <c r="Z2780" s="33"/>
    </row>
    <row r="2781" spans="23:26" x14ac:dyDescent="0.2">
      <c r="W2781" s="33"/>
      <c r="Y2781" s="33"/>
      <c r="Z2781" s="33"/>
    </row>
    <row r="2782" spans="23:26" x14ac:dyDescent="0.2">
      <c r="W2782" s="33"/>
      <c r="Y2782" s="33"/>
      <c r="Z2782" s="33"/>
    </row>
    <row r="2783" spans="23:26" x14ac:dyDescent="0.2">
      <c r="W2783" s="33"/>
      <c r="Y2783" s="33"/>
      <c r="Z2783" s="33"/>
    </row>
    <row r="2784" spans="23:26" x14ac:dyDescent="0.2">
      <c r="W2784" s="33"/>
      <c r="Y2784" s="33"/>
      <c r="Z2784" s="33"/>
    </row>
    <row r="2785" spans="23:26" x14ac:dyDescent="0.2">
      <c r="W2785" s="33"/>
      <c r="Y2785" s="33"/>
      <c r="Z2785" s="33"/>
    </row>
    <row r="2786" spans="23:26" x14ac:dyDescent="0.2">
      <c r="W2786" s="33"/>
      <c r="Y2786" s="33"/>
      <c r="Z2786" s="33"/>
    </row>
    <row r="2787" spans="23:26" x14ac:dyDescent="0.2">
      <c r="W2787" s="33"/>
      <c r="Y2787" s="33"/>
      <c r="Z2787" s="33"/>
    </row>
    <row r="2788" spans="23:26" x14ac:dyDescent="0.2">
      <c r="W2788" s="33"/>
      <c r="Y2788" s="33"/>
      <c r="Z2788" s="33"/>
    </row>
    <row r="2789" spans="23:26" x14ac:dyDescent="0.2">
      <c r="W2789" s="33"/>
      <c r="Y2789" s="33"/>
      <c r="Z2789" s="33"/>
    </row>
    <row r="2790" spans="23:26" x14ac:dyDescent="0.2">
      <c r="W2790" s="33"/>
      <c r="Y2790" s="33"/>
      <c r="Z2790" s="33"/>
    </row>
    <row r="2791" spans="23:26" x14ac:dyDescent="0.2">
      <c r="W2791" s="33"/>
      <c r="Y2791" s="33"/>
      <c r="Z2791" s="33"/>
    </row>
    <row r="2792" spans="23:26" x14ac:dyDescent="0.2">
      <c r="W2792" s="33"/>
      <c r="Y2792" s="33"/>
      <c r="Z2792" s="33"/>
    </row>
    <row r="2793" spans="23:26" x14ac:dyDescent="0.2">
      <c r="W2793" s="33"/>
      <c r="Y2793" s="33"/>
      <c r="Z2793" s="33"/>
    </row>
    <row r="2794" spans="23:26" x14ac:dyDescent="0.2">
      <c r="W2794" s="33"/>
      <c r="Y2794" s="33"/>
      <c r="Z2794" s="33"/>
    </row>
    <row r="2795" spans="23:26" x14ac:dyDescent="0.2">
      <c r="W2795" s="33"/>
      <c r="Y2795" s="33"/>
      <c r="Z2795" s="33"/>
    </row>
    <row r="2796" spans="23:26" x14ac:dyDescent="0.2">
      <c r="W2796" s="33"/>
      <c r="Y2796" s="33"/>
      <c r="Z2796" s="33"/>
    </row>
    <row r="2797" spans="23:26" x14ac:dyDescent="0.2">
      <c r="W2797" s="33"/>
      <c r="Y2797" s="33"/>
      <c r="Z2797" s="33"/>
    </row>
    <row r="2798" spans="23:26" x14ac:dyDescent="0.2">
      <c r="W2798" s="33"/>
      <c r="Y2798" s="33"/>
      <c r="Z2798" s="33"/>
    </row>
    <row r="2799" spans="23:26" x14ac:dyDescent="0.2">
      <c r="W2799" s="33"/>
      <c r="Y2799" s="33"/>
      <c r="Z2799" s="33"/>
    </row>
    <row r="2800" spans="23:26" x14ac:dyDescent="0.2">
      <c r="W2800" s="33"/>
      <c r="Y2800" s="33"/>
      <c r="Z2800" s="33"/>
    </row>
    <row r="2801" spans="23:26" x14ac:dyDescent="0.2">
      <c r="W2801" s="33"/>
      <c r="Y2801" s="33"/>
      <c r="Z2801" s="33"/>
    </row>
    <row r="2802" spans="23:26" x14ac:dyDescent="0.2">
      <c r="W2802" s="33"/>
      <c r="Y2802" s="33"/>
      <c r="Z2802" s="33"/>
    </row>
    <row r="2803" spans="23:26" x14ac:dyDescent="0.2">
      <c r="W2803" s="33"/>
      <c r="Y2803" s="33"/>
      <c r="Z2803" s="33"/>
    </row>
    <row r="2804" spans="23:26" x14ac:dyDescent="0.2">
      <c r="W2804" s="33"/>
      <c r="Y2804" s="33"/>
      <c r="Z2804" s="33"/>
    </row>
    <row r="2805" spans="23:26" x14ac:dyDescent="0.2">
      <c r="W2805" s="33"/>
      <c r="Y2805" s="33"/>
      <c r="Z2805" s="33"/>
    </row>
    <row r="2806" spans="23:26" x14ac:dyDescent="0.2">
      <c r="W2806" s="33"/>
      <c r="Y2806" s="33"/>
      <c r="Z2806" s="33"/>
    </row>
    <row r="2807" spans="23:26" x14ac:dyDescent="0.2">
      <c r="W2807" s="33"/>
      <c r="Y2807" s="33"/>
      <c r="Z2807" s="33"/>
    </row>
    <row r="2808" spans="23:26" x14ac:dyDescent="0.2">
      <c r="W2808" s="33"/>
      <c r="Y2808" s="33"/>
      <c r="Z2808" s="33"/>
    </row>
    <row r="2809" spans="23:26" x14ac:dyDescent="0.2">
      <c r="W2809" s="33"/>
      <c r="Y2809" s="33"/>
      <c r="Z2809" s="33"/>
    </row>
    <row r="2810" spans="23:26" x14ac:dyDescent="0.2">
      <c r="W2810" s="33"/>
      <c r="Y2810" s="33"/>
      <c r="Z2810" s="33"/>
    </row>
    <row r="2811" spans="23:26" x14ac:dyDescent="0.2">
      <c r="W2811" s="33"/>
      <c r="Y2811" s="33"/>
      <c r="Z2811" s="33"/>
    </row>
    <row r="2812" spans="23:26" x14ac:dyDescent="0.2">
      <c r="W2812" s="33"/>
      <c r="Y2812" s="33"/>
      <c r="Z2812" s="33"/>
    </row>
    <row r="2813" spans="23:26" x14ac:dyDescent="0.2">
      <c r="W2813" s="33"/>
      <c r="Y2813" s="33"/>
      <c r="Z2813" s="33"/>
    </row>
    <row r="2814" spans="23:26" x14ac:dyDescent="0.2">
      <c r="W2814" s="33"/>
      <c r="Y2814" s="33"/>
      <c r="Z2814" s="33"/>
    </row>
    <row r="2815" spans="23:26" x14ac:dyDescent="0.2">
      <c r="W2815" s="33"/>
      <c r="Y2815" s="33"/>
      <c r="Z2815" s="33"/>
    </row>
    <row r="2816" spans="23:26" x14ac:dyDescent="0.2">
      <c r="W2816" s="33"/>
      <c r="Y2816" s="33"/>
      <c r="Z2816" s="33"/>
    </row>
    <row r="2817" spans="23:26" x14ac:dyDescent="0.2">
      <c r="W2817" s="33"/>
      <c r="Y2817" s="33"/>
      <c r="Z2817" s="33"/>
    </row>
    <row r="2818" spans="23:26" x14ac:dyDescent="0.2">
      <c r="W2818" s="33"/>
      <c r="Y2818" s="33"/>
      <c r="Z2818" s="33"/>
    </row>
    <row r="2819" spans="23:26" x14ac:dyDescent="0.2">
      <c r="W2819" s="33"/>
      <c r="Y2819" s="33"/>
      <c r="Z2819" s="33"/>
    </row>
    <row r="2820" spans="23:26" x14ac:dyDescent="0.2">
      <c r="W2820" s="33"/>
      <c r="Y2820" s="33"/>
      <c r="Z2820" s="33"/>
    </row>
    <row r="2821" spans="23:26" x14ac:dyDescent="0.2">
      <c r="W2821" s="33"/>
      <c r="Y2821" s="33"/>
      <c r="Z2821" s="33"/>
    </row>
    <row r="2822" spans="23:26" x14ac:dyDescent="0.2">
      <c r="W2822" s="33"/>
      <c r="Y2822" s="33"/>
      <c r="Z2822" s="33"/>
    </row>
    <row r="2823" spans="23:26" x14ac:dyDescent="0.2">
      <c r="W2823" s="33"/>
      <c r="Y2823" s="33"/>
      <c r="Z2823" s="33"/>
    </row>
    <row r="2824" spans="23:26" x14ac:dyDescent="0.2">
      <c r="W2824" s="33"/>
      <c r="Y2824" s="33"/>
      <c r="Z2824" s="33"/>
    </row>
    <row r="2825" spans="23:26" x14ac:dyDescent="0.2">
      <c r="W2825" s="33"/>
      <c r="Y2825" s="33"/>
      <c r="Z2825" s="33"/>
    </row>
    <row r="2826" spans="23:26" x14ac:dyDescent="0.2">
      <c r="W2826" s="33"/>
      <c r="Y2826" s="33"/>
      <c r="Z2826" s="33"/>
    </row>
    <row r="2827" spans="23:26" x14ac:dyDescent="0.2">
      <c r="W2827" s="33"/>
      <c r="Y2827" s="33"/>
      <c r="Z2827" s="33"/>
    </row>
    <row r="2828" spans="23:26" x14ac:dyDescent="0.2">
      <c r="W2828" s="33"/>
      <c r="Y2828" s="33"/>
      <c r="Z2828" s="33"/>
    </row>
    <row r="2829" spans="23:26" x14ac:dyDescent="0.2">
      <c r="W2829" s="33"/>
      <c r="Y2829" s="33"/>
      <c r="Z2829" s="33"/>
    </row>
    <row r="2830" spans="23:26" x14ac:dyDescent="0.2">
      <c r="W2830" s="33"/>
      <c r="Y2830" s="33"/>
      <c r="Z2830" s="33"/>
    </row>
    <row r="2831" spans="23:26" x14ac:dyDescent="0.2">
      <c r="W2831" s="33"/>
      <c r="Y2831" s="33"/>
      <c r="Z2831" s="33"/>
    </row>
    <row r="2832" spans="23:26" x14ac:dyDescent="0.2">
      <c r="W2832" s="33"/>
      <c r="Y2832" s="33"/>
      <c r="Z2832" s="33"/>
    </row>
    <row r="2833" spans="23:26" x14ac:dyDescent="0.2">
      <c r="W2833" s="33"/>
      <c r="Y2833" s="33"/>
      <c r="Z2833" s="33"/>
    </row>
    <row r="2834" spans="23:26" x14ac:dyDescent="0.2">
      <c r="W2834" s="33"/>
      <c r="Y2834" s="33"/>
      <c r="Z2834" s="33"/>
    </row>
    <row r="2835" spans="23:26" x14ac:dyDescent="0.2">
      <c r="W2835" s="33"/>
      <c r="Y2835" s="33"/>
      <c r="Z2835" s="33"/>
    </row>
    <row r="2836" spans="23:26" x14ac:dyDescent="0.2">
      <c r="W2836" s="33"/>
      <c r="Y2836" s="33"/>
      <c r="Z2836" s="33"/>
    </row>
    <row r="2837" spans="23:26" x14ac:dyDescent="0.2">
      <c r="W2837" s="33"/>
      <c r="Y2837" s="33"/>
      <c r="Z2837" s="33"/>
    </row>
    <row r="2838" spans="23:26" x14ac:dyDescent="0.2">
      <c r="W2838" s="33"/>
      <c r="Y2838" s="33"/>
      <c r="Z2838" s="33"/>
    </row>
    <row r="2839" spans="23:26" x14ac:dyDescent="0.2">
      <c r="W2839" s="33"/>
      <c r="Y2839" s="33"/>
      <c r="Z2839" s="33"/>
    </row>
    <row r="2840" spans="23:26" x14ac:dyDescent="0.2">
      <c r="W2840" s="33"/>
      <c r="Y2840" s="33"/>
      <c r="Z2840" s="33"/>
    </row>
    <row r="2841" spans="23:26" x14ac:dyDescent="0.2">
      <c r="W2841" s="33"/>
      <c r="Y2841" s="33"/>
      <c r="Z2841" s="33"/>
    </row>
    <row r="2842" spans="23:26" x14ac:dyDescent="0.2">
      <c r="W2842" s="33"/>
      <c r="Y2842" s="33"/>
      <c r="Z2842" s="33"/>
    </row>
    <row r="2843" spans="23:26" x14ac:dyDescent="0.2">
      <c r="W2843" s="33"/>
      <c r="Y2843" s="33"/>
      <c r="Z2843" s="33"/>
    </row>
    <row r="2844" spans="23:26" x14ac:dyDescent="0.2">
      <c r="W2844" s="33"/>
      <c r="Y2844" s="33"/>
      <c r="Z2844" s="33"/>
    </row>
    <row r="2845" spans="23:26" x14ac:dyDescent="0.2">
      <c r="W2845" s="33"/>
      <c r="Y2845" s="33"/>
      <c r="Z2845" s="33"/>
    </row>
    <row r="2846" spans="23:26" x14ac:dyDescent="0.2">
      <c r="W2846" s="33"/>
      <c r="Y2846" s="33"/>
      <c r="Z2846" s="33"/>
    </row>
    <row r="2847" spans="23:26" x14ac:dyDescent="0.2">
      <c r="W2847" s="33"/>
      <c r="Y2847" s="33"/>
      <c r="Z2847" s="33"/>
    </row>
    <row r="2848" spans="23:26" x14ac:dyDescent="0.2">
      <c r="W2848" s="33"/>
      <c r="Y2848" s="33"/>
      <c r="Z2848" s="33"/>
    </row>
    <row r="2849" spans="23:26" x14ac:dyDescent="0.2">
      <c r="W2849" s="33"/>
      <c r="Y2849" s="33"/>
      <c r="Z2849" s="33"/>
    </row>
    <row r="2850" spans="23:26" x14ac:dyDescent="0.2">
      <c r="W2850" s="33"/>
      <c r="Y2850" s="33"/>
      <c r="Z2850" s="33"/>
    </row>
    <row r="2851" spans="23:26" x14ac:dyDescent="0.2">
      <c r="W2851" s="33"/>
      <c r="Y2851" s="33"/>
      <c r="Z2851" s="33"/>
    </row>
    <row r="2852" spans="23:26" x14ac:dyDescent="0.2">
      <c r="W2852" s="33"/>
      <c r="Y2852" s="33"/>
      <c r="Z2852" s="33"/>
    </row>
    <row r="2853" spans="23:26" x14ac:dyDescent="0.2">
      <c r="W2853" s="33"/>
      <c r="Y2853" s="33"/>
      <c r="Z2853" s="33"/>
    </row>
    <row r="2854" spans="23:26" x14ac:dyDescent="0.2">
      <c r="W2854" s="33"/>
      <c r="Y2854" s="33"/>
      <c r="Z2854" s="33"/>
    </row>
    <row r="2855" spans="23:26" x14ac:dyDescent="0.2">
      <c r="W2855" s="33"/>
      <c r="Y2855" s="33"/>
      <c r="Z2855" s="33"/>
    </row>
    <row r="2856" spans="23:26" x14ac:dyDescent="0.2">
      <c r="W2856" s="33"/>
      <c r="Y2856" s="33"/>
      <c r="Z2856" s="33"/>
    </row>
    <row r="2857" spans="23:26" x14ac:dyDescent="0.2">
      <c r="W2857" s="33"/>
      <c r="Y2857" s="33"/>
      <c r="Z2857" s="33"/>
    </row>
    <row r="2858" spans="23:26" x14ac:dyDescent="0.2">
      <c r="W2858" s="33"/>
      <c r="Y2858" s="33"/>
      <c r="Z2858" s="33"/>
    </row>
    <row r="2859" spans="23:26" x14ac:dyDescent="0.2">
      <c r="W2859" s="33"/>
      <c r="Y2859" s="33"/>
      <c r="Z2859" s="33"/>
    </row>
    <row r="2860" spans="23:26" x14ac:dyDescent="0.2">
      <c r="W2860" s="33"/>
      <c r="Y2860" s="33"/>
      <c r="Z2860" s="33"/>
    </row>
    <row r="2861" spans="23:26" x14ac:dyDescent="0.2">
      <c r="W2861" s="33"/>
      <c r="Y2861" s="33"/>
      <c r="Z2861" s="33"/>
    </row>
    <row r="2862" spans="23:26" x14ac:dyDescent="0.2">
      <c r="W2862" s="33"/>
      <c r="Y2862" s="33"/>
      <c r="Z2862" s="33"/>
    </row>
    <row r="2863" spans="23:26" x14ac:dyDescent="0.2">
      <c r="W2863" s="33"/>
      <c r="Y2863" s="33"/>
      <c r="Z2863" s="33"/>
    </row>
    <row r="2864" spans="23:26" x14ac:dyDescent="0.2">
      <c r="W2864" s="33"/>
      <c r="Y2864" s="33"/>
      <c r="Z2864" s="33"/>
    </row>
    <row r="2865" spans="23:26" x14ac:dyDescent="0.2">
      <c r="W2865" s="33"/>
      <c r="Y2865" s="33"/>
      <c r="Z2865" s="33"/>
    </row>
    <row r="2866" spans="23:26" x14ac:dyDescent="0.2">
      <c r="W2866" s="33"/>
      <c r="Y2866" s="33"/>
      <c r="Z2866" s="33"/>
    </row>
    <row r="2867" spans="23:26" x14ac:dyDescent="0.2">
      <c r="W2867" s="33"/>
      <c r="Y2867" s="33"/>
      <c r="Z2867" s="33"/>
    </row>
    <row r="2868" spans="23:26" x14ac:dyDescent="0.2">
      <c r="W2868" s="33"/>
      <c r="Y2868" s="33"/>
      <c r="Z2868" s="33"/>
    </row>
    <row r="2869" spans="23:26" x14ac:dyDescent="0.2">
      <c r="W2869" s="33"/>
      <c r="Y2869" s="33"/>
      <c r="Z2869" s="33"/>
    </row>
    <row r="2870" spans="23:26" x14ac:dyDescent="0.2">
      <c r="W2870" s="33"/>
      <c r="Y2870" s="33"/>
      <c r="Z2870" s="33"/>
    </row>
    <row r="2871" spans="23:26" x14ac:dyDescent="0.2">
      <c r="W2871" s="33"/>
      <c r="Y2871" s="33"/>
      <c r="Z2871" s="33"/>
    </row>
    <row r="2872" spans="23:26" x14ac:dyDescent="0.2">
      <c r="W2872" s="33"/>
      <c r="Y2872" s="33"/>
      <c r="Z2872" s="33"/>
    </row>
    <row r="2873" spans="23:26" x14ac:dyDescent="0.2">
      <c r="W2873" s="33"/>
      <c r="Y2873" s="33"/>
      <c r="Z2873" s="33"/>
    </row>
    <row r="2874" spans="23:26" x14ac:dyDescent="0.2">
      <c r="W2874" s="33"/>
      <c r="Y2874" s="33"/>
      <c r="Z2874" s="33"/>
    </row>
    <row r="2875" spans="23:26" x14ac:dyDescent="0.2">
      <c r="W2875" s="33"/>
      <c r="Y2875" s="33"/>
      <c r="Z2875" s="33"/>
    </row>
    <row r="2876" spans="23:26" x14ac:dyDescent="0.2">
      <c r="W2876" s="33"/>
      <c r="Y2876" s="33"/>
      <c r="Z2876" s="33"/>
    </row>
    <row r="2877" spans="23:26" x14ac:dyDescent="0.2">
      <c r="W2877" s="33"/>
      <c r="Y2877" s="33"/>
      <c r="Z2877" s="33"/>
    </row>
    <row r="2878" spans="23:26" x14ac:dyDescent="0.2">
      <c r="W2878" s="33"/>
      <c r="Y2878" s="33"/>
      <c r="Z2878" s="33"/>
    </row>
    <row r="2879" spans="23:26" x14ac:dyDescent="0.2">
      <c r="W2879" s="33"/>
      <c r="Y2879" s="33"/>
      <c r="Z2879" s="33"/>
    </row>
    <row r="2880" spans="23:26" x14ac:dyDescent="0.2">
      <c r="W2880" s="33"/>
      <c r="Y2880" s="33"/>
      <c r="Z2880" s="33"/>
    </row>
    <row r="2881" spans="23:26" x14ac:dyDescent="0.2">
      <c r="W2881" s="33"/>
      <c r="Y2881" s="33"/>
      <c r="Z2881" s="33"/>
    </row>
    <row r="2882" spans="23:26" x14ac:dyDescent="0.2">
      <c r="W2882" s="33"/>
      <c r="Y2882" s="33"/>
      <c r="Z2882" s="33"/>
    </row>
    <row r="2883" spans="23:26" x14ac:dyDescent="0.2">
      <c r="W2883" s="33"/>
      <c r="Y2883" s="33"/>
      <c r="Z2883" s="33"/>
    </row>
    <row r="2884" spans="23:26" x14ac:dyDescent="0.2">
      <c r="W2884" s="33"/>
      <c r="Y2884" s="33"/>
      <c r="Z2884" s="33"/>
    </row>
    <row r="2885" spans="23:26" x14ac:dyDescent="0.2">
      <c r="W2885" s="33"/>
      <c r="Y2885" s="33"/>
      <c r="Z2885" s="33"/>
    </row>
    <row r="2886" spans="23:26" x14ac:dyDescent="0.2">
      <c r="W2886" s="33"/>
      <c r="Y2886" s="33"/>
      <c r="Z2886" s="33"/>
    </row>
    <row r="2887" spans="23:26" x14ac:dyDescent="0.2">
      <c r="W2887" s="33"/>
      <c r="Y2887" s="33"/>
      <c r="Z2887" s="33"/>
    </row>
    <row r="2888" spans="23:26" x14ac:dyDescent="0.2">
      <c r="W2888" s="33"/>
      <c r="Y2888" s="33"/>
      <c r="Z2888" s="33"/>
    </row>
    <row r="2889" spans="23:26" x14ac:dyDescent="0.2">
      <c r="W2889" s="33"/>
      <c r="Y2889" s="33"/>
      <c r="Z2889" s="33"/>
    </row>
    <row r="2890" spans="23:26" x14ac:dyDescent="0.2">
      <c r="W2890" s="33"/>
      <c r="Y2890" s="33"/>
      <c r="Z2890" s="33"/>
    </row>
    <row r="2891" spans="23:26" x14ac:dyDescent="0.2">
      <c r="W2891" s="33"/>
      <c r="Y2891" s="33"/>
      <c r="Z2891" s="33"/>
    </row>
    <row r="2892" spans="23:26" x14ac:dyDescent="0.2">
      <c r="W2892" s="33"/>
      <c r="Y2892" s="33"/>
      <c r="Z2892" s="33"/>
    </row>
    <row r="2893" spans="23:26" x14ac:dyDescent="0.2">
      <c r="W2893" s="33"/>
      <c r="Y2893" s="33"/>
      <c r="Z2893" s="33"/>
    </row>
    <row r="2894" spans="23:26" x14ac:dyDescent="0.2">
      <c r="W2894" s="33"/>
      <c r="Y2894" s="33"/>
      <c r="Z2894" s="33"/>
    </row>
    <row r="2895" spans="23:26" x14ac:dyDescent="0.2">
      <c r="W2895" s="33"/>
      <c r="Y2895" s="33"/>
      <c r="Z2895" s="33"/>
    </row>
    <row r="2896" spans="23:26" x14ac:dyDescent="0.2">
      <c r="W2896" s="33"/>
      <c r="Y2896" s="33"/>
      <c r="Z2896" s="33"/>
    </row>
    <row r="2897" spans="23:26" x14ac:dyDescent="0.2">
      <c r="W2897" s="33"/>
      <c r="Y2897" s="33"/>
      <c r="Z2897" s="33"/>
    </row>
    <row r="2898" spans="23:26" x14ac:dyDescent="0.2">
      <c r="W2898" s="33"/>
      <c r="Y2898" s="33"/>
      <c r="Z2898" s="33"/>
    </row>
    <row r="2899" spans="23:26" x14ac:dyDescent="0.2">
      <c r="W2899" s="33"/>
      <c r="Y2899" s="33"/>
      <c r="Z2899" s="33"/>
    </row>
    <row r="2900" spans="23:26" x14ac:dyDescent="0.2">
      <c r="W2900" s="33"/>
      <c r="Y2900" s="33"/>
      <c r="Z2900" s="33"/>
    </row>
    <row r="2901" spans="23:26" x14ac:dyDescent="0.2">
      <c r="W2901" s="33"/>
      <c r="Y2901" s="33"/>
      <c r="Z2901" s="33"/>
    </row>
    <row r="2902" spans="23:26" x14ac:dyDescent="0.2">
      <c r="W2902" s="33"/>
      <c r="Y2902" s="33"/>
      <c r="Z2902" s="33"/>
    </row>
    <row r="2903" spans="23:26" x14ac:dyDescent="0.2">
      <c r="W2903" s="33"/>
      <c r="Y2903" s="33"/>
      <c r="Z2903" s="33"/>
    </row>
    <row r="2904" spans="23:26" x14ac:dyDescent="0.2">
      <c r="W2904" s="33"/>
      <c r="Y2904" s="33"/>
      <c r="Z2904" s="33"/>
    </row>
    <row r="2905" spans="23:26" x14ac:dyDescent="0.2">
      <c r="W2905" s="33"/>
      <c r="Y2905" s="33"/>
      <c r="Z2905" s="33"/>
    </row>
    <row r="2906" spans="23:26" x14ac:dyDescent="0.2">
      <c r="W2906" s="33"/>
      <c r="Y2906" s="33"/>
      <c r="Z2906" s="33"/>
    </row>
    <row r="2907" spans="23:26" x14ac:dyDescent="0.2">
      <c r="W2907" s="33"/>
      <c r="Y2907" s="33"/>
      <c r="Z2907" s="33"/>
    </row>
    <row r="2908" spans="23:26" x14ac:dyDescent="0.2">
      <c r="W2908" s="33"/>
      <c r="Y2908" s="33"/>
      <c r="Z2908" s="33"/>
    </row>
    <row r="2909" spans="23:26" x14ac:dyDescent="0.2">
      <c r="W2909" s="33"/>
      <c r="Y2909" s="33"/>
      <c r="Z2909" s="33"/>
    </row>
    <row r="2910" spans="23:26" x14ac:dyDescent="0.2">
      <c r="W2910" s="33"/>
      <c r="Y2910" s="33"/>
      <c r="Z2910" s="33"/>
    </row>
    <row r="2911" spans="23:26" x14ac:dyDescent="0.2">
      <c r="W2911" s="33"/>
      <c r="Y2911" s="33"/>
      <c r="Z2911" s="33"/>
    </row>
    <row r="2912" spans="23:26" x14ac:dyDescent="0.2">
      <c r="W2912" s="33"/>
      <c r="Y2912" s="33"/>
      <c r="Z2912" s="33"/>
    </row>
    <row r="2913" spans="23:26" x14ac:dyDescent="0.2">
      <c r="W2913" s="33"/>
      <c r="Y2913" s="33"/>
      <c r="Z2913" s="33"/>
    </row>
    <row r="2914" spans="23:26" x14ac:dyDescent="0.2">
      <c r="W2914" s="33"/>
      <c r="Y2914" s="33"/>
      <c r="Z2914" s="33"/>
    </row>
    <row r="2915" spans="23:26" x14ac:dyDescent="0.2">
      <c r="W2915" s="33"/>
      <c r="Y2915" s="33"/>
      <c r="Z2915" s="33"/>
    </row>
    <row r="2916" spans="23:26" x14ac:dyDescent="0.2">
      <c r="W2916" s="33"/>
      <c r="Y2916" s="33"/>
      <c r="Z2916" s="33"/>
    </row>
    <row r="2917" spans="23:26" x14ac:dyDescent="0.2">
      <c r="W2917" s="33"/>
      <c r="Y2917" s="33"/>
      <c r="Z2917" s="33"/>
    </row>
    <row r="2918" spans="23:26" x14ac:dyDescent="0.2">
      <c r="W2918" s="33"/>
      <c r="Y2918" s="33"/>
      <c r="Z2918" s="33"/>
    </row>
    <row r="2919" spans="23:26" x14ac:dyDescent="0.2">
      <c r="W2919" s="33"/>
      <c r="Y2919" s="33"/>
      <c r="Z2919" s="33"/>
    </row>
    <row r="2920" spans="23:26" x14ac:dyDescent="0.2">
      <c r="W2920" s="33"/>
      <c r="Y2920" s="33"/>
      <c r="Z2920" s="33"/>
    </row>
    <row r="2921" spans="23:26" x14ac:dyDescent="0.2">
      <c r="W2921" s="33"/>
      <c r="Y2921" s="33"/>
      <c r="Z2921" s="33"/>
    </row>
    <row r="2922" spans="23:26" x14ac:dyDescent="0.2">
      <c r="W2922" s="33"/>
      <c r="Y2922" s="33"/>
      <c r="Z2922" s="33"/>
    </row>
    <row r="2923" spans="23:26" x14ac:dyDescent="0.2">
      <c r="W2923" s="33"/>
      <c r="Y2923" s="33"/>
      <c r="Z2923" s="33"/>
    </row>
    <row r="2924" spans="23:26" x14ac:dyDescent="0.2">
      <c r="W2924" s="33"/>
      <c r="Y2924" s="33"/>
      <c r="Z2924" s="33"/>
    </row>
    <row r="2925" spans="23:26" x14ac:dyDescent="0.2">
      <c r="W2925" s="33"/>
      <c r="Y2925" s="33"/>
      <c r="Z2925" s="33"/>
    </row>
    <row r="2926" spans="23:26" x14ac:dyDescent="0.2">
      <c r="W2926" s="33"/>
      <c r="Y2926" s="33"/>
      <c r="Z2926" s="33"/>
    </row>
    <row r="2927" spans="23:26" x14ac:dyDescent="0.2">
      <c r="W2927" s="33"/>
      <c r="Y2927" s="33"/>
      <c r="Z2927" s="33"/>
    </row>
    <row r="2928" spans="23:26" x14ac:dyDescent="0.2">
      <c r="W2928" s="33"/>
      <c r="Y2928" s="33"/>
      <c r="Z2928" s="33"/>
    </row>
    <row r="2929" spans="23:26" x14ac:dyDescent="0.2">
      <c r="W2929" s="33"/>
      <c r="Y2929" s="33"/>
      <c r="Z2929" s="33"/>
    </row>
    <row r="2930" spans="23:26" x14ac:dyDescent="0.2">
      <c r="W2930" s="33"/>
      <c r="Y2930" s="33"/>
      <c r="Z2930" s="33"/>
    </row>
    <row r="2931" spans="23:26" x14ac:dyDescent="0.2">
      <c r="W2931" s="33"/>
      <c r="Y2931" s="33"/>
      <c r="Z2931" s="33"/>
    </row>
    <row r="2932" spans="23:26" x14ac:dyDescent="0.2">
      <c r="W2932" s="33"/>
      <c r="Y2932" s="33"/>
      <c r="Z2932" s="33"/>
    </row>
    <row r="2933" spans="23:26" x14ac:dyDescent="0.2">
      <c r="W2933" s="33"/>
      <c r="Y2933" s="33"/>
      <c r="Z2933" s="33"/>
    </row>
    <row r="2934" spans="23:26" x14ac:dyDescent="0.2">
      <c r="W2934" s="33"/>
      <c r="Y2934" s="33"/>
      <c r="Z2934" s="33"/>
    </row>
    <row r="2935" spans="23:26" x14ac:dyDescent="0.2">
      <c r="W2935" s="33"/>
      <c r="Y2935" s="33"/>
      <c r="Z2935" s="33"/>
    </row>
    <row r="2936" spans="23:26" x14ac:dyDescent="0.2">
      <c r="W2936" s="33"/>
      <c r="Y2936" s="33"/>
      <c r="Z2936" s="33"/>
    </row>
    <row r="2937" spans="23:26" x14ac:dyDescent="0.2">
      <c r="W2937" s="33"/>
      <c r="Y2937" s="33"/>
      <c r="Z2937" s="33"/>
    </row>
    <row r="2938" spans="23:26" x14ac:dyDescent="0.2">
      <c r="W2938" s="33"/>
      <c r="Y2938" s="33"/>
      <c r="Z2938" s="33"/>
    </row>
    <row r="2939" spans="23:26" x14ac:dyDescent="0.2">
      <c r="W2939" s="33"/>
      <c r="Y2939" s="33"/>
      <c r="Z2939" s="33"/>
    </row>
    <row r="2940" spans="23:26" x14ac:dyDescent="0.2">
      <c r="W2940" s="33"/>
      <c r="Y2940" s="33"/>
      <c r="Z2940" s="33"/>
    </row>
    <row r="2941" spans="23:26" x14ac:dyDescent="0.2">
      <c r="W2941" s="33"/>
      <c r="Y2941" s="33"/>
      <c r="Z2941" s="33"/>
    </row>
    <row r="2942" spans="23:26" x14ac:dyDescent="0.2">
      <c r="W2942" s="33"/>
      <c r="Y2942" s="33"/>
      <c r="Z2942" s="33"/>
    </row>
    <row r="2943" spans="23:26" x14ac:dyDescent="0.2">
      <c r="W2943" s="33"/>
      <c r="Y2943" s="33"/>
      <c r="Z2943" s="33"/>
    </row>
    <row r="2944" spans="23:26" x14ac:dyDescent="0.2">
      <c r="W2944" s="33"/>
      <c r="Y2944" s="33"/>
      <c r="Z2944" s="33"/>
    </row>
    <row r="2945" spans="23:26" x14ac:dyDescent="0.2">
      <c r="W2945" s="33"/>
      <c r="Y2945" s="33"/>
      <c r="Z2945" s="33"/>
    </row>
    <row r="2946" spans="23:26" x14ac:dyDescent="0.2">
      <c r="W2946" s="33"/>
      <c r="Y2946" s="33"/>
      <c r="Z2946" s="33"/>
    </row>
    <row r="2947" spans="23:26" x14ac:dyDescent="0.2">
      <c r="W2947" s="33"/>
      <c r="Y2947" s="33"/>
      <c r="Z2947" s="33"/>
    </row>
    <row r="2948" spans="23:26" x14ac:dyDescent="0.2">
      <c r="W2948" s="33"/>
      <c r="Y2948" s="33"/>
      <c r="Z2948" s="33"/>
    </row>
    <row r="2949" spans="23:26" x14ac:dyDescent="0.2">
      <c r="W2949" s="33"/>
      <c r="Y2949" s="33"/>
      <c r="Z2949" s="33"/>
    </row>
    <row r="2950" spans="23:26" x14ac:dyDescent="0.2">
      <c r="W2950" s="33"/>
      <c r="Y2950" s="33"/>
      <c r="Z2950" s="33"/>
    </row>
    <row r="2951" spans="23:26" x14ac:dyDescent="0.2">
      <c r="W2951" s="33"/>
      <c r="Y2951" s="33"/>
      <c r="Z2951" s="33"/>
    </row>
    <row r="2952" spans="23:26" x14ac:dyDescent="0.2">
      <c r="W2952" s="33"/>
      <c r="Y2952" s="33"/>
      <c r="Z2952" s="33"/>
    </row>
    <row r="2953" spans="23:26" x14ac:dyDescent="0.2">
      <c r="W2953" s="33"/>
      <c r="Y2953" s="33"/>
      <c r="Z2953" s="33"/>
    </row>
    <row r="2954" spans="23:26" x14ac:dyDescent="0.2">
      <c r="W2954" s="33"/>
      <c r="Y2954" s="33"/>
      <c r="Z2954" s="33"/>
    </row>
    <row r="2955" spans="23:26" x14ac:dyDescent="0.2">
      <c r="W2955" s="33"/>
      <c r="Y2955" s="33"/>
      <c r="Z2955" s="33"/>
    </row>
    <row r="2956" spans="23:26" x14ac:dyDescent="0.2">
      <c r="W2956" s="33"/>
      <c r="Y2956" s="33"/>
      <c r="Z2956" s="33"/>
    </row>
    <row r="2957" spans="23:26" x14ac:dyDescent="0.2">
      <c r="W2957" s="33"/>
      <c r="Y2957" s="33"/>
      <c r="Z2957" s="33"/>
    </row>
    <row r="2958" spans="23:26" x14ac:dyDescent="0.2">
      <c r="W2958" s="33"/>
      <c r="Y2958" s="33"/>
      <c r="Z2958" s="33"/>
    </row>
    <row r="2959" spans="23:26" x14ac:dyDescent="0.2">
      <c r="W2959" s="33"/>
      <c r="Y2959" s="33"/>
      <c r="Z2959" s="33"/>
    </row>
    <row r="2960" spans="23:26" x14ac:dyDescent="0.2">
      <c r="W2960" s="33"/>
      <c r="Y2960" s="33"/>
      <c r="Z2960" s="33"/>
    </row>
    <row r="2961" spans="23:26" x14ac:dyDescent="0.2">
      <c r="W2961" s="33"/>
      <c r="Y2961" s="33"/>
      <c r="Z2961" s="33"/>
    </row>
    <row r="2962" spans="23:26" x14ac:dyDescent="0.2">
      <c r="W2962" s="33"/>
      <c r="Y2962" s="33"/>
      <c r="Z2962" s="33"/>
    </row>
    <row r="2963" spans="23:26" x14ac:dyDescent="0.2">
      <c r="W2963" s="33"/>
      <c r="Y2963" s="33"/>
      <c r="Z2963" s="33"/>
    </row>
    <row r="2964" spans="23:26" x14ac:dyDescent="0.2">
      <c r="W2964" s="33"/>
      <c r="Y2964" s="33"/>
      <c r="Z2964" s="33"/>
    </row>
    <row r="2965" spans="23:26" x14ac:dyDescent="0.2">
      <c r="W2965" s="33"/>
      <c r="Y2965" s="33"/>
      <c r="Z2965" s="33"/>
    </row>
    <row r="2966" spans="23:26" x14ac:dyDescent="0.2">
      <c r="W2966" s="33"/>
      <c r="Y2966" s="33"/>
      <c r="Z2966" s="33"/>
    </row>
    <row r="2967" spans="23:26" x14ac:dyDescent="0.2">
      <c r="W2967" s="33"/>
      <c r="Y2967" s="33"/>
      <c r="Z2967" s="33"/>
    </row>
    <row r="2968" spans="23:26" x14ac:dyDescent="0.2">
      <c r="W2968" s="33"/>
      <c r="Y2968" s="33"/>
      <c r="Z2968" s="33"/>
    </row>
    <row r="2969" spans="23:26" x14ac:dyDescent="0.2">
      <c r="W2969" s="33"/>
      <c r="Y2969" s="33"/>
      <c r="Z2969" s="33"/>
    </row>
    <row r="2970" spans="23:26" x14ac:dyDescent="0.2">
      <c r="W2970" s="33"/>
      <c r="Y2970" s="33"/>
      <c r="Z2970" s="33"/>
    </row>
    <row r="2971" spans="23:26" x14ac:dyDescent="0.2">
      <c r="W2971" s="33"/>
      <c r="Y2971" s="33"/>
      <c r="Z2971" s="33"/>
    </row>
    <row r="2972" spans="23:26" x14ac:dyDescent="0.2">
      <c r="W2972" s="33"/>
      <c r="Y2972" s="33"/>
      <c r="Z2972" s="33"/>
    </row>
    <row r="2973" spans="23:26" x14ac:dyDescent="0.2">
      <c r="W2973" s="33"/>
      <c r="Y2973" s="33"/>
      <c r="Z2973" s="33"/>
    </row>
    <row r="2974" spans="23:26" x14ac:dyDescent="0.2">
      <c r="W2974" s="33"/>
      <c r="Y2974" s="33"/>
      <c r="Z2974" s="33"/>
    </row>
    <row r="2975" spans="23:26" x14ac:dyDescent="0.2">
      <c r="W2975" s="33"/>
      <c r="Y2975" s="33"/>
      <c r="Z2975" s="33"/>
    </row>
    <row r="2976" spans="23:26" x14ac:dyDescent="0.2">
      <c r="W2976" s="33"/>
      <c r="Y2976" s="33"/>
      <c r="Z2976" s="33"/>
    </row>
    <row r="2977" spans="23:26" x14ac:dyDescent="0.2">
      <c r="W2977" s="33"/>
      <c r="Y2977" s="33"/>
      <c r="Z2977" s="33"/>
    </row>
    <row r="2978" spans="23:26" x14ac:dyDescent="0.2">
      <c r="W2978" s="33"/>
      <c r="Y2978" s="33"/>
      <c r="Z2978" s="33"/>
    </row>
    <row r="2979" spans="23:26" x14ac:dyDescent="0.2">
      <c r="W2979" s="33"/>
      <c r="Y2979" s="33"/>
      <c r="Z2979" s="33"/>
    </row>
    <row r="2980" spans="23:26" x14ac:dyDescent="0.2">
      <c r="W2980" s="33"/>
      <c r="Y2980" s="33"/>
      <c r="Z2980" s="33"/>
    </row>
    <row r="2981" spans="23:26" x14ac:dyDescent="0.2">
      <c r="W2981" s="33"/>
      <c r="Y2981" s="33"/>
      <c r="Z2981" s="33"/>
    </row>
    <row r="2982" spans="23:26" x14ac:dyDescent="0.2">
      <c r="W2982" s="33"/>
      <c r="Y2982" s="33"/>
      <c r="Z2982" s="33"/>
    </row>
    <row r="2983" spans="23:26" x14ac:dyDescent="0.2">
      <c r="W2983" s="33"/>
      <c r="Y2983" s="33"/>
      <c r="Z2983" s="33"/>
    </row>
    <row r="2984" spans="23:26" x14ac:dyDescent="0.2">
      <c r="W2984" s="33"/>
      <c r="Y2984" s="33"/>
      <c r="Z2984" s="33"/>
    </row>
    <row r="2985" spans="23:26" x14ac:dyDescent="0.2">
      <c r="W2985" s="33"/>
      <c r="Y2985" s="33"/>
      <c r="Z2985" s="33"/>
    </row>
    <row r="2986" spans="23:26" x14ac:dyDescent="0.2">
      <c r="W2986" s="33"/>
      <c r="Y2986" s="33"/>
      <c r="Z2986" s="33"/>
    </row>
    <row r="2987" spans="23:26" x14ac:dyDescent="0.2">
      <c r="W2987" s="33"/>
      <c r="Y2987" s="33"/>
      <c r="Z2987" s="33"/>
    </row>
    <row r="2988" spans="23:26" x14ac:dyDescent="0.2">
      <c r="W2988" s="33"/>
      <c r="Y2988" s="33"/>
      <c r="Z2988" s="33"/>
    </row>
    <row r="2989" spans="23:26" x14ac:dyDescent="0.2">
      <c r="W2989" s="33"/>
      <c r="Y2989" s="33"/>
      <c r="Z2989" s="33"/>
    </row>
    <row r="2990" spans="23:26" x14ac:dyDescent="0.2">
      <c r="W2990" s="33"/>
      <c r="Y2990" s="33"/>
      <c r="Z2990" s="33"/>
    </row>
    <row r="2991" spans="23:26" x14ac:dyDescent="0.2">
      <c r="W2991" s="33"/>
      <c r="Y2991" s="33"/>
      <c r="Z2991" s="33"/>
    </row>
    <row r="2992" spans="23:26" x14ac:dyDescent="0.2">
      <c r="W2992" s="33"/>
      <c r="Y2992" s="33"/>
      <c r="Z2992" s="33"/>
    </row>
    <row r="2993" spans="23:26" x14ac:dyDescent="0.2">
      <c r="W2993" s="33"/>
      <c r="Y2993" s="33"/>
      <c r="Z2993" s="33"/>
    </row>
    <row r="2994" spans="23:26" x14ac:dyDescent="0.2">
      <c r="W2994" s="33"/>
      <c r="Y2994" s="33"/>
      <c r="Z2994" s="33"/>
    </row>
    <row r="2995" spans="23:26" x14ac:dyDescent="0.2">
      <c r="W2995" s="33"/>
      <c r="Y2995" s="33"/>
      <c r="Z2995" s="33"/>
    </row>
    <row r="2996" spans="23:26" x14ac:dyDescent="0.2">
      <c r="W2996" s="33"/>
      <c r="Y2996" s="33"/>
      <c r="Z2996" s="33"/>
    </row>
    <row r="2997" spans="23:26" x14ac:dyDescent="0.2">
      <c r="W2997" s="33"/>
      <c r="Y2997" s="33"/>
      <c r="Z2997" s="33"/>
    </row>
    <row r="2998" spans="23:26" x14ac:dyDescent="0.2">
      <c r="W2998" s="33"/>
      <c r="Y2998" s="33"/>
      <c r="Z2998" s="33"/>
    </row>
    <row r="2999" spans="23:26" x14ac:dyDescent="0.2">
      <c r="W2999" s="33"/>
      <c r="Y2999" s="33"/>
      <c r="Z2999" s="33"/>
    </row>
    <row r="3000" spans="23:26" x14ac:dyDescent="0.2">
      <c r="W3000" s="33"/>
      <c r="Y3000" s="33"/>
      <c r="Z3000" s="33"/>
    </row>
    <row r="3001" spans="23:26" x14ac:dyDescent="0.2">
      <c r="W3001" s="33"/>
      <c r="Y3001" s="33"/>
      <c r="Z3001" s="33"/>
    </row>
    <row r="3002" spans="23:26" x14ac:dyDescent="0.2">
      <c r="W3002" s="33"/>
      <c r="Y3002" s="33"/>
      <c r="Z3002" s="33"/>
    </row>
    <row r="3003" spans="23:26" x14ac:dyDescent="0.2">
      <c r="W3003" s="33"/>
      <c r="Y3003" s="33"/>
      <c r="Z3003" s="33"/>
    </row>
    <row r="3004" spans="23:26" x14ac:dyDescent="0.2">
      <c r="W3004" s="33"/>
      <c r="Y3004" s="33"/>
      <c r="Z3004" s="33"/>
    </row>
    <row r="3005" spans="23:26" x14ac:dyDescent="0.2">
      <c r="W3005" s="33"/>
      <c r="Y3005" s="33"/>
      <c r="Z3005" s="33"/>
    </row>
    <row r="3006" spans="23:26" x14ac:dyDescent="0.2">
      <c r="W3006" s="33"/>
      <c r="Y3006" s="33"/>
      <c r="Z3006" s="33"/>
    </row>
    <row r="3007" spans="23:26" x14ac:dyDescent="0.2">
      <c r="W3007" s="33"/>
      <c r="Y3007" s="33"/>
      <c r="Z3007" s="33"/>
    </row>
    <row r="3008" spans="23:26" x14ac:dyDescent="0.2">
      <c r="W3008" s="33"/>
      <c r="Y3008" s="33"/>
      <c r="Z3008" s="33"/>
    </row>
    <row r="3009" spans="23:26" x14ac:dyDescent="0.2">
      <c r="W3009" s="33"/>
      <c r="Y3009" s="33"/>
      <c r="Z3009" s="33"/>
    </row>
    <row r="3010" spans="23:26" x14ac:dyDescent="0.2">
      <c r="W3010" s="33"/>
      <c r="Y3010" s="33"/>
      <c r="Z3010" s="33"/>
    </row>
    <row r="3011" spans="23:26" x14ac:dyDescent="0.2">
      <c r="W3011" s="33"/>
      <c r="Y3011" s="33"/>
      <c r="Z3011" s="33"/>
    </row>
    <row r="3012" spans="23:26" x14ac:dyDescent="0.2">
      <c r="W3012" s="33"/>
      <c r="Y3012" s="33"/>
      <c r="Z3012" s="33"/>
    </row>
    <row r="3013" spans="23:26" x14ac:dyDescent="0.2">
      <c r="W3013" s="33"/>
      <c r="Y3013" s="33"/>
      <c r="Z3013" s="33"/>
    </row>
    <row r="3014" spans="23:26" x14ac:dyDescent="0.2">
      <c r="W3014" s="33"/>
      <c r="Y3014" s="33"/>
      <c r="Z3014" s="33"/>
    </row>
    <row r="3015" spans="23:26" x14ac:dyDescent="0.2">
      <c r="W3015" s="33"/>
      <c r="Y3015" s="33"/>
      <c r="Z3015" s="33"/>
    </row>
    <row r="3016" spans="23:26" x14ac:dyDescent="0.2">
      <c r="W3016" s="33"/>
      <c r="Y3016" s="33"/>
      <c r="Z3016" s="33"/>
    </row>
    <row r="3017" spans="23:26" x14ac:dyDescent="0.2">
      <c r="W3017" s="33"/>
      <c r="Y3017" s="33"/>
      <c r="Z3017" s="33"/>
    </row>
    <row r="3018" spans="23:26" x14ac:dyDescent="0.2">
      <c r="W3018" s="33"/>
      <c r="Y3018" s="33"/>
      <c r="Z3018" s="33"/>
    </row>
    <row r="3019" spans="23:26" x14ac:dyDescent="0.2">
      <c r="W3019" s="33"/>
      <c r="Y3019" s="33"/>
      <c r="Z3019" s="33"/>
    </row>
    <row r="3020" spans="23:26" x14ac:dyDescent="0.2">
      <c r="W3020" s="33"/>
      <c r="Y3020" s="33"/>
      <c r="Z3020" s="33"/>
    </row>
    <row r="3021" spans="23:26" x14ac:dyDescent="0.2">
      <c r="W3021" s="33"/>
      <c r="Y3021" s="33"/>
      <c r="Z3021" s="33"/>
    </row>
    <row r="3022" spans="23:26" x14ac:dyDescent="0.2">
      <c r="W3022" s="33"/>
      <c r="Y3022" s="33"/>
      <c r="Z3022" s="33"/>
    </row>
    <row r="3023" spans="23:26" x14ac:dyDescent="0.2">
      <c r="W3023" s="33"/>
      <c r="Y3023" s="33"/>
      <c r="Z3023" s="33"/>
    </row>
    <row r="3024" spans="23:26" x14ac:dyDescent="0.2">
      <c r="W3024" s="33"/>
      <c r="Y3024" s="33"/>
      <c r="Z3024" s="33"/>
    </row>
    <row r="3025" spans="23:26" x14ac:dyDescent="0.2">
      <c r="W3025" s="33"/>
      <c r="Y3025" s="33"/>
      <c r="Z3025" s="33"/>
    </row>
    <row r="3026" spans="23:26" x14ac:dyDescent="0.2">
      <c r="W3026" s="33"/>
      <c r="Y3026" s="33"/>
      <c r="Z3026" s="33"/>
    </row>
    <row r="3027" spans="23:26" x14ac:dyDescent="0.2">
      <c r="W3027" s="33"/>
      <c r="Y3027" s="33"/>
      <c r="Z3027" s="33"/>
    </row>
    <row r="3028" spans="23:26" x14ac:dyDescent="0.2">
      <c r="W3028" s="33"/>
      <c r="Y3028" s="33"/>
      <c r="Z3028" s="33"/>
    </row>
    <row r="3029" spans="23:26" x14ac:dyDescent="0.2">
      <c r="W3029" s="33"/>
      <c r="Y3029" s="33"/>
      <c r="Z3029" s="33"/>
    </row>
    <row r="3030" spans="23:26" x14ac:dyDescent="0.2">
      <c r="W3030" s="33"/>
      <c r="Y3030" s="33"/>
      <c r="Z3030" s="33"/>
    </row>
    <row r="3031" spans="23:26" x14ac:dyDescent="0.2">
      <c r="W3031" s="33"/>
      <c r="Y3031" s="33"/>
      <c r="Z3031" s="33"/>
    </row>
    <row r="3032" spans="23:26" x14ac:dyDescent="0.2">
      <c r="W3032" s="33"/>
      <c r="Y3032" s="33"/>
      <c r="Z3032" s="33"/>
    </row>
    <row r="3033" spans="23:26" x14ac:dyDescent="0.2">
      <c r="W3033" s="33"/>
      <c r="Y3033" s="33"/>
      <c r="Z3033" s="33"/>
    </row>
    <row r="3034" spans="23:26" x14ac:dyDescent="0.2">
      <c r="W3034" s="33"/>
      <c r="Y3034" s="33"/>
      <c r="Z3034" s="33"/>
    </row>
    <row r="3035" spans="23:26" x14ac:dyDescent="0.2">
      <c r="W3035" s="33"/>
      <c r="Y3035" s="33"/>
      <c r="Z3035" s="33"/>
    </row>
    <row r="3036" spans="23:26" x14ac:dyDescent="0.2">
      <c r="W3036" s="33"/>
      <c r="Y3036" s="33"/>
      <c r="Z3036" s="33"/>
    </row>
    <row r="3037" spans="23:26" x14ac:dyDescent="0.2">
      <c r="W3037" s="33"/>
      <c r="Y3037" s="33"/>
      <c r="Z3037" s="33"/>
    </row>
    <row r="3038" spans="23:26" x14ac:dyDescent="0.2">
      <c r="W3038" s="33"/>
      <c r="Y3038" s="33"/>
      <c r="Z3038" s="33"/>
    </row>
    <row r="3039" spans="23:26" x14ac:dyDescent="0.2">
      <c r="W3039" s="33"/>
      <c r="Y3039" s="33"/>
      <c r="Z3039" s="33"/>
    </row>
    <row r="3040" spans="23:26" x14ac:dyDescent="0.2">
      <c r="W3040" s="33"/>
      <c r="Y3040" s="33"/>
      <c r="Z3040" s="33"/>
    </row>
    <row r="3041" spans="23:26" x14ac:dyDescent="0.2">
      <c r="W3041" s="33"/>
      <c r="Y3041" s="33"/>
      <c r="Z3041" s="33"/>
    </row>
    <row r="3042" spans="23:26" x14ac:dyDescent="0.2">
      <c r="W3042" s="33"/>
      <c r="Y3042" s="33"/>
      <c r="Z3042" s="33"/>
    </row>
    <row r="3043" spans="23:26" x14ac:dyDescent="0.2">
      <c r="W3043" s="33"/>
      <c r="Y3043" s="33"/>
      <c r="Z3043" s="33"/>
    </row>
    <row r="3044" spans="23:26" x14ac:dyDescent="0.2">
      <c r="W3044" s="33"/>
      <c r="Y3044" s="33"/>
      <c r="Z3044" s="33"/>
    </row>
    <row r="3045" spans="23:26" x14ac:dyDescent="0.2">
      <c r="W3045" s="33"/>
      <c r="Y3045" s="33"/>
      <c r="Z3045" s="33"/>
    </row>
    <row r="3046" spans="23:26" x14ac:dyDescent="0.2">
      <c r="W3046" s="33"/>
      <c r="Y3046" s="33"/>
      <c r="Z3046" s="33"/>
    </row>
    <row r="3047" spans="23:26" x14ac:dyDescent="0.2">
      <c r="W3047" s="33"/>
      <c r="Y3047" s="33"/>
      <c r="Z3047" s="33"/>
    </row>
    <row r="3048" spans="23:26" x14ac:dyDescent="0.2">
      <c r="W3048" s="33"/>
      <c r="Y3048" s="33"/>
      <c r="Z3048" s="33"/>
    </row>
    <row r="3049" spans="23:26" x14ac:dyDescent="0.2">
      <c r="W3049" s="33"/>
      <c r="Y3049" s="33"/>
      <c r="Z3049" s="33"/>
    </row>
    <row r="3050" spans="23:26" x14ac:dyDescent="0.2">
      <c r="W3050" s="33"/>
      <c r="Y3050" s="33"/>
      <c r="Z3050" s="33"/>
    </row>
    <row r="3051" spans="23:26" x14ac:dyDescent="0.2">
      <c r="W3051" s="33"/>
      <c r="Y3051" s="33"/>
      <c r="Z3051" s="33"/>
    </row>
    <row r="3052" spans="23:26" x14ac:dyDescent="0.2">
      <c r="W3052" s="33"/>
      <c r="Y3052" s="33"/>
      <c r="Z3052" s="33"/>
    </row>
    <row r="3053" spans="23:26" x14ac:dyDescent="0.2">
      <c r="W3053" s="33"/>
      <c r="Y3053" s="33"/>
      <c r="Z3053" s="33"/>
    </row>
    <row r="3054" spans="23:26" x14ac:dyDescent="0.2">
      <c r="W3054" s="33"/>
      <c r="Y3054" s="33"/>
      <c r="Z3054" s="33"/>
    </row>
    <row r="3055" spans="23:26" x14ac:dyDescent="0.2">
      <c r="W3055" s="33"/>
      <c r="Y3055" s="33"/>
      <c r="Z3055" s="33"/>
    </row>
    <row r="3056" spans="23:26" x14ac:dyDescent="0.2">
      <c r="W3056" s="33"/>
      <c r="Y3056" s="33"/>
      <c r="Z3056" s="33"/>
    </row>
    <row r="3057" spans="23:26" x14ac:dyDescent="0.2">
      <c r="W3057" s="33"/>
      <c r="Y3057" s="33"/>
      <c r="Z3057" s="33"/>
    </row>
    <row r="3058" spans="23:26" x14ac:dyDescent="0.2">
      <c r="W3058" s="33"/>
      <c r="Y3058" s="33"/>
      <c r="Z3058" s="33"/>
    </row>
    <row r="3059" spans="23:26" x14ac:dyDescent="0.2">
      <c r="W3059" s="33"/>
      <c r="Y3059" s="33"/>
      <c r="Z3059" s="33"/>
    </row>
    <row r="3060" spans="23:26" x14ac:dyDescent="0.2">
      <c r="W3060" s="33"/>
      <c r="Y3060" s="33"/>
      <c r="Z3060" s="33"/>
    </row>
    <row r="3061" spans="23:26" x14ac:dyDescent="0.2">
      <c r="W3061" s="33"/>
      <c r="Y3061" s="33"/>
      <c r="Z3061" s="33"/>
    </row>
    <row r="3062" spans="23:26" x14ac:dyDescent="0.2">
      <c r="W3062" s="33"/>
      <c r="Y3062" s="33"/>
      <c r="Z3062" s="33"/>
    </row>
    <row r="3063" spans="23:26" x14ac:dyDescent="0.2">
      <c r="W3063" s="33"/>
      <c r="Y3063" s="33"/>
      <c r="Z3063" s="33"/>
    </row>
    <row r="3064" spans="23:26" x14ac:dyDescent="0.2">
      <c r="W3064" s="33"/>
      <c r="Y3064" s="33"/>
      <c r="Z3064" s="33"/>
    </row>
    <row r="3065" spans="23:26" x14ac:dyDescent="0.2">
      <c r="W3065" s="33"/>
      <c r="Y3065" s="33"/>
      <c r="Z3065" s="33"/>
    </row>
    <row r="3066" spans="23:26" x14ac:dyDescent="0.2">
      <c r="W3066" s="33"/>
      <c r="Y3066" s="33"/>
      <c r="Z3066" s="33"/>
    </row>
    <row r="3067" spans="23:26" x14ac:dyDescent="0.2">
      <c r="W3067" s="33"/>
      <c r="Y3067" s="33"/>
      <c r="Z3067" s="33"/>
    </row>
    <row r="3068" spans="23:26" x14ac:dyDescent="0.2">
      <c r="W3068" s="33"/>
      <c r="Y3068" s="33"/>
      <c r="Z3068" s="33"/>
    </row>
    <row r="3069" spans="23:26" x14ac:dyDescent="0.2">
      <c r="W3069" s="33"/>
      <c r="Y3069" s="33"/>
      <c r="Z3069" s="33"/>
    </row>
    <row r="3070" spans="23:26" x14ac:dyDescent="0.2">
      <c r="W3070" s="33"/>
      <c r="Y3070" s="33"/>
      <c r="Z3070" s="33"/>
    </row>
    <row r="3071" spans="23:26" x14ac:dyDescent="0.2">
      <c r="W3071" s="33"/>
      <c r="Y3071" s="33"/>
      <c r="Z3071" s="33"/>
    </row>
    <row r="3072" spans="23:26" x14ac:dyDescent="0.2">
      <c r="W3072" s="33"/>
      <c r="Y3072" s="33"/>
      <c r="Z3072" s="33"/>
    </row>
    <row r="3073" spans="23:26" x14ac:dyDescent="0.2">
      <c r="W3073" s="33"/>
      <c r="Y3073" s="33"/>
      <c r="Z3073" s="33"/>
    </row>
    <row r="3074" spans="23:26" x14ac:dyDescent="0.2">
      <c r="W3074" s="33"/>
      <c r="Y3074" s="33"/>
      <c r="Z3074" s="33"/>
    </row>
    <row r="3075" spans="23:26" x14ac:dyDescent="0.2">
      <c r="W3075" s="33"/>
      <c r="Y3075" s="33"/>
      <c r="Z3075" s="33"/>
    </row>
    <row r="3076" spans="23:26" x14ac:dyDescent="0.2">
      <c r="W3076" s="33"/>
      <c r="Y3076" s="33"/>
      <c r="Z3076" s="33"/>
    </row>
    <row r="3077" spans="23:26" x14ac:dyDescent="0.2">
      <c r="W3077" s="33"/>
      <c r="Y3077" s="33"/>
      <c r="Z3077" s="33"/>
    </row>
    <row r="3078" spans="23:26" x14ac:dyDescent="0.2">
      <c r="W3078" s="33"/>
      <c r="Y3078" s="33"/>
      <c r="Z3078" s="33"/>
    </row>
    <row r="3079" spans="23:26" x14ac:dyDescent="0.2">
      <c r="W3079" s="33"/>
      <c r="Y3079" s="33"/>
      <c r="Z3079" s="33"/>
    </row>
    <row r="3080" spans="23:26" x14ac:dyDescent="0.2">
      <c r="W3080" s="33"/>
      <c r="Y3080" s="33"/>
      <c r="Z3080" s="33"/>
    </row>
    <row r="3081" spans="23:26" x14ac:dyDescent="0.2">
      <c r="W3081" s="33"/>
      <c r="Y3081" s="33"/>
      <c r="Z3081" s="33"/>
    </row>
    <row r="3082" spans="23:26" x14ac:dyDescent="0.2">
      <c r="W3082" s="33"/>
      <c r="Y3082" s="33"/>
      <c r="Z3082" s="33"/>
    </row>
    <row r="3083" spans="23:26" x14ac:dyDescent="0.2">
      <c r="W3083" s="33"/>
      <c r="Y3083" s="33"/>
      <c r="Z3083" s="33"/>
    </row>
    <row r="3084" spans="23:26" x14ac:dyDescent="0.2">
      <c r="W3084" s="33"/>
      <c r="Y3084" s="33"/>
      <c r="Z3084" s="33"/>
    </row>
    <row r="3085" spans="23:26" x14ac:dyDescent="0.2">
      <c r="W3085" s="33"/>
      <c r="Y3085" s="33"/>
      <c r="Z3085" s="33"/>
    </row>
    <row r="3086" spans="23:26" x14ac:dyDescent="0.2">
      <c r="W3086" s="33"/>
      <c r="Y3086" s="33"/>
      <c r="Z3086" s="33"/>
    </row>
    <row r="3087" spans="23:26" x14ac:dyDescent="0.2">
      <c r="W3087" s="33"/>
      <c r="Y3087" s="33"/>
      <c r="Z3087" s="33"/>
    </row>
    <row r="3088" spans="23:26" x14ac:dyDescent="0.2">
      <c r="W3088" s="33"/>
      <c r="Y3088" s="33"/>
      <c r="Z3088" s="33"/>
    </row>
    <row r="3089" spans="23:26" x14ac:dyDescent="0.2">
      <c r="W3089" s="33"/>
      <c r="Y3089" s="33"/>
      <c r="Z3089" s="33"/>
    </row>
    <row r="3090" spans="23:26" x14ac:dyDescent="0.2">
      <c r="W3090" s="33"/>
      <c r="Y3090" s="33"/>
      <c r="Z3090" s="33"/>
    </row>
    <row r="3091" spans="23:26" x14ac:dyDescent="0.2">
      <c r="W3091" s="33"/>
      <c r="Y3091" s="33"/>
      <c r="Z3091" s="33"/>
    </row>
    <row r="3092" spans="23:26" x14ac:dyDescent="0.2">
      <c r="W3092" s="33"/>
      <c r="Y3092" s="33"/>
      <c r="Z3092" s="33"/>
    </row>
    <row r="3093" spans="23:26" x14ac:dyDescent="0.2">
      <c r="W3093" s="33"/>
      <c r="Y3093" s="33"/>
      <c r="Z3093" s="33"/>
    </row>
    <row r="3094" spans="23:26" x14ac:dyDescent="0.2">
      <c r="W3094" s="33"/>
      <c r="Y3094" s="33"/>
      <c r="Z3094" s="33"/>
    </row>
    <row r="3095" spans="23:26" x14ac:dyDescent="0.2">
      <c r="W3095" s="33"/>
      <c r="Y3095" s="33"/>
      <c r="Z3095" s="33"/>
    </row>
    <row r="3096" spans="23:26" x14ac:dyDescent="0.2">
      <c r="W3096" s="33"/>
      <c r="Y3096" s="33"/>
      <c r="Z3096" s="33"/>
    </row>
    <row r="3097" spans="23:26" x14ac:dyDescent="0.2">
      <c r="W3097" s="33"/>
      <c r="Y3097" s="33"/>
      <c r="Z3097" s="33"/>
    </row>
    <row r="3098" spans="23:26" x14ac:dyDescent="0.2">
      <c r="W3098" s="33"/>
      <c r="Y3098" s="33"/>
      <c r="Z3098" s="33"/>
    </row>
    <row r="3099" spans="23:26" x14ac:dyDescent="0.2">
      <c r="W3099" s="33"/>
      <c r="Y3099" s="33"/>
      <c r="Z3099" s="33"/>
    </row>
    <row r="3100" spans="23:26" x14ac:dyDescent="0.2">
      <c r="W3100" s="33"/>
      <c r="Y3100" s="33"/>
      <c r="Z3100" s="33"/>
    </row>
    <row r="3101" spans="23:26" x14ac:dyDescent="0.2">
      <c r="W3101" s="33"/>
      <c r="Y3101" s="33"/>
      <c r="Z3101" s="33"/>
    </row>
    <row r="3102" spans="23:26" x14ac:dyDescent="0.2">
      <c r="W3102" s="33"/>
      <c r="Y3102" s="33"/>
      <c r="Z3102" s="33"/>
    </row>
    <row r="3103" spans="23:26" x14ac:dyDescent="0.2">
      <c r="W3103" s="33"/>
      <c r="Y3103" s="33"/>
      <c r="Z3103" s="33"/>
    </row>
    <row r="3104" spans="23:26" x14ac:dyDescent="0.2">
      <c r="W3104" s="33"/>
      <c r="Y3104" s="33"/>
      <c r="Z3104" s="33"/>
    </row>
    <row r="3105" spans="23:26" x14ac:dyDescent="0.2">
      <c r="W3105" s="33"/>
      <c r="Y3105" s="33"/>
      <c r="Z3105" s="33"/>
    </row>
    <row r="3106" spans="23:26" x14ac:dyDescent="0.2">
      <c r="W3106" s="33"/>
      <c r="Y3106" s="33"/>
      <c r="Z3106" s="33"/>
    </row>
    <row r="3107" spans="23:26" x14ac:dyDescent="0.2">
      <c r="W3107" s="33"/>
      <c r="Y3107" s="33"/>
      <c r="Z3107" s="33"/>
    </row>
    <row r="3108" spans="23:26" x14ac:dyDescent="0.2">
      <c r="W3108" s="33"/>
      <c r="Y3108" s="33"/>
      <c r="Z3108" s="33"/>
    </row>
    <row r="3109" spans="23:26" x14ac:dyDescent="0.2">
      <c r="W3109" s="33"/>
      <c r="Y3109" s="33"/>
      <c r="Z3109" s="33"/>
    </row>
    <row r="3110" spans="23:26" x14ac:dyDescent="0.2">
      <c r="W3110" s="33"/>
      <c r="Y3110" s="33"/>
      <c r="Z3110" s="33"/>
    </row>
    <row r="3111" spans="23:26" x14ac:dyDescent="0.2">
      <c r="W3111" s="33"/>
      <c r="Y3111" s="33"/>
      <c r="Z3111" s="33"/>
    </row>
    <row r="3112" spans="23:26" x14ac:dyDescent="0.2">
      <c r="W3112" s="33"/>
      <c r="Y3112" s="33"/>
      <c r="Z3112" s="33"/>
    </row>
    <row r="3113" spans="23:26" x14ac:dyDescent="0.2">
      <c r="W3113" s="33"/>
      <c r="Y3113" s="33"/>
      <c r="Z3113" s="33"/>
    </row>
    <row r="3114" spans="23:26" x14ac:dyDescent="0.2">
      <c r="W3114" s="33"/>
      <c r="Y3114" s="33"/>
      <c r="Z3114" s="33"/>
    </row>
    <row r="3115" spans="23:26" x14ac:dyDescent="0.2">
      <c r="W3115" s="33"/>
      <c r="Y3115" s="33"/>
      <c r="Z3115" s="33"/>
    </row>
    <row r="3116" spans="23:26" x14ac:dyDescent="0.2">
      <c r="W3116" s="33"/>
      <c r="Y3116" s="33"/>
      <c r="Z3116" s="33"/>
    </row>
    <row r="3117" spans="23:26" x14ac:dyDescent="0.2">
      <c r="W3117" s="33"/>
      <c r="Y3117" s="33"/>
      <c r="Z3117" s="33"/>
    </row>
    <row r="3118" spans="23:26" x14ac:dyDescent="0.2">
      <c r="W3118" s="33"/>
      <c r="Y3118" s="33"/>
      <c r="Z3118" s="33"/>
    </row>
    <row r="3119" spans="23:26" x14ac:dyDescent="0.2">
      <c r="W3119" s="33"/>
      <c r="Y3119" s="33"/>
      <c r="Z3119" s="33"/>
    </row>
    <row r="3120" spans="23:26" x14ac:dyDescent="0.2">
      <c r="W3120" s="33"/>
      <c r="Y3120" s="33"/>
      <c r="Z3120" s="33"/>
    </row>
    <row r="3121" spans="23:26" x14ac:dyDescent="0.2">
      <c r="W3121" s="33"/>
      <c r="Y3121" s="33"/>
      <c r="Z3121" s="33"/>
    </row>
    <row r="3122" spans="23:26" x14ac:dyDescent="0.2">
      <c r="W3122" s="33"/>
      <c r="Y3122" s="33"/>
      <c r="Z3122" s="33"/>
    </row>
    <row r="3123" spans="23:26" x14ac:dyDescent="0.2">
      <c r="W3123" s="33"/>
      <c r="Y3123" s="33"/>
      <c r="Z3123" s="33"/>
    </row>
    <row r="3124" spans="23:26" x14ac:dyDescent="0.2">
      <c r="W3124" s="33"/>
      <c r="Y3124" s="33"/>
      <c r="Z3124" s="33"/>
    </row>
    <row r="3125" spans="23:26" x14ac:dyDescent="0.2">
      <c r="W3125" s="33"/>
      <c r="Y3125" s="33"/>
      <c r="Z3125" s="33"/>
    </row>
    <row r="3126" spans="23:26" x14ac:dyDescent="0.2">
      <c r="W3126" s="33"/>
      <c r="Y3126" s="33"/>
      <c r="Z3126" s="33"/>
    </row>
    <row r="3127" spans="23:26" x14ac:dyDescent="0.2">
      <c r="W3127" s="33"/>
      <c r="Y3127" s="33"/>
      <c r="Z3127" s="33"/>
    </row>
    <row r="3128" spans="23:26" x14ac:dyDescent="0.2">
      <c r="W3128" s="33"/>
      <c r="Y3128" s="33"/>
      <c r="Z3128" s="33"/>
    </row>
    <row r="3129" spans="23:26" x14ac:dyDescent="0.2">
      <c r="W3129" s="33"/>
      <c r="Y3129" s="33"/>
      <c r="Z3129" s="33"/>
    </row>
    <row r="3130" spans="23:26" x14ac:dyDescent="0.2">
      <c r="W3130" s="33"/>
      <c r="Y3130" s="33"/>
      <c r="Z3130" s="33"/>
    </row>
    <row r="3131" spans="23:26" x14ac:dyDescent="0.2">
      <c r="W3131" s="33"/>
      <c r="Y3131" s="33"/>
      <c r="Z3131" s="33"/>
    </row>
    <row r="3132" spans="23:26" x14ac:dyDescent="0.2">
      <c r="W3132" s="33"/>
      <c r="Y3132" s="33"/>
      <c r="Z3132" s="33"/>
    </row>
    <row r="3133" spans="23:26" x14ac:dyDescent="0.2">
      <c r="W3133" s="33"/>
      <c r="Y3133" s="33"/>
      <c r="Z3133" s="33"/>
    </row>
    <row r="3134" spans="23:26" x14ac:dyDescent="0.2">
      <c r="W3134" s="33"/>
      <c r="Y3134" s="33"/>
      <c r="Z3134" s="33"/>
    </row>
    <row r="3135" spans="23:26" x14ac:dyDescent="0.2">
      <c r="W3135" s="33"/>
      <c r="Y3135" s="33"/>
      <c r="Z3135" s="33"/>
    </row>
    <row r="3136" spans="23:26" x14ac:dyDescent="0.2">
      <c r="W3136" s="33"/>
      <c r="Y3136" s="33"/>
      <c r="Z3136" s="33"/>
    </row>
    <row r="3137" spans="23:26" x14ac:dyDescent="0.2">
      <c r="W3137" s="33"/>
      <c r="Y3137" s="33"/>
      <c r="Z3137" s="33"/>
    </row>
    <row r="3138" spans="23:26" x14ac:dyDescent="0.2">
      <c r="W3138" s="33"/>
      <c r="Y3138" s="33"/>
      <c r="Z3138" s="33"/>
    </row>
    <row r="3139" spans="23:26" x14ac:dyDescent="0.2">
      <c r="W3139" s="33"/>
      <c r="Y3139" s="33"/>
      <c r="Z3139" s="33"/>
    </row>
    <row r="3140" spans="23:26" x14ac:dyDescent="0.2">
      <c r="W3140" s="33"/>
      <c r="Y3140" s="33"/>
      <c r="Z3140" s="33"/>
    </row>
    <row r="3141" spans="23:26" x14ac:dyDescent="0.2">
      <c r="W3141" s="33"/>
      <c r="Y3141" s="33"/>
      <c r="Z3141" s="33"/>
    </row>
    <row r="3142" spans="23:26" x14ac:dyDescent="0.2">
      <c r="W3142" s="33"/>
      <c r="Y3142" s="33"/>
      <c r="Z3142" s="33"/>
    </row>
    <row r="3143" spans="23:26" x14ac:dyDescent="0.2">
      <c r="W3143" s="33"/>
      <c r="Y3143" s="33"/>
      <c r="Z3143" s="33"/>
    </row>
    <row r="3144" spans="23:26" x14ac:dyDescent="0.2">
      <c r="W3144" s="33"/>
      <c r="Y3144" s="33"/>
      <c r="Z3144" s="33"/>
    </row>
    <row r="3145" spans="23:26" x14ac:dyDescent="0.2">
      <c r="W3145" s="33"/>
      <c r="Y3145" s="33"/>
      <c r="Z3145" s="33"/>
    </row>
    <row r="3146" spans="23:26" x14ac:dyDescent="0.2">
      <c r="W3146" s="33"/>
      <c r="Y3146" s="33"/>
      <c r="Z3146" s="33"/>
    </row>
    <row r="3147" spans="23:26" x14ac:dyDescent="0.2">
      <c r="W3147" s="33"/>
      <c r="Y3147" s="33"/>
      <c r="Z3147" s="33"/>
    </row>
    <row r="3148" spans="23:26" x14ac:dyDescent="0.2">
      <c r="W3148" s="33"/>
      <c r="Y3148" s="33"/>
      <c r="Z3148" s="33"/>
    </row>
    <row r="3149" spans="23:26" x14ac:dyDescent="0.2">
      <c r="W3149" s="33"/>
      <c r="Y3149" s="33"/>
      <c r="Z3149" s="33"/>
    </row>
    <row r="3150" spans="23:26" x14ac:dyDescent="0.2">
      <c r="W3150" s="33"/>
      <c r="Y3150" s="33"/>
      <c r="Z3150" s="33"/>
    </row>
    <row r="3151" spans="23:26" x14ac:dyDescent="0.2">
      <c r="W3151" s="33"/>
      <c r="Y3151" s="33"/>
      <c r="Z3151" s="33"/>
    </row>
    <row r="3152" spans="23:26" x14ac:dyDescent="0.2">
      <c r="W3152" s="33"/>
      <c r="Y3152" s="33"/>
      <c r="Z3152" s="33"/>
    </row>
    <row r="3153" spans="23:26" x14ac:dyDescent="0.2">
      <c r="W3153" s="33"/>
      <c r="Y3153" s="33"/>
      <c r="Z3153" s="33"/>
    </row>
    <row r="3154" spans="23:26" x14ac:dyDescent="0.2">
      <c r="W3154" s="33"/>
      <c r="Y3154" s="33"/>
      <c r="Z3154" s="33"/>
    </row>
    <row r="3155" spans="23:26" x14ac:dyDescent="0.2">
      <c r="W3155" s="33"/>
      <c r="Y3155" s="33"/>
      <c r="Z3155" s="33"/>
    </row>
    <row r="3156" spans="23:26" x14ac:dyDescent="0.2">
      <c r="W3156" s="33"/>
      <c r="Y3156" s="33"/>
      <c r="Z3156" s="33"/>
    </row>
    <row r="3157" spans="23:26" x14ac:dyDescent="0.2">
      <c r="W3157" s="33"/>
      <c r="Y3157" s="33"/>
      <c r="Z3157" s="33"/>
    </row>
    <row r="3158" spans="23:26" x14ac:dyDescent="0.2">
      <c r="W3158" s="33"/>
      <c r="Y3158" s="33"/>
      <c r="Z3158" s="33"/>
    </row>
    <row r="3159" spans="23:26" x14ac:dyDescent="0.2">
      <c r="W3159" s="33"/>
      <c r="Y3159" s="33"/>
      <c r="Z3159" s="33"/>
    </row>
    <row r="3160" spans="23:26" x14ac:dyDescent="0.2">
      <c r="W3160" s="33"/>
      <c r="Y3160" s="33"/>
      <c r="Z3160" s="33"/>
    </row>
    <row r="3161" spans="23:26" x14ac:dyDescent="0.2">
      <c r="W3161" s="33"/>
      <c r="Y3161" s="33"/>
      <c r="Z3161" s="33"/>
    </row>
    <row r="3162" spans="23:26" x14ac:dyDescent="0.2">
      <c r="W3162" s="33"/>
      <c r="Y3162" s="33"/>
      <c r="Z3162" s="33"/>
    </row>
    <row r="3163" spans="23:26" x14ac:dyDescent="0.2">
      <c r="W3163" s="33"/>
      <c r="Y3163" s="33"/>
      <c r="Z3163" s="33"/>
    </row>
    <row r="3164" spans="23:26" x14ac:dyDescent="0.2">
      <c r="W3164" s="33"/>
      <c r="Y3164" s="33"/>
      <c r="Z3164" s="33"/>
    </row>
    <row r="3165" spans="23:26" x14ac:dyDescent="0.2">
      <c r="W3165" s="33"/>
      <c r="Y3165" s="33"/>
      <c r="Z3165" s="33"/>
    </row>
    <row r="3166" spans="23:26" x14ac:dyDescent="0.2">
      <c r="W3166" s="33"/>
      <c r="Y3166" s="33"/>
      <c r="Z3166" s="33"/>
    </row>
    <row r="3167" spans="23:26" x14ac:dyDescent="0.2">
      <c r="W3167" s="33"/>
      <c r="Y3167" s="33"/>
      <c r="Z3167" s="33"/>
    </row>
    <row r="3168" spans="23:26" x14ac:dyDescent="0.2">
      <c r="W3168" s="33"/>
      <c r="Y3168" s="33"/>
      <c r="Z3168" s="33"/>
    </row>
    <row r="3169" spans="23:26" x14ac:dyDescent="0.2">
      <c r="W3169" s="33"/>
      <c r="Y3169" s="33"/>
      <c r="Z3169" s="33"/>
    </row>
    <row r="3170" spans="23:26" x14ac:dyDescent="0.2">
      <c r="W3170" s="33"/>
      <c r="Y3170" s="33"/>
      <c r="Z3170" s="33"/>
    </row>
    <row r="3171" spans="23:26" x14ac:dyDescent="0.2">
      <c r="W3171" s="33"/>
      <c r="Y3171" s="33"/>
      <c r="Z3171" s="33"/>
    </row>
    <row r="3172" spans="23:26" x14ac:dyDescent="0.2">
      <c r="W3172" s="33"/>
      <c r="Y3172" s="33"/>
      <c r="Z3172" s="33"/>
    </row>
    <row r="3173" spans="23:26" x14ac:dyDescent="0.2">
      <c r="W3173" s="33"/>
      <c r="Y3173" s="33"/>
      <c r="Z3173" s="33"/>
    </row>
    <row r="3174" spans="23:26" x14ac:dyDescent="0.2">
      <c r="W3174" s="33"/>
      <c r="Y3174" s="33"/>
      <c r="Z3174" s="33"/>
    </row>
    <row r="3175" spans="23:26" x14ac:dyDescent="0.2">
      <c r="W3175" s="33"/>
      <c r="Y3175" s="33"/>
      <c r="Z3175" s="33"/>
    </row>
    <row r="3176" spans="23:26" x14ac:dyDescent="0.2">
      <c r="W3176" s="33"/>
      <c r="Y3176" s="33"/>
      <c r="Z3176" s="33"/>
    </row>
    <row r="3177" spans="23:26" x14ac:dyDescent="0.2">
      <c r="W3177" s="33"/>
      <c r="Y3177" s="33"/>
      <c r="Z3177" s="33"/>
    </row>
    <row r="3178" spans="23:26" x14ac:dyDescent="0.2">
      <c r="W3178" s="33"/>
      <c r="Y3178" s="33"/>
      <c r="Z3178" s="33"/>
    </row>
    <row r="3179" spans="23:26" x14ac:dyDescent="0.2">
      <c r="W3179" s="33"/>
      <c r="Y3179" s="33"/>
      <c r="Z3179" s="33"/>
    </row>
    <row r="3180" spans="23:26" x14ac:dyDescent="0.2">
      <c r="W3180" s="33"/>
      <c r="Y3180" s="33"/>
      <c r="Z3180" s="33"/>
    </row>
    <row r="3181" spans="23:26" x14ac:dyDescent="0.2">
      <c r="W3181" s="33"/>
      <c r="Y3181" s="33"/>
      <c r="Z3181" s="33"/>
    </row>
    <row r="3182" spans="23:26" x14ac:dyDescent="0.2">
      <c r="W3182" s="33"/>
      <c r="Y3182" s="33"/>
      <c r="Z3182" s="33"/>
    </row>
    <row r="3183" spans="23:26" x14ac:dyDescent="0.2">
      <c r="W3183" s="33"/>
      <c r="Y3183" s="33"/>
      <c r="Z3183" s="33"/>
    </row>
    <row r="3184" spans="23:26" x14ac:dyDescent="0.2">
      <c r="W3184" s="33"/>
      <c r="Y3184" s="33"/>
      <c r="Z3184" s="33"/>
    </row>
    <row r="3185" spans="23:26" x14ac:dyDescent="0.2">
      <c r="W3185" s="33"/>
      <c r="Y3185" s="33"/>
      <c r="Z3185" s="33"/>
    </row>
    <row r="3186" spans="23:26" x14ac:dyDescent="0.2">
      <c r="W3186" s="33"/>
      <c r="Y3186" s="33"/>
      <c r="Z3186" s="33"/>
    </row>
    <row r="3187" spans="23:26" x14ac:dyDescent="0.2">
      <c r="W3187" s="33"/>
      <c r="Y3187" s="33"/>
      <c r="Z3187" s="33"/>
    </row>
    <row r="3188" spans="23:26" x14ac:dyDescent="0.2">
      <c r="W3188" s="33"/>
      <c r="Y3188" s="33"/>
      <c r="Z3188" s="33"/>
    </row>
    <row r="3189" spans="23:26" x14ac:dyDescent="0.2">
      <c r="W3189" s="33"/>
      <c r="Y3189" s="33"/>
      <c r="Z3189" s="33"/>
    </row>
    <row r="3190" spans="23:26" x14ac:dyDescent="0.2">
      <c r="W3190" s="33"/>
      <c r="Y3190" s="33"/>
      <c r="Z3190" s="33"/>
    </row>
    <row r="3191" spans="23:26" x14ac:dyDescent="0.2">
      <c r="W3191" s="33"/>
      <c r="Y3191" s="33"/>
      <c r="Z3191" s="33"/>
    </row>
    <row r="3192" spans="23:26" x14ac:dyDescent="0.2">
      <c r="W3192" s="33"/>
      <c r="Y3192" s="33"/>
      <c r="Z3192" s="33"/>
    </row>
    <row r="3193" spans="23:26" x14ac:dyDescent="0.2">
      <c r="W3193" s="33"/>
      <c r="Y3193" s="33"/>
      <c r="Z3193" s="33"/>
    </row>
    <row r="3194" spans="23:26" x14ac:dyDescent="0.2">
      <c r="W3194" s="33"/>
      <c r="Y3194" s="33"/>
      <c r="Z3194" s="33"/>
    </row>
    <row r="3195" spans="23:26" x14ac:dyDescent="0.2">
      <c r="W3195" s="33"/>
      <c r="Y3195" s="33"/>
      <c r="Z3195" s="33"/>
    </row>
    <row r="3196" spans="23:26" x14ac:dyDescent="0.2">
      <c r="W3196" s="33"/>
      <c r="Y3196" s="33"/>
      <c r="Z3196" s="33"/>
    </row>
    <row r="3197" spans="23:26" x14ac:dyDescent="0.2">
      <c r="W3197" s="33"/>
      <c r="Y3197" s="33"/>
      <c r="Z3197" s="33"/>
    </row>
    <row r="3198" spans="23:26" x14ac:dyDescent="0.2">
      <c r="W3198" s="33"/>
      <c r="Y3198" s="33"/>
      <c r="Z3198" s="33"/>
    </row>
    <row r="3199" spans="23:26" x14ac:dyDescent="0.2">
      <c r="W3199" s="33"/>
      <c r="Y3199" s="33"/>
      <c r="Z3199" s="33"/>
    </row>
    <row r="3200" spans="23:26" x14ac:dyDescent="0.2">
      <c r="W3200" s="33"/>
      <c r="Y3200" s="33"/>
      <c r="Z3200" s="33"/>
    </row>
    <row r="3201" spans="23:26" x14ac:dyDescent="0.2">
      <c r="W3201" s="33"/>
      <c r="Y3201" s="33"/>
      <c r="Z3201" s="33"/>
    </row>
    <row r="3202" spans="23:26" x14ac:dyDescent="0.2">
      <c r="W3202" s="33"/>
      <c r="Y3202" s="33"/>
      <c r="Z3202" s="33"/>
    </row>
    <row r="3203" spans="23:26" x14ac:dyDescent="0.2">
      <c r="W3203" s="33"/>
      <c r="Y3203" s="33"/>
      <c r="Z3203" s="33"/>
    </row>
    <row r="3204" spans="23:26" x14ac:dyDescent="0.2">
      <c r="W3204" s="33"/>
      <c r="Y3204" s="33"/>
      <c r="Z3204" s="33"/>
    </row>
    <row r="3205" spans="23:26" x14ac:dyDescent="0.2">
      <c r="W3205" s="33"/>
      <c r="Y3205" s="33"/>
      <c r="Z3205" s="33"/>
    </row>
    <row r="3206" spans="23:26" x14ac:dyDescent="0.2">
      <c r="W3206" s="33"/>
      <c r="Y3206" s="33"/>
      <c r="Z3206" s="33"/>
    </row>
    <row r="3207" spans="23:26" x14ac:dyDescent="0.2">
      <c r="W3207" s="33"/>
      <c r="Y3207" s="33"/>
      <c r="Z3207" s="33"/>
    </row>
    <row r="3208" spans="23:26" x14ac:dyDescent="0.2">
      <c r="W3208" s="33"/>
      <c r="Y3208" s="33"/>
      <c r="Z3208" s="33"/>
    </row>
    <row r="3209" spans="23:26" x14ac:dyDescent="0.2">
      <c r="W3209" s="33"/>
      <c r="Y3209" s="33"/>
      <c r="Z3209" s="33"/>
    </row>
    <row r="3210" spans="23:26" x14ac:dyDescent="0.2">
      <c r="W3210" s="33"/>
      <c r="Y3210" s="33"/>
      <c r="Z3210" s="33"/>
    </row>
    <row r="3211" spans="23:26" x14ac:dyDescent="0.2">
      <c r="W3211" s="33"/>
      <c r="Y3211" s="33"/>
      <c r="Z3211" s="33"/>
    </row>
    <row r="3212" spans="23:26" x14ac:dyDescent="0.2">
      <c r="W3212" s="33"/>
      <c r="Y3212" s="33"/>
      <c r="Z3212" s="33"/>
    </row>
    <row r="3213" spans="23:26" x14ac:dyDescent="0.2">
      <c r="W3213" s="33"/>
      <c r="Y3213" s="33"/>
      <c r="Z3213" s="33"/>
    </row>
    <row r="3214" spans="23:26" x14ac:dyDescent="0.2">
      <c r="W3214" s="33"/>
      <c r="Y3214" s="33"/>
      <c r="Z3214" s="33"/>
    </row>
    <row r="3215" spans="23:26" x14ac:dyDescent="0.2">
      <c r="W3215" s="33"/>
      <c r="Y3215" s="33"/>
      <c r="Z3215" s="33"/>
    </row>
    <row r="3216" spans="23:26" x14ac:dyDescent="0.2">
      <c r="W3216" s="33"/>
      <c r="Y3216" s="33"/>
      <c r="Z3216" s="33"/>
    </row>
    <row r="3217" spans="23:26" x14ac:dyDescent="0.2">
      <c r="W3217" s="33"/>
      <c r="Y3217" s="33"/>
      <c r="Z3217" s="33"/>
    </row>
    <row r="3218" spans="23:26" x14ac:dyDescent="0.2">
      <c r="W3218" s="33"/>
      <c r="Y3218" s="33"/>
      <c r="Z3218" s="33"/>
    </row>
    <row r="3219" spans="23:26" x14ac:dyDescent="0.2">
      <c r="W3219" s="33"/>
      <c r="Y3219" s="33"/>
      <c r="Z3219" s="33"/>
    </row>
    <row r="3220" spans="23:26" x14ac:dyDescent="0.2">
      <c r="W3220" s="33"/>
      <c r="Y3220" s="33"/>
      <c r="Z3220" s="33"/>
    </row>
    <row r="3221" spans="23:26" x14ac:dyDescent="0.2">
      <c r="W3221" s="33"/>
      <c r="Y3221" s="33"/>
      <c r="Z3221" s="33"/>
    </row>
    <row r="3222" spans="23:26" x14ac:dyDescent="0.2">
      <c r="W3222" s="33"/>
      <c r="Y3222" s="33"/>
      <c r="Z3222" s="33"/>
    </row>
    <row r="3223" spans="23:26" x14ac:dyDescent="0.2">
      <c r="W3223" s="33"/>
      <c r="Y3223" s="33"/>
      <c r="Z3223" s="33"/>
    </row>
    <row r="3224" spans="23:26" x14ac:dyDescent="0.2">
      <c r="W3224" s="33"/>
      <c r="Y3224" s="33"/>
      <c r="Z3224" s="33"/>
    </row>
    <row r="3225" spans="23:26" x14ac:dyDescent="0.2">
      <c r="W3225" s="33"/>
      <c r="Y3225" s="33"/>
      <c r="Z3225" s="33"/>
    </row>
    <row r="3226" spans="23:26" x14ac:dyDescent="0.2">
      <c r="W3226" s="33"/>
      <c r="Y3226" s="33"/>
      <c r="Z3226" s="33"/>
    </row>
    <row r="3227" spans="23:26" x14ac:dyDescent="0.2">
      <c r="W3227" s="33"/>
      <c r="Y3227" s="33"/>
      <c r="Z3227" s="33"/>
    </row>
    <row r="3228" spans="23:26" x14ac:dyDescent="0.2">
      <c r="W3228" s="33"/>
      <c r="Y3228" s="33"/>
      <c r="Z3228" s="33"/>
    </row>
    <row r="3229" spans="23:26" x14ac:dyDescent="0.2">
      <c r="W3229" s="33"/>
      <c r="Y3229" s="33"/>
      <c r="Z3229" s="33"/>
    </row>
    <row r="3230" spans="23:26" x14ac:dyDescent="0.2">
      <c r="W3230" s="33"/>
      <c r="Y3230" s="33"/>
      <c r="Z3230" s="33"/>
    </row>
    <row r="3231" spans="23:26" x14ac:dyDescent="0.2">
      <c r="W3231" s="33"/>
      <c r="Y3231" s="33"/>
      <c r="Z3231" s="33"/>
    </row>
    <row r="3232" spans="23:26" x14ac:dyDescent="0.2">
      <c r="W3232" s="33"/>
      <c r="Y3232" s="33"/>
      <c r="Z3232" s="33"/>
    </row>
    <row r="3233" spans="23:26" x14ac:dyDescent="0.2">
      <c r="W3233" s="33"/>
      <c r="Y3233" s="33"/>
      <c r="Z3233" s="33"/>
    </row>
    <row r="3234" spans="23:26" x14ac:dyDescent="0.2">
      <c r="W3234" s="33"/>
      <c r="Y3234" s="33"/>
      <c r="Z3234" s="33"/>
    </row>
    <row r="3235" spans="23:26" x14ac:dyDescent="0.2">
      <c r="W3235" s="33"/>
      <c r="Y3235" s="33"/>
      <c r="Z3235" s="33"/>
    </row>
    <row r="3236" spans="23:26" x14ac:dyDescent="0.2">
      <c r="W3236" s="33"/>
      <c r="Y3236" s="33"/>
      <c r="Z3236" s="33"/>
    </row>
    <row r="3237" spans="23:26" x14ac:dyDescent="0.2">
      <c r="W3237" s="33"/>
      <c r="Y3237" s="33"/>
      <c r="Z3237" s="33"/>
    </row>
    <row r="3238" spans="23:26" x14ac:dyDescent="0.2">
      <c r="W3238" s="33"/>
      <c r="Y3238" s="33"/>
      <c r="Z3238" s="33"/>
    </row>
    <row r="3239" spans="23:26" x14ac:dyDescent="0.2">
      <c r="W3239" s="33"/>
      <c r="Y3239" s="33"/>
      <c r="Z3239" s="33"/>
    </row>
    <row r="3240" spans="23:26" x14ac:dyDescent="0.2">
      <c r="W3240" s="33"/>
      <c r="Y3240" s="33"/>
      <c r="Z3240" s="33"/>
    </row>
    <row r="3241" spans="23:26" x14ac:dyDescent="0.2">
      <c r="W3241" s="33"/>
      <c r="Y3241" s="33"/>
      <c r="Z3241" s="33"/>
    </row>
    <row r="3242" spans="23:26" x14ac:dyDescent="0.2">
      <c r="W3242" s="33"/>
      <c r="Y3242" s="33"/>
      <c r="Z3242" s="33"/>
    </row>
    <row r="3243" spans="23:26" x14ac:dyDescent="0.2">
      <c r="W3243" s="33"/>
      <c r="Y3243" s="33"/>
      <c r="Z3243" s="33"/>
    </row>
    <row r="3244" spans="23:26" x14ac:dyDescent="0.2">
      <c r="W3244" s="33"/>
      <c r="Y3244" s="33"/>
      <c r="Z3244" s="33"/>
    </row>
    <row r="3245" spans="23:26" x14ac:dyDescent="0.2">
      <c r="W3245" s="33"/>
      <c r="Y3245" s="33"/>
      <c r="Z3245" s="33"/>
    </row>
    <row r="3246" spans="23:26" x14ac:dyDescent="0.2">
      <c r="W3246" s="33"/>
      <c r="Y3246" s="33"/>
      <c r="Z3246" s="33"/>
    </row>
    <row r="3247" spans="23:26" x14ac:dyDescent="0.2">
      <c r="W3247" s="33"/>
      <c r="Y3247" s="33"/>
      <c r="Z3247" s="33"/>
    </row>
    <row r="3248" spans="23:26" x14ac:dyDescent="0.2">
      <c r="W3248" s="33"/>
      <c r="Y3248" s="33"/>
      <c r="Z3248" s="33"/>
    </row>
    <row r="3249" spans="23:26" x14ac:dyDescent="0.2">
      <c r="W3249" s="33"/>
      <c r="Y3249" s="33"/>
      <c r="Z3249" s="33"/>
    </row>
    <row r="3250" spans="23:26" x14ac:dyDescent="0.2">
      <c r="W3250" s="33"/>
      <c r="Y3250" s="33"/>
      <c r="Z3250" s="33"/>
    </row>
    <row r="3251" spans="23:26" x14ac:dyDescent="0.2">
      <c r="W3251" s="33"/>
      <c r="Y3251" s="33"/>
      <c r="Z3251" s="33"/>
    </row>
    <row r="3252" spans="23:26" x14ac:dyDescent="0.2">
      <c r="W3252" s="33"/>
      <c r="Y3252" s="33"/>
      <c r="Z3252" s="33"/>
    </row>
    <row r="3253" spans="23:26" x14ac:dyDescent="0.2">
      <c r="W3253" s="33"/>
      <c r="Y3253" s="33"/>
      <c r="Z3253" s="33"/>
    </row>
    <row r="3254" spans="23:26" x14ac:dyDescent="0.2">
      <c r="W3254" s="33"/>
      <c r="Y3254" s="33"/>
      <c r="Z3254" s="33"/>
    </row>
    <row r="3255" spans="23:26" x14ac:dyDescent="0.2">
      <c r="W3255" s="33"/>
      <c r="Y3255" s="33"/>
      <c r="Z3255" s="33"/>
    </row>
    <row r="3256" spans="23:26" x14ac:dyDescent="0.2">
      <c r="W3256" s="33"/>
      <c r="Y3256" s="33"/>
      <c r="Z3256" s="33"/>
    </row>
    <row r="3257" spans="23:26" x14ac:dyDescent="0.2">
      <c r="W3257" s="33"/>
      <c r="Y3257" s="33"/>
      <c r="Z3257" s="33"/>
    </row>
    <row r="3258" spans="23:26" x14ac:dyDescent="0.2">
      <c r="W3258" s="33"/>
      <c r="Y3258" s="33"/>
      <c r="Z3258" s="33"/>
    </row>
    <row r="3259" spans="23:26" x14ac:dyDescent="0.2">
      <c r="W3259" s="33"/>
      <c r="Y3259" s="33"/>
      <c r="Z3259" s="33"/>
    </row>
    <row r="3260" spans="23:26" x14ac:dyDescent="0.2">
      <c r="W3260" s="33"/>
      <c r="Y3260" s="33"/>
      <c r="Z3260" s="33"/>
    </row>
    <row r="3261" spans="23:26" x14ac:dyDescent="0.2">
      <c r="W3261" s="33"/>
      <c r="Y3261" s="33"/>
      <c r="Z3261" s="33"/>
    </row>
    <row r="3262" spans="23:26" x14ac:dyDescent="0.2">
      <c r="W3262" s="33"/>
      <c r="Y3262" s="33"/>
      <c r="Z3262" s="33"/>
    </row>
    <row r="3263" spans="23:26" x14ac:dyDescent="0.2">
      <c r="W3263" s="33"/>
      <c r="Y3263" s="33"/>
      <c r="Z3263" s="33"/>
    </row>
    <row r="3264" spans="23:26" x14ac:dyDescent="0.2">
      <c r="W3264" s="33"/>
      <c r="Y3264" s="33"/>
      <c r="Z3264" s="33"/>
    </row>
    <row r="3265" spans="23:26" x14ac:dyDescent="0.2">
      <c r="W3265" s="33"/>
      <c r="Y3265" s="33"/>
      <c r="Z3265" s="33"/>
    </row>
    <row r="3266" spans="23:26" x14ac:dyDescent="0.2">
      <c r="W3266" s="33"/>
      <c r="Y3266" s="33"/>
      <c r="Z3266" s="33"/>
    </row>
    <row r="3267" spans="23:26" x14ac:dyDescent="0.2">
      <c r="W3267" s="33"/>
      <c r="Y3267" s="33"/>
      <c r="Z3267" s="33"/>
    </row>
    <row r="3268" spans="23:26" x14ac:dyDescent="0.2">
      <c r="W3268" s="33"/>
      <c r="Y3268" s="33"/>
      <c r="Z3268" s="33"/>
    </row>
    <row r="3269" spans="23:26" x14ac:dyDescent="0.2">
      <c r="W3269" s="33"/>
      <c r="Y3269" s="33"/>
      <c r="Z3269" s="33"/>
    </row>
    <row r="3270" spans="23:26" x14ac:dyDescent="0.2">
      <c r="W3270" s="33"/>
      <c r="Y3270" s="33"/>
      <c r="Z3270" s="33"/>
    </row>
    <row r="3271" spans="23:26" x14ac:dyDescent="0.2">
      <c r="W3271" s="33"/>
      <c r="Y3271" s="33"/>
      <c r="Z3271" s="33"/>
    </row>
    <row r="3272" spans="23:26" x14ac:dyDescent="0.2">
      <c r="W3272" s="33"/>
      <c r="Y3272" s="33"/>
      <c r="Z3272" s="33"/>
    </row>
    <row r="3273" spans="23:26" x14ac:dyDescent="0.2">
      <c r="W3273" s="33"/>
      <c r="Y3273" s="33"/>
      <c r="Z3273" s="33"/>
    </row>
    <row r="3274" spans="23:26" x14ac:dyDescent="0.2">
      <c r="W3274" s="33"/>
      <c r="Y3274" s="33"/>
      <c r="Z3274" s="33"/>
    </row>
    <row r="3275" spans="23:26" x14ac:dyDescent="0.2">
      <c r="W3275" s="33"/>
      <c r="Y3275" s="33"/>
      <c r="Z3275" s="33"/>
    </row>
    <row r="3276" spans="23:26" x14ac:dyDescent="0.2">
      <c r="W3276" s="33"/>
      <c r="Y3276" s="33"/>
      <c r="Z3276" s="33"/>
    </row>
    <row r="3277" spans="23:26" x14ac:dyDescent="0.2">
      <c r="W3277" s="33"/>
      <c r="Y3277" s="33"/>
      <c r="Z3277" s="33"/>
    </row>
    <row r="3278" spans="23:26" x14ac:dyDescent="0.2">
      <c r="W3278" s="33"/>
      <c r="Y3278" s="33"/>
      <c r="Z3278" s="33"/>
    </row>
    <row r="3279" spans="23:26" x14ac:dyDescent="0.2">
      <c r="W3279" s="33"/>
      <c r="Y3279" s="33"/>
      <c r="Z3279" s="33"/>
    </row>
    <row r="3280" spans="23:26" x14ac:dyDescent="0.2">
      <c r="W3280" s="33"/>
      <c r="Y3280" s="33"/>
      <c r="Z3280" s="33"/>
    </row>
    <row r="3281" spans="23:26" x14ac:dyDescent="0.2">
      <c r="W3281" s="33"/>
      <c r="Y3281" s="33"/>
      <c r="Z3281" s="33"/>
    </row>
    <row r="3282" spans="23:26" x14ac:dyDescent="0.2">
      <c r="W3282" s="33"/>
      <c r="Y3282" s="33"/>
      <c r="Z3282" s="33"/>
    </row>
    <row r="3283" spans="23:26" x14ac:dyDescent="0.2">
      <c r="W3283" s="33"/>
      <c r="Y3283" s="33"/>
      <c r="Z3283" s="33"/>
    </row>
    <row r="3284" spans="23:26" x14ac:dyDescent="0.2">
      <c r="W3284" s="33"/>
      <c r="Y3284" s="33"/>
      <c r="Z3284" s="33"/>
    </row>
    <row r="3285" spans="23:26" x14ac:dyDescent="0.2">
      <c r="W3285" s="33"/>
      <c r="Y3285" s="33"/>
      <c r="Z3285" s="33"/>
    </row>
    <row r="3286" spans="23:26" x14ac:dyDescent="0.2">
      <c r="W3286" s="33"/>
      <c r="Y3286" s="33"/>
      <c r="Z3286" s="33"/>
    </row>
    <row r="3287" spans="23:26" x14ac:dyDescent="0.2">
      <c r="W3287" s="33"/>
      <c r="Y3287" s="33"/>
      <c r="Z3287" s="33"/>
    </row>
    <row r="3288" spans="23:26" x14ac:dyDescent="0.2">
      <c r="W3288" s="33"/>
      <c r="Y3288" s="33"/>
      <c r="Z3288" s="33"/>
    </row>
    <row r="3289" spans="23:26" x14ac:dyDescent="0.2">
      <c r="W3289" s="33"/>
      <c r="Y3289" s="33"/>
      <c r="Z3289" s="33"/>
    </row>
    <row r="3290" spans="23:26" x14ac:dyDescent="0.2">
      <c r="W3290" s="33"/>
      <c r="Y3290" s="33"/>
      <c r="Z3290" s="33"/>
    </row>
    <row r="3291" spans="23:26" x14ac:dyDescent="0.2">
      <c r="W3291" s="33"/>
      <c r="Y3291" s="33"/>
      <c r="Z3291" s="33"/>
    </row>
    <row r="3292" spans="23:26" x14ac:dyDescent="0.2">
      <c r="W3292" s="33"/>
      <c r="Y3292" s="33"/>
      <c r="Z3292" s="33"/>
    </row>
    <row r="3293" spans="23:26" x14ac:dyDescent="0.2">
      <c r="W3293" s="33"/>
      <c r="Y3293" s="33"/>
      <c r="Z3293" s="33"/>
    </row>
    <row r="3294" spans="23:26" x14ac:dyDescent="0.2">
      <c r="W3294" s="33"/>
      <c r="Y3294" s="33"/>
      <c r="Z3294" s="33"/>
    </row>
    <row r="3295" spans="23:26" x14ac:dyDescent="0.2">
      <c r="W3295" s="33"/>
      <c r="Y3295" s="33"/>
      <c r="Z3295" s="33"/>
    </row>
    <row r="3296" spans="23:26" x14ac:dyDescent="0.2">
      <c r="W3296" s="33"/>
      <c r="Y3296" s="33"/>
      <c r="Z3296" s="33"/>
    </row>
    <row r="3297" spans="23:26" x14ac:dyDescent="0.2">
      <c r="W3297" s="33"/>
      <c r="Y3297" s="33"/>
      <c r="Z3297" s="33"/>
    </row>
    <row r="3298" spans="23:26" x14ac:dyDescent="0.2">
      <c r="W3298" s="33"/>
      <c r="Y3298" s="33"/>
      <c r="Z3298" s="33"/>
    </row>
    <row r="3299" spans="23:26" x14ac:dyDescent="0.2">
      <c r="W3299" s="33"/>
      <c r="Y3299" s="33"/>
      <c r="Z3299" s="33"/>
    </row>
    <row r="3300" spans="23:26" x14ac:dyDescent="0.2">
      <c r="W3300" s="33"/>
      <c r="Y3300" s="33"/>
      <c r="Z3300" s="33"/>
    </row>
    <row r="3301" spans="23:26" x14ac:dyDescent="0.2">
      <c r="W3301" s="33"/>
      <c r="Y3301" s="33"/>
      <c r="Z3301" s="33"/>
    </row>
    <row r="3302" spans="23:26" x14ac:dyDescent="0.2">
      <c r="W3302" s="33"/>
      <c r="Y3302" s="33"/>
      <c r="Z3302" s="33"/>
    </row>
    <row r="3303" spans="23:26" x14ac:dyDescent="0.2">
      <c r="W3303" s="33"/>
      <c r="Y3303" s="33"/>
      <c r="Z3303" s="33"/>
    </row>
    <row r="3304" spans="23:26" x14ac:dyDescent="0.2">
      <c r="W3304" s="33"/>
      <c r="Y3304" s="33"/>
      <c r="Z3304" s="33"/>
    </row>
    <row r="3305" spans="23:26" x14ac:dyDescent="0.2">
      <c r="W3305" s="33"/>
      <c r="Y3305" s="33"/>
      <c r="Z3305" s="33"/>
    </row>
    <row r="3306" spans="23:26" x14ac:dyDescent="0.2">
      <c r="W3306" s="33"/>
      <c r="Y3306" s="33"/>
      <c r="Z3306" s="33"/>
    </row>
    <row r="3307" spans="23:26" x14ac:dyDescent="0.2">
      <c r="W3307" s="33"/>
      <c r="Y3307" s="33"/>
      <c r="Z3307" s="33"/>
    </row>
    <row r="3308" spans="23:26" x14ac:dyDescent="0.2">
      <c r="W3308" s="33"/>
      <c r="Y3308" s="33"/>
      <c r="Z3308" s="33"/>
    </row>
    <row r="3309" spans="23:26" x14ac:dyDescent="0.2">
      <c r="W3309" s="33"/>
      <c r="Y3309" s="33"/>
      <c r="Z3309" s="33"/>
    </row>
    <row r="3310" spans="23:26" x14ac:dyDescent="0.2">
      <c r="W3310" s="33"/>
      <c r="Y3310" s="33"/>
      <c r="Z3310" s="33"/>
    </row>
    <row r="3311" spans="23:26" x14ac:dyDescent="0.2">
      <c r="W3311" s="33"/>
      <c r="Y3311" s="33"/>
      <c r="Z3311" s="33"/>
    </row>
    <row r="3312" spans="23:26" x14ac:dyDescent="0.2">
      <c r="W3312" s="33"/>
      <c r="Y3312" s="33"/>
      <c r="Z3312" s="33"/>
    </row>
    <row r="3313" spans="23:26" x14ac:dyDescent="0.2">
      <c r="W3313" s="33"/>
      <c r="Y3313" s="33"/>
      <c r="Z3313" s="33"/>
    </row>
    <row r="3314" spans="23:26" x14ac:dyDescent="0.2">
      <c r="W3314" s="33"/>
      <c r="Y3314" s="33"/>
      <c r="Z3314" s="33"/>
    </row>
    <row r="3315" spans="23:26" x14ac:dyDescent="0.2">
      <c r="W3315" s="33"/>
      <c r="Y3315" s="33"/>
      <c r="Z3315" s="33"/>
    </row>
    <row r="3316" spans="23:26" x14ac:dyDescent="0.2">
      <c r="W3316" s="33"/>
      <c r="Y3316" s="33"/>
      <c r="Z3316" s="33"/>
    </row>
    <row r="3317" spans="23:26" x14ac:dyDescent="0.2">
      <c r="W3317" s="33"/>
      <c r="Y3317" s="33"/>
      <c r="Z3317" s="33"/>
    </row>
    <row r="3318" spans="23:26" x14ac:dyDescent="0.2">
      <c r="W3318" s="33"/>
      <c r="Y3318" s="33"/>
      <c r="Z3318" s="33"/>
    </row>
    <row r="3319" spans="23:26" x14ac:dyDescent="0.2">
      <c r="W3319" s="33"/>
      <c r="Y3319" s="33"/>
      <c r="Z3319" s="33"/>
    </row>
    <row r="3320" spans="23:26" x14ac:dyDescent="0.2">
      <c r="W3320" s="33"/>
      <c r="Y3320" s="33"/>
      <c r="Z3320" s="33"/>
    </row>
    <row r="3321" spans="23:26" x14ac:dyDescent="0.2">
      <c r="W3321" s="33"/>
      <c r="Y3321" s="33"/>
      <c r="Z3321" s="33"/>
    </row>
    <row r="3322" spans="23:26" x14ac:dyDescent="0.2">
      <c r="W3322" s="33"/>
      <c r="Y3322" s="33"/>
      <c r="Z3322" s="33"/>
    </row>
    <row r="3323" spans="23:26" x14ac:dyDescent="0.2">
      <c r="W3323" s="33"/>
      <c r="Y3323" s="33"/>
      <c r="Z3323" s="33"/>
    </row>
    <row r="3324" spans="23:26" x14ac:dyDescent="0.2">
      <c r="W3324" s="33"/>
      <c r="Y3324" s="33"/>
      <c r="Z3324" s="33"/>
    </row>
    <row r="3325" spans="23:26" x14ac:dyDescent="0.2">
      <c r="W3325" s="33"/>
      <c r="Y3325" s="33"/>
      <c r="Z3325" s="33"/>
    </row>
    <row r="3326" spans="23:26" x14ac:dyDescent="0.2">
      <c r="W3326" s="33"/>
      <c r="Y3326" s="33"/>
      <c r="Z3326" s="33"/>
    </row>
    <row r="3327" spans="23:26" x14ac:dyDescent="0.2">
      <c r="W3327" s="33"/>
      <c r="Y3327" s="33"/>
      <c r="Z3327" s="33"/>
    </row>
    <row r="3328" spans="23:26" x14ac:dyDescent="0.2">
      <c r="W3328" s="33"/>
      <c r="Y3328" s="33"/>
      <c r="Z3328" s="33"/>
    </row>
    <row r="3329" spans="23:26" x14ac:dyDescent="0.2">
      <c r="W3329" s="33"/>
      <c r="Y3329" s="33"/>
      <c r="Z3329" s="33"/>
    </row>
    <row r="3330" spans="23:26" x14ac:dyDescent="0.2">
      <c r="W3330" s="33"/>
      <c r="Y3330" s="33"/>
      <c r="Z3330" s="33"/>
    </row>
    <row r="3331" spans="23:26" x14ac:dyDescent="0.2">
      <c r="W3331" s="33"/>
      <c r="Y3331" s="33"/>
      <c r="Z3331" s="33"/>
    </row>
    <row r="3332" spans="23:26" x14ac:dyDescent="0.2">
      <c r="W3332" s="33"/>
      <c r="Y3332" s="33"/>
      <c r="Z3332" s="33"/>
    </row>
    <row r="3333" spans="23:26" x14ac:dyDescent="0.2">
      <c r="W3333" s="33"/>
      <c r="Y3333" s="33"/>
      <c r="Z3333" s="33"/>
    </row>
    <row r="3334" spans="23:26" x14ac:dyDescent="0.2">
      <c r="W3334" s="33"/>
      <c r="Y3334" s="33"/>
      <c r="Z3334" s="33"/>
    </row>
    <row r="3335" spans="23:26" x14ac:dyDescent="0.2">
      <c r="W3335" s="33"/>
      <c r="Y3335" s="33"/>
      <c r="Z3335" s="33"/>
    </row>
    <row r="3336" spans="23:26" x14ac:dyDescent="0.2">
      <c r="W3336" s="33"/>
      <c r="Y3336" s="33"/>
      <c r="Z3336" s="33"/>
    </row>
    <row r="3337" spans="23:26" x14ac:dyDescent="0.2">
      <c r="W3337" s="33"/>
      <c r="Y3337" s="33"/>
      <c r="Z3337" s="33"/>
    </row>
    <row r="3338" spans="23:26" x14ac:dyDescent="0.2">
      <c r="W3338" s="33"/>
      <c r="Y3338" s="33"/>
      <c r="Z3338" s="33"/>
    </row>
    <row r="3339" spans="23:26" x14ac:dyDescent="0.2">
      <c r="W3339" s="33"/>
      <c r="Y3339" s="33"/>
      <c r="Z3339" s="33"/>
    </row>
    <row r="3340" spans="23:26" x14ac:dyDescent="0.2">
      <c r="W3340" s="33"/>
      <c r="Y3340" s="33"/>
      <c r="Z3340" s="33"/>
    </row>
    <row r="3341" spans="23:26" x14ac:dyDescent="0.2">
      <c r="W3341" s="33"/>
      <c r="Y3341" s="33"/>
      <c r="Z3341" s="33"/>
    </row>
    <row r="3342" spans="23:26" x14ac:dyDescent="0.2">
      <c r="W3342" s="33"/>
      <c r="Y3342" s="33"/>
      <c r="Z3342" s="33"/>
    </row>
    <row r="3343" spans="23:26" x14ac:dyDescent="0.2">
      <c r="W3343" s="33"/>
      <c r="Y3343" s="33"/>
      <c r="Z3343" s="33"/>
    </row>
    <row r="3344" spans="23:26" x14ac:dyDescent="0.2">
      <c r="W3344" s="33"/>
      <c r="Y3344" s="33"/>
      <c r="Z3344" s="33"/>
    </row>
    <row r="3345" spans="23:26" x14ac:dyDescent="0.2">
      <c r="W3345" s="33"/>
      <c r="Y3345" s="33"/>
      <c r="Z3345" s="33"/>
    </row>
    <row r="3346" spans="23:26" x14ac:dyDescent="0.2">
      <c r="W3346" s="33"/>
      <c r="Y3346" s="33"/>
      <c r="Z3346" s="33"/>
    </row>
    <row r="3347" spans="23:26" x14ac:dyDescent="0.2">
      <c r="W3347" s="33"/>
      <c r="Y3347" s="33"/>
      <c r="Z3347" s="33"/>
    </row>
    <row r="3348" spans="23:26" x14ac:dyDescent="0.2">
      <c r="W3348" s="33"/>
      <c r="Y3348" s="33"/>
      <c r="Z3348" s="33"/>
    </row>
    <row r="3349" spans="23:26" x14ac:dyDescent="0.2">
      <c r="W3349" s="33"/>
      <c r="Y3349" s="33"/>
      <c r="Z3349" s="33"/>
    </row>
    <row r="3350" spans="23:26" x14ac:dyDescent="0.2">
      <c r="W3350" s="33"/>
      <c r="Y3350" s="33"/>
      <c r="Z3350" s="33"/>
    </row>
    <row r="3351" spans="23:26" x14ac:dyDescent="0.2">
      <c r="W3351" s="33"/>
      <c r="Y3351" s="33"/>
      <c r="Z3351" s="33"/>
    </row>
    <row r="3352" spans="23:26" x14ac:dyDescent="0.2">
      <c r="W3352" s="33"/>
      <c r="Y3352" s="33"/>
      <c r="Z3352" s="33"/>
    </row>
    <row r="3353" spans="23:26" x14ac:dyDescent="0.2">
      <c r="W3353" s="33"/>
      <c r="Y3353" s="33"/>
      <c r="Z3353" s="33"/>
    </row>
    <row r="3354" spans="23:26" x14ac:dyDescent="0.2">
      <c r="W3354" s="33"/>
      <c r="Y3354" s="33"/>
      <c r="Z3354" s="33"/>
    </row>
    <row r="3355" spans="23:26" x14ac:dyDescent="0.2">
      <c r="W3355" s="33"/>
      <c r="Y3355" s="33"/>
      <c r="Z3355" s="33"/>
    </row>
    <row r="3356" spans="23:26" x14ac:dyDescent="0.2">
      <c r="W3356" s="33"/>
      <c r="Y3356" s="33"/>
      <c r="Z3356" s="33"/>
    </row>
    <row r="3357" spans="23:26" x14ac:dyDescent="0.2">
      <c r="W3357" s="33"/>
      <c r="Y3357" s="33"/>
      <c r="Z3357" s="33"/>
    </row>
    <row r="3358" spans="23:26" x14ac:dyDescent="0.2">
      <c r="W3358" s="33"/>
      <c r="Y3358" s="33"/>
      <c r="Z3358" s="33"/>
    </row>
    <row r="3359" spans="23:26" x14ac:dyDescent="0.2">
      <c r="W3359" s="33"/>
      <c r="Y3359" s="33"/>
      <c r="Z3359" s="33"/>
    </row>
    <row r="3360" spans="23:26" x14ac:dyDescent="0.2">
      <c r="W3360" s="33"/>
      <c r="Y3360" s="33"/>
      <c r="Z3360" s="33"/>
    </row>
    <row r="3361" spans="23:26" x14ac:dyDescent="0.2">
      <c r="W3361" s="33"/>
      <c r="Y3361" s="33"/>
      <c r="Z3361" s="33"/>
    </row>
    <row r="3362" spans="23:26" x14ac:dyDescent="0.2">
      <c r="W3362" s="33"/>
      <c r="Y3362" s="33"/>
      <c r="Z3362" s="33"/>
    </row>
    <row r="3363" spans="23:26" x14ac:dyDescent="0.2">
      <c r="W3363" s="33"/>
      <c r="Y3363" s="33"/>
      <c r="Z3363" s="33"/>
    </row>
    <row r="3364" spans="23:26" x14ac:dyDescent="0.2">
      <c r="W3364" s="33"/>
      <c r="Y3364" s="33"/>
      <c r="Z3364" s="33"/>
    </row>
    <row r="3365" spans="23:26" x14ac:dyDescent="0.2">
      <c r="W3365" s="33"/>
      <c r="Y3365" s="33"/>
      <c r="Z3365" s="33"/>
    </row>
    <row r="3366" spans="23:26" x14ac:dyDescent="0.2">
      <c r="W3366" s="33"/>
      <c r="Y3366" s="33"/>
      <c r="Z3366" s="33"/>
    </row>
    <row r="3367" spans="23:26" x14ac:dyDescent="0.2">
      <c r="W3367" s="33"/>
      <c r="Y3367" s="33"/>
      <c r="Z3367" s="33"/>
    </row>
    <row r="3368" spans="23:26" x14ac:dyDescent="0.2">
      <c r="W3368" s="33"/>
      <c r="Y3368" s="33"/>
      <c r="Z3368" s="33"/>
    </row>
    <row r="3369" spans="23:26" x14ac:dyDescent="0.2">
      <c r="W3369" s="33"/>
      <c r="Y3369" s="33"/>
      <c r="Z3369" s="33"/>
    </row>
    <row r="3370" spans="23:26" x14ac:dyDescent="0.2">
      <c r="W3370" s="33"/>
      <c r="Y3370" s="33"/>
      <c r="Z3370" s="33"/>
    </row>
    <row r="3371" spans="23:26" x14ac:dyDescent="0.2">
      <c r="W3371" s="33"/>
      <c r="Y3371" s="33"/>
      <c r="Z3371" s="33"/>
    </row>
    <row r="3372" spans="23:26" x14ac:dyDescent="0.2">
      <c r="W3372" s="33"/>
      <c r="Y3372" s="33"/>
      <c r="Z3372" s="33"/>
    </row>
    <row r="3373" spans="23:26" x14ac:dyDescent="0.2">
      <c r="W3373" s="33"/>
      <c r="Y3373" s="33"/>
      <c r="Z3373" s="33"/>
    </row>
    <row r="3374" spans="23:26" x14ac:dyDescent="0.2">
      <c r="W3374" s="33"/>
      <c r="Y3374" s="33"/>
      <c r="Z3374" s="33"/>
    </row>
    <row r="3375" spans="23:26" x14ac:dyDescent="0.2">
      <c r="W3375" s="33"/>
      <c r="Y3375" s="33"/>
      <c r="Z3375" s="33"/>
    </row>
    <row r="3376" spans="23:26" x14ac:dyDescent="0.2">
      <c r="W3376" s="33"/>
      <c r="Y3376" s="33"/>
      <c r="Z3376" s="33"/>
    </row>
    <row r="3377" spans="23:26" x14ac:dyDescent="0.2">
      <c r="W3377" s="33"/>
      <c r="Y3377" s="33"/>
      <c r="Z3377" s="33"/>
    </row>
    <row r="3378" spans="23:26" x14ac:dyDescent="0.2">
      <c r="W3378" s="33"/>
      <c r="Y3378" s="33"/>
      <c r="Z3378" s="33"/>
    </row>
    <row r="3379" spans="23:26" x14ac:dyDescent="0.2">
      <c r="W3379" s="33"/>
      <c r="Y3379" s="33"/>
      <c r="Z3379" s="33"/>
    </row>
    <row r="3380" spans="23:26" x14ac:dyDescent="0.2">
      <c r="W3380" s="33"/>
      <c r="Y3380" s="33"/>
      <c r="Z3380" s="33"/>
    </row>
    <row r="3381" spans="23:26" x14ac:dyDescent="0.2">
      <c r="W3381" s="33"/>
      <c r="Y3381" s="33"/>
      <c r="Z3381" s="33"/>
    </row>
    <row r="3382" spans="23:26" x14ac:dyDescent="0.2">
      <c r="W3382" s="33"/>
      <c r="Y3382" s="33"/>
      <c r="Z3382" s="33"/>
    </row>
    <row r="3383" spans="23:26" x14ac:dyDescent="0.2">
      <c r="W3383" s="33"/>
      <c r="Y3383" s="33"/>
      <c r="Z3383" s="33"/>
    </row>
    <row r="3384" spans="23:26" x14ac:dyDescent="0.2">
      <c r="W3384" s="33"/>
      <c r="Y3384" s="33"/>
      <c r="Z3384" s="33"/>
    </row>
    <row r="3385" spans="23:26" x14ac:dyDescent="0.2">
      <c r="W3385" s="33"/>
      <c r="Y3385" s="33"/>
      <c r="Z3385" s="33"/>
    </row>
    <row r="3386" spans="23:26" x14ac:dyDescent="0.2">
      <c r="W3386" s="33"/>
      <c r="Y3386" s="33"/>
      <c r="Z3386" s="33"/>
    </row>
    <row r="3387" spans="23:26" x14ac:dyDescent="0.2">
      <c r="W3387" s="33"/>
      <c r="Y3387" s="33"/>
      <c r="Z3387" s="33"/>
    </row>
    <row r="3388" spans="23:26" x14ac:dyDescent="0.2">
      <c r="W3388" s="33"/>
      <c r="Y3388" s="33"/>
      <c r="Z3388" s="33"/>
    </row>
    <row r="3389" spans="23:26" x14ac:dyDescent="0.2">
      <c r="W3389" s="33"/>
      <c r="Y3389" s="33"/>
      <c r="Z3389" s="33"/>
    </row>
    <row r="3390" spans="23:26" x14ac:dyDescent="0.2">
      <c r="W3390" s="33"/>
      <c r="Y3390" s="33"/>
      <c r="Z3390" s="33"/>
    </row>
    <row r="3391" spans="23:26" x14ac:dyDescent="0.2">
      <c r="W3391" s="33"/>
      <c r="Y3391" s="33"/>
      <c r="Z3391" s="33"/>
    </row>
    <row r="3392" spans="23:26" x14ac:dyDescent="0.2">
      <c r="W3392" s="33"/>
      <c r="Y3392" s="33"/>
      <c r="Z3392" s="33"/>
    </row>
    <row r="3393" spans="23:26" x14ac:dyDescent="0.2">
      <c r="W3393" s="33"/>
      <c r="Y3393" s="33"/>
      <c r="Z3393" s="33"/>
    </row>
    <row r="3394" spans="23:26" x14ac:dyDescent="0.2">
      <c r="W3394" s="33"/>
      <c r="Y3394" s="33"/>
      <c r="Z3394" s="33"/>
    </row>
    <row r="3395" spans="23:26" x14ac:dyDescent="0.2">
      <c r="W3395" s="33"/>
      <c r="Y3395" s="33"/>
      <c r="Z3395" s="33"/>
    </row>
    <row r="3396" spans="23:26" x14ac:dyDescent="0.2">
      <c r="W3396" s="33"/>
      <c r="Y3396" s="33"/>
      <c r="Z3396" s="33"/>
    </row>
    <row r="3397" spans="23:26" x14ac:dyDescent="0.2">
      <c r="W3397" s="33"/>
      <c r="Y3397" s="33"/>
      <c r="Z3397" s="33"/>
    </row>
    <row r="3398" spans="23:26" x14ac:dyDescent="0.2">
      <c r="W3398" s="33"/>
      <c r="Y3398" s="33"/>
      <c r="Z3398" s="33"/>
    </row>
    <row r="3399" spans="23:26" x14ac:dyDescent="0.2">
      <c r="W3399" s="33"/>
      <c r="Y3399" s="33"/>
      <c r="Z3399" s="33"/>
    </row>
    <row r="3400" spans="23:26" x14ac:dyDescent="0.2">
      <c r="W3400" s="33"/>
      <c r="Y3400" s="33"/>
      <c r="Z3400" s="33"/>
    </row>
    <row r="3401" spans="23:26" x14ac:dyDescent="0.2">
      <c r="W3401" s="33"/>
      <c r="Y3401" s="33"/>
      <c r="Z3401" s="33"/>
    </row>
    <row r="3402" spans="23:26" x14ac:dyDescent="0.2">
      <c r="W3402" s="33"/>
      <c r="Y3402" s="33"/>
      <c r="Z3402" s="33"/>
    </row>
    <row r="3403" spans="23:26" x14ac:dyDescent="0.2">
      <c r="W3403" s="33"/>
      <c r="Y3403" s="33"/>
      <c r="Z3403" s="33"/>
    </row>
    <row r="3404" spans="23:26" x14ac:dyDescent="0.2">
      <c r="W3404" s="33"/>
      <c r="Y3404" s="33"/>
      <c r="Z3404" s="33"/>
    </row>
    <row r="3405" spans="23:26" x14ac:dyDescent="0.2">
      <c r="W3405" s="33"/>
      <c r="Y3405" s="33"/>
      <c r="Z3405" s="33"/>
    </row>
    <row r="3406" spans="23:26" x14ac:dyDescent="0.2">
      <c r="W3406" s="33"/>
      <c r="Y3406" s="33"/>
      <c r="Z3406" s="33"/>
    </row>
    <row r="3407" spans="23:26" x14ac:dyDescent="0.2">
      <c r="W3407" s="33"/>
      <c r="Y3407" s="33"/>
      <c r="Z3407" s="33"/>
    </row>
    <row r="3408" spans="23:26" x14ac:dyDescent="0.2">
      <c r="W3408" s="33"/>
      <c r="Y3408" s="33"/>
      <c r="Z3408" s="33"/>
    </row>
    <row r="3409" spans="23:26" x14ac:dyDescent="0.2">
      <c r="W3409" s="33"/>
      <c r="Y3409" s="33"/>
      <c r="Z3409" s="33"/>
    </row>
    <row r="3410" spans="23:26" x14ac:dyDescent="0.2">
      <c r="W3410" s="33"/>
      <c r="Y3410" s="33"/>
      <c r="Z3410" s="33"/>
    </row>
    <row r="3411" spans="23:26" x14ac:dyDescent="0.2">
      <c r="W3411" s="33"/>
      <c r="Y3411" s="33"/>
      <c r="Z3411" s="33"/>
    </row>
    <row r="3412" spans="23:26" x14ac:dyDescent="0.2">
      <c r="W3412" s="33"/>
      <c r="Y3412" s="33"/>
      <c r="Z3412" s="33"/>
    </row>
    <row r="3413" spans="23:26" x14ac:dyDescent="0.2">
      <c r="W3413" s="33"/>
      <c r="Y3413" s="33"/>
      <c r="Z3413" s="33"/>
    </row>
    <row r="3414" spans="23:26" x14ac:dyDescent="0.2">
      <c r="W3414" s="33"/>
      <c r="Y3414" s="33"/>
      <c r="Z3414" s="33"/>
    </row>
    <row r="3415" spans="23:26" x14ac:dyDescent="0.2">
      <c r="W3415" s="33"/>
      <c r="Y3415" s="33"/>
      <c r="Z3415" s="33"/>
    </row>
    <row r="3416" spans="23:26" x14ac:dyDescent="0.2">
      <c r="W3416" s="33"/>
      <c r="Y3416" s="33"/>
      <c r="Z3416" s="33"/>
    </row>
    <row r="3417" spans="23:26" x14ac:dyDescent="0.2">
      <c r="W3417" s="33"/>
      <c r="Y3417" s="33"/>
      <c r="Z3417" s="33"/>
    </row>
    <row r="3418" spans="23:26" x14ac:dyDescent="0.2">
      <c r="W3418" s="33"/>
      <c r="Y3418" s="33"/>
      <c r="Z3418" s="33"/>
    </row>
    <row r="3419" spans="23:26" x14ac:dyDescent="0.2">
      <c r="W3419" s="33"/>
      <c r="Y3419" s="33"/>
      <c r="Z3419" s="33"/>
    </row>
    <row r="3420" spans="23:26" x14ac:dyDescent="0.2">
      <c r="W3420" s="33"/>
      <c r="Y3420" s="33"/>
      <c r="Z3420" s="33"/>
    </row>
    <row r="3421" spans="23:26" x14ac:dyDescent="0.2">
      <c r="W3421" s="33"/>
      <c r="Y3421" s="33"/>
      <c r="Z3421" s="33"/>
    </row>
    <row r="3422" spans="23:26" x14ac:dyDescent="0.2">
      <c r="W3422" s="33"/>
      <c r="Y3422" s="33"/>
      <c r="Z3422" s="33"/>
    </row>
    <row r="3423" spans="23:26" x14ac:dyDescent="0.2">
      <c r="W3423" s="33"/>
      <c r="Y3423" s="33"/>
      <c r="Z3423" s="33"/>
    </row>
    <row r="3424" spans="23:26" x14ac:dyDescent="0.2">
      <c r="W3424" s="33"/>
      <c r="Y3424" s="33"/>
      <c r="Z3424" s="33"/>
    </row>
    <row r="3425" spans="23:26" x14ac:dyDescent="0.2">
      <c r="W3425" s="33"/>
      <c r="Y3425" s="33"/>
      <c r="Z3425" s="33"/>
    </row>
    <row r="3426" spans="23:26" x14ac:dyDescent="0.2">
      <c r="W3426" s="33"/>
      <c r="Y3426" s="33"/>
      <c r="Z3426" s="33"/>
    </row>
    <row r="3427" spans="23:26" x14ac:dyDescent="0.2">
      <c r="W3427" s="33"/>
      <c r="Y3427" s="33"/>
      <c r="Z3427" s="33"/>
    </row>
    <row r="3428" spans="23:26" x14ac:dyDescent="0.2">
      <c r="W3428" s="33"/>
      <c r="Y3428" s="33"/>
      <c r="Z3428" s="33"/>
    </row>
    <row r="3429" spans="23:26" x14ac:dyDescent="0.2">
      <c r="W3429" s="33"/>
      <c r="Y3429" s="33"/>
      <c r="Z3429" s="33"/>
    </row>
    <row r="3430" spans="23:26" x14ac:dyDescent="0.2">
      <c r="W3430" s="33"/>
      <c r="Y3430" s="33"/>
      <c r="Z3430" s="33"/>
    </row>
    <row r="3431" spans="23:26" x14ac:dyDescent="0.2">
      <c r="W3431" s="33"/>
      <c r="Y3431" s="33"/>
      <c r="Z3431" s="33"/>
    </row>
    <row r="3432" spans="23:26" x14ac:dyDescent="0.2">
      <c r="W3432" s="33"/>
      <c r="Y3432" s="33"/>
      <c r="Z3432" s="33"/>
    </row>
    <row r="3433" spans="23:26" x14ac:dyDescent="0.2">
      <c r="W3433" s="33"/>
      <c r="Y3433" s="33"/>
      <c r="Z3433" s="33"/>
    </row>
    <row r="3434" spans="23:26" x14ac:dyDescent="0.2">
      <c r="W3434" s="33"/>
      <c r="Y3434" s="33"/>
      <c r="Z3434" s="33"/>
    </row>
    <row r="3435" spans="23:26" x14ac:dyDescent="0.2">
      <c r="W3435" s="33"/>
      <c r="Y3435" s="33"/>
      <c r="Z3435" s="33"/>
    </row>
    <row r="3436" spans="23:26" x14ac:dyDescent="0.2">
      <c r="W3436" s="33"/>
      <c r="Y3436" s="33"/>
      <c r="Z3436" s="33"/>
    </row>
    <row r="3437" spans="23:26" x14ac:dyDescent="0.2">
      <c r="W3437" s="33"/>
      <c r="Y3437" s="33"/>
      <c r="Z3437" s="33"/>
    </row>
    <row r="3438" spans="23:26" x14ac:dyDescent="0.2">
      <c r="W3438" s="33"/>
      <c r="Y3438" s="33"/>
      <c r="Z3438" s="33"/>
    </row>
    <row r="3439" spans="23:26" x14ac:dyDescent="0.2">
      <c r="W3439" s="33"/>
      <c r="Y3439" s="33"/>
      <c r="Z3439" s="33"/>
    </row>
    <row r="3440" spans="23:26" x14ac:dyDescent="0.2">
      <c r="W3440" s="33"/>
      <c r="Y3440" s="33"/>
      <c r="Z3440" s="33"/>
    </row>
    <row r="3441" spans="23:26" x14ac:dyDescent="0.2">
      <c r="W3441" s="33"/>
      <c r="Y3441" s="33"/>
      <c r="Z3441" s="33"/>
    </row>
    <row r="3442" spans="23:26" x14ac:dyDescent="0.2">
      <c r="W3442" s="33"/>
      <c r="Y3442" s="33"/>
      <c r="Z3442" s="33"/>
    </row>
    <row r="3443" spans="23:26" x14ac:dyDescent="0.2">
      <c r="W3443" s="33"/>
      <c r="Y3443" s="33"/>
      <c r="Z3443" s="33"/>
    </row>
    <row r="3444" spans="23:26" x14ac:dyDescent="0.2">
      <c r="W3444" s="33"/>
      <c r="Y3444" s="33"/>
      <c r="Z3444" s="33"/>
    </row>
    <row r="3445" spans="23:26" x14ac:dyDescent="0.2">
      <c r="W3445" s="33"/>
      <c r="Y3445" s="33"/>
      <c r="Z3445" s="33"/>
    </row>
    <row r="3446" spans="23:26" x14ac:dyDescent="0.2">
      <c r="W3446" s="33"/>
      <c r="Y3446" s="33"/>
      <c r="Z3446" s="33"/>
    </row>
    <row r="3447" spans="23:26" x14ac:dyDescent="0.2">
      <c r="W3447" s="33"/>
      <c r="Y3447" s="33"/>
      <c r="Z3447" s="33"/>
    </row>
    <row r="3448" spans="23:26" x14ac:dyDescent="0.2">
      <c r="W3448" s="33"/>
      <c r="Y3448" s="33"/>
      <c r="Z3448" s="33"/>
    </row>
    <row r="3449" spans="23:26" x14ac:dyDescent="0.2">
      <c r="W3449" s="33"/>
      <c r="Y3449" s="33"/>
      <c r="Z3449" s="33"/>
    </row>
    <row r="3450" spans="23:26" x14ac:dyDescent="0.2">
      <c r="W3450" s="33"/>
      <c r="Y3450" s="33"/>
      <c r="Z3450" s="33"/>
    </row>
    <row r="3451" spans="23:26" x14ac:dyDescent="0.2">
      <c r="W3451" s="33"/>
      <c r="Y3451" s="33"/>
      <c r="Z3451" s="33"/>
    </row>
    <row r="3452" spans="23:26" x14ac:dyDescent="0.2">
      <c r="W3452" s="33"/>
      <c r="Y3452" s="33"/>
      <c r="Z3452" s="33"/>
    </row>
    <row r="3453" spans="23:26" x14ac:dyDescent="0.2">
      <c r="W3453" s="33"/>
      <c r="Y3453" s="33"/>
      <c r="Z3453" s="33"/>
    </row>
    <row r="3454" spans="23:26" x14ac:dyDescent="0.2">
      <c r="W3454" s="33"/>
      <c r="Y3454" s="33"/>
      <c r="Z3454" s="33"/>
    </row>
    <row r="3455" spans="23:26" x14ac:dyDescent="0.2">
      <c r="W3455" s="33"/>
      <c r="Y3455" s="33"/>
      <c r="Z3455" s="33"/>
    </row>
    <row r="3456" spans="23:26" x14ac:dyDescent="0.2">
      <c r="W3456" s="33"/>
      <c r="Y3456" s="33"/>
      <c r="Z3456" s="33"/>
    </row>
    <row r="3457" spans="23:26" x14ac:dyDescent="0.2">
      <c r="W3457" s="33"/>
      <c r="Y3457" s="33"/>
      <c r="Z3457" s="33"/>
    </row>
    <row r="3458" spans="23:26" x14ac:dyDescent="0.2">
      <c r="W3458" s="33"/>
      <c r="Y3458" s="33"/>
      <c r="Z3458" s="33"/>
    </row>
    <row r="3459" spans="23:26" x14ac:dyDescent="0.2">
      <c r="W3459" s="33"/>
      <c r="Y3459" s="33"/>
      <c r="Z3459" s="33"/>
    </row>
    <row r="3460" spans="23:26" x14ac:dyDescent="0.2">
      <c r="W3460" s="33"/>
      <c r="Y3460" s="33"/>
      <c r="Z3460" s="33"/>
    </row>
    <row r="3461" spans="23:26" x14ac:dyDescent="0.2">
      <c r="W3461" s="33"/>
      <c r="Y3461" s="33"/>
      <c r="Z3461" s="33"/>
    </row>
    <row r="3462" spans="23:26" x14ac:dyDescent="0.2">
      <c r="W3462" s="33"/>
      <c r="Y3462" s="33"/>
      <c r="Z3462" s="33"/>
    </row>
    <row r="3463" spans="23:26" x14ac:dyDescent="0.2">
      <c r="W3463" s="33"/>
      <c r="Y3463" s="33"/>
      <c r="Z3463" s="33"/>
    </row>
    <row r="3464" spans="23:26" x14ac:dyDescent="0.2">
      <c r="W3464" s="33"/>
      <c r="Y3464" s="33"/>
      <c r="Z3464" s="33"/>
    </row>
    <row r="3465" spans="23:26" x14ac:dyDescent="0.2">
      <c r="W3465" s="33"/>
      <c r="Y3465" s="33"/>
      <c r="Z3465" s="33"/>
    </row>
    <row r="3466" spans="23:26" x14ac:dyDescent="0.2">
      <c r="W3466" s="33"/>
      <c r="Y3466" s="33"/>
      <c r="Z3466" s="33"/>
    </row>
    <row r="3467" spans="23:26" x14ac:dyDescent="0.2">
      <c r="W3467" s="33"/>
      <c r="Y3467" s="33"/>
      <c r="Z3467" s="33"/>
    </row>
    <row r="3468" spans="23:26" x14ac:dyDescent="0.2">
      <c r="W3468" s="33"/>
      <c r="Y3468" s="33"/>
      <c r="Z3468" s="33"/>
    </row>
    <row r="3469" spans="23:26" x14ac:dyDescent="0.2">
      <c r="W3469" s="33"/>
      <c r="Y3469" s="33"/>
      <c r="Z3469" s="33"/>
    </row>
    <row r="3470" spans="23:26" x14ac:dyDescent="0.2">
      <c r="W3470" s="33"/>
      <c r="Y3470" s="33"/>
      <c r="Z3470" s="33"/>
    </row>
    <row r="3471" spans="23:26" x14ac:dyDescent="0.2">
      <c r="W3471" s="33"/>
      <c r="Y3471" s="33"/>
      <c r="Z3471" s="33"/>
    </row>
    <row r="3472" spans="23:26" x14ac:dyDescent="0.2">
      <c r="W3472" s="33"/>
      <c r="Y3472" s="33"/>
      <c r="Z3472" s="33"/>
    </row>
    <row r="3473" spans="23:26" x14ac:dyDescent="0.2">
      <c r="W3473" s="33"/>
      <c r="Y3473" s="33"/>
      <c r="Z3473" s="33"/>
    </row>
    <row r="3474" spans="23:26" x14ac:dyDescent="0.2">
      <c r="W3474" s="33"/>
      <c r="Y3474" s="33"/>
      <c r="Z3474" s="33"/>
    </row>
    <row r="3475" spans="23:26" x14ac:dyDescent="0.2">
      <c r="W3475" s="33"/>
      <c r="Y3475" s="33"/>
      <c r="Z3475" s="33"/>
    </row>
    <row r="3476" spans="23:26" x14ac:dyDescent="0.2">
      <c r="W3476" s="33"/>
      <c r="Y3476" s="33"/>
      <c r="Z3476" s="33"/>
    </row>
    <row r="3477" spans="23:26" x14ac:dyDescent="0.2">
      <c r="W3477" s="33"/>
      <c r="Y3477" s="33"/>
      <c r="Z3477" s="33"/>
    </row>
    <row r="3478" spans="23:26" x14ac:dyDescent="0.2">
      <c r="W3478" s="33"/>
      <c r="Y3478" s="33"/>
      <c r="Z3478" s="33"/>
    </row>
    <row r="3479" spans="23:26" x14ac:dyDescent="0.2">
      <c r="W3479" s="33"/>
      <c r="Y3479" s="33"/>
      <c r="Z3479" s="33"/>
    </row>
    <row r="3480" spans="23:26" x14ac:dyDescent="0.2">
      <c r="W3480" s="33"/>
      <c r="Y3480" s="33"/>
      <c r="Z3480" s="33"/>
    </row>
    <row r="3481" spans="23:26" x14ac:dyDescent="0.2">
      <c r="W3481" s="33"/>
      <c r="Y3481" s="33"/>
      <c r="Z3481" s="33"/>
    </row>
    <row r="3482" spans="23:26" x14ac:dyDescent="0.2">
      <c r="W3482" s="33"/>
      <c r="Y3482" s="33"/>
      <c r="Z3482" s="33"/>
    </row>
    <row r="3483" spans="23:26" x14ac:dyDescent="0.2">
      <c r="W3483" s="33"/>
      <c r="Y3483" s="33"/>
      <c r="Z3483" s="33"/>
    </row>
    <row r="3484" spans="23:26" x14ac:dyDescent="0.2">
      <c r="W3484" s="33"/>
      <c r="Y3484" s="33"/>
      <c r="Z3484" s="33"/>
    </row>
    <row r="3485" spans="23:26" x14ac:dyDescent="0.2">
      <c r="W3485" s="33"/>
      <c r="Y3485" s="33"/>
      <c r="Z3485" s="33"/>
    </row>
    <row r="3486" spans="23:26" x14ac:dyDescent="0.2">
      <c r="W3486" s="33"/>
      <c r="Y3486" s="33"/>
      <c r="Z3486" s="33"/>
    </row>
    <row r="3487" spans="23:26" x14ac:dyDescent="0.2">
      <c r="W3487" s="33"/>
      <c r="Y3487" s="33"/>
      <c r="Z3487" s="33"/>
    </row>
    <row r="3488" spans="23:26" x14ac:dyDescent="0.2">
      <c r="W3488" s="33"/>
      <c r="Y3488" s="33"/>
      <c r="Z3488" s="33"/>
    </row>
    <row r="3489" spans="23:26" x14ac:dyDescent="0.2">
      <c r="W3489" s="33"/>
      <c r="Y3489" s="33"/>
      <c r="Z3489" s="33"/>
    </row>
    <row r="3490" spans="23:26" x14ac:dyDescent="0.2">
      <c r="W3490" s="33"/>
      <c r="Y3490" s="33"/>
      <c r="Z3490" s="33"/>
    </row>
    <row r="3491" spans="23:26" x14ac:dyDescent="0.2">
      <c r="W3491" s="33"/>
      <c r="Y3491" s="33"/>
      <c r="Z3491" s="33"/>
    </row>
    <row r="3492" spans="23:26" x14ac:dyDescent="0.2">
      <c r="W3492" s="33"/>
      <c r="Y3492" s="33"/>
      <c r="Z3492" s="33"/>
    </row>
    <row r="3493" spans="23:26" x14ac:dyDescent="0.2">
      <c r="W3493" s="33"/>
      <c r="Y3493" s="33"/>
      <c r="Z3493" s="33"/>
    </row>
    <row r="3494" spans="23:26" x14ac:dyDescent="0.2">
      <c r="W3494" s="33"/>
      <c r="Y3494" s="33"/>
      <c r="Z3494" s="33"/>
    </row>
    <row r="3495" spans="23:26" x14ac:dyDescent="0.2">
      <c r="W3495" s="33"/>
      <c r="Y3495" s="33"/>
      <c r="Z3495" s="33"/>
    </row>
    <row r="3496" spans="23:26" x14ac:dyDescent="0.2">
      <c r="W3496" s="33"/>
      <c r="Y3496" s="33"/>
      <c r="Z3496" s="33"/>
    </row>
    <row r="3497" spans="23:26" x14ac:dyDescent="0.2">
      <c r="W3497" s="33"/>
      <c r="Y3497" s="33"/>
      <c r="Z3497" s="33"/>
    </row>
    <row r="3498" spans="23:26" x14ac:dyDescent="0.2">
      <c r="W3498" s="33"/>
      <c r="Y3498" s="33"/>
      <c r="Z3498" s="33"/>
    </row>
    <row r="3499" spans="23:26" x14ac:dyDescent="0.2">
      <c r="W3499" s="33"/>
      <c r="Y3499" s="33"/>
      <c r="Z3499" s="33"/>
    </row>
    <row r="3500" spans="23:26" x14ac:dyDescent="0.2">
      <c r="W3500" s="33"/>
      <c r="Y3500" s="33"/>
      <c r="Z3500" s="33"/>
    </row>
    <row r="3501" spans="23:26" x14ac:dyDescent="0.2">
      <c r="W3501" s="33"/>
      <c r="Y3501" s="33"/>
      <c r="Z3501" s="33"/>
    </row>
    <row r="3502" spans="23:26" x14ac:dyDescent="0.2">
      <c r="W3502" s="33"/>
      <c r="Y3502" s="33"/>
      <c r="Z3502" s="33"/>
    </row>
    <row r="3503" spans="23:26" x14ac:dyDescent="0.2">
      <c r="W3503" s="33"/>
      <c r="Y3503" s="33"/>
      <c r="Z3503" s="33"/>
    </row>
    <row r="3504" spans="23:26" x14ac:dyDescent="0.2">
      <c r="W3504" s="33"/>
      <c r="Y3504" s="33"/>
      <c r="Z3504" s="33"/>
    </row>
    <row r="3505" spans="23:26" x14ac:dyDescent="0.2">
      <c r="W3505" s="33"/>
      <c r="Y3505" s="33"/>
      <c r="Z3505" s="33"/>
    </row>
    <row r="3506" spans="23:26" x14ac:dyDescent="0.2">
      <c r="W3506" s="33"/>
      <c r="Y3506" s="33"/>
      <c r="Z3506" s="33"/>
    </row>
    <row r="3507" spans="23:26" x14ac:dyDescent="0.2">
      <c r="W3507" s="33"/>
      <c r="Y3507" s="33"/>
      <c r="Z3507" s="33"/>
    </row>
    <row r="3508" spans="23:26" x14ac:dyDescent="0.2">
      <c r="W3508" s="33"/>
      <c r="Y3508" s="33"/>
      <c r="Z3508" s="33"/>
    </row>
    <row r="3509" spans="23:26" x14ac:dyDescent="0.2">
      <c r="W3509" s="33"/>
      <c r="Y3509" s="33"/>
      <c r="Z3509" s="33"/>
    </row>
    <row r="3510" spans="23:26" x14ac:dyDescent="0.2">
      <c r="W3510" s="33"/>
      <c r="Y3510" s="33"/>
      <c r="Z3510" s="33"/>
    </row>
    <row r="3511" spans="23:26" x14ac:dyDescent="0.2">
      <c r="W3511" s="33"/>
      <c r="Y3511" s="33"/>
      <c r="Z3511" s="33"/>
    </row>
    <row r="3512" spans="23:26" x14ac:dyDescent="0.2">
      <c r="W3512" s="33"/>
      <c r="Y3512" s="33"/>
      <c r="Z3512" s="33"/>
    </row>
    <row r="3513" spans="23:26" x14ac:dyDescent="0.2">
      <c r="W3513" s="33"/>
      <c r="Y3513" s="33"/>
      <c r="Z3513" s="33"/>
    </row>
    <row r="3514" spans="23:26" x14ac:dyDescent="0.2">
      <c r="W3514" s="33"/>
      <c r="Y3514" s="33"/>
      <c r="Z3514" s="33"/>
    </row>
    <row r="3515" spans="23:26" x14ac:dyDescent="0.2">
      <c r="W3515" s="33"/>
      <c r="Y3515" s="33"/>
      <c r="Z3515" s="33"/>
    </row>
    <row r="3516" spans="23:26" x14ac:dyDescent="0.2">
      <c r="W3516" s="33"/>
      <c r="Y3516" s="33"/>
      <c r="Z3516" s="33"/>
    </row>
    <row r="3517" spans="23:26" x14ac:dyDescent="0.2">
      <c r="W3517" s="33"/>
      <c r="Y3517" s="33"/>
      <c r="Z3517" s="33"/>
    </row>
    <row r="3518" spans="23:26" x14ac:dyDescent="0.2">
      <c r="W3518" s="33"/>
      <c r="Y3518" s="33"/>
      <c r="Z3518" s="33"/>
    </row>
    <row r="3519" spans="23:26" x14ac:dyDescent="0.2">
      <c r="W3519" s="33"/>
      <c r="Y3519" s="33"/>
      <c r="Z3519" s="33"/>
    </row>
    <row r="3520" spans="23:26" x14ac:dyDescent="0.2">
      <c r="W3520" s="33"/>
      <c r="Y3520" s="33"/>
      <c r="Z3520" s="33"/>
    </row>
    <row r="3521" spans="23:26" x14ac:dyDescent="0.2">
      <c r="W3521" s="33"/>
      <c r="Y3521" s="33"/>
      <c r="Z3521" s="33"/>
    </row>
    <row r="3522" spans="23:26" x14ac:dyDescent="0.2">
      <c r="W3522" s="33"/>
      <c r="Y3522" s="33"/>
      <c r="Z3522" s="33"/>
    </row>
    <row r="3523" spans="23:26" x14ac:dyDescent="0.2">
      <c r="W3523" s="33"/>
      <c r="Y3523" s="33"/>
      <c r="Z3523" s="33"/>
    </row>
    <row r="3524" spans="23:26" x14ac:dyDescent="0.2">
      <c r="W3524" s="33"/>
      <c r="Y3524" s="33"/>
      <c r="Z3524" s="33"/>
    </row>
    <row r="3525" spans="23:26" x14ac:dyDescent="0.2">
      <c r="W3525" s="33"/>
      <c r="Y3525" s="33"/>
      <c r="Z3525" s="33"/>
    </row>
    <row r="3526" spans="23:26" x14ac:dyDescent="0.2">
      <c r="W3526" s="33"/>
      <c r="Y3526" s="33"/>
      <c r="Z3526" s="33"/>
    </row>
    <row r="3527" spans="23:26" x14ac:dyDescent="0.2">
      <c r="W3527" s="33"/>
      <c r="Y3527" s="33"/>
      <c r="Z3527" s="33"/>
    </row>
    <row r="3528" spans="23:26" x14ac:dyDescent="0.2">
      <c r="W3528" s="33"/>
      <c r="Y3528" s="33"/>
      <c r="Z3528" s="33"/>
    </row>
    <row r="3529" spans="23:26" x14ac:dyDescent="0.2">
      <c r="W3529" s="33"/>
      <c r="Y3529" s="33"/>
      <c r="Z3529" s="33"/>
    </row>
    <row r="3530" spans="23:26" x14ac:dyDescent="0.2">
      <c r="W3530" s="33"/>
      <c r="Y3530" s="33"/>
      <c r="Z3530" s="33"/>
    </row>
    <row r="3531" spans="23:26" x14ac:dyDescent="0.2">
      <c r="W3531" s="33"/>
      <c r="Y3531" s="33"/>
      <c r="Z3531" s="33"/>
    </row>
    <row r="3532" spans="23:26" x14ac:dyDescent="0.2">
      <c r="W3532" s="33"/>
      <c r="Y3532" s="33"/>
      <c r="Z3532" s="33"/>
    </row>
    <row r="3533" spans="23:26" x14ac:dyDescent="0.2">
      <c r="W3533" s="33"/>
      <c r="Y3533" s="33"/>
      <c r="Z3533" s="33"/>
    </row>
    <row r="3534" spans="23:26" x14ac:dyDescent="0.2">
      <c r="W3534" s="33"/>
      <c r="Y3534" s="33"/>
      <c r="Z3534" s="33"/>
    </row>
    <row r="3535" spans="23:26" x14ac:dyDescent="0.2">
      <c r="W3535" s="33"/>
      <c r="Y3535" s="33"/>
      <c r="Z3535" s="33"/>
    </row>
    <row r="3536" spans="23:26" x14ac:dyDescent="0.2">
      <c r="W3536" s="33"/>
      <c r="Y3536" s="33"/>
      <c r="Z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10.5" style="30" bestFit="1" customWidth="1"/>
    <col min="16" max="16" width="10.5" style="30" customWidth="1"/>
    <col min="17" max="17" width="5.83203125" style="30" customWidth="1"/>
    <col min="18" max="18" width="20.1640625" style="30" bestFit="1" customWidth="1"/>
    <col min="19" max="20" width="9.33203125" style="30" bestFit="1" customWidth="1"/>
    <col min="21" max="16384" width="9.33203125" style="30"/>
  </cols>
  <sheetData>
    <row r="1" spans="1:20" ht="12" thickBot="1" x14ac:dyDescent="0.25">
      <c r="E1" s="400" t="s">
        <v>118</v>
      </c>
      <c r="F1" s="401" t="s">
        <v>44</v>
      </c>
      <c r="N1" s="30" t="str">
        <f>_xll.qlInterpolation(,interpolator6M,_xll.ohFilter(E3:E21,M3:M21),_xll.ohFilter(L3:L21,M3:M21))</f>
        <v>obj_004f1#0250</v>
      </c>
      <c r="T1" s="30" t="str">
        <f>_xll.qlInterpolation(,interpolator6M,_xll.ohFilter(E3:E21,M3:M21),_xll.ohFilter(P3:P21,M3:M21))</f>
        <v>obj_004f0#0250</v>
      </c>
    </row>
    <row r="2" spans="1:20" ht="26.25" customHeight="1" thickBot="1" x14ac:dyDescent="0.25">
      <c r="D2" s="217" t="str">
        <f>F1&amp;" Instruments"</f>
        <v>6M Instruments</v>
      </c>
      <c r="E2" s="218" t="s">
        <v>119</v>
      </c>
      <c r="F2" s="218" t="s">
        <v>120</v>
      </c>
      <c r="G2" s="218" t="s">
        <v>146</v>
      </c>
      <c r="H2" s="218" t="str">
        <f>F1&amp;" Market quote"</f>
        <v>6M Market quote</v>
      </c>
      <c r="I2" s="218" t="s">
        <v>147</v>
      </c>
      <c r="J2" s="218" t="s">
        <v>148</v>
      </c>
      <c r="K2" s="218" t="s">
        <v>149</v>
      </c>
      <c r="L2" s="218" t="s">
        <v>150</v>
      </c>
      <c r="M2" s="218" t="s">
        <v>90</v>
      </c>
      <c r="N2" s="218" t="s">
        <v>163</v>
      </c>
      <c r="O2" s="341" t="s">
        <v>123</v>
      </c>
      <c r="P2" s="342" t="s">
        <v>160</v>
      </c>
      <c r="R2" s="213" t="s">
        <v>119</v>
      </c>
      <c r="S2" s="341" t="s">
        <v>150</v>
      </c>
      <c r="T2" s="342" t="s">
        <v>160</v>
      </c>
    </row>
    <row r="3" spans="1:20" ht="11.25" customHeight="1" x14ac:dyDescent="0.2">
      <c r="C3" s="402" t="str">
        <f>SUBSTITUTE(F1,"M","")</f>
        <v>6</v>
      </c>
      <c r="D3" s="337" t="str">
        <f>PROPER(Currency&amp;IborType)&amp;F1&amp;"LastFixing"&amp;QuoteSuffix</f>
        <v>Euribor6MLastFixing_Quote</v>
      </c>
      <c r="E3" s="338">
        <f>SettlementDate</f>
        <v>41997</v>
      </c>
      <c r="F3" s="338">
        <f>_xll.qlCalendarAdvance(Calendar,E3,$F$1,"mf",,Trigger)</f>
        <v>42179</v>
      </c>
      <c r="G3" s="344">
        <f>_xll.qlDayCounterYearFraction(DayCounter,E3,F3,,,Trigger)</f>
        <v>0.50555555555555554</v>
      </c>
      <c r="H3" s="339">
        <f>_xll.qlQuoteValue(D3,LastFixingsTrigger)</f>
        <v>1.7599999999999998E-3</v>
      </c>
      <c r="I3" s="347">
        <f>_xll.qlYieldTSDiscount(Discounting,E3,,AllTriggers)</f>
        <v>1</v>
      </c>
      <c r="J3" s="347">
        <f>_xll.qlYieldTSDiscount(Discounting,F3,,AllTriggers)</f>
        <v>1.0001719184397584</v>
      </c>
      <c r="K3" s="339">
        <f>(I3/J3-1)/G3</f>
        <v>-3.3999999999972393E-4</v>
      </c>
      <c r="L3" s="438">
        <f>LN((1+H3*G3)/(1+K3*G3))</f>
        <v>1.0612858236650233E-3</v>
      </c>
      <c r="M3" s="340" t="b">
        <v>0</v>
      </c>
      <c r="N3" s="343">
        <f>_xll.qlInterpolationInterpolate($N$1,E3,TRUE)</f>
        <v>1.0615890822766112E-3</v>
      </c>
      <c r="O3" s="428">
        <f>L3-N3</f>
        <v>-3.0325861158798234E-7</v>
      </c>
      <c r="P3" s="431">
        <f>H3-K3</f>
        <v>2.0999999999997236E-3</v>
      </c>
      <c r="R3" s="429">
        <f>E3</f>
        <v>41997</v>
      </c>
      <c r="S3" s="430">
        <f>_xll.qlInterpolationInterpolate(delta6Minterpolation,R3,TRUE)</f>
        <v>1.0615890822766112E-3</v>
      </c>
      <c r="T3" s="222">
        <f>_xll.qlInterpolationInterpolate(basis6Minterpolation,R3,TRUE)</f>
        <v>2.091614271469013E-3</v>
      </c>
    </row>
    <row r="4" spans="1:20" ht="11.25" customHeight="1" x14ac:dyDescent="0.2">
      <c r="A4" s="30">
        <v>1</v>
      </c>
      <c r="B4" s="30" t="s">
        <v>39</v>
      </c>
      <c r="C4" s="30">
        <f>A4+SUBSTITUTE($F$1,"M","")</f>
        <v>7</v>
      </c>
      <c r="D4" s="220" t="str">
        <f t="shared" ref="D4:D21" si="0">Currency&amp;A4&amp;B4&amp;C4&amp;"F"&amp;QuoteSuffix</f>
        <v>EUR1x7F_Quote</v>
      </c>
      <c r="E4" s="221">
        <f>_xll.qlCalendarAdvance("target",$E$3,A4&amp;"M","mf",,Trigger)</f>
        <v>42030</v>
      </c>
      <c r="F4" s="221">
        <f>_xll.qlCalendarAdvance(Calendar,E4,$F$1,"mf",,Trigger)</f>
        <v>42212</v>
      </c>
      <c r="G4" s="345">
        <f>_xll.qlDayCounterYearFraction(DayCounter,E4,F4,,,Trigger)</f>
        <v>0.50555555555555554</v>
      </c>
      <c r="H4" s="32">
        <f>_xll.qlQuoteValue(D4,AllTriggers)</f>
        <v>1.81E-3</v>
      </c>
      <c r="I4" s="384">
        <f>_xll.qlYieldTSDiscount(Discounting,E4,,AllTriggers)</f>
        <v>1.0000330010890557</v>
      </c>
      <c r="J4" s="384">
        <f>_xll.qlYieldTSDiscount(Discounting,F4,,AllTriggers)</f>
        <v>1.0002351107730982</v>
      </c>
      <c r="K4" s="32">
        <f t="shared" ref="K4:K21" si="1">(I4/J4-1)/G4</f>
        <v>-3.996834271276732E-4</v>
      </c>
      <c r="L4" s="439">
        <f t="shared" ref="L4:L21" si="2">LN((1+H4*G4)/(1+K4*G4))</f>
        <v>1.1167197418055612E-3</v>
      </c>
      <c r="M4" s="335" t="b">
        <v>1</v>
      </c>
      <c r="N4" s="32">
        <f>_xll.qlInterpolationInterpolate($N$1,E4,TRUE)</f>
        <v>1.1167197418055612E-3</v>
      </c>
      <c r="O4" s="425">
        <f>N4-L4</f>
        <v>0</v>
      </c>
      <c r="P4" s="222">
        <f t="shared" ref="P4:P21" si="3">H4-K4</f>
        <v>2.2096834271276731E-3</v>
      </c>
      <c r="R4" s="429">
        <f>_xll.qlCalendarAdvance(Calendar,R3,"1D","f")</f>
        <v>42002</v>
      </c>
      <c r="S4" s="430">
        <f>_xll.qlInterpolationInterpolate(delta6Minterpolation,R4,TRUE)</f>
        <v>1.0757294028470212E-3</v>
      </c>
      <c r="T4" s="222">
        <f>_xll.qlInterpolationInterpolate(basis6Minterpolation,R4,TRUE)</f>
        <v>2.1153375447043044E-3</v>
      </c>
    </row>
    <row r="5" spans="1:20" ht="11.25" customHeight="1" x14ac:dyDescent="0.2">
      <c r="A5" s="30">
        <v>2</v>
      </c>
      <c r="B5" s="30" t="s">
        <v>39</v>
      </c>
      <c r="C5" s="30">
        <f t="shared" ref="C5:C21" si="4">A5+SUBSTITUTE($F$1,"M","")</f>
        <v>8</v>
      </c>
      <c r="D5" s="220" t="str">
        <f t="shared" si="0"/>
        <v>EUR2x8F_Quote</v>
      </c>
      <c r="E5" s="221">
        <f>_xll.qlCalendarAdvance("target",$E$3,A5&amp;"M","mf",,Trigger)</f>
        <v>42059</v>
      </c>
      <c r="F5" s="221">
        <f>_xll.qlCalendarAdvance(Calendar,E5,$F$1,"mf",,Trigger)</f>
        <v>42240</v>
      </c>
      <c r="G5" s="345">
        <f>_xll.qlDayCounterYearFraction(DayCounter,E5,F5,,,Trigger)</f>
        <v>0.50277777777777777</v>
      </c>
      <c r="H5" s="32">
        <f>_xll.qlQuoteValue(D5,AllTriggers)</f>
        <v>1.81E-3</v>
      </c>
      <c r="I5" s="348">
        <f>_xll.qlYieldTSDiscount(Discounting,E5,,AllTriggers)</f>
        <v>1.0000396126804101</v>
      </c>
      <c r="J5" s="348">
        <f>_xll.qlYieldTSDiscount(Discounting,F5,,AllTriggers)</f>
        <v>1.0002903342695217</v>
      </c>
      <c r="K5" s="32">
        <f t="shared" si="1"/>
        <v>-4.9852803415108553E-4</v>
      </c>
      <c r="L5" s="439">
        <f t="shared" si="2"/>
        <v>1.1602941883767837E-3</v>
      </c>
      <c r="M5" s="335" t="b">
        <v>1</v>
      </c>
      <c r="N5" s="32">
        <f>_xll.qlInterpolationInterpolate($N$1,E5,TRUE)</f>
        <v>1.1602941883767837E-3</v>
      </c>
      <c r="O5" s="425">
        <f t="shared" ref="O5:O21" si="5">N5-L5</f>
        <v>0</v>
      </c>
      <c r="P5" s="222">
        <f t="shared" si="3"/>
        <v>2.3085280341510854E-3</v>
      </c>
      <c r="R5" s="429">
        <f>_xll.qlCalendarAdvance(Calendar,R4,"1D","f")</f>
        <v>42003</v>
      </c>
      <c r="S5" s="430">
        <f>_xll.qlInterpolationInterpolate(delta6Minterpolation,R5,TRUE)</f>
        <v>1.0781996640923843E-3</v>
      </c>
      <c r="T5" s="222">
        <f>_xll.qlInterpolationInterpolate(basis6Minterpolation,R5,TRUE)</f>
        <v>2.1197215019490745E-3</v>
      </c>
    </row>
    <row r="6" spans="1:20" ht="11.25" customHeight="1" x14ac:dyDescent="0.2">
      <c r="A6" s="30">
        <f>A5+1</f>
        <v>3</v>
      </c>
      <c r="B6" s="30" t="s">
        <v>39</v>
      </c>
      <c r="C6" s="30">
        <f t="shared" si="4"/>
        <v>9</v>
      </c>
      <c r="D6" s="220" t="str">
        <f t="shared" si="0"/>
        <v>EUR3x9F_Quote</v>
      </c>
      <c r="E6" s="221">
        <f>_xll.qlCalendarAdvance("target",$E$3,A6&amp;"M","mf",,Trigger)</f>
        <v>42087</v>
      </c>
      <c r="F6" s="221">
        <f>_xll.qlCalendarAdvance(Calendar,E6,$F$1,"mf",,Trigger)</f>
        <v>42271</v>
      </c>
      <c r="G6" s="345">
        <f>_xll.qlDayCounterYearFraction(DayCounter,E6,F6,,,Trigger)</f>
        <v>0.51111111111111107</v>
      </c>
      <c r="H6" s="32">
        <f>_xll.qlQuoteValue(D6,AllTriggers)</f>
        <v>1.7799999999999999E-3</v>
      </c>
      <c r="I6" s="348">
        <f>_xll.qlYieldTSDiscount(Discounting,E6,,AllTriggers)</f>
        <v>1.000032501056171</v>
      </c>
      <c r="J6" s="348">
        <f>_xll.qlYieldTSDiscount(Discounting,F6,,AllTriggers)</f>
        <v>1.0003654668505559</v>
      </c>
      <c r="K6" s="32">
        <f t="shared" si="1"/>
        <v>-6.5121681694168621E-4</v>
      </c>
      <c r="L6" s="439">
        <f t="shared" si="2"/>
        <v>1.2422637366006463E-3</v>
      </c>
      <c r="M6" s="335" t="b">
        <v>1</v>
      </c>
      <c r="N6" s="32">
        <f>_xll.qlInterpolationInterpolate($N$1,E6,TRUE)</f>
        <v>1.2422637366006463E-3</v>
      </c>
      <c r="O6" s="425">
        <f t="shared" si="5"/>
        <v>0</v>
      </c>
      <c r="P6" s="222">
        <f t="shared" si="3"/>
        <v>2.4312168169416861E-3</v>
      </c>
      <c r="R6" s="429">
        <f>_xll.qlCalendarAdvance(Calendar,R5,"1D","f")</f>
        <v>42004</v>
      </c>
      <c r="S6" s="430">
        <f>_xll.qlInterpolationInterpolate(delta6Minterpolation,R6,TRUE)</f>
        <v>1.0805601449121176E-3</v>
      </c>
      <c r="T6" s="222">
        <f>_xll.qlInterpolationInterpolate(basis6Minterpolation,R6,TRUE)</f>
        <v>2.1239947906726881E-3</v>
      </c>
    </row>
    <row r="7" spans="1:20" ht="11.25" customHeight="1" x14ac:dyDescent="0.2">
      <c r="A7" s="30">
        <f t="shared" ref="A7:A21" si="6">A6+1</f>
        <v>4</v>
      </c>
      <c r="B7" s="30" t="s">
        <v>39</v>
      </c>
      <c r="C7" s="30">
        <f t="shared" si="4"/>
        <v>10</v>
      </c>
      <c r="D7" s="220" t="str">
        <f t="shared" si="0"/>
        <v>EUR4x10F_Quote</v>
      </c>
      <c r="E7" s="221">
        <f>_xll.qlCalendarAdvance("target",$E$3,A7&amp;"M","mf",,Trigger)</f>
        <v>42118</v>
      </c>
      <c r="F7" s="221">
        <f>_xll.qlCalendarAdvance(Calendar,E7,$F$1,"mf",,Trigger)</f>
        <v>42303</v>
      </c>
      <c r="G7" s="345">
        <f>_xll.qlDayCounterYearFraction(DayCounter,E7,F7,,,Trigger)</f>
        <v>0.51388888888888884</v>
      </c>
      <c r="H7" s="32">
        <f>_xll.qlQuoteValue(D7,AllTriggers)</f>
        <v>1.72E-3</v>
      </c>
      <c r="I7" s="348">
        <f>_xll.qlYieldTSDiscount(Discounting,E7,,AllTriggers)</f>
        <v>1.0000703556361346</v>
      </c>
      <c r="J7" s="348">
        <f>_xll.qlYieldTSDiscount(Discounting,F7,,AllTriggers)</f>
        <v>1.0004342471085372</v>
      </c>
      <c r="K7" s="32">
        <f t="shared" si="1"/>
        <v>-7.0780577287611732E-4</v>
      </c>
      <c r="L7" s="439">
        <f t="shared" si="2"/>
        <v>1.2472981783899089E-3</v>
      </c>
      <c r="M7" s="335" t="b">
        <v>1</v>
      </c>
      <c r="N7" s="32">
        <f>_xll.qlInterpolationInterpolate($N$1,E7,TRUE)</f>
        <v>1.2472981783899089E-3</v>
      </c>
      <c r="O7" s="425">
        <f t="shared" si="5"/>
        <v>0</v>
      </c>
      <c r="P7" s="222">
        <f t="shared" si="3"/>
        <v>2.4278057728761172E-3</v>
      </c>
      <c r="R7" s="429">
        <f>_xll.qlCalendarAdvance(Calendar,R6,"1D","f")</f>
        <v>42006</v>
      </c>
      <c r="S7" s="430">
        <f>_xll.qlInterpolationInterpolate(delta6Minterpolation,R7,TRUE)</f>
        <v>1.084968029041455E-3</v>
      </c>
      <c r="T7" s="222">
        <f>_xll.qlInterpolationInterpolate(basis6Minterpolation,R7,TRUE)</f>
        <v>2.1322257578929131E-3</v>
      </c>
    </row>
    <row r="8" spans="1:20" ht="11.25" customHeight="1" x14ac:dyDescent="0.2">
      <c r="A8" s="30">
        <f t="shared" si="6"/>
        <v>5</v>
      </c>
      <c r="B8" s="30" t="s">
        <v>39</v>
      </c>
      <c r="C8" s="30">
        <f t="shared" si="4"/>
        <v>11</v>
      </c>
      <c r="D8" s="220" t="str">
        <f t="shared" si="0"/>
        <v>EUR5x11F_Quote</v>
      </c>
      <c r="E8" s="221">
        <f>_xll.qlCalendarAdvance("target",$E$3,A8&amp;"M","mf",,Trigger)</f>
        <v>42149</v>
      </c>
      <c r="F8" s="221">
        <f>_xll.qlCalendarAdvance(Calendar,E8,$F$1,"mf",,Trigger)</f>
        <v>42333</v>
      </c>
      <c r="G8" s="345">
        <f>_xll.qlDayCounterYearFraction(DayCounter,E8,F8,,,Trigger)</f>
        <v>0.51111111111111107</v>
      </c>
      <c r="H8" s="32">
        <f>_xll.qlQuoteValue(D8,AllTriggers)</f>
        <v>1.6799999999999999E-3</v>
      </c>
      <c r="I8" s="348">
        <f>_xll.qlYieldTSDiscount(Discounting,E8,,AllTriggers)</f>
        <v>1.0001224594389224</v>
      </c>
      <c r="J8" s="348">
        <f>_xll.qlYieldTSDiscount(Discounting,F8,,AllTriggers)</f>
        <v>1.0005051093327491</v>
      </c>
      <c r="K8" s="32">
        <f t="shared" si="1"/>
        <v>-7.4828487007639753E-4</v>
      </c>
      <c r="L8" s="439">
        <f t="shared" si="2"/>
        <v>1.2408280899361803E-3</v>
      </c>
      <c r="M8" s="335" t="b">
        <v>1</v>
      </c>
      <c r="N8" s="32">
        <f>_xll.qlInterpolationInterpolate($N$1,E8,TRUE)</f>
        <v>1.2408280899361803E-3</v>
      </c>
      <c r="O8" s="425">
        <f t="shared" si="5"/>
        <v>0</v>
      </c>
      <c r="P8" s="222">
        <f t="shared" si="3"/>
        <v>2.4282848700763974E-3</v>
      </c>
      <c r="R8" s="429">
        <f>_xll.qlCalendarAdvance(Calendar,R7,"1D","f")</f>
        <v>42009</v>
      </c>
      <c r="S8" s="430">
        <f>_xll.qlInterpolationInterpolate(delta6Minterpolation,R8,TRUE)</f>
        <v>1.090858150585488E-3</v>
      </c>
      <c r="T8" s="222">
        <f>_xll.qlInterpolationInterpolate(basis6Minterpolation,R8,TRUE)</f>
        <v>2.1438446656674988E-3</v>
      </c>
    </row>
    <row r="9" spans="1:20" ht="11.25" customHeight="1" x14ac:dyDescent="0.2">
      <c r="A9" s="30">
        <f t="shared" si="6"/>
        <v>6</v>
      </c>
      <c r="B9" s="30" t="s">
        <v>39</v>
      </c>
      <c r="C9" s="30">
        <f t="shared" si="4"/>
        <v>12</v>
      </c>
      <c r="D9" s="220" t="str">
        <f t="shared" si="0"/>
        <v>EUR6x12F_Quote</v>
      </c>
      <c r="E9" s="221">
        <f>_xll.qlCalendarAdvance("target",$E$3,A9&amp;"M","mf",,Trigger)</f>
        <v>42179</v>
      </c>
      <c r="F9" s="221">
        <f>_xll.qlCalendarAdvance(Calendar,E9,$F$1,"mf",,Trigger)</f>
        <v>42362</v>
      </c>
      <c r="G9" s="345">
        <f>_xll.qlDayCounterYearFraction(DayCounter,E9,F9,,,Trigger)</f>
        <v>0.5083333333333333</v>
      </c>
      <c r="H9" s="32">
        <f>_xll.qlQuoteValue(D9,AllTriggers)</f>
        <v>1.6499999999999998E-3</v>
      </c>
      <c r="I9" s="348">
        <f>_xll.qlYieldTSDiscount(Discounting,E9,,AllTriggers)</f>
        <v>1.0001719184397584</v>
      </c>
      <c r="J9" s="348">
        <f>_xll.qlYieldTSDiscount(Discounting,F9,,AllTriggers)</f>
        <v>1.000578250847469</v>
      </c>
      <c r="K9" s="32">
        <f t="shared" si="1"/>
        <v>-7.9888048807858218E-4</v>
      </c>
      <c r="L9" s="439">
        <f t="shared" si="2"/>
        <v>1.2445785071759526E-3</v>
      </c>
      <c r="M9" s="335" t="b">
        <v>1</v>
      </c>
      <c r="N9" s="32">
        <f>_xll.qlInterpolationInterpolate($N$1,E9,TRUE)</f>
        <v>1.2445785071759526E-3</v>
      </c>
      <c r="O9" s="425">
        <f t="shared" si="5"/>
        <v>0</v>
      </c>
      <c r="P9" s="222">
        <f t="shared" si="3"/>
        <v>2.448880488078582E-3</v>
      </c>
      <c r="R9" s="429">
        <f>_xll.qlCalendarAdvance(Calendar,R8,"1D","f")</f>
        <v>42010</v>
      </c>
      <c r="S9" s="430">
        <f>_xll.qlInterpolationInterpolate(delta6Minterpolation,R9,TRUE)</f>
        <v>1.0926453336269329E-3</v>
      </c>
      <c r="T9" s="222">
        <f>_xll.qlInterpolationInterpolate(basis6Minterpolation,R9,TRUE)</f>
        <v>2.1475400187806275E-3</v>
      </c>
    </row>
    <row r="10" spans="1:20" ht="11.25" customHeight="1" x14ac:dyDescent="0.2">
      <c r="A10" s="30">
        <f t="shared" si="6"/>
        <v>7</v>
      </c>
      <c r="B10" s="30" t="s">
        <v>39</v>
      </c>
      <c r="C10" s="30">
        <f t="shared" si="4"/>
        <v>13</v>
      </c>
      <c r="D10" s="220" t="str">
        <f t="shared" si="0"/>
        <v>EUR7x13F_Quote</v>
      </c>
      <c r="E10" s="221">
        <f>_xll.qlCalendarAdvance("target",$E$3,A10&amp;"M","mf",,Trigger)</f>
        <v>42209</v>
      </c>
      <c r="F10" s="221">
        <f>_xll.qlCalendarAdvance(Calendar,E10,$F$1,"mf",,Trigger)</f>
        <v>42394</v>
      </c>
      <c r="G10" s="345">
        <f>_xll.qlDayCounterYearFraction(DayCounter,E10,F10,,,Trigger)</f>
        <v>0.51388888888888884</v>
      </c>
      <c r="H10" s="32">
        <f>_xll.qlQuoteValue(D10,AllTriggers)</f>
        <v>1.6599999999999998E-3</v>
      </c>
      <c r="I10" s="348">
        <f>_xll.qlYieldTSDiscount(Discounting,E10,,AllTriggers)</f>
        <v>1.0002291084167767</v>
      </c>
      <c r="J10" s="348">
        <f>_xll.qlYieldTSDiscount(Discounting,F10,,AllTriggers)</f>
        <v>1.000637121118662</v>
      </c>
      <c r="K10" s="32">
        <f t="shared" si="1"/>
        <v>-7.9346512973697424E-4</v>
      </c>
      <c r="L10" s="439">
        <f t="shared" si="2"/>
        <v>1.2605279781736428E-3</v>
      </c>
      <c r="M10" s="335" t="b">
        <v>0</v>
      </c>
      <c r="N10" s="32">
        <f>_xll.qlInterpolationInterpolate($N$1,E10,TRUE)</f>
        <v>1.2533340481858128E-3</v>
      </c>
      <c r="O10" s="425">
        <f t="shared" si="5"/>
        <v>-7.193929987829974E-6</v>
      </c>
      <c r="P10" s="222">
        <f t="shared" si="3"/>
        <v>2.4534651297369739E-3</v>
      </c>
      <c r="R10" s="429">
        <f>_xll.qlCalendarAdvance(Calendar,R9,"1D","f")</f>
        <v>42011</v>
      </c>
      <c r="S10" s="430">
        <f>_xll.qlInterpolationInterpolate(delta6Minterpolation,R10,TRUE)</f>
        <v>1.0943511978345778E-3</v>
      </c>
      <c r="T10" s="222">
        <f>_xll.qlInterpolationInterpolate(basis6Minterpolation,R10,TRUE)</f>
        <v>2.1511533952114185E-3</v>
      </c>
    </row>
    <row r="11" spans="1:20" ht="11.25" customHeight="1" x14ac:dyDescent="0.2">
      <c r="A11" s="30">
        <f t="shared" si="6"/>
        <v>8</v>
      </c>
      <c r="B11" s="30" t="s">
        <v>39</v>
      </c>
      <c r="C11" s="30">
        <f t="shared" si="4"/>
        <v>14</v>
      </c>
      <c r="D11" s="220" t="str">
        <f t="shared" si="0"/>
        <v>EUR8x14F_Quote</v>
      </c>
      <c r="E11" s="221">
        <f>_xll.qlCalendarAdvance("target",$E$3,A11&amp;"M","mf",,Trigger)</f>
        <v>42240</v>
      </c>
      <c r="F11" s="221">
        <f>_xll.qlCalendarAdvance(Calendar,E11,$F$1,"mf",,Trigger)</f>
        <v>42424</v>
      </c>
      <c r="G11" s="345">
        <f>_xll.qlDayCounterYearFraction(DayCounter,E11,F11,,,Trigger)</f>
        <v>0.51111111111111107</v>
      </c>
      <c r="H11" s="32">
        <f>_xll.qlQuoteValue(D11,AllTriggers)</f>
        <v>1.6799999999999999E-3</v>
      </c>
      <c r="I11" s="348">
        <f>_xll.qlYieldTSDiscount(Discounting,E11,,AllTriggers)</f>
        <v>1.0002903342695217</v>
      </c>
      <c r="J11" s="348">
        <f>_xll.qlYieldTSDiscount(Discounting,F11,,AllTriggers)</f>
        <v>1.0007126582404846</v>
      </c>
      <c r="K11" s="32">
        <f t="shared" si="1"/>
        <v>-8.2569758995316815E-4</v>
      </c>
      <c r="L11" s="439">
        <f t="shared" si="2"/>
        <v>1.2804105128438189E-3</v>
      </c>
      <c r="M11" s="335" t="b">
        <v>0</v>
      </c>
      <c r="N11" s="32">
        <f>_xll.qlInterpolationInterpolate($N$1,E11,TRUE)</f>
        <v>1.265550105621095E-3</v>
      </c>
      <c r="O11" s="425">
        <f t="shared" si="5"/>
        <v>-1.4860407222723861E-5</v>
      </c>
      <c r="P11" s="222">
        <f t="shared" si="3"/>
        <v>2.5056975899531682E-3</v>
      </c>
      <c r="R11" s="429">
        <f>_xll.qlCalendarAdvance(Calendar,R10,"1D","f")</f>
        <v>42012</v>
      </c>
      <c r="S11" s="430">
        <f>_xll.qlInterpolationInterpolate(delta6Minterpolation,R11,TRUE)</f>
        <v>1.0959798091501132E-3</v>
      </c>
      <c r="T11" s="222">
        <f>_xll.qlInterpolationInterpolate(basis6Minterpolation,R11,TRUE)</f>
        <v>2.1546888937939881E-3</v>
      </c>
    </row>
    <row r="12" spans="1:20" ht="11.25" customHeight="1" x14ac:dyDescent="0.2">
      <c r="A12" s="30">
        <f t="shared" si="6"/>
        <v>9</v>
      </c>
      <c r="B12" s="30" t="s">
        <v>39</v>
      </c>
      <c r="C12" s="30">
        <f t="shared" si="4"/>
        <v>15</v>
      </c>
      <c r="D12" s="220" t="str">
        <f t="shared" si="0"/>
        <v>EUR9x15F_Quote</v>
      </c>
      <c r="E12" s="221">
        <f>_xll.qlCalendarAdvance("target",$E$3,A12&amp;"M","mf",,Trigger)</f>
        <v>42271</v>
      </c>
      <c r="F12" s="221">
        <f>_xll.qlCalendarAdvance(Calendar,E12,$F$1,"mf",,Trigger)</f>
        <v>42453</v>
      </c>
      <c r="G12" s="345">
        <f>_xll.qlDayCounterYearFraction(DayCounter,E12,F12,,,Trigger)</f>
        <v>0.50555555555555554</v>
      </c>
      <c r="H12" s="32">
        <f>_xll.qlQuoteValue(D12,AllTriggers)</f>
        <v>1.6999999999999999E-3</v>
      </c>
      <c r="I12" s="348">
        <f>_xll.qlYieldTSDiscount(Discounting,E12,,AllTriggers)</f>
        <v>1.0003654668505559</v>
      </c>
      <c r="J12" s="348">
        <f>_xll.qlYieldTSDiscount(Discounting,F12,,AllTriggers)</f>
        <v>1.0007858199836952</v>
      </c>
      <c r="K12" s="32">
        <f t="shared" si="1"/>
        <v>-8.3081486495616196E-4</v>
      </c>
      <c r="L12" s="439">
        <f t="shared" si="2"/>
        <v>1.2791866385542443E-3</v>
      </c>
      <c r="M12" s="335" t="b">
        <v>1</v>
      </c>
      <c r="N12" s="32">
        <f>_xll.qlInterpolationInterpolate($N$1,E12,TRUE)</f>
        <v>1.2791866385542443E-3</v>
      </c>
      <c r="O12" s="425">
        <f t="shared" si="5"/>
        <v>0</v>
      </c>
      <c r="P12" s="222">
        <f t="shared" si="3"/>
        <v>2.530814864956162E-3</v>
      </c>
      <c r="R12" s="429">
        <f>_xll.qlCalendarAdvance(Calendar,R11,"1D","f")</f>
        <v>42013</v>
      </c>
      <c r="S12" s="430">
        <f>_xll.qlInterpolationInterpolate(delta6Minterpolation,R12,TRUE)</f>
        <v>1.0975352335152286E-3</v>
      </c>
      <c r="T12" s="222">
        <f>_xll.qlInterpolationInterpolate(basis6Minterpolation,R12,TRUE)</f>
        <v>2.158150613362453E-3</v>
      </c>
    </row>
    <row r="13" spans="1:20" ht="11.25" customHeight="1" x14ac:dyDescent="0.2">
      <c r="A13" s="30">
        <f t="shared" si="6"/>
        <v>10</v>
      </c>
      <c r="B13" s="30" t="s">
        <v>39</v>
      </c>
      <c r="C13" s="30">
        <f t="shared" si="4"/>
        <v>16</v>
      </c>
      <c r="D13" s="220" t="str">
        <f t="shared" si="0"/>
        <v>EUR10x16F_Quote</v>
      </c>
      <c r="E13" s="221">
        <f>_xll.qlCalendarAdvance("target",$E$3,A13&amp;"M","mf",,Trigger)</f>
        <v>42303</v>
      </c>
      <c r="F13" s="221">
        <f>_xll.qlCalendarAdvance(Calendar,E13,$F$1,"mf",,Trigger)</f>
        <v>42486</v>
      </c>
      <c r="G13" s="345">
        <f>_xll.qlDayCounterYearFraction(DayCounter,E13,F13,,,Trigger)</f>
        <v>0.5083333333333333</v>
      </c>
      <c r="H13" s="32">
        <f>_xll.qlQuoteValue(D13,AllTriggers)</f>
        <v>1.7499999999999998E-3</v>
      </c>
      <c r="I13" s="348">
        <f>_xll.qlYieldTSDiscount(Discounting,E13,,AllTriggers)</f>
        <v>1.0004342471085372</v>
      </c>
      <c r="J13" s="348">
        <f>_xll.qlYieldTSDiscount(Discounting,F13,,AllTriggers)</f>
        <v>1.0008481781564029</v>
      </c>
      <c r="K13" s="32">
        <f t="shared" si="1"/>
        <v>-8.1360050778664784E-4</v>
      </c>
      <c r="L13" s="439">
        <f t="shared" si="2"/>
        <v>1.3028536946111855E-3</v>
      </c>
      <c r="M13" s="335" t="b">
        <v>0</v>
      </c>
      <c r="N13" s="32">
        <f>_xll.qlInterpolationInterpolate($N$1,E13,TRUE)</f>
        <v>1.2933011679448719E-3</v>
      </c>
      <c r="O13" s="425">
        <f t="shared" si="5"/>
        <v>-9.5525266663135534E-6</v>
      </c>
      <c r="P13" s="222">
        <f t="shared" si="3"/>
        <v>2.5636005077866479E-3</v>
      </c>
      <c r="R13" s="429">
        <f>_xll.qlCalendarAdvance(Calendar,R12,"1D","f")</f>
        <v>42016</v>
      </c>
      <c r="S13" s="430">
        <f>_xll.qlInterpolationInterpolate(delta6Minterpolation,R13,TRUE)</f>
        <v>1.1018030443249562E-3</v>
      </c>
      <c r="T13" s="222">
        <f>_xll.qlInterpolationInterpolate(basis6Minterpolation,R13,TRUE)</f>
        <v>2.1681340863243912E-3</v>
      </c>
    </row>
    <row r="14" spans="1:20" ht="11.25" customHeight="1" x14ac:dyDescent="0.2">
      <c r="A14" s="30">
        <f t="shared" si="6"/>
        <v>11</v>
      </c>
      <c r="B14" s="30" t="s">
        <v>39</v>
      </c>
      <c r="C14" s="30">
        <f t="shared" si="4"/>
        <v>17</v>
      </c>
      <c r="D14" s="220" t="str">
        <f t="shared" si="0"/>
        <v>EUR11x17F_Quote</v>
      </c>
      <c r="E14" s="221">
        <f>_xll.qlCalendarAdvance("target",$E$3,A14&amp;"M","mf",,Trigger)</f>
        <v>42332</v>
      </c>
      <c r="F14" s="221">
        <f>_xll.qlCalendarAdvance(Calendar,E14,$F$1,"mf",,Trigger)</f>
        <v>42514</v>
      </c>
      <c r="G14" s="345">
        <f>_xll.qlDayCounterYearFraction(DayCounter,E14,F14,,,Trigger)</f>
        <v>0.50555555555555554</v>
      </c>
      <c r="H14" s="32">
        <f>_xll.qlQuoteValue(D14,AllTriggers)</f>
        <v>1.7899999999999999E-3</v>
      </c>
      <c r="I14" s="348">
        <f>_xll.qlYieldTSDiscount(Discounting,E14,,AllTriggers)</f>
        <v>1.0005027526331982</v>
      </c>
      <c r="J14" s="348">
        <f>_xll.qlYieldTSDiscount(Discounting,F14,,AllTriggers)</f>
        <v>1.0009010911681373</v>
      </c>
      <c r="K14" s="32">
        <f t="shared" si="1"/>
        <v>-7.8721302609739013E-4</v>
      </c>
      <c r="L14" s="439">
        <f t="shared" si="2"/>
        <v>1.302594362855394E-3</v>
      </c>
      <c r="M14" s="335" t="b">
        <v>0</v>
      </c>
      <c r="N14" s="32">
        <f>_xll.qlInterpolationInterpolate($N$1,E14,TRUE)</f>
        <v>1.3064469478687988E-3</v>
      </c>
      <c r="O14" s="425">
        <f t="shared" si="5"/>
        <v>3.8525850134048419E-6</v>
      </c>
      <c r="P14" s="222">
        <f t="shared" si="3"/>
        <v>2.5772130260973899E-3</v>
      </c>
      <c r="R14" s="429">
        <f>_xll.qlCalendarAdvance(Calendar,R13,"1D","f")</f>
        <v>42017</v>
      </c>
      <c r="S14" s="430">
        <f>_xll.qlInterpolationInterpolate(delta6Minterpolation,R14,TRUE)</f>
        <v>1.1031063803052922E-3</v>
      </c>
      <c r="T14" s="222">
        <f>_xll.qlInterpolationInterpolate(basis6Minterpolation,R14,TRUE)</f>
        <v>2.1713416781776076E-3</v>
      </c>
    </row>
    <row r="15" spans="1:20" ht="11.25" customHeight="1" x14ac:dyDescent="0.2">
      <c r="A15" s="30">
        <f t="shared" si="6"/>
        <v>12</v>
      </c>
      <c r="B15" s="30" t="s">
        <v>39</v>
      </c>
      <c r="C15" s="30">
        <f t="shared" si="4"/>
        <v>18</v>
      </c>
      <c r="D15" s="220" t="str">
        <f t="shared" si="0"/>
        <v>EUR12x18F_Quote</v>
      </c>
      <c r="E15" s="221">
        <f>_xll.qlCalendarAdvance("target",$E$3,A15&amp;"M","mf",,Trigger)</f>
        <v>42362</v>
      </c>
      <c r="F15" s="221">
        <f>_xll.qlCalendarAdvance(Calendar,E15,$F$1,"mf",,Trigger)</f>
        <v>42545</v>
      </c>
      <c r="G15" s="345">
        <f>_xll.qlDayCounterYearFraction(DayCounter,E15,F15,,,Trigger)</f>
        <v>0.5083333333333333</v>
      </c>
      <c r="H15" s="32">
        <f>_xll.qlQuoteValue(D15,AllTriggers)</f>
        <v>1.8500000000000001E-3</v>
      </c>
      <c r="I15" s="348">
        <f>_xll.qlYieldTSDiscount(Discounting,E15,,AllTriggers)</f>
        <v>1.000578250847469</v>
      </c>
      <c r="J15" s="348">
        <f>_xll.qlYieldTSDiscount(Discounting,F15,,AllTriggers)</f>
        <v>1.0009596766941902</v>
      </c>
      <c r="K15" s="32">
        <f t="shared" si="1"/>
        <v>-7.4962652886707273E-4</v>
      </c>
      <c r="L15" s="439">
        <f t="shared" si="2"/>
        <v>1.3211075259907004E-3</v>
      </c>
      <c r="M15" s="335" t="b">
        <v>1</v>
      </c>
      <c r="N15" s="32">
        <f>_xll.qlInterpolationInterpolate($N$1,E15,TRUE)</f>
        <v>1.3211075259907004E-3</v>
      </c>
      <c r="O15" s="425">
        <f t="shared" si="5"/>
        <v>0</v>
      </c>
      <c r="P15" s="222">
        <f t="shared" si="3"/>
        <v>2.5996265288670728E-3</v>
      </c>
      <c r="R15" s="429">
        <f>_xll.qlCalendarAdvance(Calendar,R14,"1D","f")</f>
        <v>42018</v>
      </c>
      <c r="S15" s="430">
        <f>_xll.qlInterpolationInterpolate(delta6Minterpolation,R15,TRUE)</f>
        <v>1.1043568590436586E-3</v>
      </c>
      <c r="T15" s="222">
        <f>_xll.qlInterpolationInterpolate(basis6Minterpolation,R15,TRUE)</f>
        <v>2.1744959851873044E-3</v>
      </c>
    </row>
    <row r="16" spans="1:20" ht="11.25" customHeight="1" x14ac:dyDescent="0.2">
      <c r="A16" s="30">
        <f t="shared" si="6"/>
        <v>13</v>
      </c>
      <c r="B16" s="30" t="s">
        <v>39</v>
      </c>
      <c r="C16" s="30">
        <f t="shared" si="4"/>
        <v>19</v>
      </c>
      <c r="D16" s="220" t="str">
        <f t="shared" si="0"/>
        <v>EUR13x19F_Quote</v>
      </c>
      <c r="E16" s="221">
        <f>_xll.qlCalendarAdvance("target",$E$3,A16&amp;"M","mf",,Trigger)</f>
        <v>42394</v>
      </c>
      <c r="F16" s="221">
        <f>_xll.qlCalendarAdvance(Calendar,E16,$F$1,"mf",,Trigger)</f>
        <v>42576</v>
      </c>
      <c r="G16" s="345">
        <f>_xll.qlDayCounterYearFraction(DayCounter,E16,F16,,,Trigger)</f>
        <v>0.50555555555555554</v>
      </c>
      <c r="H16" s="32">
        <f>_xll.qlQuoteValue(D16,AllTriggers)</f>
        <v>1.92E-3</v>
      </c>
      <c r="I16" s="348">
        <f>_xll.qlYieldTSDiscount(Discounting,E16,,AllTriggers)</f>
        <v>1.000637121118662</v>
      </c>
      <c r="J16" s="348">
        <f>_xll.qlYieldTSDiscount(Discounting,F16,,AllTriggers)</f>
        <v>1.0010022257417661</v>
      </c>
      <c r="K16" s="32">
        <f t="shared" si="1"/>
        <v>-7.2146190108837748E-4</v>
      </c>
      <c r="L16" s="439">
        <f t="shared" si="2"/>
        <v>1.3350014800989978E-3</v>
      </c>
      <c r="M16" s="335" t="b">
        <v>0</v>
      </c>
      <c r="N16" s="32">
        <f>_xll.qlInterpolationInterpolate($N$1,E16,TRUE)</f>
        <v>1.3385246754458275E-3</v>
      </c>
      <c r="O16" s="425">
        <f t="shared" si="5"/>
        <v>3.5231953468297088E-6</v>
      </c>
      <c r="P16" s="222">
        <f t="shared" si="3"/>
        <v>2.6414619010883774E-3</v>
      </c>
      <c r="R16" s="429">
        <f>_xll.qlCalendarAdvance(Calendar,R15,"1D","f")</f>
        <v>42019</v>
      </c>
      <c r="S16" s="430">
        <f>_xll.qlInterpolationInterpolate(delta6Minterpolation,R16,TRUE)</f>
        <v>1.105558546481745E-3</v>
      </c>
      <c r="T16" s="222">
        <f>_xll.qlInterpolationInterpolate(basis6Minterpolation,R16,TRUE)</f>
        <v>2.1776011061875981E-3</v>
      </c>
    </row>
    <row r="17" spans="1:20" ht="11.25" customHeight="1" x14ac:dyDescent="0.2">
      <c r="A17" s="30">
        <f t="shared" si="6"/>
        <v>14</v>
      </c>
      <c r="B17" s="30" t="s">
        <v>39</v>
      </c>
      <c r="C17" s="30">
        <f t="shared" si="4"/>
        <v>20</v>
      </c>
      <c r="D17" s="220" t="str">
        <f t="shared" si="0"/>
        <v>EUR14x20F_Quote</v>
      </c>
      <c r="E17" s="221">
        <f>_xll.qlCalendarAdvance("target",$E$3,A17&amp;"M","mf",,Trigger)</f>
        <v>42424</v>
      </c>
      <c r="F17" s="221">
        <f>_xll.qlCalendarAdvance(Calendar,E17,$F$1,"mf",,Trigger)</f>
        <v>42606</v>
      </c>
      <c r="G17" s="345">
        <f>_xll.qlDayCounterYearFraction(DayCounter,E17,F17,,,Trigger)</f>
        <v>0.50555555555555554</v>
      </c>
      <c r="H17" s="32">
        <f>_xll.qlQuoteValue(D17,AllTriggers)</f>
        <v>2E-3</v>
      </c>
      <c r="I17" s="348">
        <f>_xll.qlYieldTSDiscount(Discounting,E17,,AllTriggers)</f>
        <v>1.0007126582404846</v>
      </c>
      <c r="J17" s="348">
        <f>_xll.qlYieldTSDiscount(Discounting,F17,,AllTriggers)</f>
        <v>1.0010434039615292</v>
      </c>
      <c r="K17" s="32">
        <f t="shared" si="1"/>
        <v>-6.5354039872196883E-4</v>
      </c>
      <c r="L17" s="439">
        <f t="shared" si="2"/>
        <v>1.341055856362069E-3</v>
      </c>
      <c r="M17" s="335" t="b">
        <v>0</v>
      </c>
      <c r="N17" s="32">
        <f>_xll.qlInterpolationInterpolate($N$1,E17,TRUE)</f>
        <v>1.3563797759304547E-3</v>
      </c>
      <c r="O17" s="425">
        <f t="shared" si="5"/>
        <v>1.532391956838566E-5</v>
      </c>
      <c r="P17" s="222">
        <f t="shared" si="3"/>
        <v>2.6535403987219689E-3</v>
      </c>
      <c r="R17" s="429">
        <f>_xll.qlCalendarAdvance(Calendar,R16,"1D","f")</f>
        <v>42020</v>
      </c>
      <c r="S17" s="430">
        <f>_xll.qlInterpolationInterpolate(delta6Minterpolation,R17,TRUE)</f>
        <v>1.1067155085612416E-3</v>
      </c>
      <c r="T17" s="222">
        <f>_xll.qlInterpolationInterpolate(basis6Minterpolation,R17,TRUE)</f>
        <v>2.1806611400126061E-3</v>
      </c>
    </row>
    <row r="18" spans="1:20" ht="11.25" customHeight="1" x14ac:dyDescent="0.2">
      <c r="A18" s="30">
        <f t="shared" si="6"/>
        <v>15</v>
      </c>
      <c r="B18" s="30" t="s">
        <v>39</v>
      </c>
      <c r="C18" s="30">
        <f t="shared" si="4"/>
        <v>21</v>
      </c>
      <c r="D18" s="220" t="str">
        <f t="shared" si="0"/>
        <v>EUR15x21F_Quote</v>
      </c>
      <c r="E18" s="221">
        <f>_xll.qlCalendarAdvance("target",$E$3,A18&amp;"M","mf",,Trigger)</f>
        <v>42453</v>
      </c>
      <c r="F18" s="221">
        <f>_xll.qlCalendarAdvance(Calendar,E18,$F$1,"mf",,Trigger)</f>
        <v>42639</v>
      </c>
      <c r="G18" s="345">
        <f>_xll.qlDayCounterYearFraction(DayCounter,E18,F18,,,Trigger)</f>
        <v>0.51666666666666672</v>
      </c>
      <c r="H18" s="32">
        <f>_xll.qlQuoteValue(D18,AllTriggers)</f>
        <v>2.0899999999999998E-3</v>
      </c>
      <c r="I18" s="348">
        <f>_xll.qlYieldTSDiscount(Discounting,E18,,AllTriggers)</f>
        <v>1.0007858199836952</v>
      </c>
      <c r="J18" s="348">
        <f>_xll.qlYieldTSDiscount(Discounting,F18,,AllTriggers)</f>
        <v>1.0010887019597812</v>
      </c>
      <c r="K18" s="32">
        <f t="shared" si="1"/>
        <v>-5.8558565127511761E-4</v>
      </c>
      <c r="L18" s="439">
        <f t="shared" si="2"/>
        <v>1.3818490974490461E-3</v>
      </c>
      <c r="M18" s="335" t="b">
        <v>0</v>
      </c>
      <c r="N18" s="32">
        <f>_xll.qlInterpolationInterpolate($N$1,E18,TRUE)</f>
        <v>1.3747630959177798E-3</v>
      </c>
      <c r="O18" s="425">
        <f t="shared" si="5"/>
        <v>-7.086001531266331E-6</v>
      </c>
      <c r="P18" s="222">
        <f t="shared" si="3"/>
        <v>2.6755856512751175E-3</v>
      </c>
      <c r="R18" s="429">
        <f>_xll.qlCalendarAdvance(Calendar,R17,"1D","f")</f>
        <v>42023</v>
      </c>
      <c r="S18" s="430">
        <f>_xll.qlInterpolationInterpolate(delta6Minterpolation,R18,TRUE)</f>
        <v>1.1099587020650917E-3</v>
      </c>
      <c r="T18" s="222">
        <f>_xll.qlInterpolationInterpolate(basis6Minterpolation,R18,TRUE)</f>
        <v>2.1896117067770823E-3</v>
      </c>
    </row>
    <row r="19" spans="1:20" ht="11.25" customHeight="1" x14ac:dyDescent="0.2">
      <c r="A19" s="30">
        <f t="shared" si="6"/>
        <v>16</v>
      </c>
      <c r="B19" s="30" t="s">
        <v>39</v>
      </c>
      <c r="C19" s="30">
        <f t="shared" si="4"/>
        <v>22</v>
      </c>
      <c r="D19" s="220" t="str">
        <f t="shared" si="0"/>
        <v>EUR16x22F_Quote</v>
      </c>
      <c r="E19" s="221">
        <f>_xll.qlCalendarAdvance("target",$E$3,A19&amp;"M","mf",,Trigger)</f>
        <v>42485</v>
      </c>
      <c r="F19" s="221">
        <f>_xll.qlCalendarAdvance(Calendar,E19,$F$1,"mf",,Trigger)</f>
        <v>42668</v>
      </c>
      <c r="G19" s="345">
        <f>_xll.qlDayCounterYearFraction(DayCounter,E19,F19,,,Trigger)</f>
        <v>0.5083333333333333</v>
      </c>
      <c r="H19" s="32">
        <f>_xll.qlQuoteValue(D19,AllTriggers)</f>
        <v>2.1900000000000001E-3</v>
      </c>
      <c r="I19" s="348">
        <f>_xll.qlYieldTSDiscount(Discounting,E19,,AllTriggers)</f>
        <v>1.0008462884577201</v>
      </c>
      <c r="J19" s="348">
        <f>_xll.qlYieldTSDiscount(Discounting,F19,,AllTriggers)</f>
        <v>1.0011121782726458</v>
      </c>
      <c r="K19" s="32">
        <f t="shared" si="1"/>
        <v>-5.2248083916421812E-4</v>
      </c>
      <c r="L19" s="439">
        <f t="shared" si="2"/>
        <v>1.3782604997491694E-3</v>
      </c>
      <c r="M19" s="335" t="b">
        <v>0</v>
      </c>
      <c r="N19" s="32">
        <f>_xll.qlInterpolationInterpolate($N$1,E19,TRUE)</f>
        <v>1.3960093556440625E-3</v>
      </c>
      <c r="O19" s="425">
        <f t="shared" si="5"/>
        <v>1.7748855894893093E-5</v>
      </c>
      <c r="P19" s="222">
        <f t="shared" si="3"/>
        <v>2.7124808391642183E-3</v>
      </c>
      <c r="R19" s="429">
        <f>_xll.qlCalendarAdvance(Calendar,R18,"1D","f")</f>
        <v>42024</v>
      </c>
      <c r="S19" s="430">
        <f>_xll.qlInterpolationInterpolate(delta6Minterpolation,R19,TRUE)</f>
        <v>1.1109774221271286E-3</v>
      </c>
      <c r="T19" s="222">
        <f>_xll.qlInterpolationInterpolate(basis6Minterpolation,R19,TRUE)</f>
        <v>2.1925323802421152E-3</v>
      </c>
    </row>
    <row r="20" spans="1:20" ht="11.25" customHeight="1" x14ac:dyDescent="0.2">
      <c r="A20" s="30">
        <f t="shared" si="6"/>
        <v>17</v>
      </c>
      <c r="B20" s="30" t="s">
        <v>39</v>
      </c>
      <c r="C20" s="30">
        <f t="shared" si="4"/>
        <v>23</v>
      </c>
      <c r="D20" s="220" t="str">
        <f t="shared" si="0"/>
        <v>EUR17x23F_Quote</v>
      </c>
      <c r="E20" s="221">
        <f>_xll.qlCalendarAdvance("target",$E$3,A20&amp;"M","mf",,Trigger)</f>
        <v>42514</v>
      </c>
      <c r="F20" s="221">
        <f>_xll.qlCalendarAdvance(Calendar,E20,$F$1,"mf",,Trigger)</f>
        <v>42698</v>
      </c>
      <c r="G20" s="345">
        <f>_xll.qlDayCounterYearFraction(DayCounter,E20,F20,,,Trigger)</f>
        <v>0.51111111111111107</v>
      </c>
      <c r="H20" s="32">
        <f>_xll.qlQuoteValue(D20,AllTriggers)</f>
        <v>2.2799999999999999E-3</v>
      </c>
      <c r="I20" s="348">
        <f>_xll.qlYieldTSDiscount(Discounting,E20,,AllTriggers)</f>
        <v>1.0009010911681373</v>
      </c>
      <c r="J20" s="348">
        <f>_xll.qlYieldTSDiscount(Discounting,F20,,AllTriggers)</f>
        <v>1.0011364646928815</v>
      </c>
      <c r="K20" s="32">
        <f t="shared" si="1"/>
        <v>-4.5999065483963132E-4</v>
      </c>
      <c r="L20" s="439">
        <f t="shared" si="2"/>
        <v>1.3997888360146587E-3</v>
      </c>
      <c r="M20" s="335" t="b">
        <v>0</v>
      </c>
      <c r="N20" s="32">
        <f>_xll.qlInterpolationInterpolate($N$1,E20,TRUE)</f>
        <v>1.4158477046338277E-3</v>
      </c>
      <c r="O20" s="425">
        <f t="shared" si="5"/>
        <v>1.6058868619168998E-5</v>
      </c>
      <c r="P20" s="222">
        <f t="shared" si="3"/>
        <v>2.7399906548396312E-3</v>
      </c>
      <c r="R20" s="429">
        <f>_xll.qlCalendarAdvance(Calendar,R19,"1D","f")</f>
        <v>42025</v>
      </c>
      <c r="S20" s="430">
        <f>_xll.qlInterpolationInterpolate(delta6Minterpolation,R20,TRUE)</f>
        <v>1.1119717465390257E-3</v>
      </c>
      <c r="T20" s="222">
        <f>_xll.qlInterpolationInterpolate(basis6Minterpolation,R20,TRUE)</f>
        <v>2.1954284607024464E-3</v>
      </c>
    </row>
    <row r="21" spans="1:20" ht="11.25" customHeight="1" thickBot="1" x14ac:dyDescent="0.25">
      <c r="A21" s="30">
        <f t="shared" si="6"/>
        <v>18</v>
      </c>
      <c r="B21" s="30" t="s">
        <v>39</v>
      </c>
      <c r="C21" s="30">
        <f t="shared" si="4"/>
        <v>24</v>
      </c>
      <c r="D21" s="223" t="str">
        <f t="shared" si="0"/>
        <v>EUR18x24F_Quote</v>
      </c>
      <c r="E21" s="224">
        <f>_xll.qlCalendarAdvance("target",$E$3,A21&amp;"M","mf",,Trigger)</f>
        <v>42545</v>
      </c>
      <c r="F21" s="224">
        <f>_xll.qlCalendarAdvance(Calendar,E21,$F$1,"mf",,Trigger)</f>
        <v>42731</v>
      </c>
      <c r="G21" s="346">
        <f>_xll.qlDayCounterYearFraction(DayCounter,E21,F21,,,Trigger)</f>
        <v>0.51666666666666672</v>
      </c>
      <c r="H21" s="225">
        <f>_xll.qlQuoteValue(D21,AllTriggers)</f>
        <v>2.3900000000000002E-3</v>
      </c>
      <c r="I21" s="349">
        <f>_xll.qlYieldTSDiscount(Discounting,E21,,AllTriggers)</f>
        <v>1.0009596766941902</v>
      </c>
      <c r="J21" s="349">
        <f>_xll.qlYieldTSDiscount(Discounting,F21,,AllTriggers)</f>
        <v>1.0011631804356385</v>
      </c>
      <c r="K21" s="225">
        <f t="shared" si="1"/>
        <v>-3.9342059012140607E-4</v>
      </c>
      <c r="L21" s="440">
        <f t="shared" si="2"/>
        <v>1.437359520196976E-3</v>
      </c>
      <c r="M21" s="336" t="b">
        <v>1</v>
      </c>
      <c r="N21" s="225">
        <f>_xll.qlInterpolationInterpolate($N$1,E21,TRUE)</f>
        <v>1.437359520196976E-3</v>
      </c>
      <c r="O21" s="426">
        <f t="shared" si="5"/>
        <v>0</v>
      </c>
      <c r="P21" s="226">
        <f t="shared" si="3"/>
        <v>2.7834205901214062E-3</v>
      </c>
      <c r="R21" s="429">
        <f>_xll.qlCalendarAdvance(Calendar,R20,"1D","f")</f>
        <v>42026</v>
      </c>
      <c r="S21" s="430">
        <f>_xll.qlInterpolationInterpolate(delta6Minterpolation,R21,TRUE)</f>
        <v>1.1129457412424727E-3</v>
      </c>
      <c r="T21" s="222">
        <f>_xll.qlInterpolationInterpolate(basis6Minterpolation,R21,TRUE)</f>
        <v>2.1983040469921934E-3</v>
      </c>
    </row>
    <row r="22" spans="1:20" ht="11.25" customHeight="1" thickBot="1" x14ac:dyDescent="0.25">
      <c r="E22" s="155"/>
      <c r="F22" s="155"/>
      <c r="G22" s="155"/>
      <c r="H22" s="33"/>
      <c r="I22" s="227"/>
      <c r="J22" s="31"/>
      <c r="K22" s="33"/>
      <c r="L22" s="33"/>
      <c r="P22" s="427"/>
      <c r="R22" s="429">
        <f>_xll.qlCalendarAdvance(Calendar,R21,"1D","f")</f>
        <v>42027</v>
      </c>
      <c r="S22" s="430">
        <f>_xll.qlInterpolationInterpolate(delta6Minterpolation,R22,TRUE)</f>
        <v>1.1139034721791598E-3</v>
      </c>
      <c r="T22" s="222">
        <f>_xll.qlInterpolationInterpolate(basis6Minterpolation,R22,TRUE)</f>
        <v>2.2011632379454723E-3</v>
      </c>
    </row>
    <row r="23" spans="1:20" ht="11.25" customHeight="1" x14ac:dyDescent="0.2">
      <c r="E23" s="155"/>
      <c r="F23" s="155"/>
      <c r="G23" s="155"/>
      <c r="H23" s="33"/>
      <c r="K23" s="33"/>
      <c r="L23" s="33"/>
      <c r="R23" s="429">
        <f>_xll.qlCalendarAdvance(Calendar,R22,"1D","f")</f>
        <v>42030</v>
      </c>
      <c r="S23" s="430">
        <f>_xll.qlInterpolationInterpolate(delta6Minterpolation,R23,TRUE)</f>
        <v>1.1167197418055612E-3</v>
      </c>
      <c r="T23" s="222">
        <f>_xll.qlInterpolationInterpolate(basis6Minterpolation,R23,TRUE)</f>
        <v>2.2096834271276731E-3</v>
      </c>
    </row>
    <row r="24" spans="1:20" ht="11.25" customHeight="1" x14ac:dyDescent="0.2">
      <c r="E24" s="155"/>
      <c r="F24" s="155"/>
      <c r="G24" s="155"/>
      <c r="H24" s="33"/>
      <c r="K24" s="33"/>
      <c r="L24" s="33"/>
      <c r="R24" s="429">
        <f>_xll.qlCalendarAdvance(Calendar,R23,"1D","f")</f>
        <v>42031</v>
      </c>
      <c r="S24" s="430">
        <f>_xll.qlInterpolationInterpolate(delta6Minterpolation,R24,TRUE)</f>
        <v>1.1176530770921082E-3</v>
      </c>
      <c r="T24" s="222">
        <f>_xll.qlInterpolationInterpolate(basis6Minterpolation,R24,TRUE)</f>
        <v>2.2125180250762507E-3</v>
      </c>
    </row>
    <row r="25" spans="1:20" ht="11.25" customHeight="1" x14ac:dyDescent="0.2">
      <c r="E25" s="155"/>
      <c r="F25" s="155"/>
      <c r="G25" s="155"/>
      <c r="H25" s="33"/>
      <c r="K25" s="33"/>
      <c r="L25" s="33"/>
      <c r="R25" s="429">
        <f>_xll.qlCalendarAdvance(Calendar,R24,"1D","f")</f>
        <v>42032</v>
      </c>
      <c r="S25" s="430">
        <f>_xll.qlInterpolationInterpolate(delta6Minterpolation,R25,TRUE)</f>
        <v>1.1185904783203454E-3</v>
      </c>
      <c r="T25" s="222">
        <f>_xll.qlInterpolationInterpolate(basis6Minterpolation,R25,TRUE)</f>
        <v>2.2153567218589454E-3</v>
      </c>
    </row>
    <row r="26" spans="1:20" ht="11.25" customHeight="1" x14ac:dyDescent="0.2">
      <c r="E26" s="155"/>
      <c r="F26" s="155"/>
      <c r="G26" s="155"/>
      <c r="H26" s="33"/>
      <c r="K26" s="33"/>
      <c r="L26" s="33"/>
      <c r="R26" s="429">
        <f>_xll.qlCalendarAdvance(Calendar,R25,"1D","f")</f>
        <v>42033</v>
      </c>
      <c r="S26" s="430">
        <f>_xll.qlInterpolationInterpolate(delta6Minterpolation,R26,TRUE)</f>
        <v>1.1195360114319626E-3</v>
      </c>
      <c r="T26" s="222">
        <f>_xll.qlInterpolationInterpolate(basis6Minterpolation,R26,TRUE)</f>
        <v>2.218203616309874E-3</v>
      </c>
    </row>
    <row r="27" spans="1:20" ht="11.25" customHeight="1" x14ac:dyDescent="0.2">
      <c r="E27" s="155"/>
      <c r="F27" s="155"/>
      <c r="G27" s="155"/>
      <c r="H27" s="33"/>
      <c r="K27" s="33"/>
      <c r="L27" s="33"/>
      <c r="R27" s="429">
        <f>_xll.qlCalendarAdvance(Calendar,R26,"1D","f")</f>
        <v>42034</v>
      </c>
      <c r="S27" s="430">
        <f>_xll.qlInterpolationInterpolate(delta6Minterpolation,R27,TRUE)</f>
        <v>1.1204937423686496E-3</v>
      </c>
      <c r="T27" s="222">
        <f>_xll.qlInterpolationInterpolate(basis6Minterpolation,R27,TRUE)</f>
        <v>2.2210628072631528E-3</v>
      </c>
    </row>
    <row r="28" spans="1:20" ht="11.25" customHeight="1" x14ac:dyDescent="0.2">
      <c r="E28" s="155"/>
      <c r="F28" s="155"/>
      <c r="G28" s="155"/>
      <c r="H28" s="33"/>
      <c r="K28" s="33"/>
      <c r="L28" s="33"/>
      <c r="R28" s="429">
        <f>_xll.qlCalendarAdvance(Calendar,R27,"1D","f")</f>
        <v>42037</v>
      </c>
      <c r="S28" s="430">
        <f>_xll.qlInterpolationInterpolate(delta6Minterpolation,R28,TRUE)</f>
        <v>1.1234807815460306E-3</v>
      </c>
      <c r="T28" s="222">
        <f>_xll.qlInterpolationInterpolate(basis6Minterpolation,R28,TRUE)</f>
        <v>2.2297551474782639E-3</v>
      </c>
    </row>
    <row r="29" spans="1:20" ht="11.25" customHeight="1" x14ac:dyDescent="0.2">
      <c r="E29" s="155"/>
      <c r="F29" s="155"/>
      <c r="G29" s="155"/>
      <c r="H29" s="33"/>
      <c r="K29" s="33"/>
      <c r="L29" s="33"/>
      <c r="R29" s="429">
        <f>_xll.qlCalendarAdvance(Calendar,R28,"1D","f")</f>
        <v>42038</v>
      </c>
      <c r="S29" s="430">
        <f>_xll.qlInterpolationInterpolate(delta6Minterpolation,R29,TRUE)</f>
        <v>1.1245279631998974E-3</v>
      </c>
      <c r="T29" s="222">
        <f>_xll.qlInterpolationInterpolate(basis6Minterpolation,R29,TRUE)</f>
        <v>2.2327045127821152E-3</v>
      </c>
    </row>
    <row r="30" spans="1:20" ht="11.25" customHeight="1" x14ac:dyDescent="0.2">
      <c r="E30" s="155"/>
      <c r="F30" s="155"/>
      <c r="G30" s="155"/>
      <c r="H30" s="33"/>
      <c r="K30" s="33"/>
      <c r="L30" s="33"/>
      <c r="R30" s="429">
        <f>_xll.qlCalendarAdvance(Calendar,R29,"1D","f")</f>
        <v>42039</v>
      </c>
      <c r="S30" s="430">
        <f>_xll.qlInterpolationInterpolate(delta6Minterpolation,R30,TRUE)</f>
        <v>1.1256076723872841E-3</v>
      </c>
      <c r="T30" s="222">
        <f>_xll.qlInterpolationInterpolate(basis6Minterpolation,R30,TRUE)</f>
        <v>2.2356866687589017E-3</v>
      </c>
    </row>
    <row r="31" spans="1:20" ht="11.25" customHeight="1" x14ac:dyDescent="0.2">
      <c r="E31" s="155"/>
      <c r="F31" s="155"/>
      <c r="G31" s="155"/>
      <c r="H31" s="33"/>
      <c r="K31" s="33"/>
      <c r="L31" s="33"/>
      <c r="R31" s="429">
        <f>_xll.qlCalendarAdvance(Calendar,R30,"1D","f")</f>
        <v>42040</v>
      </c>
      <c r="S31" s="430">
        <f>_xll.qlInterpolationInterpolate(delta6Minterpolation,R31,TRUE)</f>
        <v>1.1267239750498807E-3</v>
      </c>
      <c r="T31" s="222">
        <f>_xll.qlInterpolationInterpolate(basis6Minterpolation,R31,TRUE)</f>
        <v>2.2387057142427402E-3</v>
      </c>
    </row>
    <row r="32" spans="1:20" ht="11.25" customHeight="1" x14ac:dyDescent="0.2">
      <c r="E32" s="155"/>
      <c r="F32" s="155"/>
      <c r="G32" s="155"/>
      <c r="H32" s="33"/>
      <c r="K32" s="33"/>
      <c r="L32" s="33"/>
      <c r="R32" s="429">
        <f>_xll.qlCalendarAdvance(Calendar,R31,"1D","f")</f>
        <v>42041</v>
      </c>
      <c r="S32" s="430">
        <f>_xll.qlInterpolationInterpolate(delta6Minterpolation,R32,TRUE)</f>
        <v>1.1278809371293773E-3</v>
      </c>
      <c r="T32" s="222">
        <f>_xll.qlInterpolationInterpolate(basis6Minterpolation,R32,TRUE)</f>
        <v>2.2417657480677481E-3</v>
      </c>
    </row>
    <row r="33" spans="5:20" ht="11.25" customHeight="1" x14ac:dyDescent="0.2">
      <c r="E33" s="155"/>
      <c r="F33" s="155"/>
      <c r="G33" s="155"/>
      <c r="H33" s="33"/>
      <c r="K33" s="33"/>
      <c r="L33" s="33"/>
      <c r="R33" s="429">
        <f>_xll.qlCalendarAdvance(Calendar,R32,"1D","f")</f>
        <v>42044</v>
      </c>
      <c r="S33" s="430">
        <f>_xll.qlInterpolationInterpolate(delta6Minterpolation,R33,TRUE)</f>
        <v>1.1316364392861661E-3</v>
      </c>
      <c r="T33" s="222">
        <f>_xll.qlInterpolationInterpolate(basis6Minterpolation,R33,TRUE)</f>
        <v>2.2512327679309551E-3</v>
      </c>
    </row>
    <row r="34" spans="5:20" ht="11.25" customHeight="1" x14ac:dyDescent="0.2">
      <c r="E34" s="155"/>
      <c r="F34" s="155"/>
      <c r="G34" s="155"/>
      <c r="H34" s="33"/>
      <c r="K34" s="33"/>
      <c r="L34" s="33"/>
      <c r="R34" s="429">
        <f>_xll.qlCalendarAdvance(Calendar,R33,"1D","f")</f>
        <v>42045</v>
      </c>
      <c r="S34" s="430">
        <f>_xll.qlInterpolationInterpolate(delta6Minterpolation,R34,TRUE)</f>
        <v>1.1329966984501621E-3</v>
      </c>
      <c r="T34" s="222">
        <f>_xll.qlInterpolationInterpolate(basis6Minterpolation,R34,TRUE)</f>
        <v>2.2544977434618084E-3</v>
      </c>
    </row>
    <row r="35" spans="5:20" ht="11.25" customHeight="1" x14ac:dyDescent="0.2">
      <c r="E35" s="155"/>
      <c r="F35" s="155"/>
      <c r="G35" s="155"/>
      <c r="H35" s="33"/>
      <c r="K35" s="33"/>
      <c r="L35" s="33"/>
      <c r="R35" s="429">
        <f>_xll.qlCalendarAdvance(Calendar,R34,"1D","f")</f>
        <v>42046</v>
      </c>
      <c r="S35" s="430">
        <f>_xll.qlInterpolationInterpolate(delta6Minterpolation,R35,TRUE)</f>
        <v>1.1344179467395079E-3</v>
      </c>
      <c r="T35" s="222">
        <f>_xll.qlInterpolationInterpolate(basis6Minterpolation,R35,TRUE)</f>
        <v>2.2578242015044154E-3</v>
      </c>
    </row>
    <row r="36" spans="5:20" ht="11.25" customHeight="1" x14ac:dyDescent="0.2">
      <c r="E36" s="155"/>
      <c r="F36" s="155"/>
      <c r="G36" s="155"/>
      <c r="H36" s="33"/>
      <c r="K36" s="33"/>
      <c r="L36" s="33"/>
      <c r="R36" s="429">
        <f>_xll.qlCalendarAdvance(Calendar,R35,"1D","f")</f>
        <v>42047</v>
      </c>
      <c r="S36" s="430">
        <f>_xll.qlInterpolationInterpolate(delta6Minterpolation,R36,TRUE)</f>
        <v>1.1359042500958937E-3</v>
      </c>
      <c r="T36" s="222">
        <f>_xll.qlInterpolationInterpolate(basis6Minterpolation,R36,TRUE)</f>
        <v>2.2612162408928932E-3</v>
      </c>
    </row>
    <row r="37" spans="5:20" ht="11.25" customHeight="1" x14ac:dyDescent="0.2">
      <c r="E37" s="155"/>
      <c r="F37" s="155"/>
      <c r="G37" s="155"/>
      <c r="H37" s="33"/>
      <c r="K37" s="33"/>
      <c r="L37" s="33"/>
      <c r="R37" s="429">
        <f>_xll.qlCalendarAdvance(Calendar,R36,"1D","f")</f>
        <v>42048</v>
      </c>
      <c r="S37" s="430">
        <f>_xll.qlInterpolationInterpolate(delta6Minterpolation,R37,TRUE)</f>
        <v>1.1374596744610091E-3</v>
      </c>
      <c r="T37" s="222">
        <f>_xll.qlInterpolationInterpolate(basis6Minterpolation,R37,TRUE)</f>
        <v>2.2646779604613581E-3</v>
      </c>
    </row>
    <row r="38" spans="5:20" ht="11.25" customHeight="1" x14ac:dyDescent="0.2">
      <c r="E38" s="155"/>
      <c r="F38" s="155"/>
      <c r="G38" s="155"/>
      <c r="H38" s="33"/>
      <c r="K38" s="33"/>
      <c r="L38" s="33"/>
      <c r="R38" s="429">
        <f>_xll.qlCalendarAdvance(Calendar,R37,"1D","f")</f>
        <v>42051</v>
      </c>
      <c r="S38" s="430">
        <f>_xll.qlInterpolationInterpolate(delta6Minterpolation,R38,TRUE)</f>
        <v>1.1425813330256343E-3</v>
      </c>
      <c r="T38" s="222">
        <f>_xll.qlInterpolationInterpolate(basis6Minterpolation,R38,TRUE)</f>
        <v>2.2755221885878475E-3</v>
      </c>
    </row>
    <row r="39" spans="5:20" ht="11.25" customHeight="1" x14ac:dyDescent="0.2">
      <c r="E39" s="155"/>
      <c r="F39" s="155"/>
      <c r="G39" s="155"/>
      <c r="H39" s="33"/>
      <c r="K39" s="33"/>
      <c r="L39" s="33"/>
      <c r="R39" s="429">
        <f>_xll.qlCalendarAdvance(Calendar,R38,"1D","f")</f>
        <v>42052</v>
      </c>
      <c r="S39" s="430">
        <f>_xll.qlInterpolationInterpolate(delta6Minterpolation,R39,TRUE)</f>
        <v>1.1444539008425689E-3</v>
      </c>
      <c r="T39" s="222">
        <f>_xll.qlInterpolationInterpolate(basis6Minterpolation,R39,TRUE)</f>
        <v>2.279303617217432E-3</v>
      </c>
    </row>
    <row r="40" spans="5:20" ht="11.25" customHeight="1" x14ac:dyDescent="0.2">
      <c r="E40" s="155"/>
      <c r="F40" s="155"/>
      <c r="G40" s="155"/>
      <c r="H40" s="33"/>
      <c r="K40" s="33"/>
      <c r="L40" s="33"/>
      <c r="R40" s="429">
        <f>_xll.qlCalendarAdvance(Calendar,R39,"1D","f")</f>
        <v>42053</v>
      </c>
      <c r="S40" s="430">
        <f>_xll.qlInterpolationInterpolate(delta6Minterpolation,R40,TRUE)</f>
        <v>1.1464159193766833E-3</v>
      </c>
      <c r="T40" s="222">
        <f>_xll.qlInterpolationInterpolate(basis6Minterpolation,R40,TRUE)</f>
        <v>2.2831752201975882E-3</v>
      </c>
    </row>
    <row r="41" spans="5:20" ht="11.25" customHeight="1" x14ac:dyDescent="0.2">
      <c r="E41" s="155"/>
      <c r="F41" s="155"/>
      <c r="G41" s="155"/>
      <c r="H41" s="33"/>
      <c r="K41" s="33"/>
      <c r="L41" s="33"/>
      <c r="R41" s="429">
        <f>_xll.qlCalendarAdvance(Calendar,R40,"1D","f")</f>
        <v>42054</v>
      </c>
      <c r="S41" s="430">
        <f>_xll.qlInterpolationInterpolate(delta6Minterpolation,R41,TRUE)</f>
        <v>1.1484714545696674E-3</v>
      </c>
      <c r="T41" s="222">
        <f>_xll.qlInterpolationInterpolate(basis6Minterpolation,R41,TRUE)</f>
        <v>2.2871410963624331E-3</v>
      </c>
    </row>
    <row r="42" spans="5:20" ht="11.25" customHeight="1" x14ac:dyDescent="0.2">
      <c r="E42" s="155"/>
      <c r="F42" s="155"/>
      <c r="G42" s="155"/>
      <c r="H42" s="33"/>
      <c r="K42" s="33"/>
      <c r="L42" s="33"/>
      <c r="R42" s="429">
        <f>_xll.qlCalendarAdvance(Calendar,R41,"1D","f")</f>
        <v>42055</v>
      </c>
      <c r="S42" s="430">
        <f>_xll.qlInterpolationInterpolate(delta6Minterpolation,R42,TRUE)</f>
        <v>1.1506245723632111E-3</v>
      </c>
      <c r="T42" s="222">
        <f>_xll.qlInterpolationInterpolate(basis6Minterpolation,R42,TRUE)</f>
        <v>2.2912053445460841E-3</v>
      </c>
    </row>
    <row r="43" spans="5:20" ht="11.25" customHeight="1" x14ac:dyDescent="0.2">
      <c r="E43" s="155"/>
      <c r="F43" s="155"/>
      <c r="G43" s="155"/>
      <c r="H43" s="33"/>
      <c r="K43" s="33"/>
      <c r="L43" s="33"/>
      <c r="R43" s="429">
        <f>_xll.qlCalendarAdvance(Calendar,R42,"1D","f")</f>
        <v>42058</v>
      </c>
      <c r="S43" s="430">
        <f>_xll.qlInterpolationInterpolate(delta6Minterpolation,R43,TRUE)</f>
        <v>1.1577100807641011E-3</v>
      </c>
      <c r="T43" s="222">
        <f>_xll.qlInterpolationInterpolate(basis6Minterpolation,R43,TRUE)</f>
        <v>2.3040293095510419E-3</v>
      </c>
    </row>
    <row r="44" spans="5:20" ht="11.25" customHeight="1" x14ac:dyDescent="0.2">
      <c r="E44" s="155"/>
      <c r="F44" s="155"/>
      <c r="G44" s="155"/>
      <c r="H44" s="33"/>
      <c r="K44" s="33"/>
      <c r="L44" s="33"/>
      <c r="R44" s="429">
        <f>_xll.qlCalendarAdvance(Calendar,R43,"1D","f")</f>
        <v>42059</v>
      </c>
      <c r="S44" s="430">
        <f>_xll.qlInterpolationInterpolate(delta6Minterpolation,R44,TRUE)</f>
        <v>1.1602941883767837E-3</v>
      </c>
      <c r="T44" s="222">
        <f>_xll.qlInterpolationInterpolate(basis6Minterpolation,R44,TRUE)</f>
        <v>2.3085280341510854E-3</v>
      </c>
    </row>
    <row r="45" spans="5:20" ht="11.25" customHeight="1" x14ac:dyDescent="0.2">
      <c r="E45" s="155"/>
      <c r="F45" s="155"/>
      <c r="G45" s="155"/>
      <c r="H45" s="33"/>
      <c r="K45" s="33"/>
      <c r="L45" s="33"/>
      <c r="R45" s="429">
        <f>_xll.qlCalendarAdvance(Calendar,R44,"1D","f")</f>
        <v>42060</v>
      </c>
      <c r="S45" s="430">
        <f>_xll.qlInterpolationInterpolate(delta6Minterpolation,R45,TRUE)</f>
        <v>1.1630394190408962E-3</v>
      </c>
      <c r="T45" s="222">
        <f>_xll.qlInterpolationInterpolate(basis6Minterpolation,R45,TRUE)</f>
        <v>2.3132127141089476E-3</v>
      </c>
    </row>
    <row r="46" spans="5:20" ht="11.25" customHeight="1" x14ac:dyDescent="0.2">
      <c r="E46" s="155"/>
      <c r="F46" s="155"/>
      <c r="G46" s="155"/>
      <c r="H46" s="33"/>
      <c r="K46" s="33"/>
      <c r="L46" s="33"/>
      <c r="R46" s="429">
        <f>_xll.qlCalendarAdvance(Calendar,R45,"1D","f")</f>
        <v>42061</v>
      </c>
      <c r="S46" s="430">
        <f>_xll.qlInterpolationInterpolate(delta6Minterpolation,R46,TRUE)</f>
        <v>1.1659766110362815E-3</v>
      </c>
      <c r="T46" s="222">
        <f>_xll.qlInterpolationInterpolate(basis6Minterpolation,R46,TRUE)</f>
        <v>2.3181320298257344E-3</v>
      </c>
    </row>
    <row r="47" spans="5:20" ht="11.25" customHeight="1" x14ac:dyDescent="0.2">
      <c r="E47" s="155"/>
      <c r="F47" s="155"/>
      <c r="G47" s="155"/>
      <c r="H47" s="33"/>
      <c r="K47" s="33"/>
      <c r="L47" s="33"/>
      <c r="R47" s="429">
        <f>_xll.qlCalendarAdvance(Calendar,R46,"1D","f")</f>
        <v>42062</v>
      </c>
      <c r="S47" s="430">
        <f>_xll.qlInterpolationInterpolate(delta6Minterpolation,R47,TRUE)</f>
        <v>1.1690851726982288E-3</v>
      </c>
      <c r="T47" s="222">
        <f>_xll.qlInterpolationInterpolate(basis6Minterpolation,R47,TRUE)</f>
        <v>2.3232563187334044E-3</v>
      </c>
    </row>
    <row r="48" spans="5:20" ht="11.25" customHeight="1" x14ac:dyDescent="0.2">
      <c r="E48" s="155"/>
      <c r="F48" s="155"/>
      <c r="G48" s="155"/>
      <c r="H48" s="33"/>
      <c r="K48" s="33"/>
      <c r="L48" s="33"/>
      <c r="R48" s="429">
        <f>_xll.qlCalendarAdvance(Calendar,R47,"1D","f")</f>
        <v>42065</v>
      </c>
      <c r="S48" s="430">
        <f>_xll.qlInterpolationInterpolate(delta6Minterpolation,R48,TRUE)</f>
        <v>1.1792331590363358E-3</v>
      </c>
      <c r="T48" s="222">
        <f>_xll.qlInterpolationInterpolate(basis6Minterpolation,R48,TRUE)</f>
        <v>2.339562398921303E-3</v>
      </c>
    </row>
    <row r="49" spans="5:20" ht="11.25" customHeight="1" x14ac:dyDescent="0.2">
      <c r="E49" s="155"/>
      <c r="F49" s="155"/>
      <c r="G49" s="155"/>
      <c r="H49" s="33"/>
      <c r="K49" s="33"/>
      <c r="L49" s="33"/>
      <c r="R49" s="429">
        <f>_xll.qlCalendarAdvance(Calendar,R48,"1D","f")</f>
        <v>42066</v>
      </c>
      <c r="S49" s="430">
        <f>_xll.qlInterpolationInterpolate(delta6Minterpolation,R49,TRUE)</f>
        <v>1.182821282717424E-3</v>
      </c>
      <c r="T49" s="222">
        <f>_xll.qlInterpolationInterpolate(basis6Minterpolation,R49,TRUE)</f>
        <v>2.3452099549120947E-3</v>
      </c>
    </row>
    <row r="50" spans="5:20" ht="11.25" customHeight="1" x14ac:dyDescent="0.2">
      <c r="E50" s="155"/>
      <c r="F50" s="155"/>
      <c r="G50" s="155"/>
      <c r="H50" s="33"/>
      <c r="K50" s="33"/>
      <c r="L50" s="33"/>
      <c r="R50" s="429">
        <f>_xll.qlCalendarAdvance(Calendar,R49,"1D","f")</f>
        <v>42067</v>
      </c>
      <c r="S50" s="430">
        <f>_xll.qlInterpolationInterpolate(delta6Minterpolation,R50,TRUE)</f>
        <v>1.1864778177415203E-3</v>
      </c>
      <c r="T50" s="222">
        <f>_xll.qlInterpolationInterpolate(basis6Minterpolation,R50,TRUE)</f>
        <v>2.3509141712535638E-3</v>
      </c>
    </row>
    <row r="51" spans="5:20" ht="11.25" customHeight="1" x14ac:dyDescent="0.2">
      <c r="E51" s="155"/>
      <c r="F51" s="155"/>
      <c r="G51" s="155"/>
      <c r="H51" s="33"/>
      <c r="K51" s="33"/>
      <c r="L51" s="33"/>
      <c r="R51" s="429">
        <f>_xll.qlCalendarAdvance(Calendar,R50,"1D","f")</f>
        <v>42068</v>
      </c>
      <c r="S51" s="430">
        <f>_xll.qlInterpolationInterpolate(delta6Minterpolation,R51,TRUE)</f>
        <v>1.1901821724439143E-3</v>
      </c>
      <c r="T51" s="222">
        <f>_xll.qlInterpolationInterpolate(basis6Minterpolation,R51,TRUE)</f>
        <v>2.3566453853776687E-3</v>
      </c>
    </row>
    <row r="52" spans="5:20" ht="11.25" customHeight="1" x14ac:dyDescent="0.2">
      <c r="E52" s="155"/>
      <c r="F52" s="155"/>
      <c r="G52" s="155"/>
      <c r="H52" s="33"/>
      <c r="K52" s="33"/>
      <c r="L52" s="33"/>
      <c r="R52" s="429">
        <f>_xll.qlCalendarAdvance(Calendar,R51,"1D","f")</f>
        <v>42069</v>
      </c>
      <c r="S52" s="430">
        <f>_xll.qlInterpolationInterpolate(delta6Minterpolation,R52,TRUE)</f>
        <v>1.1939137551598953E-3</v>
      </c>
      <c r="T52" s="222">
        <f>_xll.qlInterpolationInterpolate(basis6Minterpolation,R52,TRUE)</f>
        <v>2.3623739347163682E-3</v>
      </c>
    </row>
    <row r="53" spans="5:20" x14ac:dyDescent="0.2">
      <c r="R53" s="429">
        <f>_xll.qlCalendarAdvance(Calendar,R52,"1D","f")</f>
        <v>42072</v>
      </c>
      <c r="S53" s="430">
        <f>_xll.qlInterpolationInterpolate(delta6Minterpolation,R53,TRUE)</f>
        <v>1.2050659547422514E-3</v>
      </c>
      <c r="T53" s="222">
        <f>_xll.qlInterpolationInterpolate(basis6Minterpolation,R53,TRUE)</f>
        <v>2.3792469683396244E-3</v>
      </c>
    </row>
    <row r="54" spans="5:20" x14ac:dyDescent="0.2">
      <c r="R54" s="429">
        <f>_xll.qlCalendarAdvance(Calendar,R53,"1D","f")</f>
        <v>42073</v>
      </c>
      <c r="S54" s="430">
        <f>_xll.qlInterpolationInterpolate(delta6Minterpolation,R54,TRUE)</f>
        <v>1.2087005328654721E-3</v>
      </c>
      <c r="T54" s="222">
        <f>_xll.qlInterpolationInterpolate(basis6Minterpolation,R54,TRUE)</f>
        <v>2.3846682328562915E-3</v>
      </c>
    </row>
    <row r="55" spans="5:20" x14ac:dyDescent="0.2">
      <c r="R55" s="429">
        <f>_xll.qlCalendarAdvance(Calendar,R54,"1D","f")</f>
        <v>42074</v>
      </c>
      <c r="S55" s="430">
        <f>_xll.qlInterpolationInterpolate(delta6Minterpolation,R55,TRUE)</f>
        <v>1.2122593806787258E-3</v>
      </c>
      <c r="T55" s="222">
        <f>_xll.qlInterpolationInterpolate(basis6Minterpolation,R55,TRUE)</f>
        <v>2.389938519747347E-3</v>
      </c>
    </row>
    <row r="56" spans="5:20" x14ac:dyDescent="0.2">
      <c r="R56" s="429">
        <f>_xll.qlCalendarAdvance(Calendar,R55,"1D","f")</f>
        <v>42075</v>
      </c>
      <c r="S56" s="430">
        <f>_xll.qlInterpolationInterpolate(delta6Minterpolation,R56,TRUE)</f>
        <v>1.2157219065173021E-3</v>
      </c>
      <c r="T56" s="222">
        <f>_xll.qlInterpolationInterpolate(basis6Minterpolation,R56,TRUE)</f>
        <v>2.3950281664447503E-3</v>
      </c>
    </row>
    <row r="57" spans="5:20" x14ac:dyDescent="0.2">
      <c r="R57" s="429">
        <f>_xll.qlCalendarAdvance(Calendar,R56,"1D","f")</f>
        <v>42076</v>
      </c>
      <c r="S57" s="430">
        <f>_xll.qlInterpolationInterpolate(delta6Minterpolation,R57,TRUE)</f>
        <v>1.2190675187164898E-3</v>
      </c>
      <c r="T57" s="222">
        <f>_xll.qlInterpolationInterpolate(basis6Minterpolation,R57,TRUE)</f>
        <v>2.3999075103804594E-3</v>
      </c>
    </row>
    <row r="58" spans="5:20" x14ac:dyDescent="0.2">
      <c r="R58" s="429">
        <f>_xll.qlCalendarAdvance(Calendar,R57,"1D","f")</f>
        <v>42079</v>
      </c>
      <c r="S58" s="430">
        <f>_xll.qlInterpolationInterpolate(delta6Minterpolation,R58,TRUE)</f>
        <v>1.2281969568306149E-3</v>
      </c>
      <c r="T58" s="222">
        <f>_xll.qlInterpolationInterpolate(basis6Minterpolation,R58,TRUE)</f>
        <v>2.4129870999370132E-3</v>
      </c>
    </row>
    <row r="59" spans="5:20" x14ac:dyDescent="0.2">
      <c r="R59" s="429">
        <f>_xll.qlCalendarAdvance(Calendar,R58,"1D","f")</f>
        <v>42080</v>
      </c>
      <c r="S59" s="430">
        <f>_xll.qlInterpolationInterpolate(delta6Minterpolation,R59,TRUE)</f>
        <v>1.2308689978251417E-3</v>
      </c>
      <c r="T59" s="222">
        <f>_xll.qlInterpolationInterpolate(basis6Minterpolation,R59,TRUE)</f>
        <v>2.4167286071455352E-3</v>
      </c>
    </row>
    <row r="60" spans="5:20" x14ac:dyDescent="0.2">
      <c r="R60" s="429">
        <f>_xll.qlCalendarAdvance(Calendar,R59,"1D","f")</f>
        <v>42081</v>
      </c>
      <c r="S60" s="430">
        <f>_xll.qlInterpolationInterpolate(delta6Minterpolation,R60,TRUE)</f>
        <v>1.2333211668567262E-3</v>
      </c>
      <c r="T60" s="222">
        <f>_xll.qlInterpolationInterpolate(basis6Minterpolation,R60,TRUE)</f>
        <v>2.4201114987521576E-3</v>
      </c>
    </row>
    <row r="61" spans="5:20" x14ac:dyDescent="0.2">
      <c r="R61" s="429">
        <f>_xll.qlCalendarAdvance(Calendar,R60,"1D","f")</f>
        <v>42082</v>
      </c>
      <c r="S61" s="430">
        <f>_xll.qlInterpolationInterpolate(delta6Minterpolation,R61,TRUE)</f>
        <v>1.2355328722606577E-3</v>
      </c>
      <c r="T61" s="222">
        <f>_xll.qlInterpolationInterpolate(basis6Minterpolation,R61,TRUE)</f>
        <v>2.4231061121888389E-3</v>
      </c>
    </row>
    <row r="62" spans="5:20" x14ac:dyDescent="0.2">
      <c r="R62" s="429">
        <f>_xll.qlCalendarAdvance(Calendar,R61,"1D","f")</f>
        <v>42083</v>
      </c>
      <c r="S62" s="430">
        <f>_xll.qlInterpolationInterpolate(delta6Minterpolation,R62,TRUE)</f>
        <v>1.2374835223722257E-3</v>
      </c>
      <c r="T62" s="222">
        <f>_xll.qlInterpolationInterpolate(basis6Minterpolation,R62,TRUE)</f>
        <v>2.425682784887538E-3</v>
      </c>
    </row>
    <row r="63" spans="5:20" x14ac:dyDescent="0.2">
      <c r="R63" s="429">
        <f>_xll.qlCalendarAdvance(Calendar,R62,"1D","f")</f>
        <v>42086</v>
      </c>
      <c r="S63" s="430">
        <f>_xll.qlInterpolationInterpolate(delta6Minterpolation,R63,TRUE)</f>
        <v>1.2415632243056402E-3</v>
      </c>
      <c r="T63" s="222">
        <f>_xll.qlInterpolationInterpolate(basis6Minterpolation,R63,TRUE)</f>
        <v>2.4306085328753284E-3</v>
      </c>
    </row>
    <row r="64" spans="5:20" x14ac:dyDescent="0.2">
      <c r="R64" s="429">
        <f>_xll.qlCalendarAdvance(Calendar,R63,"1D","f")</f>
        <v>42087</v>
      </c>
      <c r="S64" s="430">
        <f>_xll.qlInterpolationInterpolate(delta6Minterpolation,R64,TRUE)</f>
        <v>1.2422637366006463E-3</v>
      </c>
      <c r="T64" s="222">
        <f>_xll.qlInterpolationInterpolate(basis6Minterpolation,R64,TRUE)</f>
        <v>2.4312168169416861E-3</v>
      </c>
    </row>
    <row r="65" spans="18:20" x14ac:dyDescent="0.2">
      <c r="R65" s="429">
        <f>_xll.qlCalendarAdvance(Calendar,R64,"1D","f")</f>
        <v>42088</v>
      </c>
      <c r="S65" s="430">
        <f>_xll.qlInterpolationInterpolate(delta6Minterpolation,R65,TRUE)</f>
        <v>1.2427700906213991E-3</v>
      </c>
      <c r="T65" s="222">
        <f>_xll.qlInterpolationInterpolate(basis6Minterpolation,R65,TRUE)</f>
        <v>2.4315177596012658E-3</v>
      </c>
    </row>
    <row r="66" spans="18:20" x14ac:dyDescent="0.2">
      <c r="R66" s="429">
        <f>_xll.qlCalendarAdvance(Calendar,R65,"1D","f")</f>
        <v>42089</v>
      </c>
      <c r="S66" s="430">
        <f>_xll.qlInterpolationInterpolate(delta6Minterpolation,R66,TRUE)</f>
        <v>1.2432458092176259E-3</v>
      </c>
      <c r="T66" s="222">
        <f>_xll.qlInterpolationInterpolate(basis6Minterpolation,R66,TRUE)</f>
        <v>2.4317623802341168E-3</v>
      </c>
    </row>
    <row r="67" spans="18:20" x14ac:dyDescent="0.2">
      <c r="R67" s="429">
        <f>_xll.qlCalendarAdvance(Calendar,R66,"1D","f")</f>
        <v>42090</v>
      </c>
      <c r="S67" s="430">
        <f>_xll.qlInterpolationInterpolate(delta6Minterpolation,R67,TRUE)</f>
        <v>1.243691689483776E-3</v>
      </c>
      <c r="T67" s="222">
        <f>_xll.qlInterpolationInterpolate(basis6Minterpolation,R67,TRUE)</f>
        <v>2.431953670937217E-3</v>
      </c>
    </row>
    <row r="68" spans="18:20" x14ac:dyDescent="0.2">
      <c r="R68" s="429">
        <f>_xll.qlCalendarAdvance(Calendar,R67,"1D","f")</f>
        <v>42093</v>
      </c>
      <c r="S68" s="430">
        <f>_xll.qlInterpolationInterpolate(delta6Minterpolation,R68,TRUE)</f>
        <v>1.2448582712462619E-3</v>
      </c>
      <c r="T68" s="222">
        <f>_xll.qlInterpolationInterpolate(basis6Minterpolation,R68,TRUE)</f>
        <v>2.4322374844377931E-3</v>
      </c>
    </row>
    <row r="69" spans="18:20" x14ac:dyDescent="0.2">
      <c r="R69" s="429">
        <f>_xll.qlCalendarAdvance(Calendar,R68,"1D","f")</f>
        <v>42094</v>
      </c>
      <c r="S69" s="430">
        <f>_xll.qlInterpolationInterpolate(delta6Minterpolation,R69,TRUE)</f>
        <v>1.2451927691366008E-3</v>
      </c>
      <c r="T69" s="222">
        <f>_xll.qlInterpolationInterpolate(basis6Minterpolation,R69,TRUE)</f>
        <v>2.4322453763916708E-3</v>
      </c>
    </row>
    <row r="70" spans="18:20" x14ac:dyDescent="0.2">
      <c r="R70" s="429">
        <f>_xll.qlCalendarAdvance(Calendar,R69,"1D","f")</f>
        <v>42095</v>
      </c>
      <c r="S70" s="430">
        <f>_xll.qlInterpolationInterpolate(delta6Minterpolation,R70,TRUE)</f>
        <v>1.2455014141691107E-3</v>
      </c>
      <c r="T70" s="222">
        <f>_xll.qlInterpolationInterpolate(basis6Minterpolation,R70,TRUE)</f>
        <v>2.4322148989006876E-3</v>
      </c>
    </row>
    <row r="71" spans="18:20" x14ac:dyDescent="0.2">
      <c r="R71" s="429">
        <f>_xll.qlCalendarAdvance(Calendar,R70,"1D","f")</f>
        <v>42096</v>
      </c>
      <c r="S71" s="430">
        <f>_xll.qlInterpolationInterpolate(delta6Minterpolation,R71,TRUE)</f>
        <v>1.2457850034382409E-3</v>
      </c>
      <c r="T71" s="222">
        <f>_xll.qlInterpolationInterpolate(basis6Minterpolation,R71,TRUE)</f>
        <v>2.4321490440618225E-3</v>
      </c>
    </row>
    <row r="72" spans="18:20" x14ac:dyDescent="0.2">
      <c r="R72" s="429">
        <f>_xll.qlCalendarAdvance(Calendar,R71,"1D","f")</f>
        <v>42101</v>
      </c>
      <c r="S72" s="430">
        <f>_xll.qlInterpolationInterpolate(delta6Minterpolation,R72,TRUE)</f>
        <v>1.2468550116389329E-3</v>
      </c>
      <c r="T72" s="222">
        <f>_xll.qlInterpolationInterpolate(basis6Minterpolation,R72,TRUE)</f>
        <v>2.4313938330434914E-3</v>
      </c>
    </row>
    <row r="73" spans="18:20" x14ac:dyDescent="0.2">
      <c r="R73" s="429">
        <f>_xll.qlCalendarAdvance(Calendar,R72,"1D","f")</f>
        <v>42102</v>
      </c>
      <c r="S73" s="430">
        <f>_xll.qlInterpolationInterpolate(delta6Minterpolation,R73,TRUE)</f>
        <v>1.2470050053112261E-3</v>
      </c>
      <c r="T73" s="222">
        <f>_xll.qlInterpolationInterpolate(basis6Minterpolation,R73,TRUE)</f>
        <v>2.4311785481538708E-3</v>
      </c>
    </row>
    <row r="74" spans="18:20" x14ac:dyDescent="0.2">
      <c r="R74" s="429">
        <f>_xll.qlCalendarAdvance(Calendar,R73,"1D","f")</f>
        <v>42103</v>
      </c>
      <c r="S74" s="430">
        <f>_xll.qlInterpolationInterpolate(delta6Minterpolation,R74,TRUE)</f>
        <v>1.2471355228812864E-3</v>
      </c>
      <c r="T74" s="222">
        <f>_xll.qlInterpolationInterpolate(basis6Minterpolation,R74,TRUE)</f>
        <v>2.4309488305952142E-3</v>
      </c>
    </row>
    <row r="75" spans="18:20" x14ac:dyDescent="0.2">
      <c r="R75" s="429">
        <f>_xll.qlCalendarAdvance(Calendar,R74,"1D","f")</f>
        <v>42104</v>
      </c>
      <c r="S75" s="430">
        <f>_xll.qlInterpolationInterpolate(delta6Minterpolation,R75,TRUE)</f>
        <v>1.247247361443563E-3</v>
      </c>
      <c r="T75" s="222">
        <f>_xll.qlInterpolationInterpolate(basis6Minterpolation,R75,TRUE)</f>
        <v>2.4307076724644993E-3</v>
      </c>
    </row>
    <row r="76" spans="18:20" x14ac:dyDescent="0.2">
      <c r="R76" s="429">
        <f>_xll.qlCalendarAdvance(Calendar,R75,"1D","f")</f>
        <v>42107</v>
      </c>
      <c r="S76" s="430">
        <f>_xll.qlInterpolationInterpolate(delta6Minterpolation,R76,TRUE)</f>
        <v>1.2474787740281881E-3</v>
      </c>
      <c r="T76" s="222">
        <f>_xll.qlInterpolationInterpolate(basis6Minterpolation,R76,TRUE)</f>
        <v>2.4299454756097879E-3</v>
      </c>
    </row>
    <row r="77" spans="18:20" x14ac:dyDescent="0.2">
      <c r="R77" s="429">
        <f>_xll.qlCalendarAdvance(Calendar,R76,"1D","f")</f>
        <v>42108</v>
      </c>
      <c r="S77" s="430">
        <f>_xll.qlInterpolationInterpolate(delta6Minterpolation,R77,TRUE)</f>
        <v>1.2475238675038263E-3</v>
      </c>
      <c r="T77" s="222">
        <f>_xll.qlInterpolationInterpolate(basis6Minterpolation,R77,TRUE)</f>
        <v>2.4296884761606219E-3</v>
      </c>
    </row>
    <row r="78" spans="18:20" x14ac:dyDescent="0.2">
      <c r="R78" s="429">
        <f>_xll.qlCalendarAdvance(Calendar,R77,"1D","f")</f>
        <v>42109</v>
      </c>
      <c r="S78" s="430">
        <f>_xll.qlInterpolationInterpolate(delta6Minterpolation,R78,TRUE)</f>
        <v>1.2475542674439289E-3</v>
      </c>
      <c r="T78" s="222">
        <f>_xll.qlInterpolationInterpolate(basis6Minterpolation,R78,TRUE)</f>
        <v>2.4294349966242882E-3</v>
      </c>
    </row>
    <row r="79" spans="18:20" x14ac:dyDescent="0.2">
      <c r="R79" s="429">
        <f>_xll.qlCalendarAdvance(Calendar,R78,"1D","f")</f>
        <v>42110</v>
      </c>
      <c r="S79" s="430">
        <f>_xll.qlInterpolationInterpolate(delta6Minterpolation,R79,TRUE)</f>
        <v>1.247570770942945E-3</v>
      </c>
      <c r="T79" s="222">
        <f>_xll.qlInterpolationInterpolate(basis6Minterpolation,R79,TRUE)</f>
        <v>2.4291880290977647E-3</v>
      </c>
    </row>
    <row r="80" spans="18:20" x14ac:dyDescent="0.2">
      <c r="R80" s="429">
        <f>_xll.qlCalendarAdvance(Calendar,R79,"1D","f")</f>
        <v>42111</v>
      </c>
      <c r="S80" s="430">
        <f>_xll.qlInterpolationInterpolate(delta6Minterpolation,R80,TRUE)</f>
        <v>1.2475741750953245E-3</v>
      </c>
      <c r="T80" s="222">
        <f>_xll.qlInterpolationInterpolate(basis6Minterpolation,R80,TRUE)</f>
        <v>2.4289505656780296E-3</v>
      </c>
    </row>
    <row r="81" spans="18:20" x14ac:dyDescent="0.2">
      <c r="R81" s="429">
        <f>_xll.qlCalendarAdvance(Calendar,R80,"1D","f")</f>
        <v>42114</v>
      </c>
      <c r="S81" s="430">
        <f>_xll.qlInterpolationInterpolate(delta6Minterpolation,R81,TRUE)</f>
        <v>1.247513762417137E-3</v>
      </c>
      <c r="T81" s="222">
        <f>_xll.qlInterpolationInterpolate(basis6Minterpolation,R81,TRUE)</f>
        <v>2.4283251210293357E-3</v>
      </c>
    </row>
    <row r="82" spans="18:20" x14ac:dyDescent="0.2">
      <c r="R82" s="429">
        <f>_xll.qlCalendarAdvance(Calendar,R81,"1D","f")</f>
        <v>42115</v>
      </c>
      <c r="S82" s="430">
        <f>_xll.qlInterpolationInterpolate(delta6Minterpolation,R82,TRUE)</f>
        <v>1.2474727401274642E-3</v>
      </c>
      <c r="T82" s="222">
        <f>_xll.qlInterpolationInterpolate(basis6Minterpolation,R82,TRUE)</f>
        <v>2.4281555950065349E-3</v>
      </c>
    </row>
    <row r="83" spans="18:20" x14ac:dyDescent="0.2">
      <c r="R83" s="429">
        <f>_xll.qlCalendarAdvance(Calendar,R82,"1D","f")</f>
        <v>42116</v>
      </c>
      <c r="S83" s="430">
        <f>_xll.qlInterpolationInterpolate(delta6Minterpolation,R83,TRUE)</f>
        <v>1.2474226039634023E-3</v>
      </c>
      <c r="T83" s="222">
        <f>_xll.qlInterpolationInterpolate(basis6Minterpolation,R83,TRUE)</f>
        <v>2.428010533575413E-3</v>
      </c>
    </row>
    <row r="84" spans="18:20" x14ac:dyDescent="0.2">
      <c r="R84" s="429">
        <f>_xll.qlCalendarAdvance(Calendar,R83,"1D","f")</f>
        <v>42117</v>
      </c>
      <c r="S84" s="430">
        <f>_xll.qlInterpolationInterpolate(delta6Minterpolation,R84,TRUE)</f>
        <v>1.2473641510194007E-3</v>
      </c>
      <c r="T84" s="222">
        <f>_xll.qlInterpolationInterpolate(basis6Minterpolation,R84,TRUE)</f>
        <v>2.4278929288329477E-3</v>
      </c>
    </row>
    <row r="85" spans="18:20" x14ac:dyDescent="0.2">
      <c r="R85" s="429">
        <f>_xll.qlCalendarAdvance(Calendar,R84,"1D","f")</f>
        <v>42118</v>
      </c>
      <c r="S85" s="430">
        <f>_xll.qlInterpolationInterpolate(delta6Minterpolation,R85,TRUE)</f>
        <v>1.2472981783899089E-3</v>
      </c>
      <c r="T85" s="222">
        <f>_xll.qlInterpolationInterpolate(basis6Minterpolation,R85,TRUE)</f>
        <v>2.4278057728761172E-3</v>
      </c>
    </row>
    <row r="86" spans="18:20" x14ac:dyDescent="0.2">
      <c r="R86" s="429">
        <f>_xll.qlCalendarAdvance(Calendar,R85,"1D","f")</f>
        <v>42121</v>
      </c>
      <c r="S86" s="430">
        <f>_xll.qlInterpolationInterpolate(delta6Minterpolation,R86,TRUE)</f>
        <v>1.2469581078756091E-3</v>
      </c>
      <c r="T86" s="222">
        <f>_xll.qlInterpolationInterpolate(basis6Minterpolation,R86,TRUE)</f>
        <v>2.4276139982930718E-3</v>
      </c>
    </row>
    <row r="87" spans="18:20" x14ac:dyDescent="0.2">
      <c r="R87" s="429">
        <f>_xll.qlCalendarAdvance(Calendar,R86,"1D","f")</f>
        <v>42122</v>
      </c>
      <c r="S87" s="430">
        <f>_xll.qlInterpolationInterpolate(delta6Minterpolation,R87,TRUE)</f>
        <v>1.246792024222293E-3</v>
      </c>
      <c r="T87" s="222">
        <f>_xll.qlInterpolationInterpolate(basis6Minterpolation,R87,TRUE)</f>
        <v>2.4275596765262826E-3</v>
      </c>
    </row>
    <row r="88" spans="18:20" x14ac:dyDescent="0.2">
      <c r="R88" s="429">
        <f>_xll.qlCalendarAdvance(Calendar,R87,"1D","f")</f>
        <v>42123</v>
      </c>
      <c r="S88" s="430">
        <f>_xll.qlInterpolationInterpolate(delta6Minterpolation,R88,TRUE)</f>
        <v>1.2466031979552028E-3</v>
      </c>
      <c r="T88" s="222">
        <f>_xll.qlInterpolationInterpolate(basis6Minterpolation,R88,TRUE)</f>
        <v>2.4275103171260484E-3</v>
      </c>
    </row>
    <row r="89" spans="18:20" x14ac:dyDescent="0.2">
      <c r="R89" s="429">
        <f>_xll.qlCalendarAdvance(Calendar,R88,"1D","f")</f>
        <v>42124</v>
      </c>
      <c r="S89" s="430">
        <f>_xll.qlInterpolationInterpolate(delta6Minterpolation,R89,TRUE)</f>
        <v>1.246393801550639E-3</v>
      </c>
      <c r="T89" s="222">
        <f>_xll.qlInterpolationInterpolate(basis6Minterpolation,R89,TRUE)</f>
        <v>2.4274660165840346E-3</v>
      </c>
    </row>
    <row r="90" spans="18:20" x14ac:dyDescent="0.2">
      <c r="R90" s="429">
        <f>_xll.qlCalendarAdvance(Calendar,R89,"1D","f")</f>
        <v>42128</v>
      </c>
      <c r="S90" s="430">
        <f>_xll.qlInterpolationInterpolate(delta6Minterpolation,R90,TRUE)</f>
        <v>1.2453939640836532E-3</v>
      </c>
      <c r="T90" s="222">
        <f>_xll.qlInterpolationInterpolate(basis6Minterpolation,R90,TRUE)</f>
        <v>2.4273413328314898E-3</v>
      </c>
    </row>
    <row r="91" spans="18:20" x14ac:dyDescent="0.2">
      <c r="R91" s="429">
        <f>_xll.qlCalendarAdvance(Calendar,R90,"1D","f")</f>
        <v>42129</v>
      </c>
      <c r="S91" s="430">
        <f>_xll.qlInterpolationInterpolate(delta6Minterpolation,R91,TRUE)</f>
        <v>1.2451143041362263E-3</v>
      </c>
      <c r="T91" s="222">
        <f>_xll.qlInterpolationInterpolate(basis6Minterpolation,R91,TRUE)</f>
        <v>2.427323773955558E-3</v>
      </c>
    </row>
    <row r="92" spans="18:20" x14ac:dyDescent="0.2">
      <c r="R92" s="429">
        <f>_xll.qlCalendarAdvance(Calendar,R91,"1D","f")</f>
        <v>42130</v>
      </c>
      <c r="S92" s="430">
        <f>_xll.qlInterpolationInterpolate(delta6Minterpolation,R92,TRUE)</f>
        <v>1.2448271089091278E-3</v>
      </c>
      <c r="T92" s="222">
        <f>_xll.qlInterpolationInterpolate(basis6Minterpolation,R92,TRUE)</f>
        <v>2.4273118528878386E-3</v>
      </c>
    </row>
    <row r="93" spans="18:20" x14ac:dyDescent="0.2">
      <c r="R93" s="429">
        <f>_xll.qlCalendarAdvance(Calendar,R92,"1D","f")</f>
        <v>42131</v>
      </c>
      <c r="S93" s="430">
        <f>_xll.qlInterpolationInterpolate(delta6Minterpolation,R93,TRUE)</f>
        <v>1.2445345508786583E-3</v>
      </c>
      <c r="T93" s="222">
        <f>_xll.qlInterpolationInterpolate(basis6Minterpolation,R93,TRUE)</f>
        <v>2.4273056661199967E-3</v>
      </c>
    </row>
    <row r="94" spans="18:20" x14ac:dyDescent="0.2">
      <c r="R94" s="429">
        <f>_xll.qlCalendarAdvance(Calendar,R93,"1D","f")</f>
        <v>42132</v>
      </c>
      <c r="S94" s="430">
        <f>_xll.qlInterpolationInterpolate(delta6Minterpolation,R94,TRUE)</f>
        <v>1.2442388025211181E-3</v>
      </c>
      <c r="T94" s="222">
        <f>_xll.qlInterpolationInterpolate(basis6Minterpolation,R94,TRUE)</f>
        <v>2.4273053101436979E-3</v>
      </c>
    </row>
    <row r="95" spans="18:20" x14ac:dyDescent="0.2">
      <c r="R95" s="429">
        <f>_xll.qlCalendarAdvance(Calendar,R94,"1D","f")</f>
        <v>42135</v>
      </c>
      <c r="S95" s="430">
        <f>_xll.qlInterpolationInterpolate(delta6Minterpolation,R95,TRUE)</f>
        <v>1.2433541402490768E-3</v>
      </c>
      <c r="T95" s="222">
        <f>_xll.qlInterpolationInterpolate(basis6Minterpolation,R95,TRUE)</f>
        <v>2.4273401918807128E-3</v>
      </c>
    </row>
    <row r="96" spans="18:20" x14ac:dyDescent="0.2">
      <c r="R96" s="429">
        <f>_xll.qlCalendarAdvance(Calendar,R95,"1D","f")</f>
        <v>42136</v>
      </c>
      <c r="S96" s="430">
        <f>_xll.qlInterpolationInterpolate(delta6Minterpolation,R96,TRUE)</f>
        <v>1.2430673553462575E-3</v>
      </c>
      <c r="T96" s="222">
        <f>_xll.qlInterpolationInterpolate(basis6Minterpolation,R96,TRUE)</f>
        <v>2.4273641239872389E-3</v>
      </c>
    </row>
    <row r="97" spans="18:20" x14ac:dyDescent="0.2">
      <c r="R97" s="429">
        <f>_xll.qlCalendarAdvance(Calendar,R96,"1D","f")</f>
        <v>42137</v>
      </c>
      <c r="S97" s="430">
        <f>_xll.qlInterpolationInterpolate(delta6Minterpolation,R97,TRUE)</f>
        <v>1.2427882424978693E-3</v>
      </c>
      <c r="T97" s="222">
        <f>_xll.qlInterpolationInterpolate(basis6Minterpolation,R97,TRUE)</f>
        <v>2.4273943693436349E-3</v>
      </c>
    </row>
    <row r="98" spans="18:20" x14ac:dyDescent="0.2">
      <c r="R98" s="429">
        <f>_xll.qlCalendarAdvance(Calendar,R97,"1D","f")</f>
        <v>42138</v>
      </c>
      <c r="S98" s="430">
        <f>_xll.qlInterpolationInterpolate(delta6Minterpolation,R98,TRUE)</f>
        <v>1.2425189741802128E-3</v>
      </c>
      <c r="T98" s="222">
        <f>_xll.qlInterpolationInterpolate(basis6Minterpolation,R98,TRUE)</f>
        <v>2.4274310244415663E-3</v>
      </c>
    </row>
    <row r="99" spans="18:20" x14ac:dyDescent="0.2">
      <c r="R99" s="429">
        <f>_xll.qlCalendarAdvance(Calendar,R98,"1D","f")</f>
        <v>42139</v>
      </c>
      <c r="S99" s="430">
        <f>_xll.qlInterpolationInterpolate(delta6Minterpolation,R99,TRUE)</f>
        <v>1.2422617228695881E-3</v>
      </c>
      <c r="T99" s="222">
        <f>_xll.qlInterpolationInterpolate(basis6Minterpolation,R99,TRUE)</f>
        <v>2.4274741857726974E-3</v>
      </c>
    </row>
    <row r="100" spans="18:20" x14ac:dyDescent="0.2">
      <c r="R100" s="429">
        <f>_xll.qlCalendarAdvance(Calendar,R99,"1D","f")</f>
        <v>42142</v>
      </c>
      <c r="S100" s="430">
        <f>_xll.qlInterpolationInterpolate(delta6Minterpolation,R100,TRUE)</f>
        <v>1.2415837957429094E-3</v>
      </c>
      <c r="T100" s="222">
        <f>_xll.qlInterpolationInterpolate(basis6Minterpolation,R100,TRUE)</f>
        <v>2.4276436720819462E-3</v>
      </c>
    </row>
    <row r="101" spans="18:20" x14ac:dyDescent="0.2">
      <c r="R101" s="429">
        <f>_xll.qlCalendarAdvance(Calendar,R100,"1D","f")</f>
        <v>42143</v>
      </c>
      <c r="S101" s="430">
        <f>_xll.qlInterpolationInterpolate(delta6Minterpolation,R101,TRUE)</f>
        <v>1.2413963372234162E-3</v>
      </c>
      <c r="T101" s="222">
        <f>_xll.qlInterpolationInterpolate(basis6Minterpolation,R101,TRUE)</f>
        <v>2.4277138232625321E-3</v>
      </c>
    </row>
    <row r="102" spans="18:20" x14ac:dyDescent="0.2">
      <c r="R102" s="429">
        <f>_xll.qlCalendarAdvance(Calendar,R101,"1D","f")</f>
        <v>42144</v>
      </c>
      <c r="S102" s="430">
        <f>_xll.qlInterpolationInterpolate(delta6Minterpolation,R102,TRUE)</f>
        <v>1.2412317580924568E-3</v>
      </c>
      <c r="T102" s="222">
        <f>_xll.qlInterpolationInterpolate(basis6Minterpolation,R102,TRUE)</f>
        <v>2.4277909631346445E-3</v>
      </c>
    </row>
    <row r="103" spans="18:20" x14ac:dyDescent="0.2">
      <c r="R103" s="429">
        <f>_xll.qlCalendarAdvance(Calendar,R102,"1D","f")</f>
        <v>42145</v>
      </c>
      <c r="S103" s="430">
        <f>_xll.qlInterpolationInterpolate(delta6Minterpolation,R103,TRUE)</f>
        <v>1.2410922308263316E-3</v>
      </c>
      <c r="T103" s="222">
        <f>_xll.qlInterpolationInterpolate(basis6Minterpolation,R103,TRUE)</f>
        <v>2.4278751881899492E-3</v>
      </c>
    </row>
    <row r="104" spans="18:20" x14ac:dyDescent="0.2">
      <c r="R104" s="429">
        <f>_xll.qlCalendarAdvance(Calendar,R103,"1D","f")</f>
        <v>42146</v>
      </c>
      <c r="S104" s="430">
        <f>_xll.qlInterpolationInterpolate(delta6Minterpolation,R104,TRUE)</f>
        <v>1.240979927901341E-3</v>
      </c>
      <c r="T104" s="222">
        <f>_xll.qlInterpolationInterpolate(basis6Minterpolation,R104,TRUE)</f>
        <v>2.4279665949201116E-3</v>
      </c>
    </row>
    <row r="105" spans="18:20" x14ac:dyDescent="0.2">
      <c r="R105" s="429">
        <f>_xll.qlCalendarAdvance(Calendar,R104,"1D","f")</f>
        <v>42149</v>
      </c>
      <c r="S105" s="430">
        <f>_xll.qlInterpolationInterpolate(delta6Minterpolation,R105,TRUE)</f>
        <v>1.2408280899361803E-3</v>
      </c>
      <c r="T105" s="222">
        <f>_xll.qlInterpolationInterpolate(basis6Minterpolation,R105,TRUE)</f>
        <v>2.4282848700763974E-3</v>
      </c>
    </row>
    <row r="106" spans="18:20" x14ac:dyDescent="0.2">
      <c r="R106" s="429">
        <f>_xll.qlCalendarAdvance(Calendar,R105,"1D","f")</f>
        <v>42150</v>
      </c>
      <c r="S106" s="430">
        <f>_xll.qlInterpolationInterpolate(delta6Minterpolation,R106,TRUE)</f>
        <v>1.2408331295221341E-3</v>
      </c>
      <c r="T106" s="222">
        <f>_xll.qlInterpolationInterpolate(basis6Minterpolation,R106,TRUE)</f>
        <v>2.4284356906890537E-3</v>
      </c>
    </row>
    <row r="107" spans="18:20" x14ac:dyDescent="0.2">
      <c r="R107" s="429">
        <f>_xll.qlCalendarAdvance(Calendar,R106,"1D","f")</f>
        <v>42151</v>
      </c>
      <c r="S107" s="430">
        <f>_xll.qlInterpolationInterpolate(delta6Minterpolation,R107,TRUE)</f>
        <v>1.2408481279412805E-3</v>
      </c>
      <c r="T107" s="222">
        <f>_xll.qlInterpolationInterpolate(basis6Minterpolation,R107,TRUE)</f>
        <v>2.4286515490058382E-3</v>
      </c>
    </row>
    <row r="108" spans="18:20" x14ac:dyDescent="0.2">
      <c r="R108" s="429">
        <f>_xll.qlCalendarAdvance(Calendar,R107,"1D","f")</f>
        <v>42152</v>
      </c>
      <c r="S108" s="430">
        <f>_xll.qlInterpolationInterpolate(delta6Minterpolation,R108,TRUE)</f>
        <v>1.2408729046855459E-3</v>
      </c>
      <c r="T108" s="222">
        <f>_xll.qlInterpolationInterpolate(basis6Minterpolation,R108,TRUE)</f>
        <v>2.4289294350755991E-3</v>
      </c>
    </row>
    <row r="109" spans="18:20" x14ac:dyDescent="0.2">
      <c r="R109" s="429">
        <f>_xll.qlCalendarAdvance(Calendar,R108,"1D","f")</f>
        <v>42153</v>
      </c>
      <c r="S109" s="430">
        <f>_xll.qlInterpolationInterpolate(delta6Minterpolation,R109,TRUE)</f>
        <v>1.2409072792468571E-3</v>
      </c>
      <c r="T109" s="222">
        <f>_xll.qlInterpolationInterpolate(basis6Minterpolation,R109,TRUE)</f>
        <v>2.4292663389471861E-3</v>
      </c>
    </row>
    <row r="110" spans="18:20" x14ac:dyDescent="0.2">
      <c r="R110" s="429">
        <f>_xll.qlCalendarAdvance(Calendar,R109,"1D","f")</f>
        <v>42156</v>
      </c>
      <c r="S110" s="430">
        <f>_xll.qlInterpolationInterpolate(delta6Minterpolation,R110,TRUE)</f>
        <v>1.2410661847523327E-3</v>
      </c>
      <c r="T110" s="222">
        <f>_xll.qlInterpolationInterpolate(basis6Minterpolation,R110,TRUE)</f>
        <v>2.4306010578613916E-3</v>
      </c>
    </row>
    <row r="111" spans="18:20" x14ac:dyDescent="0.2">
      <c r="R111" s="429">
        <f>_xll.qlCalendarAdvance(Calendar,R110,"1D","f")</f>
        <v>42157</v>
      </c>
      <c r="S111" s="430">
        <f>_xll.qlInterpolationInterpolate(delta6Minterpolation,R111,TRUE)</f>
        <v>1.2411371455010943E-3</v>
      </c>
      <c r="T111" s="222">
        <f>_xll.qlInterpolationInterpolate(basis6Minterpolation,R111,TRUE)</f>
        <v>2.431143933428772E-3</v>
      </c>
    </row>
    <row r="112" spans="18:20" x14ac:dyDescent="0.2">
      <c r="R112" s="429">
        <f>_xll.qlCalendarAdvance(Calendar,R111,"1D","f")</f>
        <v>42158</v>
      </c>
      <c r="S112" s="430">
        <f>_xll.qlInterpolationInterpolate(delta6Minterpolation,R112,TRUE)</f>
        <v>1.2412168015265353E-3</v>
      </c>
      <c r="T112" s="222">
        <f>_xll.qlInterpolationInterpolate(basis6Minterpolation,R112,TRUE)</f>
        <v>2.4317307770422227E-3</v>
      </c>
    </row>
    <row r="113" spans="18:20" x14ac:dyDescent="0.2">
      <c r="R113" s="429">
        <f>_xll.qlCalendarAdvance(Calendar,R112,"1D","f")</f>
        <v>42159</v>
      </c>
      <c r="S113" s="430">
        <f>_xll.qlInterpolationInterpolate(delta6Minterpolation,R113,TRUE)</f>
        <v>1.2413049723205825E-3</v>
      </c>
      <c r="T113" s="222">
        <f>_xll.qlInterpolationInterpolate(basis6Minterpolation,R113,TRUE)</f>
        <v>2.4323585787505934E-3</v>
      </c>
    </row>
    <row r="114" spans="18:20" x14ac:dyDescent="0.2">
      <c r="R114" s="429">
        <f>_xll.qlCalendarAdvance(Calendar,R113,"1D","f")</f>
        <v>42160</v>
      </c>
      <c r="S114" s="430">
        <f>_xll.qlInterpolationInterpolate(delta6Minterpolation,R114,TRUE)</f>
        <v>1.2414014773751622E-3</v>
      </c>
      <c r="T114" s="222">
        <f>_xll.qlInterpolationInterpolate(basis6Minterpolation,R114,TRUE)</f>
        <v>2.4330243286027325E-3</v>
      </c>
    </row>
    <row r="115" spans="18:20" x14ac:dyDescent="0.2">
      <c r="R115" s="429">
        <f>_xll.qlCalendarAdvance(Calendar,R114,"1D","f")</f>
        <v>42163</v>
      </c>
      <c r="S115" s="430">
        <f>_xll.qlInterpolationInterpolate(delta6Minterpolation,R115,TRUE)</f>
        <v>1.2417391930213662E-3</v>
      </c>
      <c r="T115" s="222">
        <f>_xll.qlInterpolationInterpolate(basis6Minterpolation,R115,TRUE)</f>
        <v>2.4352191675102524E-3</v>
      </c>
    </row>
    <row r="116" spans="18:20" x14ac:dyDescent="0.2">
      <c r="R116" s="429">
        <f>_xll.qlCalendarAdvance(Calendar,R115,"1D","f")</f>
        <v>42164</v>
      </c>
      <c r="S116" s="430">
        <f>_xll.qlInterpolationInterpolate(delta6Minterpolation,R116,TRUE)</f>
        <v>1.2418672300373447E-3</v>
      </c>
      <c r="T116" s="222">
        <f>_xll.qlInterpolationInterpolate(basis6Minterpolation,R116,TRUE)</f>
        <v>2.436006610425956E-3</v>
      </c>
    </row>
    <row r="117" spans="18:20" x14ac:dyDescent="0.2">
      <c r="R117" s="429">
        <f>_xll.qlCalendarAdvance(Calendar,R116,"1D","f")</f>
        <v>42165</v>
      </c>
      <c r="S117" s="430">
        <f>_xll.qlInterpolationInterpolate(delta6Minterpolation,R117,TRUE)</f>
        <v>1.2420026987734895E-3</v>
      </c>
      <c r="T117" s="222">
        <f>_xll.qlInterpolationInterpolate(basis6Minterpolation,R117,TRUE)</f>
        <v>2.4368169517296739E-3</v>
      </c>
    </row>
    <row r="118" spans="18:20" x14ac:dyDescent="0.2">
      <c r="R118" s="429">
        <f>_xll.qlCalendarAdvance(Calendar,R117,"1D","f")</f>
        <v>42166</v>
      </c>
      <c r="S118" s="430">
        <f>_xll.qlInterpolationInterpolate(delta6Minterpolation,R118,TRUE)</f>
        <v>1.2421454187217275E-3</v>
      </c>
      <c r="T118" s="222">
        <f>_xll.qlInterpolationInterpolate(basis6Minterpolation,R118,TRUE)</f>
        <v>2.437647181470254E-3</v>
      </c>
    </row>
    <row r="119" spans="18:20" x14ac:dyDescent="0.2">
      <c r="R119" s="429">
        <f>_xll.qlCalendarAdvance(Calendar,R118,"1D","f")</f>
        <v>42167</v>
      </c>
      <c r="S119" s="430">
        <f>_xll.qlInterpolationInterpolate(delta6Minterpolation,R119,TRUE)</f>
        <v>1.2422952093739852E-3</v>
      </c>
      <c r="T119" s="222">
        <f>_xll.qlInterpolationInterpolate(basis6Minterpolation,R119,TRUE)</f>
        <v>2.4384942896965456E-3</v>
      </c>
    </row>
    <row r="120" spans="18:20" x14ac:dyDescent="0.2">
      <c r="R120" s="429">
        <f>_xll.qlCalendarAdvance(Calendar,R119,"1D","f")</f>
        <v>42170</v>
      </c>
      <c r="S120" s="430">
        <f>_xll.qlInterpolationInterpolate(delta6Minterpolation,R120,TRUE)</f>
        <v>1.242785200474145E-3</v>
      </c>
      <c r="T120" s="222">
        <f>_xll.qlInterpolationInterpolate(basis6Minterpolation,R120,TRUE)</f>
        <v>2.4411067857781805E-3</v>
      </c>
    </row>
    <row r="121" spans="18:20" x14ac:dyDescent="0.2">
      <c r="R121" s="429">
        <f>_xll.qlCalendarAdvance(Calendar,R120,"1D","f")</f>
        <v>42171</v>
      </c>
      <c r="S121" s="430">
        <f>_xll.qlInterpolationInterpolate(delta6Minterpolation,R121,TRUE)</f>
        <v>1.2429614688617494E-3</v>
      </c>
      <c r="T121" s="222">
        <f>_xll.qlInterpolationInterpolate(basis6Minterpolation,R121,TRUE)</f>
        <v>2.4419913084358083E-3</v>
      </c>
    </row>
    <row r="122" spans="18:20" x14ac:dyDescent="0.2">
      <c r="R122" s="429">
        <f>_xll.qlCalendarAdvance(Calendar,R121,"1D","f")</f>
        <v>42172</v>
      </c>
      <c r="S122" s="430">
        <f>_xll.qlInterpolationInterpolate(delta6Minterpolation,R122,TRUE)</f>
        <v>1.2431439054130071E-3</v>
      </c>
      <c r="T122" s="222">
        <f>_xll.qlInterpolationInterpolate(basis6Minterpolation,R122,TRUE)</f>
        <v>2.442877659823393E-3</v>
      </c>
    </row>
    <row r="123" spans="18:20" x14ac:dyDescent="0.2">
      <c r="R123" s="429">
        <f>_xll.qlCalendarAdvance(Calendar,R122,"1D","f")</f>
        <v>42173</v>
      </c>
      <c r="S123" s="430">
        <f>_xll.qlInterpolationInterpolate(delta6Minterpolation,R123,TRUE)</f>
        <v>1.2433323296198451E-3</v>
      </c>
      <c r="T123" s="222">
        <f>_xll.qlInterpolationInterpolate(basis6Minterpolation,R123,TRUE)</f>
        <v>2.443762829989783E-3</v>
      </c>
    </row>
    <row r="124" spans="18:20" x14ac:dyDescent="0.2">
      <c r="R124" s="429">
        <f>_xll.qlCalendarAdvance(Calendar,R123,"1D","f")</f>
        <v>42174</v>
      </c>
      <c r="S124" s="430">
        <f>_xll.qlInterpolationInterpolate(delta6Minterpolation,R124,TRUE)</f>
        <v>1.2435265609741901E-3</v>
      </c>
      <c r="T124" s="222">
        <f>_xll.qlInterpolationInterpolate(basis6Minterpolation,R124,TRUE)</f>
        <v>2.4446438089838277E-3</v>
      </c>
    </row>
    <row r="125" spans="18:20" x14ac:dyDescent="0.2">
      <c r="R125" s="429">
        <f>_xll.qlCalendarAdvance(Calendar,R124,"1D","f")</f>
        <v>42177</v>
      </c>
      <c r="S125" s="430">
        <f>_xll.qlInterpolationInterpolate(delta6Minterpolation,R125,TRUE)</f>
        <v>1.2441422928415331E-3</v>
      </c>
      <c r="T125" s="222">
        <f>_xll.qlInterpolationInterpolate(basis6Minterpolation,R125,TRUE)</f>
        <v>2.4472314994203781E-3</v>
      </c>
    </row>
    <row r="126" spans="18:20" x14ac:dyDescent="0.2">
      <c r="R126" s="429">
        <f>_xll.qlCalendarAdvance(Calendar,R125,"1D","f")</f>
        <v>42178</v>
      </c>
      <c r="S126" s="430">
        <f>_xll.qlInterpolationInterpolate(delta6Minterpolation,R126,TRUE)</f>
        <v>1.2443579477051726E-3</v>
      </c>
      <c r="T126" s="222">
        <f>_xll.qlInterpolationInterpolate(basis6Minterpolation,R126,TRUE)</f>
        <v>2.4480656142135304E-3</v>
      </c>
    </row>
    <row r="127" spans="18:20" x14ac:dyDescent="0.2">
      <c r="R127" s="429">
        <f>_xll.qlCalendarAdvance(Calendar,R126,"1D","f")</f>
        <v>42179</v>
      </c>
      <c r="S127" s="430">
        <f>_xll.qlInterpolationInterpolate(delta6Minterpolation,R127,TRUE)</f>
        <v>1.2445785071759526E-3</v>
      </c>
      <c r="T127" s="222">
        <f>_xll.qlInterpolationInterpolate(basis6Minterpolation,R127,TRUE)</f>
        <v>2.448880488078582E-3</v>
      </c>
    </row>
    <row r="128" spans="18:20" x14ac:dyDescent="0.2">
      <c r="R128" s="429">
        <f>_xll.qlCalendarAdvance(Calendar,R127,"1D","f")</f>
        <v>42180</v>
      </c>
      <c r="S128" s="430">
        <f>_xll.qlInterpolationInterpolate(delta6Minterpolation,R128,TRUE)</f>
        <v>1.2448040506705962E-3</v>
      </c>
      <c r="T128" s="222">
        <f>_xll.qlInterpolationInterpolate(basis6Minterpolation,R128,TRUE)</f>
        <v>2.4496872055512014E-3</v>
      </c>
    </row>
    <row r="129" spans="18:20" x14ac:dyDescent="0.2">
      <c r="R129" s="429">
        <f>_xll.qlCalendarAdvance(Calendar,R128,"1D","f")</f>
        <v>42181</v>
      </c>
      <c r="S129" s="430">
        <f>_xll.qlInterpolationInterpolate(delta6Minterpolation,R129,TRUE)</f>
        <v>1.2450347372230362E-3</v>
      </c>
      <c r="T129" s="222">
        <f>_xll.qlInterpolationInterpolate(basis6Minterpolation,R129,TRUE)</f>
        <v>2.450498790596767E-3</v>
      </c>
    </row>
    <row r="130" spans="18:20" x14ac:dyDescent="0.2">
      <c r="R130" s="429">
        <f>_xll.qlCalendarAdvance(Calendar,R129,"1D","f")</f>
        <v>42184</v>
      </c>
      <c r="S130" s="430">
        <f>_xll.qlInterpolationInterpolate(delta6Minterpolation,R130,TRUE)</f>
        <v>1.2457570444045461E-3</v>
      </c>
      <c r="T130" s="222">
        <f>_xll.qlInterpolationInterpolate(basis6Minterpolation,R130,TRUE)</f>
        <v>2.4529617431052913E-3</v>
      </c>
    </row>
    <row r="131" spans="18:20" x14ac:dyDescent="0.2">
      <c r="R131" s="429">
        <f>_xll.qlCalendarAdvance(Calendar,R130,"1D","f")</f>
        <v>42185</v>
      </c>
      <c r="S131" s="430">
        <f>_xll.qlInterpolationInterpolate(delta6Minterpolation,R131,TRUE)</f>
        <v>1.2460076923655832E-3</v>
      </c>
      <c r="T131" s="222">
        <f>_xll.qlInterpolationInterpolate(basis6Minterpolation,R131,TRUE)</f>
        <v>2.4537917903767912E-3</v>
      </c>
    </row>
    <row r="132" spans="18:20" x14ac:dyDescent="0.2">
      <c r="R132" s="429">
        <f>_xll.qlCalendarAdvance(Calendar,R131,"1D","f")</f>
        <v>42186</v>
      </c>
      <c r="S132" s="430">
        <f>_xll.qlInterpolationInterpolate(delta6Minterpolation,R132,TRUE)</f>
        <v>1.2462631779731224E-3</v>
      </c>
      <c r="T132" s="222">
        <f>_xll.qlInterpolationInterpolate(basis6Minterpolation,R132,TRUE)</f>
        <v>2.4546262011883122E-3</v>
      </c>
    </row>
    <row r="133" spans="18:20" x14ac:dyDescent="0.2">
      <c r="R133" s="429">
        <f>_xll.qlCalendarAdvance(Calendar,R132,"1D","f")</f>
        <v>42187</v>
      </c>
      <c r="S133" s="430">
        <f>_xll.qlInterpolationInterpolate(delta6Minterpolation,R133,TRUE)</f>
        <v>1.2465234401449051E-3</v>
      </c>
      <c r="T133" s="222">
        <f>_xll.qlInterpolationInterpolate(basis6Minterpolation,R133,TRUE)</f>
        <v>2.455464874733269E-3</v>
      </c>
    </row>
    <row r="134" spans="18:20" x14ac:dyDescent="0.2">
      <c r="R134" s="429">
        <f>_xll.qlCalendarAdvance(Calendar,R133,"1D","f")</f>
        <v>42188</v>
      </c>
      <c r="S134" s="430">
        <f>_xll.qlInterpolationInterpolate(delta6Minterpolation,R134,TRUE)</f>
        <v>1.2467884177986724E-3</v>
      </c>
      <c r="T134" s="222">
        <f>_xll.qlInterpolationInterpolate(basis6Minterpolation,R134,TRUE)</f>
        <v>2.4563077102050766E-3</v>
      </c>
    </row>
    <row r="135" spans="18:20" x14ac:dyDescent="0.2">
      <c r="R135" s="429">
        <f>_xll.qlCalendarAdvance(Calendar,R134,"1D","f")</f>
        <v>42191</v>
      </c>
      <c r="S135" s="430">
        <f>_xll.qlInterpolationInterpolate(delta6Minterpolation,R135,TRUE)</f>
        <v>1.2476110328292929E-3</v>
      </c>
      <c r="T135" s="222">
        <f>_xll.qlInterpolationInterpolate(basis6Minterpolation,R135,TRUE)</f>
        <v>2.4588601801157515E-3</v>
      </c>
    </row>
    <row r="136" spans="18:20" x14ac:dyDescent="0.2">
      <c r="R136" s="429">
        <f>_xll.qlCalendarAdvance(Calendar,R135,"1D","f")</f>
        <v>42192</v>
      </c>
      <c r="S136" s="430">
        <f>_xll.qlInterpolationInterpolate(delta6Minterpolation,R136,TRUE)</f>
        <v>1.24789426158841E-3</v>
      </c>
      <c r="T136" s="222">
        <f>_xll.qlInterpolationInterpolate(basis6Minterpolation,R136,TRUE)</f>
        <v>2.4597186552291106E-3</v>
      </c>
    </row>
    <row r="137" spans="18:20" x14ac:dyDescent="0.2">
      <c r="R137" s="429">
        <f>_xll.qlCalendarAdvance(Calendar,R136,"1D","f")</f>
        <v>42193</v>
      </c>
      <c r="S137" s="430">
        <f>_xll.qlInterpolationInterpolate(delta6Minterpolation,R137,TRUE)</f>
        <v>1.2481819004182173E-3</v>
      </c>
      <c r="T137" s="222">
        <f>_xll.qlInterpolationInterpolate(basis6Minterpolation,R137,TRUE)</f>
        <v>2.460580788236395E-3</v>
      </c>
    </row>
    <row r="138" spans="18:20" x14ac:dyDescent="0.2">
      <c r="R138" s="429">
        <f>_xll.qlCalendarAdvance(Calendar,R137,"1D","f")</f>
        <v>42194</v>
      </c>
      <c r="S138" s="430">
        <f>_xll.qlInterpolationInterpolate(delta6Minterpolation,R138,TRUE)</f>
        <v>1.2484738882364561E-3</v>
      </c>
      <c r="T138" s="222">
        <f>_xll.qlInterpolationInterpolate(basis6Minterpolation,R138,TRUE)</f>
        <v>2.4614464783310193E-3</v>
      </c>
    </row>
    <row r="139" spans="18:20" x14ac:dyDescent="0.2">
      <c r="R139" s="429">
        <f>_xll.qlCalendarAdvance(Calendar,R138,"1D","f")</f>
        <v>42195</v>
      </c>
      <c r="S139" s="430">
        <f>_xll.qlInterpolationInterpolate(delta6Minterpolation,R139,TRUE)</f>
        <v>1.2487701639608676E-3</v>
      </c>
      <c r="T139" s="222">
        <f>_xll.qlInterpolationInterpolate(basis6Minterpolation,R139,TRUE)</f>
        <v>2.4623156247063987E-3</v>
      </c>
    </row>
    <row r="140" spans="18:20" x14ac:dyDescent="0.2">
      <c r="R140" s="429">
        <f>_xll.qlCalendarAdvance(Calendar,R139,"1D","f")</f>
        <v>42198</v>
      </c>
      <c r="S140" s="430">
        <f>_xll.qlInterpolationInterpolate(delta6Minterpolation,R140,TRUE)</f>
        <v>1.2496841077485501E-3</v>
      </c>
      <c r="T140" s="222">
        <f>_xll.qlInterpolationInterpolate(basis6Minterpolation,R140,TRUE)</f>
        <v>2.4649427934512152E-3</v>
      </c>
    </row>
    <row r="141" spans="18:20" x14ac:dyDescent="0.2">
      <c r="R141" s="429">
        <f>_xll.qlCalendarAdvance(Calendar,R140,"1D","f")</f>
        <v>42199</v>
      </c>
      <c r="S141" s="430">
        <f>_xll.qlInterpolationInterpolate(delta6Minterpolation,R141,TRUE)</f>
        <v>1.249996924275064E-3</v>
      </c>
      <c r="T141" s="222">
        <f>_xll.qlInterpolationInterpolate(basis6Minterpolation,R141,TRUE)</f>
        <v>2.4658247568837633E-3</v>
      </c>
    </row>
    <row r="142" spans="18:20" x14ac:dyDescent="0.2">
      <c r="R142" s="429">
        <f>_xll.qlCalendarAdvance(Calendar,R141,"1D","f")</f>
        <v>42200</v>
      </c>
      <c r="S142" s="430">
        <f>_xll.qlInterpolationInterpolate(delta6Minterpolation,R142,TRUE)</f>
        <v>1.2503137232964564E-3</v>
      </c>
      <c r="T142" s="222">
        <f>_xll.qlInterpolationInterpolate(basis6Minterpolation,R142,TRUE)</f>
        <v>2.4667096725641408E-3</v>
      </c>
    </row>
    <row r="143" spans="18:20" x14ac:dyDescent="0.2">
      <c r="R143" s="429">
        <f>_xll.qlCalendarAdvance(Calendar,R142,"1D","f")</f>
        <v>42201</v>
      </c>
      <c r="S143" s="430">
        <f>_xll.qlInterpolationInterpolate(delta6Minterpolation,R143,TRUE)</f>
        <v>1.2506344437304684E-3</v>
      </c>
      <c r="T143" s="222">
        <f>_xll.qlInterpolationInterpolate(basis6Minterpolation,R143,TRUE)</f>
        <v>2.4675974396857628E-3</v>
      </c>
    </row>
    <row r="144" spans="18:20" x14ac:dyDescent="0.2">
      <c r="R144" s="429">
        <f>_xll.qlCalendarAdvance(Calendar,R143,"1D","f")</f>
        <v>42202</v>
      </c>
      <c r="S144" s="430">
        <f>_xll.qlInterpolationInterpolate(delta6Minterpolation,R144,TRUE)</f>
        <v>1.2509590244948413E-3</v>
      </c>
      <c r="T144" s="222">
        <f>_xll.qlInterpolationInterpolate(basis6Minterpolation,R144,TRUE)</f>
        <v>2.4684879574420437E-3</v>
      </c>
    </row>
    <row r="145" spans="18:20" x14ac:dyDescent="0.2">
      <c r="R145" s="429">
        <f>_xll.qlCalendarAdvance(Calendar,R144,"1D","f")</f>
        <v>42205</v>
      </c>
      <c r="S145" s="430">
        <f>_xll.qlInterpolationInterpolate(delta6Minterpolation,R145,TRUE)</f>
        <v>1.2519553179475367E-3</v>
      </c>
      <c r="T145" s="222">
        <f>_xll.qlInterpolationInterpolate(basis6Minterpolation,R145,TRUE)</f>
        <v>2.4711750064529922E-3</v>
      </c>
    </row>
    <row r="146" spans="18:20" x14ac:dyDescent="0.2">
      <c r="R146" s="429">
        <f>_xll.qlCalendarAdvance(Calendar,R145,"1D","f")</f>
        <v>42206</v>
      </c>
      <c r="S146" s="430">
        <f>_xll.qlInterpolationInterpolate(delta6Minterpolation,R146,TRUE)</f>
        <v>1.2522947292107646E-3</v>
      </c>
      <c r="T146" s="222">
        <f>_xll.qlInterpolationInterpolate(basis6Minterpolation,R146,TRUE)</f>
        <v>2.4720755186820593E-3</v>
      </c>
    </row>
    <row r="147" spans="18:20" x14ac:dyDescent="0.2">
      <c r="R147" s="429">
        <f>_xll.qlCalendarAdvance(Calendar,R146,"1D","f")</f>
        <v>42207</v>
      </c>
      <c r="S147" s="430">
        <f>_xll.qlInterpolationInterpolate(delta6Minterpolation,R147,TRUE)</f>
        <v>1.2526376953930591E-3</v>
      </c>
      <c r="T147" s="222">
        <f>_xll.qlInterpolationInterpolate(basis6Minterpolation,R147,TRUE)</f>
        <v>2.4729782775128602E-3</v>
      </c>
    </row>
    <row r="148" spans="18:20" x14ac:dyDescent="0.2">
      <c r="R148" s="429">
        <f>_xll.qlCalendarAdvance(Calendar,R147,"1D","f")</f>
        <v>42208</v>
      </c>
      <c r="S148" s="430">
        <f>_xll.qlInterpolationInterpolate(delta6Minterpolation,R148,TRUE)</f>
        <v>1.2529841554121616E-3</v>
      </c>
      <c r="T148" s="222">
        <f>_xll.qlInterpolationInterpolate(basis6Minterpolation,R148,TRUE)</f>
        <v>2.4738831821388097E-3</v>
      </c>
    </row>
    <row r="149" spans="18:20" x14ac:dyDescent="0.2">
      <c r="R149" s="429">
        <f>_xll.qlCalendarAdvance(Calendar,R148,"1D","f")</f>
        <v>42209</v>
      </c>
      <c r="S149" s="430">
        <f>_xll.qlInterpolationInterpolate(delta6Minterpolation,R149,TRUE)</f>
        <v>1.2533340481858128E-3</v>
      </c>
      <c r="T149" s="222">
        <f>_xll.qlInterpolationInterpolate(basis6Minterpolation,R149,TRUE)</f>
        <v>2.4747901317533228E-3</v>
      </c>
    </row>
    <row r="150" spans="18:20" x14ac:dyDescent="0.2">
      <c r="R150" s="429">
        <f>_xll.qlCalendarAdvance(Calendar,R149,"1D","f")</f>
        <v>42212</v>
      </c>
      <c r="S150" s="430">
        <f>_xll.qlInterpolationInterpolate(delta6Minterpolation,R150,TRUE)</f>
        <v>1.2544037122114726E-3</v>
      </c>
      <c r="T150" s="222">
        <f>_xll.qlInterpolationInterpolate(basis6Minterpolation,R150,TRUE)</f>
        <v>2.4775222424623928E-3</v>
      </c>
    </row>
    <row r="151" spans="18:20" x14ac:dyDescent="0.2">
      <c r="R151" s="429">
        <f>_xll.qlCalendarAdvance(Calendar,R150,"1D","f")</f>
        <v>42213</v>
      </c>
      <c r="S151" s="430">
        <f>_xll.qlInterpolationInterpolate(delta6Minterpolation,R151,TRUE)</f>
        <v>1.2547667251807315E-3</v>
      </c>
      <c r="T151" s="222">
        <f>_xll.qlInterpolationInterpolate(basis6Minterpolation,R151,TRUE)</f>
        <v>2.4784363639653094E-3</v>
      </c>
    </row>
    <row r="152" spans="18:20" x14ac:dyDescent="0.2">
      <c r="R152" s="429">
        <f>_xll.qlCalendarAdvance(Calendar,R151,"1D","f")</f>
        <v>42214</v>
      </c>
      <c r="S152" s="430">
        <f>_xll.qlInterpolationInterpolate(delta6Minterpolation,R152,TRUE)</f>
        <v>1.2551328654932452E-3</v>
      </c>
      <c r="T152" s="222">
        <f>_xll.qlInterpolationInterpolate(basis6Minterpolation,R152,TRUE)</f>
        <v>2.4793520264238637E-3</v>
      </c>
    </row>
    <row r="153" spans="18:20" x14ac:dyDescent="0.2">
      <c r="R153" s="429">
        <f>_xll.qlCalendarAdvance(Calendar,R152,"1D","f")</f>
        <v>42215</v>
      </c>
      <c r="S153" s="430">
        <f>_xll.qlInterpolationInterpolate(delta6Minterpolation,R153,TRUE)</f>
        <v>1.2555020720667548E-3</v>
      </c>
      <c r="T153" s="222">
        <f>_xll.qlInterpolationInterpolate(basis6Minterpolation,R153,TRUE)</f>
        <v>2.4802691290314715E-3</v>
      </c>
    </row>
    <row r="154" spans="18:20" x14ac:dyDescent="0.2">
      <c r="R154" s="429">
        <f>_xll.qlCalendarAdvance(Calendar,R153,"1D","f")</f>
        <v>42216</v>
      </c>
      <c r="S154" s="430">
        <f>_xll.qlInterpolationInterpolate(delta6Minterpolation,R154,TRUE)</f>
        <v>1.2558742838190016E-3</v>
      </c>
      <c r="T154" s="222">
        <f>_xll.qlInterpolationInterpolate(basis6Minterpolation,R154,TRUE)</f>
        <v>2.4811875709815469E-3</v>
      </c>
    </row>
    <row r="155" spans="18:20" x14ac:dyDescent="0.2">
      <c r="R155" s="429">
        <f>_xll.qlCalendarAdvance(Calendar,R154,"1D","f")</f>
        <v>42219</v>
      </c>
      <c r="S155" s="430">
        <f>_xll.qlInterpolationInterpolate(delta6Minterpolation,R155,TRUE)</f>
        <v>1.2570083393255767E-3</v>
      </c>
      <c r="T155" s="222">
        <f>_xll.qlInterpolationInterpolate(basis6Minterpolation,R155,TRUE)</f>
        <v>2.4839499248207287E-3</v>
      </c>
    </row>
    <row r="156" spans="18:20" x14ac:dyDescent="0.2">
      <c r="R156" s="429">
        <f>_xll.qlCalendarAdvance(Calendar,R155,"1D","f")</f>
        <v>42220</v>
      </c>
      <c r="S156" s="430">
        <f>_xll.qlInterpolationInterpolate(delta6Minterpolation,R156,TRUE)</f>
        <v>1.2573919609701837E-3</v>
      </c>
      <c r="T156" s="222">
        <f>_xll.qlInterpolationInterpolate(basis6Minterpolation,R156,TRUE)</f>
        <v>2.4848727160748244E-3</v>
      </c>
    </row>
    <row r="157" spans="18:20" x14ac:dyDescent="0.2">
      <c r="R157" s="429">
        <f>_xll.qlCalendarAdvance(Calendar,R156,"1D","f")</f>
        <v>42221</v>
      </c>
      <c r="S157" s="430">
        <f>_xll.qlInterpolationInterpolate(delta6Minterpolation,R157,TRUE)</f>
        <v>1.2577782823822339E-3</v>
      </c>
      <c r="T157" s="222">
        <f>_xll.qlInterpolationInterpolate(basis6Minterpolation,R157,TRUE)</f>
        <v>2.4857963426384625E-3</v>
      </c>
    </row>
    <row r="158" spans="18:20" x14ac:dyDescent="0.2">
      <c r="R158" s="429">
        <f>_xll.qlCalendarAdvance(Calendar,R157,"1D","f")</f>
        <v>42222</v>
      </c>
      <c r="S158" s="430">
        <f>_xll.qlInterpolationInterpolate(delta6Minterpolation,R158,TRUE)</f>
        <v>1.2581672424794679E-3</v>
      </c>
      <c r="T158" s="222">
        <f>_xll.qlInterpolationInterpolate(basis6Minterpolation,R158,TRUE)</f>
        <v>2.4867207037050582E-3</v>
      </c>
    </row>
    <row r="159" spans="18:20" x14ac:dyDescent="0.2">
      <c r="R159" s="429">
        <f>_xll.qlCalendarAdvance(Calendar,R158,"1D","f")</f>
        <v>42223</v>
      </c>
      <c r="S159" s="430">
        <f>_xll.qlInterpolationInterpolate(delta6Minterpolation,R159,TRUE)</f>
        <v>1.2585587801796274E-3</v>
      </c>
      <c r="T159" s="222">
        <f>_xll.qlInterpolationInterpolate(basis6Minterpolation,R159,TRUE)</f>
        <v>2.4876456984680257E-3</v>
      </c>
    </row>
    <row r="160" spans="18:20" x14ac:dyDescent="0.2">
      <c r="R160" s="429">
        <f>_xll.qlCalendarAdvance(Calendar,R159,"1D","f")</f>
        <v>42226</v>
      </c>
      <c r="S160" s="430">
        <f>_xll.qlInterpolationInterpolate(delta6Minterpolation,R160,TRUE)</f>
        <v>1.2597482480750689E-3</v>
      </c>
      <c r="T160" s="222">
        <f>_xll.qlInterpolationInterpolate(basis6Minterpolation,R160,TRUE)</f>
        <v>2.49042347686931E-3</v>
      </c>
    </row>
    <row r="161" spans="18:20" x14ac:dyDescent="0.2">
      <c r="R161" s="429">
        <f>_xll.qlCalendarAdvance(Calendar,R160,"1D","f")</f>
        <v>42227</v>
      </c>
      <c r="S161" s="430">
        <f>_xll.qlInterpolationInterpolate(delta6Minterpolation,R161,TRUE)</f>
        <v>1.2601494853643413E-3</v>
      </c>
      <c r="T161" s="222">
        <f>_xll.qlInterpolationInterpolate(basis6Minterpolation,R161,TRUE)</f>
        <v>2.4913499983519154E-3</v>
      </c>
    </row>
    <row r="162" spans="18:20" x14ac:dyDescent="0.2">
      <c r="R162" s="429">
        <f>_xll.qlCalendarAdvance(Calendar,R161,"1D","f")</f>
        <v>42228</v>
      </c>
      <c r="S162" s="430">
        <f>_xll.qlInterpolationInterpolate(delta6Minterpolation,R162,TRUE)</f>
        <v>1.2605529948452444E-3</v>
      </c>
      <c r="T162" s="222">
        <f>_xll.qlInterpolationInterpolate(basis6Minterpolation,R162,TRUE)</f>
        <v>2.492276649497967E-3</v>
      </c>
    </row>
    <row r="163" spans="18:20" x14ac:dyDescent="0.2">
      <c r="R163" s="429">
        <f>_xll.qlCalendarAdvance(Calendar,R162,"1D","f")</f>
        <v>42229</v>
      </c>
      <c r="S163" s="430">
        <f>_xll.qlInterpolationInterpolate(delta6Minterpolation,R163,TRUE)</f>
        <v>1.26095871543552E-3</v>
      </c>
      <c r="T163" s="222">
        <f>_xll.qlInterpolationInterpolate(basis6Minterpolation,R163,TRUE)</f>
        <v>2.4932033295008804E-3</v>
      </c>
    </row>
    <row r="164" spans="18:20" x14ac:dyDescent="0.2">
      <c r="R164" s="429">
        <f>_xll.qlCalendarAdvance(Calendar,R163,"1D","f")</f>
        <v>42230</v>
      </c>
      <c r="S164" s="430">
        <f>_xll.qlInterpolationInterpolate(delta6Minterpolation,R164,TRUE)</f>
        <v>1.2613665860529092E-3</v>
      </c>
      <c r="T164" s="222">
        <f>_xll.qlInterpolationInterpolate(basis6Minterpolation,R164,TRUE)</f>
        <v>2.4941299375540703E-3</v>
      </c>
    </row>
    <row r="165" spans="18:20" x14ac:dyDescent="0.2">
      <c r="R165" s="429">
        <f>_xll.qlCalendarAdvance(Calendar,R164,"1D","f")</f>
        <v>42233</v>
      </c>
      <c r="S165" s="430">
        <f>_xll.qlInterpolationInterpolate(delta6Minterpolation,R165,TRUE)</f>
        <v>1.2626024872451685E-3</v>
      </c>
      <c r="T165" s="222">
        <f>_xll.qlInterpolationInterpolate(basis6Minterpolation,R165,TRUE)</f>
        <v>2.4969083219494475E-3</v>
      </c>
    </row>
    <row r="166" spans="18:20" x14ac:dyDescent="0.2">
      <c r="R166" s="429">
        <f>_xll.qlCalendarAdvance(Calendar,R165,"1D","f")</f>
        <v>42234</v>
      </c>
      <c r="S166" s="430">
        <f>_xll.qlInterpolationInterpolate(delta6Minterpolation,R166,TRUE)</f>
        <v>1.2630183471484229E-3</v>
      </c>
      <c r="T166" s="222">
        <f>_xll.qlInterpolationInterpolate(basis6Minterpolation,R166,TRUE)</f>
        <v>2.497833634137892E-3</v>
      </c>
    </row>
    <row r="167" spans="18:20" x14ac:dyDescent="0.2">
      <c r="R167" s="429">
        <f>_xll.qlCalendarAdvance(Calendar,R166,"1D","f")</f>
        <v>42235</v>
      </c>
      <c r="S167" s="430">
        <f>_xll.qlInterpolationInterpolate(delta6Minterpolation,R167,TRUE)</f>
        <v>1.2634360516674968E-3</v>
      </c>
      <c r="T167" s="222">
        <f>_xll.qlInterpolationInterpolate(basis6Minterpolation,R167,TRUE)</f>
        <v>2.4987583703436878E-3</v>
      </c>
    </row>
    <row r="168" spans="18:20" x14ac:dyDescent="0.2">
      <c r="R168" s="429">
        <f>_xll.qlCalendarAdvance(Calendar,R167,"1D","f")</f>
        <v>42236</v>
      </c>
      <c r="S168" s="430">
        <f>_xll.qlInterpolationInterpolate(delta6Minterpolation,R168,TRUE)</f>
        <v>1.2638555397201309E-3</v>
      </c>
      <c r="T168" s="222">
        <f>_xll.qlInterpolationInterpolate(basis6Minterpolation,R168,TRUE)</f>
        <v>2.4996824297602491E-3</v>
      </c>
    </row>
    <row r="169" spans="18:20" x14ac:dyDescent="0.2">
      <c r="R169" s="429">
        <f>_xll.qlCalendarAdvance(Calendar,R168,"1D","f")</f>
        <v>42237</v>
      </c>
      <c r="S169" s="430">
        <f>_xll.qlInterpolationInterpolate(delta6Minterpolation,R169,TRUE)</f>
        <v>1.2642767502240666E-3</v>
      </c>
      <c r="T169" s="222">
        <f>_xll.qlInterpolationInterpolate(basis6Minterpolation,R169,TRUE)</f>
        <v>2.5006057115809915E-3</v>
      </c>
    </row>
    <row r="170" spans="18:20" x14ac:dyDescent="0.2">
      <c r="R170" s="429">
        <f>_xll.qlCalendarAdvance(Calendar,R169,"1D","f")</f>
        <v>42240</v>
      </c>
      <c r="S170" s="430">
        <f>_xll.qlInterpolationInterpolate(delta6Minterpolation,R170,TRUE)</f>
        <v>1.265550105621095E-3</v>
      </c>
      <c r="T170" s="222">
        <f>_xll.qlInterpolationInterpolate(basis6Minterpolation,R170,TRUE)</f>
        <v>2.5033698834024515E-3</v>
      </c>
    </row>
    <row r="171" spans="18:20" x14ac:dyDescent="0.2">
      <c r="R171" s="429">
        <f>_xll.qlCalendarAdvance(Calendar,R170,"1D","f")</f>
        <v>42241</v>
      </c>
      <c r="S171" s="430">
        <f>_xll.qlInterpolationInterpolate(delta6Minterpolation,R171,TRUE)</f>
        <v>1.2659775951076489E-3</v>
      </c>
      <c r="T171" s="222">
        <f>_xll.qlInterpolationInterpolate(basis6Minterpolation,R171,TRUE)</f>
        <v>2.5042890467740658E-3</v>
      </c>
    </row>
    <row r="172" spans="18:20" x14ac:dyDescent="0.2">
      <c r="R172" s="429">
        <f>_xll.qlCalendarAdvance(Calendar,R171,"1D","f")</f>
        <v>42242</v>
      </c>
      <c r="S172" s="430">
        <f>_xll.qlInterpolationInterpolate(delta6Minterpolation,R172,TRUE)</f>
        <v>1.26640650163421E-3</v>
      </c>
      <c r="T172" s="222">
        <f>_xll.qlInterpolationInterpolate(basis6Minterpolation,R172,TRUE)</f>
        <v>2.5052069285169355E-3</v>
      </c>
    </row>
    <row r="173" spans="18:20" x14ac:dyDescent="0.2">
      <c r="R173" s="429">
        <f>_xll.qlCalendarAdvance(Calendar,R172,"1D","f")</f>
        <v>42243</v>
      </c>
      <c r="S173" s="430">
        <f>_xll.qlInterpolationInterpolate(delta6Minterpolation,R173,TRUE)</f>
        <v>1.2668367641185197E-3</v>
      </c>
      <c r="T173" s="222">
        <f>_xll.qlInterpolationInterpolate(basis6Minterpolation,R173,TRUE)</f>
        <v>2.5061234278244749E-3</v>
      </c>
    </row>
    <row r="174" spans="18:20" x14ac:dyDescent="0.2">
      <c r="R174" s="429">
        <f>_xll.qlCalendarAdvance(Calendar,R173,"1D","f")</f>
        <v>42244</v>
      </c>
      <c r="S174" s="430">
        <f>_xll.qlInterpolationInterpolate(delta6Minterpolation,R174,TRUE)</f>
        <v>1.2672683214783192E-3</v>
      </c>
      <c r="T174" s="222">
        <f>_xll.qlInterpolationInterpolate(basis6Minterpolation,R174,TRUE)</f>
        <v>2.5070384438900997E-3</v>
      </c>
    </row>
    <row r="175" spans="18:20" x14ac:dyDescent="0.2">
      <c r="R175" s="429">
        <f>_xll.qlCalendarAdvance(Calendar,R174,"1D","f")</f>
        <v>42247</v>
      </c>
      <c r="S175" s="430">
        <f>_xll.qlInterpolationInterpolate(delta6Minterpolation,R175,TRUE)</f>
        <v>1.2685701519880679E-3</v>
      </c>
      <c r="T175" s="222">
        <f>_xll.qlInterpolationInterpolate(basis6Minterpolation,R175,TRUE)</f>
        <v>2.5097735845696334E-3</v>
      </c>
    </row>
    <row r="176" spans="18:20" x14ac:dyDescent="0.2">
      <c r="R176" s="429">
        <f>_xll.qlCalendarAdvance(Calendar,R175,"1D","f")</f>
        <v>42248</v>
      </c>
      <c r="S176" s="430">
        <f>_xll.qlInterpolationInterpolate(delta6Minterpolation,R176,TRUE)</f>
        <v>1.269006278027238E-3</v>
      </c>
      <c r="T176" s="222">
        <f>_xll.qlInterpolationInterpolate(basis6Minterpolation,R176,TRUE)</f>
        <v>2.5106816596017472E-3</v>
      </c>
    </row>
    <row r="177" spans="18:20" x14ac:dyDescent="0.2">
      <c r="R177" s="429">
        <f>_xll.qlCalendarAdvance(Calendar,R176,"1D","f")</f>
        <v>42249</v>
      </c>
      <c r="S177" s="430">
        <f>_xll.qlInterpolationInterpolate(delta6Minterpolation,R177,TRUE)</f>
        <v>1.2694433935306036E-3</v>
      </c>
      <c r="T177" s="222">
        <f>_xll.qlInterpolationInterpolate(basis6Minterpolation,R177,TRUE)</f>
        <v>2.5115877473590206E-3</v>
      </c>
    </row>
    <row r="178" spans="18:20" x14ac:dyDescent="0.2">
      <c r="R178" s="429">
        <f>_xll.qlCalendarAdvance(Calendar,R177,"1D","f")</f>
        <v>42250</v>
      </c>
      <c r="S178" s="430">
        <f>_xll.qlInterpolationInterpolate(delta6Minterpolation,R178,TRUE)</f>
        <v>1.2698814374159061E-3</v>
      </c>
      <c r="T178" s="222">
        <f>_xll.qlInterpolationInterpolate(basis6Minterpolation,R178,TRUE)</f>
        <v>2.5124917470348688E-3</v>
      </c>
    </row>
    <row r="179" spans="18:20" x14ac:dyDescent="0.2">
      <c r="R179" s="429">
        <f>_xll.qlCalendarAdvance(Calendar,R178,"1D","f")</f>
        <v>42251</v>
      </c>
      <c r="S179" s="430">
        <f>_xll.qlInterpolationInterpolate(delta6Minterpolation,R179,TRUE)</f>
        <v>1.2703203486008864E-3</v>
      </c>
      <c r="T179" s="222">
        <f>_xll.qlInterpolationInterpolate(basis6Minterpolation,R179,TRUE)</f>
        <v>2.513393557822706E-3</v>
      </c>
    </row>
    <row r="180" spans="18:20" x14ac:dyDescent="0.2">
      <c r="R180" s="429">
        <f>_xll.qlCalendarAdvance(Calendar,R179,"1D","f")</f>
        <v>42254</v>
      </c>
      <c r="S180" s="430">
        <f>_xll.qlInterpolationInterpolate(delta6Minterpolation,R180,TRUE)</f>
        <v>1.2716416751313063E-3</v>
      </c>
      <c r="T180" s="222">
        <f>_xll.qlInterpolationInterpolate(basis6Minterpolation,R180,TRUE)</f>
        <v>2.516084848792303E-3</v>
      </c>
    </row>
    <row r="181" spans="18:20" x14ac:dyDescent="0.2">
      <c r="R181" s="429">
        <f>_xll.qlCalendarAdvance(Calendar,R180,"1D","f")</f>
        <v>42255</v>
      </c>
      <c r="S181" s="430">
        <f>_xll.qlInterpolationInterpolate(delta6Minterpolation,R181,TRUE)</f>
        <v>1.2720834446924099E-3</v>
      </c>
      <c r="T181" s="222">
        <f>_xll.qlInterpolationInterpolate(basis6Minterpolation,R181,TRUE)</f>
        <v>2.5169768959622469E-3</v>
      </c>
    </row>
    <row r="182" spans="18:20" x14ac:dyDescent="0.2">
      <c r="R182" s="429">
        <f>_xll.qlCalendarAdvance(Calendar,R181,"1D","f")</f>
        <v>42256</v>
      </c>
      <c r="S182" s="430">
        <f>_xll.qlInterpolationInterpolate(delta6Minterpolation,R182,TRUE)</f>
        <v>1.2725257761418971E-3</v>
      </c>
      <c r="T182" s="222">
        <f>_xll.qlInterpolationInterpolate(basis6Minterpolation,R182,TRUE)</f>
        <v>2.5178662502112542E-3</v>
      </c>
    </row>
    <row r="183" spans="18:20" x14ac:dyDescent="0.2">
      <c r="R183" s="429">
        <f>_xll.qlCalendarAdvance(Calendar,R182,"1D","f")</f>
        <v>42257</v>
      </c>
      <c r="S183" s="430">
        <f>_xll.qlInterpolationInterpolate(delta6Minterpolation,R183,TRUE)</f>
        <v>1.2729686083975092E-3</v>
      </c>
      <c r="T183" s="222">
        <f>_xll.qlInterpolationInterpolate(basis6Minterpolation,R183,TRUE)</f>
        <v>2.5187528107327405E-3</v>
      </c>
    </row>
    <row r="184" spans="18:20" x14ac:dyDescent="0.2">
      <c r="R184" s="429">
        <f>_xll.qlCalendarAdvance(Calendar,R183,"1D","f")</f>
        <v>42258</v>
      </c>
      <c r="S184" s="430">
        <f>_xll.qlInterpolationInterpolate(delta6Minterpolation,R184,TRUE)</f>
        <v>1.2734118803769874E-3</v>
      </c>
      <c r="T184" s="222">
        <f>_xll.qlInterpolationInterpolate(basis6Minterpolation,R184,TRUE)</f>
        <v>2.5196364767201204E-3</v>
      </c>
    </row>
    <row r="185" spans="18:20" x14ac:dyDescent="0.2">
      <c r="R185" s="429">
        <f>_xll.qlCalendarAdvance(Calendar,R184,"1D","f")</f>
        <v>42261</v>
      </c>
      <c r="S185" s="430">
        <f>_xll.qlInterpolationInterpolate(delta6Minterpolation,R185,TRUE)</f>
        <v>1.27474372383603E-3</v>
      </c>
      <c r="T185" s="222">
        <f>_xll.qlInterpolationInterpolate(basis6Minterpolation,R185,TRUE)</f>
        <v>2.5222690994117715E-3</v>
      </c>
    </row>
    <row r="186" spans="18:20" x14ac:dyDescent="0.2">
      <c r="R186" s="429">
        <f>_xll.qlCalendarAdvance(Calendar,R185,"1D","f")</f>
        <v>42262</v>
      </c>
      <c r="S186" s="430">
        <f>_xll.qlInterpolationInterpolate(delta6Minterpolation,R186,TRUE)</f>
        <v>1.2751881438883841E-3</v>
      </c>
      <c r="T186" s="222">
        <f>_xll.qlInterpolationInterpolate(basis6Minterpolation,R186,TRUE)</f>
        <v>2.5231401791968749E-3</v>
      </c>
    </row>
    <row r="187" spans="18:20" x14ac:dyDescent="0.2">
      <c r="R187" s="429">
        <f>_xll.qlCalendarAdvance(Calendar,R186,"1D","f")</f>
        <v>42263</v>
      </c>
      <c r="S187" s="430">
        <f>_xll.qlInterpolationInterpolate(delta6Minterpolation,R187,TRUE)</f>
        <v>1.2756326982533098E-3</v>
      </c>
      <c r="T187" s="222">
        <f>_xll.qlInterpolationInterpolate(basis6Minterpolation,R187,TRUE)</f>
        <v>2.5240078604149467E-3</v>
      </c>
    </row>
    <row r="188" spans="18:20" x14ac:dyDescent="0.2">
      <c r="R188" s="429">
        <f>_xll.qlCalendarAdvance(Calendar,R187,"1D","f")</f>
        <v>42264</v>
      </c>
      <c r="S188" s="430">
        <f>_xll.qlInterpolationInterpolate(delta6Minterpolation,R188,TRUE)</f>
        <v>1.2760773258485489E-3</v>
      </c>
      <c r="T188" s="222">
        <f>_xll.qlInterpolationInterpolate(basis6Minterpolation,R188,TRUE)</f>
        <v>2.5248720422594013E-3</v>
      </c>
    </row>
    <row r="189" spans="18:20" x14ac:dyDescent="0.2">
      <c r="R189" s="429">
        <f>_xll.qlCalendarAdvance(Calendar,R188,"1D","f")</f>
        <v>42265</v>
      </c>
      <c r="S189" s="430">
        <f>_xll.qlInterpolationInterpolate(delta6Minterpolation,R189,TRUE)</f>
        <v>1.276521965591842E-3</v>
      </c>
      <c r="T189" s="222">
        <f>_xll.qlInterpolationInterpolate(basis6Minterpolation,R189,TRUE)</f>
        <v>2.5257326239236542E-3</v>
      </c>
    </row>
    <row r="190" spans="18:20" x14ac:dyDescent="0.2">
      <c r="R190" s="429">
        <f>_xll.qlCalendarAdvance(Calendar,R189,"1D","f")</f>
        <v>42268</v>
      </c>
      <c r="S190" s="430">
        <f>_xll.qlInterpolationInterpolate(delta6Minterpolation,R190,TRUE)</f>
        <v>1.2778553468874583E-3</v>
      </c>
      <c r="T190" s="222">
        <f>_xll.qlInterpolationInterpolate(basis6Minterpolation,R190,TRUE)</f>
        <v>2.5282917597693492E-3</v>
      </c>
    </row>
    <row r="191" spans="18:20" x14ac:dyDescent="0.2">
      <c r="R191" s="429">
        <f>_xll.qlCalendarAdvance(Calendar,R190,"1D","f")</f>
        <v>42269</v>
      </c>
      <c r="S191" s="430">
        <f>_xll.qlInterpolationInterpolate(delta6Minterpolation,R191,TRUE)</f>
        <v>1.27829942440038E-3</v>
      </c>
      <c r="T191" s="222">
        <f>_xll.qlInterpolationInterpolate(basis6Minterpolation,R191,TRUE)</f>
        <v>2.5291369326469427E-3</v>
      </c>
    </row>
    <row r="192" spans="18:20" x14ac:dyDescent="0.2">
      <c r="R192" s="429">
        <f>_xll.qlCalendarAdvance(Calendar,R191,"1D","f")</f>
        <v>42270</v>
      </c>
      <c r="S192" s="430">
        <f>_xll.qlInterpolationInterpolate(delta6Minterpolation,R192,TRUE)</f>
        <v>1.2787432086500616E-3</v>
      </c>
      <c r="T192" s="222">
        <f>_xll.qlInterpolationInterpolate(basis6Minterpolation,R192,TRUE)</f>
        <v>2.5299780013114084E-3</v>
      </c>
    </row>
    <row r="193" spans="18:20" x14ac:dyDescent="0.2">
      <c r="R193" s="429">
        <f>_xll.qlCalendarAdvance(Calendar,R192,"1D","f")</f>
        <v>42271</v>
      </c>
      <c r="S193" s="430">
        <f>_xll.qlInterpolationInterpolate(delta6Minterpolation,R193,TRUE)</f>
        <v>1.2791866385542443E-3</v>
      </c>
      <c r="T193" s="222">
        <f>_xll.qlInterpolationInterpolate(basis6Minterpolation,R193,TRUE)</f>
        <v>2.530814864956162E-3</v>
      </c>
    </row>
    <row r="194" spans="18:20" x14ac:dyDescent="0.2">
      <c r="R194" s="429">
        <f>_xll.qlCalendarAdvance(Calendar,R193,"1D","f")</f>
        <v>42272</v>
      </c>
      <c r="S194" s="430">
        <f>_xll.qlInterpolationInterpolate(delta6Minterpolation,R194,TRUE)</f>
        <v>1.2796296675992461E-3</v>
      </c>
      <c r="T194" s="222">
        <f>_xll.qlInterpolationInterpolate(basis6Minterpolation,R194,TRUE)</f>
        <v>2.5316474537478797E-3</v>
      </c>
    </row>
    <row r="195" spans="18:20" x14ac:dyDescent="0.2">
      <c r="R195" s="429">
        <f>_xll.qlCalendarAdvance(Calendar,R194,"1D","f")</f>
        <v>42275</v>
      </c>
      <c r="S195" s="430">
        <f>_xll.qlInterpolationInterpolate(delta6Minterpolation,R195,TRUE)</f>
        <v>1.2809565254597111E-3</v>
      </c>
      <c r="T195" s="222">
        <f>_xll.qlInterpolationInterpolate(basis6Minterpolation,R195,TRUE)</f>
        <v>2.5341202354951199E-3</v>
      </c>
    </row>
    <row r="196" spans="18:20" x14ac:dyDescent="0.2">
      <c r="R196" s="429">
        <f>_xll.qlCalendarAdvance(Calendar,R195,"1D","f")</f>
        <v>42276</v>
      </c>
      <c r="S196" s="430">
        <f>_xll.qlInterpolationInterpolate(delta6Minterpolation,R196,TRUE)</f>
        <v>1.281398156085688E-3</v>
      </c>
      <c r="T196" s="222">
        <f>_xll.qlInterpolationInterpolate(basis6Minterpolation,R196,TRUE)</f>
        <v>2.5349364513115201E-3</v>
      </c>
    </row>
    <row r="197" spans="18:20" x14ac:dyDescent="0.2">
      <c r="R197" s="429">
        <f>_xll.qlCalendarAdvance(Calendar,R196,"1D","f")</f>
        <v>42277</v>
      </c>
      <c r="S197" s="430">
        <f>_xll.qlInterpolationInterpolate(delta6Minterpolation,R197,TRUE)</f>
        <v>1.2818395029299103E-3</v>
      </c>
      <c r="T197" s="222">
        <f>_xll.qlInterpolationInterpolate(basis6Minterpolation,R197,TRUE)</f>
        <v>2.5357487864665598E-3</v>
      </c>
    </row>
    <row r="198" spans="18:20" x14ac:dyDescent="0.2">
      <c r="R198" s="429">
        <f>_xll.qlCalendarAdvance(Calendar,R197,"1D","f")</f>
        <v>42278</v>
      </c>
      <c r="S198" s="430">
        <f>_xll.qlInterpolationInterpolate(delta6Minterpolation,R198,TRUE)</f>
        <v>1.2822805923215783E-3</v>
      </c>
      <c r="T198" s="222">
        <f>_xll.qlInterpolationInterpolate(basis6Minterpolation,R198,TRUE)</f>
        <v>2.5365573259932255E-3</v>
      </c>
    </row>
    <row r="199" spans="18:20" x14ac:dyDescent="0.2">
      <c r="R199" s="429">
        <f>_xll.qlCalendarAdvance(Calendar,R198,"1D","f")</f>
        <v>42279</v>
      </c>
      <c r="S199" s="430">
        <f>_xll.qlInterpolationInterpolate(delta6Minterpolation,R199,TRUE)</f>
        <v>1.2827214505898928E-3</v>
      </c>
      <c r="T199" s="222">
        <f>_xll.qlInterpolationInterpolate(basis6Minterpolation,R199,TRUE)</f>
        <v>2.5373621549245056E-3</v>
      </c>
    </row>
    <row r="200" spans="18:20" x14ac:dyDescent="0.2">
      <c r="R200" s="429">
        <f>_xll.qlCalendarAdvance(Calendar,R199,"1D","f")</f>
        <v>42282</v>
      </c>
      <c r="S200" s="430">
        <f>_xll.qlInterpolationInterpolate(delta6Minterpolation,R200,TRUE)</f>
        <v>1.2840429019467202E-3</v>
      </c>
      <c r="T200" s="222">
        <f>_xll.qlInterpolationInterpolate(basis6Minterpolation,R200,TRUE)</f>
        <v>2.5397552284759017E-3</v>
      </c>
    </row>
    <row r="201" spans="18:20" x14ac:dyDescent="0.2">
      <c r="R201" s="429">
        <f>_xll.qlCalendarAdvance(Calendar,R200,"1D","f")</f>
        <v>42283</v>
      </c>
      <c r="S201" s="430">
        <f>_xll.qlInterpolationInterpolate(delta6Minterpolation,R201,TRUE)</f>
        <v>1.2844830990136262E-3</v>
      </c>
      <c r="T201" s="222">
        <f>_xll.qlInterpolationInterpolate(basis6Minterpolation,R201,TRUE)</f>
        <v>2.5405460653555104E-3</v>
      </c>
    </row>
    <row r="202" spans="18:20" x14ac:dyDescent="0.2">
      <c r="R202" s="429">
        <f>_xll.qlCalendarAdvance(Calendar,R201,"1D","f")</f>
        <v>42284</v>
      </c>
      <c r="S202" s="430">
        <f>_xll.qlInterpolationInterpolate(delta6Minterpolation,R202,TRUE)</f>
        <v>1.2849231966031813E-3</v>
      </c>
      <c r="T202" s="222">
        <f>_xll.qlInterpolationInterpolate(basis6Minterpolation,R202,TRUE)</f>
        <v>2.5413336168046701E-3</v>
      </c>
    </row>
    <row r="203" spans="18:20" x14ac:dyDescent="0.2">
      <c r="R203" s="429">
        <f>_xll.qlCalendarAdvance(Calendar,R202,"1D","f")</f>
        <v>42285</v>
      </c>
      <c r="S203" s="430">
        <f>_xll.qlInterpolationInterpolate(delta6Minterpolation,R203,TRUE)</f>
        <v>1.2853632210445864E-3</v>
      </c>
      <c r="T203" s="222">
        <f>_xll.qlInterpolationInterpolate(basis6Minterpolation,R203,TRUE)</f>
        <v>2.5421179678563675E-3</v>
      </c>
    </row>
    <row r="204" spans="18:20" x14ac:dyDescent="0.2">
      <c r="R204" s="429">
        <f>_xll.qlCalendarAdvance(Calendar,R203,"1D","f")</f>
        <v>42286</v>
      </c>
      <c r="S204" s="430">
        <f>_xll.qlInterpolationInterpolate(delta6Minterpolation,R204,TRUE)</f>
        <v>1.2858031986670421E-3</v>
      </c>
      <c r="T204" s="222">
        <f>_xll.qlInterpolationInterpolate(basis6Minterpolation,R204,TRUE)</f>
        <v>2.5428992035435903E-3</v>
      </c>
    </row>
    <row r="205" spans="18:20" x14ac:dyDescent="0.2">
      <c r="R205" s="429">
        <f>_xll.qlCalendarAdvance(Calendar,R204,"1D","f")</f>
        <v>42289</v>
      </c>
      <c r="S205" s="430">
        <f>_xll.qlInterpolationInterpolate(delta6Minterpolation,R205,TRUE)</f>
        <v>1.2871231139127174E-3</v>
      </c>
      <c r="T205" s="222">
        <f>_xll.qlInterpolationInterpolate(basis6Minterpolation,R205,TRUE)</f>
        <v>2.5452250687482856E-3</v>
      </c>
    </row>
    <row r="206" spans="18:20" x14ac:dyDescent="0.2">
      <c r="R206" s="429">
        <f>_xll.qlCalendarAdvance(Calendar,R205,"1D","f")</f>
        <v>42290</v>
      </c>
      <c r="S206" s="430">
        <f>_xll.qlInterpolationInterpolate(delta6Minterpolation,R206,TRUE)</f>
        <v>1.2875631675513808E-3</v>
      </c>
      <c r="T206" s="222">
        <f>_xll.qlInterpolationInterpolate(basis6Minterpolation,R206,TRUE)</f>
        <v>2.5459946933074841E-3</v>
      </c>
    </row>
    <row r="207" spans="18:20" x14ac:dyDescent="0.2">
      <c r="R207" s="429">
        <f>_xll.qlCalendarAdvance(Calendar,R206,"1D","f")</f>
        <v>42291</v>
      </c>
      <c r="S207" s="430">
        <f>_xll.qlInterpolationInterpolate(delta6Minterpolation,R207,TRUE)</f>
        <v>1.2880033060170973E-3</v>
      </c>
      <c r="T207" s="222">
        <f>_xll.qlInterpolationInterpolate(basis6Minterpolation,R207,TRUE)</f>
        <v>2.5467616276671451E-3</v>
      </c>
    </row>
    <row r="208" spans="18:20" x14ac:dyDescent="0.2">
      <c r="R208" s="429">
        <f>_xll.qlCalendarAdvance(Calendar,R207,"1D","f")</f>
        <v>42292</v>
      </c>
      <c r="S208" s="430">
        <f>_xll.qlInterpolationInterpolate(delta6Minterpolation,R208,TRUE)</f>
        <v>1.288443555639068E-3</v>
      </c>
      <c r="T208" s="222">
        <f>_xll.qlInterpolationInterpolate(basis6Minterpolation,R208,TRUE)</f>
        <v>2.5475259568602552E-3</v>
      </c>
    </row>
    <row r="209" spans="18:20" x14ac:dyDescent="0.2">
      <c r="R209" s="429">
        <f>_xll.qlCalendarAdvance(Calendar,R208,"1D","f")</f>
        <v>42293</v>
      </c>
      <c r="S209" s="430">
        <f>_xll.qlInterpolationInterpolate(delta6Minterpolation,R209,TRUE)</f>
        <v>1.2888839427464933E-3</v>
      </c>
      <c r="T209" s="222">
        <f>_xll.qlInterpolationInterpolate(basis6Minterpolation,R209,TRUE)</f>
        <v>2.5482877659198026E-3</v>
      </c>
    </row>
    <row r="210" spans="18:20" x14ac:dyDescent="0.2">
      <c r="R210" s="429">
        <f>_xll.qlCalendarAdvance(Calendar,R209,"1D","f")</f>
        <v>42296</v>
      </c>
      <c r="S210" s="430">
        <f>_xll.qlInterpolationInterpolate(delta6Minterpolation,R210,TRUE)</f>
        <v>1.2902061922735017E-3</v>
      </c>
      <c r="T210" s="222">
        <f>_xll.qlInterpolationInterpolate(basis6Minterpolation,R210,TRUE)</f>
        <v>2.5505589226269406E-3</v>
      </c>
    </row>
    <row r="211" spans="18:20" x14ac:dyDescent="0.2">
      <c r="R211" s="429">
        <f>_xll.qlCalendarAdvance(Calendar,R210,"1D","f")</f>
        <v>42297</v>
      </c>
      <c r="S211" s="430">
        <f>_xll.qlInterpolationInterpolate(delta6Minterpolation,R211,TRUE)</f>
        <v>1.2906473926147508E-3</v>
      </c>
      <c r="T211" s="222">
        <f>_xll.qlInterpolationInterpolate(basis6Minterpolation,R211,TRUE)</f>
        <v>2.5513115014821094E-3</v>
      </c>
    </row>
    <row r="212" spans="18:20" x14ac:dyDescent="0.2">
      <c r="R212" s="429">
        <f>_xll.qlCalendarAdvance(Calendar,R211,"1D","f")</f>
        <v>42298</v>
      </c>
      <c r="S212" s="430">
        <f>_xll.qlInterpolationInterpolate(delta6Minterpolation,R212,TRUE)</f>
        <v>1.2910888620874573E-3</v>
      </c>
      <c r="T212" s="222">
        <f>_xll.qlInterpolationInterpolate(basis6Minterpolation,R212,TRUE)</f>
        <v>2.5520619853686526E-3</v>
      </c>
    </row>
    <row r="213" spans="18:20" x14ac:dyDescent="0.2">
      <c r="R213" s="429">
        <f>_xll.qlCalendarAdvance(Calendar,R212,"1D","f")</f>
        <v>42299</v>
      </c>
      <c r="S213" s="430">
        <f>_xll.qlInterpolationInterpolate(delta6Minterpolation,R213,TRUE)</f>
        <v>1.2915306270208219E-3</v>
      </c>
      <c r="T213" s="222">
        <f>_xll.qlInterpolationInterpolate(basis6Minterpolation,R213,TRUE)</f>
        <v>2.5528104593195568E-3</v>
      </c>
    </row>
    <row r="214" spans="18:20" x14ac:dyDescent="0.2">
      <c r="R214" s="429">
        <f>_xll.qlCalendarAdvance(Calendar,R213,"1D","f")</f>
        <v>42300</v>
      </c>
      <c r="S214" s="430">
        <f>_xll.qlInterpolationInterpolate(delta6Minterpolation,R214,TRUE)</f>
        <v>1.2919727137440452E-3</v>
      </c>
      <c r="T214" s="222">
        <f>_xll.qlInterpolationInterpolate(basis6Minterpolation,R214,TRUE)</f>
        <v>2.5535570083678096E-3</v>
      </c>
    </row>
    <row r="215" spans="18:20" x14ac:dyDescent="0.2">
      <c r="R215" s="429">
        <f>_xll.qlCalendarAdvance(Calendar,R214,"1D","f")</f>
        <v>42303</v>
      </c>
      <c r="S215" s="430">
        <f>_xll.qlInterpolationInterpolate(delta6Minterpolation,R215,TRUE)</f>
        <v>1.2933011679448719E-3</v>
      </c>
      <c r="T215" s="222">
        <f>_xll.qlInterpolationInterpolate(basis6Minterpolation,R215,TRUE)</f>
        <v>2.5557859564265331E-3</v>
      </c>
    </row>
    <row r="216" spans="18:20" x14ac:dyDescent="0.2">
      <c r="R216" s="429">
        <f>_xll.qlCalendarAdvance(Calendar,R215,"1D","f")</f>
        <v>42304</v>
      </c>
      <c r="S216" s="430">
        <f>_xll.qlInterpolationInterpolate(delta6Minterpolation,R216,TRUE)</f>
        <v>1.2937448051195354E-3</v>
      </c>
      <c r="T216" s="222">
        <f>_xll.qlInterpolationInterpolate(basis6Minterpolation,R216,TRUE)</f>
        <v>2.556525656194054E-3</v>
      </c>
    </row>
    <row r="217" spans="18:20" x14ac:dyDescent="0.2">
      <c r="R217" s="429">
        <f>_xll.qlCalendarAdvance(Calendar,R216,"1D","f")</f>
        <v>42305</v>
      </c>
      <c r="S217" s="430">
        <f>_xll.qlInterpolationInterpolate(delta6Minterpolation,R217,TRUE)</f>
        <v>1.2941888957300602E-3</v>
      </c>
      <c r="T217" s="222">
        <f>_xll.qlInterpolationInterpolate(basis6Minterpolation,R217,TRUE)</f>
        <v>2.5572638562238606E-3</v>
      </c>
    </row>
    <row r="218" spans="18:20" x14ac:dyDescent="0.2">
      <c r="R218" s="429">
        <f>_xll.qlCalendarAdvance(Calendar,R217,"1D","f")</f>
        <v>42306</v>
      </c>
      <c r="S218" s="430">
        <f>_xll.qlInterpolationInterpolate(delta6Minterpolation,R218,TRUE)</f>
        <v>1.2946334661056472E-3</v>
      </c>
      <c r="T218" s="222">
        <f>_xll.qlInterpolationInterpolate(basis6Minterpolation,R218,TRUE)</f>
        <v>2.5580006415489398E-3</v>
      </c>
    </row>
    <row r="219" spans="18:20" x14ac:dyDescent="0.2">
      <c r="R219" s="429">
        <f>_xll.qlCalendarAdvance(Calendar,R218,"1D","f")</f>
        <v>42307</v>
      </c>
      <c r="S219" s="430">
        <f>_xll.qlInterpolationInterpolate(delta6Minterpolation,R219,TRUE)</f>
        <v>1.2950785425754968E-3</v>
      </c>
      <c r="T219" s="222">
        <f>_xll.qlInterpolationInterpolate(basis6Minterpolation,R219,TRUE)</f>
        <v>2.558736097202279E-3</v>
      </c>
    </row>
    <row r="220" spans="18:20" x14ac:dyDescent="0.2">
      <c r="R220" s="429">
        <f>_xll.qlCalendarAdvance(Calendar,R219,"1D","f")</f>
        <v>42310</v>
      </c>
      <c r="S220" s="430">
        <f>_xll.qlInterpolationInterpolate(delta6Minterpolation,R220,TRUE)</f>
        <v>1.2964170718426273E-3</v>
      </c>
      <c r="T220" s="222">
        <f>_xll.qlInterpolationInterpolate(basis6Minterpolation,R220,TRUE)</f>
        <v>2.560935336461732E-3</v>
      </c>
    </row>
    <row r="221" spans="18:20" x14ac:dyDescent="0.2">
      <c r="R221" s="429">
        <f>_xll.qlCalendarAdvance(Calendar,R220,"1D","f")</f>
        <v>42311</v>
      </c>
      <c r="S221" s="430">
        <f>_xll.qlInterpolationInterpolate(delta6Minterpolation,R221,TRUE)</f>
        <v>1.2968644359815334E-3</v>
      </c>
      <c r="T221" s="222">
        <f>_xll.qlInterpolationInterpolate(basis6Minterpolation,R221,TRUE)</f>
        <v>2.5616663237579859E-3</v>
      </c>
    </row>
    <row r="222" spans="18:20" x14ac:dyDescent="0.2">
      <c r="R222" s="429">
        <f>_xll.qlCalendarAdvance(Calendar,R221,"1D","f")</f>
        <v>42312</v>
      </c>
      <c r="S222" s="430">
        <f>_xll.qlInterpolationInterpolate(delta6Minterpolation,R222,TRUE)</f>
        <v>1.2973124378607051E-3</v>
      </c>
      <c r="T222" s="222">
        <f>_xll.qlInterpolationInterpolate(basis6Minterpolation,R222,TRUE)</f>
        <v>2.5623964065474365E-3</v>
      </c>
    </row>
    <row r="223" spans="18:20" x14ac:dyDescent="0.2">
      <c r="R223" s="429">
        <f>_xll.qlCalendarAdvance(Calendar,R222,"1D","f")</f>
        <v>42313</v>
      </c>
      <c r="S223" s="430">
        <f>_xll.qlInterpolationInterpolate(delta6Minterpolation,R223,TRUE)</f>
        <v>1.2977611038093428E-3</v>
      </c>
      <c r="T223" s="222">
        <f>_xll.qlInterpolationInterpolate(basis6Minterpolation,R223,TRUE)</f>
        <v>2.563125669863072E-3</v>
      </c>
    </row>
    <row r="224" spans="18:20" x14ac:dyDescent="0.2">
      <c r="R224" s="429">
        <f>_xll.qlCalendarAdvance(Calendar,R223,"1D","f")</f>
        <v>42314</v>
      </c>
      <c r="S224" s="430">
        <f>_xll.qlInterpolationInterpolate(delta6Minterpolation,R224,TRUE)</f>
        <v>1.2982104601566473E-3</v>
      </c>
      <c r="T224" s="222">
        <f>_xll.qlInterpolationInterpolate(basis6Minterpolation,R224,TRUE)</f>
        <v>2.563854198737879E-3</v>
      </c>
    </row>
    <row r="225" spans="18:20" x14ac:dyDescent="0.2">
      <c r="R225" s="429">
        <f>_xll.qlCalendarAdvance(Calendar,R224,"1D","f")</f>
        <v>42317</v>
      </c>
      <c r="S225" s="430">
        <f>_xll.qlInterpolationInterpolate(delta6Minterpolation,R225,TRUE)</f>
        <v>1.2995629348825667E-3</v>
      </c>
      <c r="T225" s="222">
        <f>_xll.qlInterpolationInterpolate(basis6Minterpolation,R225,TRUE)</f>
        <v>2.5660362290472047E-3</v>
      </c>
    </row>
    <row r="226" spans="18:20" x14ac:dyDescent="0.2">
      <c r="R226" s="429">
        <f>_xll.qlCalendarAdvance(Calendar,R225,"1D","f")</f>
        <v>42318</v>
      </c>
      <c r="S226" s="430">
        <f>_xll.qlInterpolationInterpolate(delta6Minterpolation,R226,TRUE)</f>
        <v>1.300015316116544E-3</v>
      </c>
      <c r="T226" s="222">
        <f>_xll.qlInterpolationInterpolate(basis6Minterpolation,R226,TRUE)</f>
        <v>2.5667626704885724E-3</v>
      </c>
    </row>
    <row r="227" spans="18:20" x14ac:dyDescent="0.2">
      <c r="R227" s="429">
        <f>_xll.qlCalendarAdvance(Calendar,R226,"1D","f")</f>
        <v>42319</v>
      </c>
      <c r="S227" s="430">
        <f>_xll.qlInterpolationInterpolate(delta6Minterpolation,R227,TRUE)</f>
        <v>1.3004685193951909E-3</v>
      </c>
      <c r="T227" s="222">
        <f>_xll.qlInterpolationInterpolate(basis6Minterpolation,R227,TRUE)</f>
        <v>2.5674888026540488E-3</v>
      </c>
    </row>
    <row r="228" spans="18:20" x14ac:dyDescent="0.2">
      <c r="R228" s="429">
        <f>_xll.qlCalendarAdvance(Calendar,R227,"1D","f")</f>
        <v>42320</v>
      </c>
      <c r="S228" s="430">
        <f>_xll.qlInterpolationInterpolate(delta6Minterpolation,R228,TRUE)</f>
        <v>1.3009225710477077E-3</v>
      </c>
      <c r="T228" s="222">
        <f>_xll.qlInterpolationInterpolate(basis6Minterpolation,R228,TRUE)</f>
        <v>2.5682147105766211E-3</v>
      </c>
    </row>
    <row r="229" spans="18:20" x14ac:dyDescent="0.2">
      <c r="R229" s="429">
        <f>_xll.qlCalendarAdvance(Calendar,R228,"1D","f")</f>
        <v>42321</v>
      </c>
      <c r="S229" s="430">
        <f>_xll.qlInterpolationInterpolate(delta6Minterpolation,R229,TRUE)</f>
        <v>1.3013774974032955E-3</v>
      </c>
      <c r="T229" s="222">
        <f>_xll.qlInterpolationInterpolate(basis6Minterpolation,R229,TRUE)</f>
        <v>2.5689404792892771E-3</v>
      </c>
    </row>
    <row r="230" spans="18:20" x14ac:dyDescent="0.2">
      <c r="R230" s="429">
        <f>_xll.qlCalendarAdvance(Calendar,R229,"1D","f")</f>
        <v>42324</v>
      </c>
      <c r="S230" s="430">
        <f>_xll.qlInterpolationInterpolate(delta6Minterpolation,R230,TRUE)</f>
        <v>1.3027477879804894E-3</v>
      </c>
      <c r="T230" s="222">
        <f>_xll.qlInterpolationInterpolate(basis6Minterpolation,R230,TRUE)</f>
        <v>2.5711178004976186E-3</v>
      </c>
    </row>
    <row r="231" spans="18:20" x14ac:dyDescent="0.2">
      <c r="R231" s="429">
        <f>_xll.qlCalendarAdvance(Calendar,R230,"1D","f")</f>
        <v>42325</v>
      </c>
      <c r="S231" s="430">
        <f>_xll.qlInterpolationInterpolate(delta6Minterpolation,R231,TRUE)</f>
        <v>1.303206476440366E-3</v>
      </c>
      <c r="T231" s="222">
        <f>_xll.qlInterpolationInterpolate(basis6Minterpolation,R231,TRUE)</f>
        <v>2.5718438627004817E-3</v>
      </c>
    </row>
    <row r="232" spans="18:20" x14ac:dyDescent="0.2">
      <c r="R232" s="429">
        <f>_xll.qlCalendarAdvance(Calendar,R231,"1D","f")</f>
        <v>42326</v>
      </c>
      <c r="S232" s="430">
        <f>_xll.qlInterpolationInterpolate(delta6Minterpolation,R232,TRUE)</f>
        <v>1.3036661712493166E-3</v>
      </c>
      <c r="T232" s="222">
        <f>_xll.qlInterpolationInterpolate(basis6Minterpolation,R232,TRUE)</f>
        <v>2.5725702108583648E-3</v>
      </c>
    </row>
    <row r="233" spans="18:20" x14ac:dyDescent="0.2">
      <c r="R233" s="429">
        <f>_xll.qlCalendarAdvance(Calendar,R232,"1D","f")</f>
        <v>42327</v>
      </c>
      <c r="S233" s="430">
        <f>_xll.qlInterpolationInterpolate(delta6Minterpolation,R233,TRUE)</f>
        <v>1.3041268987365412E-3</v>
      </c>
      <c r="T233" s="222">
        <f>_xll.qlInterpolationInterpolate(basis6Minterpolation,R233,TRUE)</f>
        <v>2.5732969300042556E-3</v>
      </c>
    </row>
    <row r="234" spans="18:20" x14ac:dyDescent="0.2">
      <c r="R234" s="429">
        <f>_xll.qlCalendarAdvance(Calendar,R233,"1D","f")</f>
        <v>42328</v>
      </c>
      <c r="S234" s="430">
        <f>_xll.qlInterpolationInterpolate(delta6Minterpolation,R234,TRUE)</f>
        <v>1.3045886852312406E-3</v>
      </c>
      <c r="T234" s="222">
        <f>_xll.qlInterpolationInterpolate(basis6Minterpolation,R234,TRUE)</f>
        <v>2.5740241051711412E-3</v>
      </c>
    </row>
    <row r="235" spans="18:20" x14ac:dyDescent="0.2">
      <c r="R235" s="429">
        <f>_xll.qlCalendarAdvance(Calendar,R234,"1D","f")</f>
        <v>42331</v>
      </c>
      <c r="S235" s="430">
        <f>_xll.qlInterpolationInterpolate(delta6Minterpolation,R235,TRUE)</f>
        <v>1.3059806620521941E-3</v>
      </c>
      <c r="T235" s="222">
        <f>_xll.qlInterpolationInterpolate(basis6Minterpolation,R235,TRUE)</f>
        <v>2.5762092171276417E-3</v>
      </c>
    </row>
    <row r="236" spans="18:20" x14ac:dyDescent="0.2">
      <c r="R236" s="429">
        <f>_xll.qlCalendarAdvance(Calendar,R235,"1D","f")</f>
        <v>42332</v>
      </c>
      <c r="S236" s="430">
        <f>_xll.qlInterpolationInterpolate(delta6Minterpolation,R236,TRUE)</f>
        <v>1.3064469478687988E-3</v>
      </c>
      <c r="T236" s="222">
        <f>_xll.qlInterpolationInterpolate(basis6Minterpolation,R236,TRUE)</f>
        <v>2.5769390667083809E-3</v>
      </c>
    </row>
    <row r="237" spans="18:20" x14ac:dyDescent="0.2">
      <c r="R237" s="429">
        <f>_xll.qlCalendarAdvance(Calendar,R236,"1D","f")</f>
        <v>42333</v>
      </c>
      <c r="S237" s="430">
        <f>_xll.qlInterpolationInterpolate(delta6Minterpolation,R237,TRUE)</f>
        <v>1.3069144243388813E-3</v>
      </c>
      <c r="T237" s="222">
        <f>_xll.qlInterpolationInterpolate(basis6Minterpolation,R237,TRUE)</f>
        <v>2.577669797475052E-3</v>
      </c>
    </row>
    <row r="238" spans="18:20" x14ac:dyDescent="0.2">
      <c r="R238" s="429">
        <f>_xll.qlCalendarAdvance(Calendar,R237,"1D","f")</f>
        <v>42334</v>
      </c>
      <c r="S238" s="430">
        <f>_xll.qlInterpolationInterpolate(delta6Minterpolation,R238,TRUE)</f>
        <v>1.307383117791642E-3</v>
      </c>
      <c r="T238" s="222">
        <f>_xll.qlInterpolationInterpolate(basis6Minterpolation,R238,TRUE)</f>
        <v>2.5784014944606423E-3</v>
      </c>
    </row>
    <row r="239" spans="18:20" x14ac:dyDescent="0.2">
      <c r="R239" s="429">
        <f>_xll.qlCalendarAdvance(Calendar,R238,"1D","f")</f>
        <v>42335</v>
      </c>
      <c r="S239" s="430">
        <f>_xll.qlInterpolationInterpolate(delta6Minterpolation,R239,TRUE)</f>
        <v>1.3078530545562817E-3</v>
      </c>
      <c r="T239" s="222">
        <f>_xll.qlInterpolationInterpolate(basis6Minterpolation,R239,TRUE)</f>
        <v>2.5791342426981392E-3</v>
      </c>
    </row>
    <row r="240" spans="18:20" x14ac:dyDescent="0.2">
      <c r="R240" s="429">
        <f>_xll.qlCalendarAdvance(Calendar,R239,"1D","f")</f>
        <v>42338</v>
      </c>
      <c r="S240" s="430">
        <f>_xll.qlInterpolationInterpolate(delta6Minterpolation,R240,TRUE)</f>
        <v>1.3092705880134801E-3</v>
      </c>
      <c r="T240" s="222">
        <f>_xll.qlInterpolationInterpolate(basis6Minterpolation,R240,TRUE)</f>
        <v>2.5813396452519424E-3</v>
      </c>
    </row>
    <row r="241" spans="18:20" x14ac:dyDescent="0.2">
      <c r="R241" s="429">
        <f>_xll.qlCalendarAdvance(Calendar,R240,"1D","f")</f>
        <v>42339</v>
      </c>
      <c r="S241" s="430">
        <f>_xll.qlInterpolationInterpolate(delta6Minterpolation,R241,TRUE)</f>
        <v>1.3097457613176411E-3</v>
      </c>
      <c r="T241" s="222">
        <f>_xll.qlInterpolationInterpolate(basis6Minterpolation,R241,TRUE)</f>
        <v>2.5820774488269391E-3</v>
      </c>
    </row>
    <row r="242" spans="18:20" x14ac:dyDescent="0.2">
      <c r="R242" s="429">
        <f>_xll.qlCalendarAdvance(Calendar,R241,"1D","f")</f>
        <v>42340</v>
      </c>
      <c r="S242" s="430">
        <f>_xll.qlInterpolationInterpolate(delta6Minterpolation,R242,TRUE)</f>
        <v>1.3102223095796841E-3</v>
      </c>
      <c r="T242" s="222">
        <f>_xll.qlInterpolationInterpolate(basis6Minterpolation,R242,TRUE)</f>
        <v>2.5828167288187791E-3</v>
      </c>
    </row>
    <row r="243" spans="18:20" x14ac:dyDescent="0.2">
      <c r="R243" s="429">
        <f>_xll.qlCalendarAdvance(Calendar,R242,"1D","f")</f>
        <v>42341</v>
      </c>
      <c r="S243" s="430">
        <f>_xll.qlInterpolationInterpolate(delta6Minterpolation,R243,TRUE)</f>
        <v>1.3107002591288095E-3</v>
      </c>
      <c r="T243" s="222">
        <f>_xll.qlInterpolationInterpolate(basis6Minterpolation,R243,TRUE)</f>
        <v>2.5835575702604498E-3</v>
      </c>
    </row>
    <row r="244" spans="18:20" x14ac:dyDescent="0.2">
      <c r="R244" s="429">
        <f>_xll.qlCalendarAdvance(Calendar,R243,"1D","f")</f>
        <v>42342</v>
      </c>
      <c r="S244" s="430">
        <f>_xll.qlInterpolationInterpolate(delta6Minterpolation,R244,TRUE)</f>
        <v>1.3111796362942176E-3</v>
      </c>
      <c r="T244" s="222">
        <f>_xll.qlInterpolationInterpolate(basis6Minterpolation,R244,TRUE)</f>
        <v>2.5843000581849385E-3</v>
      </c>
    </row>
    <row r="245" spans="18:20" x14ac:dyDescent="0.2">
      <c r="R245" s="429">
        <f>_xll.qlCalendarAdvance(Calendar,R244,"1D","f")</f>
        <v>42345</v>
      </c>
      <c r="S245" s="430">
        <f>_xll.qlInterpolationInterpolate(delta6Minterpolation,R245,TRUE)</f>
        <v>1.312626596780146E-3</v>
      </c>
      <c r="T245" s="222">
        <f>_xll.qlInterpolationInterpolate(basis6Minterpolation,R245,TRUE)</f>
        <v>2.5865382511851879E-3</v>
      </c>
    </row>
    <row r="246" spans="18:20" x14ac:dyDescent="0.2">
      <c r="R246" s="429">
        <f>_xll.qlCalendarAdvance(Calendar,R245,"1D","f")</f>
        <v>42346</v>
      </c>
      <c r="S246" s="430">
        <f>_xll.qlInterpolationInterpolate(delta6Minterpolation,R246,TRUE)</f>
        <v>1.3131119477026922E-3</v>
      </c>
      <c r="T246" s="222">
        <f>_xll.qlInterpolationInterpolate(basis6Minterpolation,R246,TRUE)</f>
        <v>2.587288175370823E-3</v>
      </c>
    </row>
    <row r="247" spans="18:20" x14ac:dyDescent="0.2">
      <c r="R247" s="429">
        <f>_xll.qlCalendarAdvance(Calendar,R246,"1D","f")</f>
        <v>42347</v>
      </c>
      <c r="S247" s="430">
        <f>_xll.qlInterpolationInterpolate(delta6Minterpolation,R247,TRUE)</f>
        <v>1.3135988578875238E-3</v>
      </c>
      <c r="T247" s="222">
        <f>_xll.qlInterpolationInterpolate(basis6Minterpolation,R247,TRUE)</f>
        <v>2.5880401712042129E-3</v>
      </c>
    </row>
    <row r="248" spans="18:20" x14ac:dyDescent="0.2">
      <c r="R248" s="429">
        <f>_xll.qlCalendarAdvance(Calendar,R247,"1D","f")</f>
        <v>42348</v>
      </c>
      <c r="S248" s="430">
        <f>_xll.qlInterpolationInterpolate(delta6Minterpolation,R248,TRUE)</f>
        <v>1.3140873536638422E-3</v>
      </c>
      <c r="T248" s="222">
        <f>_xll.qlInterpolationInterpolate(basis6Minterpolation,R248,TRUE)</f>
        <v>2.5887943237183453E-3</v>
      </c>
    </row>
    <row r="249" spans="18:20" x14ac:dyDescent="0.2">
      <c r="R249" s="429">
        <f>_xll.qlCalendarAdvance(Calendar,R248,"1D","f")</f>
        <v>42349</v>
      </c>
      <c r="S249" s="430">
        <f>_xll.qlInterpolationInterpolate(delta6Minterpolation,R249,TRUE)</f>
        <v>1.3145774613608475E-3</v>
      </c>
      <c r="T249" s="222">
        <f>_xll.qlInterpolationInterpolate(basis6Minterpolation,R249,TRUE)</f>
        <v>2.5895507179462076E-3</v>
      </c>
    </row>
    <row r="250" spans="18:20" x14ac:dyDescent="0.2">
      <c r="R250" s="429">
        <f>_xll.qlCalendarAdvance(Calendar,R249,"1D","f")</f>
        <v>42352</v>
      </c>
      <c r="S250" s="430">
        <f>_xll.qlInterpolationInterpolate(delta6Minterpolation,R250,TRUE)</f>
        <v>1.3160577192679916E-3</v>
      </c>
      <c r="T250" s="222">
        <f>_xll.qlInterpolationInterpolate(basis6Minterpolation,R250,TRUE)</f>
        <v>2.5918342012420459E-3</v>
      </c>
    </row>
    <row r="251" spans="18:20" x14ac:dyDescent="0.2">
      <c r="R251" s="429">
        <f>_xll.qlCalendarAdvance(Calendar,R250,"1D","f")</f>
        <v>42353</v>
      </c>
      <c r="S251" s="430">
        <f>_xll.qlInterpolationInterpolate(delta6Minterpolation,R251,TRUE)</f>
        <v>1.3165545379397506E-3</v>
      </c>
      <c r="T251" s="222">
        <f>_xll.qlInterpolationInterpolate(basis6Minterpolation,R251,TRUE)</f>
        <v>2.5926004126547008E-3</v>
      </c>
    </row>
    <row r="252" spans="18:20" x14ac:dyDescent="0.2">
      <c r="R252" s="429">
        <f>_xll.qlCalendarAdvance(Calendar,R251,"1D","f")</f>
        <v>42354</v>
      </c>
      <c r="S252" s="430">
        <f>_xll.qlInterpolationInterpolate(delta6Minterpolation,R252,TRUE)</f>
        <v>1.3170531001781998E-3</v>
      </c>
      <c r="T252" s="222">
        <f>_xll.qlInterpolationInterpolate(basis6Minterpolation,R252,TRUE)</f>
        <v>2.5933692909460219E-3</v>
      </c>
    </row>
    <row r="253" spans="18:20" x14ac:dyDescent="0.2">
      <c r="R253" s="429">
        <f>_xll.qlCalendarAdvance(Calendar,R252,"1D","f")</f>
        <v>42355</v>
      </c>
      <c r="S253" s="430">
        <f>_xll.qlInterpolationInterpolate(delta6Minterpolation,R253,TRUE)</f>
        <v>1.3175534323125395E-3</v>
      </c>
      <c r="T253" s="222">
        <f>_xll.qlInterpolationInterpolate(basis6Minterpolation,R253,TRUE)</f>
        <v>2.5941409211489973E-3</v>
      </c>
    </row>
    <row r="254" spans="18:20" x14ac:dyDescent="0.2">
      <c r="R254" s="429">
        <f>_xll.qlCalendarAdvance(Calendar,R253,"1D","f")</f>
        <v>42356</v>
      </c>
      <c r="S254" s="430">
        <f>_xll.qlInterpolationInterpolate(delta6Minterpolation,R254,TRUE)</f>
        <v>1.3180555606719703E-3</v>
      </c>
      <c r="T254" s="222">
        <f>_xll.qlInterpolationInterpolate(basis6Minterpolation,R254,TRUE)</f>
        <v>2.5949153882966138E-3</v>
      </c>
    </row>
    <row r="255" spans="18:20" x14ac:dyDescent="0.2">
      <c r="R255" s="429">
        <f>_xll.qlCalendarAdvance(Calendar,R254,"1D","f")</f>
        <v>42359</v>
      </c>
      <c r="S255" s="430">
        <f>_xll.qlInterpolationInterpolate(delta6Minterpolation,R255,TRUE)</f>
        <v>1.3195729863928151E-3</v>
      </c>
      <c r="T255" s="222">
        <f>_xll.qlInterpolationInterpolate(basis6Minterpolation,R255,TRUE)</f>
        <v>2.5972566617371846E-3</v>
      </c>
    </row>
    <row r="256" spans="18:20" x14ac:dyDescent="0.2">
      <c r="R256" s="429">
        <f>_xll.qlCalendarAdvance(Calendar,R255,"1D","f")</f>
        <v>42360</v>
      </c>
      <c r="S256" s="430">
        <f>_xll.qlInterpolationInterpolate(delta6Minterpolation,R256,TRUE)</f>
        <v>1.320082562944616E-3</v>
      </c>
      <c r="T256" s="222">
        <f>_xll.qlInterpolationInterpolate(basis6Minterpolation,R256,TRUE)</f>
        <v>2.5980433269932402E-3</v>
      </c>
    </row>
    <row r="257" spans="18:20" x14ac:dyDescent="0.2">
      <c r="R257" s="429">
        <f>_xll.qlCalendarAdvance(Calendar,R256,"1D","f")</f>
        <v>42361</v>
      </c>
      <c r="S257" s="430">
        <f>_xll.qlInterpolationInterpolate(delta6Minterpolation,R257,TRUE)</f>
        <v>1.3205940673675109E-3</v>
      </c>
      <c r="T257" s="222">
        <f>_xll.qlInterpolationInterpolate(basis6Minterpolation,R257,TRUE)</f>
        <v>2.5988332543588739E-3</v>
      </c>
    </row>
    <row r="258" spans="18:20" x14ac:dyDescent="0.2">
      <c r="R258" s="429">
        <f>_xll.qlCalendarAdvance(Calendar,R257,"1D","f")</f>
        <v>42362</v>
      </c>
      <c r="S258" s="430">
        <f>_xll.qlInterpolationInterpolate(delta6Minterpolation,R258,TRUE)</f>
        <v>1.3211075259907004E-3</v>
      </c>
      <c r="T258" s="222">
        <f>_xll.qlInterpolationInterpolate(basis6Minterpolation,R258,TRUE)</f>
        <v>2.5996265288670728E-3</v>
      </c>
    </row>
    <row r="259" spans="18:20" x14ac:dyDescent="0.2">
      <c r="R259" s="429">
        <f>_xll.qlCalendarAdvance(Calendar,R258,"1D","f")</f>
        <v>42366</v>
      </c>
      <c r="S259" s="430">
        <f>_xll.qlInterpolationInterpolate(delta6Minterpolation,R259,TRUE)</f>
        <v>1.3231810327849105E-3</v>
      </c>
      <c r="T259" s="222">
        <f>_xll.qlInterpolationInterpolate(basis6Minterpolation,R259,TRUE)</f>
        <v>2.6028336919127915E-3</v>
      </c>
    </row>
    <row r="260" spans="18:20" x14ac:dyDescent="0.2">
      <c r="R260" s="429">
        <f>_xll.qlCalendarAdvance(Calendar,R259,"1D","f")</f>
        <v>42367</v>
      </c>
      <c r="S260" s="430">
        <f>_xll.qlInterpolationInterpolate(delta6Minterpolation,R260,TRUE)</f>
        <v>1.3237042796379593E-3</v>
      </c>
      <c r="T260" s="222">
        <f>_xll.qlInterpolationInterpolate(basis6Minterpolation,R260,TRUE)</f>
        <v>2.6036439224501706E-3</v>
      </c>
    </row>
    <row r="261" spans="18:20" x14ac:dyDescent="0.2">
      <c r="R261" s="429">
        <f>_xll.qlCalendarAdvance(Calendar,R260,"1D","f")</f>
        <v>42368</v>
      </c>
      <c r="S261" s="430">
        <f>_xll.qlInterpolationInterpolate(delta6Minterpolation,R261,TRUE)</f>
        <v>1.3242294529076755E-3</v>
      </c>
      <c r="T261" s="222">
        <f>_xll.qlInterpolationInterpolate(basis6Minterpolation,R261,TRUE)</f>
        <v>2.6044574913878147E-3</v>
      </c>
    </row>
    <row r="262" spans="18:20" ht="12" thickBot="1" x14ac:dyDescent="0.25">
      <c r="R262" s="429">
        <f>_xll.qlCalendarAdvance(Calendar,R261,"1D","f")</f>
        <v>42369</v>
      </c>
      <c r="S262" s="430">
        <f>_xll.qlInterpolationInterpolate(delta6Minterpolation,R262,TRUE)</f>
        <v>1.3247565417714936E-3</v>
      </c>
      <c r="T262" s="222">
        <f>_xll.qlInterpolationInterpolate(basis6Minterpolation,R262,TRUE)</f>
        <v>2.6052743799706655E-3</v>
      </c>
    </row>
    <row r="263" spans="18:20" x14ac:dyDescent="0.2">
      <c r="R263" s="455"/>
      <c r="S263" s="461"/>
      <c r="T263" s="457"/>
    </row>
    <row r="264" spans="18:20" x14ac:dyDescent="0.2">
      <c r="R264" s="458"/>
      <c r="S264" s="462"/>
      <c r="T264" s="460"/>
    </row>
    <row r="265" spans="18:20" x14ac:dyDescent="0.2">
      <c r="R265" s="458"/>
      <c r="S265" s="462"/>
      <c r="T265" s="460"/>
    </row>
    <row r="266" spans="18:20" x14ac:dyDescent="0.2">
      <c r="R266" s="458"/>
      <c r="S266" s="462"/>
      <c r="T266" s="460"/>
    </row>
    <row r="267" spans="18:20" x14ac:dyDescent="0.2">
      <c r="R267" s="458"/>
      <c r="S267" s="462"/>
      <c r="T267" s="460"/>
    </row>
    <row r="268" spans="18:20" x14ac:dyDescent="0.2">
      <c r="R268" s="458"/>
      <c r="S268" s="462"/>
      <c r="T268" s="460"/>
    </row>
    <row r="269" spans="18:20" x14ac:dyDescent="0.2">
      <c r="R269" s="458"/>
      <c r="S269" s="462"/>
      <c r="T269" s="460"/>
    </row>
    <row r="270" spans="18:20" x14ac:dyDescent="0.2">
      <c r="R270" s="458"/>
      <c r="S270" s="462"/>
      <c r="T270" s="460"/>
    </row>
    <row r="271" spans="18:20" x14ac:dyDescent="0.2">
      <c r="R271" s="458"/>
      <c r="S271" s="462"/>
      <c r="T271" s="460"/>
    </row>
    <row r="272" spans="18:20" x14ac:dyDescent="0.2">
      <c r="R272" s="458"/>
      <c r="S272" s="462"/>
      <c r="T272" s="460"/>
    </row>
    <row r="273" spans="18:20" x14ac:dyDescent="0.2">
      <c r="R273" s="458"/>
      <c r="S273" s="462"/>
      <c r="T273" s="460"/>
    </row>
    <row r="274" spans="18:20" x14ac:dyDescent="0.2">
      <c r="R274" s="458"/>
      <c r="S274" s="462"/>
      <c r="T274" s="460"/>
    </row>
    <row r="275" spans="18:20" x14ac:dyDescent="0.2">
      <c r="R275" s="458"/>
      <c r="S275" s="462"/>
      <c r="T275" s="460"/>
    </row>
    <row r="276" spans="18:20" x14ac:dyDescent="0.2">
      <c r="R276" s="458"/>
      <c r="S276" s="462"/>
      <c r="T276" s="460"/>
    </row>
    <row r="277" spans="18:20" x14ac:dyDescent="0.2">
      <c r="R277" s="458"/>
      <c r="S277" s="462"/>
      <c r="T277" s="460"/>
    </row>
    <row r="278" spans="18:20" x14ac:dyDescent="0.2">
      <c r="R278" s="458"/>
      <c r="S278" s="462"/>
      <c r="T278" s="460"/>
    </row>
    <row r="279" spans="18:20" x14ac:dyDescent="0.2">
      <c r="R279" s="458"/>
      <c r="S279" s="462"/>
      <c r="T279" s="460"/>
    </row>
    <row r="280" spans="18:20" x14ac:dyDescent="0.2">
      <c r="R280" s="458"/>
      <c r="S280" s="462"/>
      <c r="T280" s="460"/>
    </row>
    <row r="281" spans="18:20" x14ac:dyDescent="0.2">
      <c r="R281" s="458"/>
      <c r="S281" s="462"/>
      <c r="T281" s="460"/>
    </row>
    <row r="282" spans="18:20" x14ac:dyDescent="0.2">
      <c r="R282" s="458"/>
      <c r="S282" s="462"/>
      <c r="T282" s="460"/>
    </row>
    <row r="283" spans="18:20" x14ac:dyDescent="0.2">
      <c r="R283" s="458"/>
      <c r="S283" s="462"/>
      <c r="T283" s="460"/>
    </row>
    <row r="284" spans="18:20" x14ac:dyDescent="0.2">
      <c r="R284" s="458"/>
      <c r="S284" s="462"/>
      <c r="T284" s="460"/>
    </row>
    <row r="285" spans="18:20" x14ac:dyDescent="0.2">
      <c r="R285" s="458"/>
      <c r="S285" s="462"/>
      <c r="T285" s="460"/>
    </row>
    <row r="286" spans="18:20" x14ac:dyDescent="0.2">
      <c r="R286" s="458"/>
      <c r="S286" s="462"/>
      <c r="T286" s="460"/>
    </row>
    <row r="287" spans="18:20" x14ac:dyDescent="0.2">
      <c r="R287" s="458"/>
      <c r="S287" s="462"/>
      <c r="T287" s="460"/>
    </row>
    <row r="288" spans="18:20" x14ac:dyDescent="0.2">
      <c r="R288" s="458"/>
      <c r="S288" s="462"/>
      <c r="T288" s="460"/>
    </row>
    <row r="289" spans="18:20" x14ac:dyDescent="0.2">
      <c r="R289" s="458"/>
      <c r="S289" s="462"/>
      <c r="T289" s="460"/>
    </row>
    <row r="290" spans="18:20" x14ac:dyDescent="0.2">
      <c r="R290" s="458"/>
      <c r="S290" s="462"/>
      <c r="T290" s="460"/>
    </row>
    <row r="291" spans="18:20" x14ac:dyDescent="0.2">
      <c r="R291" s="458"/>
      <c r="S291" s="462"/>
      <c r="T291" s="460"/>
    </row>
    <row r="292" spans="18:20" x14ac:dyDescent="0.2">
      <c r="R292" s="458"/>
      <c r="S292" s="462"/>
      <c r="T292" s="460"/>
    </row>
    <row r="293" spans="18:20" x14ac:dyDescent="0.2">
      <c r="R293" s="458"/>
      <c r="S293" s="462"/>
      <c r="T293" s="460"/>
    </row>
    <row r="294" spans="18:20" x14ac:dyDescent="0.2">
      <c r="R294" s="458"/>
      <c r="S294" s="462"/>
      <c r="T294" s="460"/>
    </row>
    <row r="295" spans="18:20" x14ac:dyDescent="0.2">
      <c r="R295" s="458"/>
      <c r="S295" s="462"/>
      <c r="T295" s="460"/>
    </row>
    <row r="296" spans="18:20" x14ac:dyDescent="0.2">
      <c r="R296" s="458"/>
      <c r="S296" s="462"/>
      <c r="T296" s="460"/>
    </row>
    <row r="297" spans="18:20" x14ac:dyDescent="0.2">
      <c r="R297" s="458"/>
      <c r="S297" s="462"/>
      <c r="T297" s="460"/>
    </row>
    <row r="298" spans="18:20" x14ac:dyDescent="0.2">
      <c r="R298" s="458"/>
      <c r="S298" s="462"/>
      <c r="T298" s="460"/>
    </row>
    <row r="299" spans="18:20" x14ac:dyDescent="0.2">
      <c r="R299" s="458"/>
      <c r="S299" s="462"/>
      <c r="T299" s="460"/>
    </row>
    <row r="300" spans="18:20" x14ac:dyDescent="0.2">
      <c r="R300" s="458"/>
      <c r="S300" s="462"/>
      <c r="T300" s="460"/>
    </row>
    <row r="301" spans="18:20" x14ac:dyDescent="0.2">
      <c r="R301" s="458"/>
      <c r="S301" s="462"/>
      <c r="T301" s="460"/>
    </row>
    <row r="302" spans="18:20" x14ac:dyDescent="0.2">
      <c r="R302" s="458"/>
      <c r="S302" s="462"/>
      <c r="T302" s="460"/>
    </row>
    <row r="303" spans="18:20" x14ac:dyDescent="0.2">
      <c r="R303" s="458"/>
      <c r="S303" s="462"/>
      <c r="T303" s="460"/>
    </row>
    <row r="304" spans="18:20" x14ac:dyDescent="0.2">
      <c r="R304" s="458"/>
      <c r="S304" s="462"/>
      <c r="T304" s="460"/>
    </row>
    <row r="305" spans="18:20" x14ac:dyDescent="0.2">
      <c r="R305" s="458"/>
      <c r="S305" s="462"/>
      <c r="T305" s="460"/>
    </row>
    <row r="306" spans="18:20" x14ac:dyDescent="0.2">
      <c r="R306" s="458"/>
      <c r="S306" s="462"/>
      <c r="T306" s="460"/>
    </row>
    <row r="307" spans="18:20" x14ac:dyDescent="0.2">
      <c r="R307" s="458"/>
      <c r="S307" s="462"/>
      <c r="T307" s="460"/>
    </row>
    <row r="308" spans="18:20" x14ac:dyDescent="0.2">
      <c r="R308" s="458"/>
      <c r="S308" s="462"/>
      <c r="T308" s="460"/>
    </row>
    <row r="309" spans="18:20" x14ac:dyDescent="0.2">
      <c r="R309" s="458"/>
      <c r="S309" s="462"/>
      <c r="T309" s="460"/>
    </row>
    <row r="310" spans="18:20" x14ac:dyDescent="0.2">
      <c r="R310" s="458"/>
      <c r="S310" s="462"/>
      <c r="T310" s="460"/>
    </row>
    <row r="311" spans="18:20" x14ac:dyDescent="0.2">
      <c r="R311" s="458"/>
      <c r="S311" s="462"/>
      <c r="T311" s="460"/>
    </row>
    <row r="312" spans="18:20" x14ac:dyDescent="0.2">
      <c r="R312" s="458"/>
      <c r="S312" s="462"/>
      <c r="T312" s="460"/>
    </row>
    <row r="313" spans="18:20" x14ac:dyDescent="0.2">
      <c r="R313" s="458"/>
      <c r="S313" s="462"/>
      <c r="T313" s="460"/>
    </row>
    <row r="314" spans="18:20" x14ac:dyDescent="0.2">
      <c r="R314" s="458"/>
      <c r="S314" s="462"/>
      <c r="T314" s="460"/>
    </row>
    <row r="315" spans="18:20" x14ac:dyDescent="0.2">
      <c r="R315" s="458"/>
      <c r="S315" s="462"/>
      <c r="T315" s="460"/>
    </row>
    <row r="316" spans="18:20" x14ac:dyDescent="0.2">
      <c r="R316" s="458"/>
      <c r="S316" s="462"/>
      <c r="T316" s="460"/>
    </row>
    <row r="317" spans="18:20" x14ac:dyDescent="0.2">
      <c r="R317" s="458"/>
      <c r="S317" s="462"/>
      <c r="T317" s="460"/>
    </row>
    <row r="318" spans="18:20" x14ac:dyDescent="0.2">
      <c r="R318" s="458"/>
      <c r="S318" s="462"/>
      <c r="T318" s="460"/>
    </row>
    <row r="319" spans="18:20" x14ac:dyDescent="0.2">
      <c r="R319" s="458"/>
      <c r="S319" s="462"/>
      <c r="T319" s="460"/>
    </row>
    <row r="320" spans="18:20" x14ac:dyDescent="0.2">
      <c r="R320" s="458"/>
      <c r="S320" s="462"/>
      <c r="T320" s="460"/>
    </row>
    <row r="321" spans="18:20" x14ac:dyDescent="0.2">
      <c r="R321" s="458"/>
      <c r="S321" s="462"/>
      <c r="T321" s="460"/>
    </row>
    <row r="322" spans="18:20" x14ac:dyDescent="0.2">
      <c r="R322" s="458"/>
      <c r="S322" s="462"/>
      <c r="T322" s="460"/>
    </row>
    <row r="323" spans="18:20" x14ac:dyDescent="0.2">
      <c r="R323" s="458"/>
      <c r="S323" s="462"/>
      <c r="T323" s="460"/>
    </row>
    <row r="324" spans="18:20" x14ac:dyDescent="0.2">
      <c r="R324" s="458"/>
      <c r="S324" s="462"/>
      <c r="T324" s="460"/>
    </row>
    <row r="325" spans="18:20" x14ac:dyDescent="0.2">
      <c r="R325" s="458"/>
      <c r="S325" s="462"/>
      <c r="T325" s="460"/>
    </row>
    <row r="326" spans="18:20" x14ac:dyDescent="0.2">
      <c r="R326" s="458"/>
      <c r="S326" s="462"/>
      <c r="T326" s="460"/>
    </row>
    <row r="327" spans="18:20" x14ac:dyDescent="0.2">
      <c r="R327" s="458"/>
      <c r="S327" s="462"/>
      <c r="T327" s="460"/>
    </row>
    <row r="328" spans="18:20" x14ac:dyDescent="0.2">
      <c r="R328" s="458"/>
      <c r="S328" s="462"/>
      <c r="T328" s="460"/>
    </row>
    <row r="329" spans="18:20" x14ac:dyDescent="0.2">
      <c r="R329" s="458"/>
      <c r="S329" s="462"/>
      <c r="T329" s="460"/>
    </row>
    <row r="330" spans="18:20" x14ac:dyDescent="0.2">
      <c r="R330" s="458"/>
      <c r="S330" s="462"/>
      <c r="T330" s="460"/>
    </row>
    <row r="331" spans="18:20" x14ac:dyDescent="0.2">
      <c r="R331" s="458"/>
      <c r="S331" s="462"/>
      <c r="T331" s="460"/>
    </row>
    <row r="332" spans="18:20" x14ac:dyDescent="0.2">
      <c r="R332" s="458"/>
      <c r="S332" s="462"/>
      <c r="T332" s="460"/>
    </row>
    <row r="333" spans="18:20" x14ac:dyDescent="0.2">
      <c r="R333" s="458"/>
      <c r="S333" s="462"/>
      <c r="T333" s="460"/>
    </row>
    <row r="334" spans="18:20" x14ac:dyDescent="0.2">
      <c r="R334" s="458"/>
      <c r="S334" s="462"/>
      <c r="T334" s="460"/>
    </row>
    <row r="335" spans="18:20" x14ac:dyDescent="0.2">
      <c r="R335" s="458"/>
      <c r="S335" s="462"/>
      <c r="T335" s="460"/>
    </row>
    <row r="336" spans="18:20" x14ac:dyDescent="0.2">
      <c r="R336" s="458"/>
      <c r="S336" s="462"/>
      <c r="T336" s="460"/>
    </row>
    <row r="337" spans="18:20" x14ac:dyDescent="0.2">
      <c r="R337" s="458"/>
      <c r="S337" s="462"/>
      <c r="T337" s="460"/>
    </row>
    <row r="338" spans="18:20" x14ac:dyDescent="0.2">
      <c r="R338" s="458"/>
      <c r="S338" s="462"/>
      <c r="T338" s="460"/>
    </row>
    <row r="339" spans="18:20" x14ac:dyDescent="0.2">
      <c r="R339" s="458"/>
      <c r="S339" s="462"/>
      <c r="T339" s="460"/>
    </row>
    <row r="340" spans="18:20" x14ac:dyDescent="0.2">
      <c r="R340" s="458"/>
      <c r="S340" s="462"/>
      <c r="T340" s="460"/>
    </row>
    <row r="341" spans="18:20" x14ac:dyDescent="0.2">
      <c r="R341" s="458"/>
      <c r="S341" s="462"/>
      <c r="T341" s="460"/>
    </row>
    <row r="342" spans="18:20" x14ac:dyDescent="0.2">
      <c r="R342" s="458"/>
      <c r="S342" s="462"/>
      <c r="T342" s="460"/>
    </row>
    <row r="343" spans="18:20" x14ac:dyDescent="0.2">
      <c r="R343" s="458"/>
      <c r="S343" s="462"/>
      <c r="T343" s="460"/>
    </row>
    <row r="344" spans="18:20" x14ac:dyDescent="0.2">
      <c r="R344" s="458"/>
      <c r="S344" s="462"/>
      <c r="T344" s="460"/>
    </row>
    <row r="345" spans="18:20" x14ac:dyDescent="0.2">
      <c r="R345" s="458"/>
      <c r="S345" s="462"/>
      <c r="T345" s="460"/>
    </row>
    <row r="346" spans="18:20" x14ac:dyDescent="0.2">
      <c r="R346" s="458"/>
      <c r="S346" s="462"/>
      <c r="T346" s="460"/>
    </row>
    <row r="347" spans="18:20" x14ac:dyDescent="0.2">
      <c r="R347" s="458"/>
      <c r="S347" s="462"/>
      <c r="T347" s="460"/>
    </row>
    <row r="348" spans="18:20" x14ac:dyDescent="0.2">
      <c r="R348" s="458"/>
      <c r="S348" s="462"/>
      <c r="T348" s="460"/>
    </row>
    <row r="349" spans="18:20" x14ac:dyDescent="0.2">
      <c r="R349" s="458"/>
      <c r="S349" s="462"/>
      <c r="T349" s="460"/>
    </row>
    <row r="350" spans="18:20" x14ac:dyDescent="0.2">
      <c r="R350" s="458"/>
      <c r="S350" s="462"/>
      <c r="T350" s="460"/>
    </row>
    <row r="351" spans="18:20" x14ac:dyDescent="0.2">
      <c r="R351" s="458"/>
      <c r="S351" s="462"/>
      <c r="T351" s="460"/>
    </row>
    <row r="352" spans="18:20" x14ac:dyDescent="0.2">
      <c r="R352" s="458"/>
      <c r="S352" s="462"/>
      <c r="T352" s="460"/>
    </row>
    <row r="353" spans="18:20" x14ac:dyDescent="0.2">
      <c r="R353" s="458"/>
      <c r="S353" s="462"/>
      <c r="T353" s="460"/>
    </row>
    <row r="354" spans="18:20" x14ac:dyDescent="0.2">
      <c r="R354" s="458"/>
      <c r="S354" s="462"/>
      <c r="T354" s="460"/>
    </row>
    <row r="355" spans="18:20" x14ac:dyDescent="0.2">
      <c r="R355" s="458"/>
      <c r="S355" s="462"/>
      <c r="T355" s="460"/>
    </row>
    <row r="356" spans="18:20" x14ac:dyDescent="0.2">
      <c r="R356" s="458"/>
      <c r="S356" s="462"/>
      <c r="T356" s="460"/>
    </row>
    <row r="357" spans="18:20" x14ac:dyDescent="0.2">
      <c r="R357" s="458"/>
      <c r="S357" s="462"/>
      <c r="T357" s="460"/>
    </row>
    <row r="358" spans="18:20" x14ac:dyDescent="0.2">
      <c r="R358" s="458"/>
      <c r="S358" s="462"/>
      <c r="T358" s="460"/>
    </row>
    <row r="359" spans="18:20" x14ac:dyDescent="0.2">
      <c r="R359" s="458"/>
      <c r="S359" s="462"/>
      <c r="T359" s="460"/>
    </row>
    <row r="360" spans="18:20" x14ac:dyDescent="0.2">
      <c r="R360" s="458"/>
      <c r="S360" s="462"/>
      <c r="T360" s="460"/>
    </row>
    <row r="361" spans="18:20" x14ac:dyDescent="0.2">
      <c r="R361" s="458"/>
      <c r="S361" s="462"/>
      <c r="T361" s="460"/>
    </row>
    <row r="362" spans="18:20" x14ac:dyDescent="0.2">
      <c r="R362" s="458"/>
      <c r="S362" s="462"/>
      <c r="T362" s="460"/>
    </row>
    <row r="363" spans="18:20" x14ac:dyDescent="0.2">
      <c r="R363" s="458"/>
      <c r="S363" s="462"/>
      <c r="T363" s="460"/>
    </row>
    <row r="364" spans="18:20" x14ac:dyDescent="0.2">
      <c r="R364" s="458"/>
      <c r="S364" s="462"/>
      <c r="T364" s="460"/>
    </row>
    <row r="365" spans="18:20" x14ac:dyDescent="0.2">
      <c r="R365" s="458"/>
      <c r="S365" s="462"/>
      <c r="T365" s="460"/>
    </row>
    <row r="366" spans="18:20" x14ac:dyDescent="0.2">
      <c r="R366" s="458"/>
      <c r="S366" s="462"/>
      <c r="T366" s="460"/>
    </row>
    <row r="367" spans="18:20" x14ac:dyDescent="0.2">
      <c r="R367" s="458"/>
      <c r="S367" s="462"/>
      <c r="T367" s="460"/>
    </row>
    <row r="368" spans="18:20" x14ac:dyDescent="0.2">
      <c r="R368" s="458"/>
      <c r="S368" s="462"/>
      <c r="T368" s="460"/>
    </row>
    <row r="369" spans="18:20" x14ac:dyDescent="0.2">
      <c r="R369" s="458"/>
      <c r="S369" s="462"/>
      <c r="T369" s="460"/>
    </row>
    <row r="370" spans="18:20" x14ac:dyDescent="0.2">
      <c r="R370" s="458"/>
      <c r="S370" s="462"/>
      <c r="T370" s="460"/>
    </row>
    <row r="371" spans="18:20" x14ac:dyDescent="0.2">
      <c r="R371" s="458"/>
      <c r="S371" s="462"/>
      <c r="T371" s="460"/>
    </row>
    <row r="372" spans="18:20" x14ac:dyDescent="0.2">
      <c r="R372" s="458"/>
      <c r="S372" s="462"/>
      <c r="T372" s="460"/>
    </row>
    <row r="373" spans="18:20" x14ac:dyDescent="0.2">
      <c r="R373" s="458"/>
      <c r="S373" s="462"/>
      <c r="T373" s="460"/>
    </row>
    <row r="374" spans="18:20" x14ac:dyDescent="0.2">
      <c r="R374" s="458"/>
      <c r="S374" s="462"/>
      <c r="T374" s="460"/>
    </row>
    <row r="375" spans="18:20" x14ac:dyDescent="0.2">
      <c r="R375" s="458"/>
      <c r="S375" s="462"/>
      <c r="T375" s="460"/>
    </row>
    <row r="376" spans="18:20" x14ac:dyDescent="0.2">
      <c r="R376" s="458"/>
      <c r="S376" s="462"/>
      <c r="T376" s="460"/>
    </row>
    <row r="377" spans="18:20" x14ac:dyDescent="0.2">
      <c r="R377" s="458"/>
      <c r="S377" s="462"/>
      <c r="T377" s="460"/>
    </row>
    <row r="378" spans="18:20" x14ac:dyDescent="0.2">
      <c r="R378" s="458"/>
      <c r="S378" s="462"/>
      <c r="T378" s="460"/>
    </row>
    <row r="379" spans="18:20" x14ac:dyDescent="0.2">
      <c r="R379" s="458"/>
      <c r="S379" s="462"/>
      <c r="T379" s="460"/>
    </row>
    <row r="380" spans="18:20" x14ac:dyDescent="0.2">
      <c r="R380" s="458"/>
      <c r="S380" s="462"/>
      <c r="T380" s="460"/>
    </row>
    <row r="381" spans="18:20" x14ac:dyDescent="0.2">
      <c r="R381" s="458"/>
      <c r="S381" s="462"/>
      <c r="T381" s="460"/>
    </row>
    <row r="382" spans="18:20" x14ac:dyDescent="0.2">
      <c r="R382" s="458"/>
      <c r="S382" s="462"/>
      <c r="T382" s="460"/>
    </row>
    <row r="383" spans="18:20" x14ac:dyDescent="0.2">
      <c r="R383" s="458"/>
      <c r="S383" s="462"/>
      <c r="T383" s="460"/>
    </row>
    <row r="384" spans="18:20" x14ac:dyDescent="0.2">
      <c r="R384" s="458"/>
      <c r="S384" s="462"/>
      <c r="T384" s="460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4" width="7" style="257" hidden="1" customWidth="1" outlineLevel="1"/>
    <col min="5" max="5" width="3.5" style="257" hidden="1" customWidth="1" outlineLevel="1"/>
    <col min="6" max="6" width="8.16406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9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29</v>
      </c>
      <c r="K1" s="36" t="str">
        <f>_xll.qlEuribor(,J1,,,Trigger)</f>
        <v>obj_004f3#0004</v>
      </c>
      <c r="L1" s="36" t="str">
        <f>_xll.ohRangeRetrieveError(K1)</f>
        <v/>
      </c>
    </row>
    <row r="2" spans="1:20" ht="24" customHeight="1" x14ac:dyDescent="0.2">
      <c r="A2" s="228"/>
      <c r="B2" s="229" t="s">
        <v>127</v>
      </c>
      <c r="C2" s="229"/>
      <c r="D2" s="230"/>
      <c r="E2" s="230"/>
      <c r="F2" s="229" t="s">
        <v>128</v>
      </c>
      <c r="G2" s="229" t="s">
        <v>129</v>
      </c>
      <c r="H2" s="229" t="s">
        <v>130</v>
      </c>
      <c r="I2" s="229" t="s">
        <v>131</v>
      </c>
      <c r="J2" s="229" t="s">
        <v>79</v>
      </c>
      <c r="K2" s="229" t="s">
        <v>80</v>
      </c>
      <c r="L2" s="231" t="s">
        <v>38</v>
      </c>
      <c r="M2" s="232"/>
      <c r="N2" s="232"/>
      <c r="O2" s="233" t="s">
        <v>132</v>
      </c>
      <c r="P2" s="233" t="s">
        <v>81</v>
      </c>
      <c r="Q2" s="233" t="s">
        <v>131</v>
      </c>
      <c r="R2" s="233" t="s">
        <v>82</v>
      </c>
      <c r="S2" s="229" t="s">
        <v>83</v>
      </c>
      <c r="T2" s="229" t="s">
        <v>84</v>
      </c>
    </row>
    <row r="3" spans="1:20" ht="11.25" customHeight="1" x14ac:dyDescent="0.2">
      <c r="A3" s="234"/>
      <c r="B3" s="235" t="s">
        <v>135</v>
      </c>
      <c r="C3" s="279"/>
      <c r="D3" s="280"/>
      <c r="E3" s="280"/>
      <c r="F3" s="277"/>
      <c r="G3" s="277"/>
      <c r="H3" s="277"/>
      <c r="I3" s="281"/>
      <c r="J3" s="265" t="str">
        <f>PROPER((Currency))&amp;IborType&amp;J1&amp;"LastFixing"&amp;QuoteSuffix</f>
        <v>Euribor1YLastFixing_Quote</v>
      </c>
      <c r="K3" s="278" t="str">
        <f>_xll.qlDepositRateHelper(,J3,K1,,Trigger)</f>
        <v>obj_00555#0004</v>
      </c>
      <c r="L3" s="289" t="str">
        <f>_xll.ohRangeRetrieveError(K3)</f>
        <v/>
      </c>
      <c r="M3" s="243"/>
      <c r="N3" s="243"/>
      <c r="O3" s="242" t="str">
        <f>_xll.qlRateHelperQuoteName(K3,Trigger)</f>
        <v>Euribor1YLastFixing_Quote</v>
      </c>
      <c r="P3" s="244">
        <f>_xll.qlQuoteValue(J3,AllTriggers)</f>
        <v>3.29E-3</v>
      </c>
      <c r="Q3" s="295" t="str">
        <f>IF(ISBLANK(I3),"--",_xll.qlSwapRateHelperSpread(K3,AllTriggers))</f>
        <v>--</v>
      </c>
      <c r="R3" s="242" t="b">
        <v>1</v>
      </c>
      <c r="S3" s="245">
        <f>_xll.qlRateHelperEarliestDate(K3,Trigger)</f>
        <v>41997</v>
      </c>
      <c r="T3" s="245">
        <f>_xll.qlRateHelperLatestDate(K3,Trigger)</f>
        <v>42362</v>
      </c>
    </row>
    <row r="4" spans="1:20" ht="11.25" customHeight="1" x14ac:dyDescent="0.2">
      <c r="A4" s="234"/>
      <c r="B4" s="292" t="s">
        <v>57</v>
      </c>
      <c r="C4" s="294">
        <v>12</v>
      </c>
      <c r="D4" s="293" t="s">
        <v>39</v>
      </c>
      <c r="E4" s="293">
        <v>24</v>
      </c>
      <c r="F4" s="277"/>
      <c r="G4" s="277"/>
      <c r="H4" s="277"/>
      <c r="I4" s="281"/>
      <c r="J4" s="265" t="str">
        <f>Currency&amp;C4&amp;D4&amp;E4&amp;"F"&amp;QuoteSuffix</f>
        <v>EUR12x24F_Quote</v>
      </c>
      <c r="K4" s="278" t="str">
        <f>_xll.qlFraRateHelper(,J4,B4,K1)</f>
        <v>obj_004f6#0004</v>
      </c>
      <c r="L4" s="289" t="str">
        <f>_xll.ohRangeRetrieveError(K4)</f>
        <v/>
      </c>
      <c r="M4" s="243"/>
      <c r="N4" s="243"/>
      <c r="O4" s="242" t="str">
        <f>_xll.qlRateHelperQuoteName(K4,Trigger)</f>
        <v>EUR12x24F_Quote</v>
      </c>
      <c r="P4" s="244">
        <f>_xll.qlQuoteValue(J4,AllTriggers)</f>
        <v>3.4499999999999999E-3</v>
      </c>
      <c r="Q4" s="295" t="str">
        <f>IF(ISBLANK(I4),"--",_xll.qlSwapRateHelperSpread(K4,AllTriggers))</f>
        <v>--</v>
      </c>
      <c r="R4" s="242" t="b">
        <v>1</v>
      </c>
      <c r="S4" s="245">
        <f>_xll.qlRateHelperEarliestDate(K4,Trigger)</f>
        <v>42362</v>
      </c>
      <c r="T4" s="245">
        <f>_xll.qlRateHelperLatestDate(K4,Trigger)</f>
        <v>42731</v>
      </c>
    </row>
    <row r="5" spans="1:20" ht="11.25" customHeight="1" x14ac:dyDescent="0.2">
      <c r="A5" s="234"/>
      <c r="B5" s="282" t="s">
        <v>135</v>
      </c>
      <c r="C5" s="283" t="s">
        <v>85</v>
      </c>
      <c r="D5" s="284" t="s">
        <v>86</v>
      </c>
      <c r="E5" s="284" t="s">
        <v>87</v>
      </c>
      <c r="F5" s="282" t="s">
        <v>137</v>
      </c>
      <c r="G5" s="285" t="s">
        <v>133</v>
      </c>
      <c r="H5" s="285" t="s">
        <v>143</v>
      </c>
      <c r="I5" s="286">
        <v>0</v>
      </c>
      <c r="J5" s="287" t="str">
        <f t="shared" ref="J5:J10" si="0">Currency&amp;C5&amp;$D5&amp;$E5&amp;"_Quote"</f>
        <v>EURAB12EBASIS3Y_Quote</v>
      </c>
      <c r="K5" s="288" t="str">
        <f>_xll.qlSwapRateHelper2(,J5,E5,Calendar,F5,G5,H5,$K$1,I5,B5,Discounting,,Trigger)</f>
        <v>obj_004f4#0004</v>
      </c>
      <c r="L5" s="289" t="str">
        <f>_xll.ohRangeRetrieveError(K5)</f>
        <v/>
      </c>
      <c r="M5" s="243"/>
      <c r="N5" s="243"/>
      <c r="O5" s="242" t="str">
        <f>_xll.qlRateHelperQuoteName(K5,Trigger)</f>
        <v>EURAB12EBASIS3Y_Quote</v>
      </c>
      <c r="P5" s="244">
        <f>_xll.qlQuoteValue(J5,AllTriggers)</f>
        <v>3.9199999999999999E-3</v>
      </c>
      <c r="Q5" s="295">
        <f>IF(ISBLANK(I5),"--",_xll.qlSwapRateHelperSpread(K5,AllTriggers))</f>
        <v>0</v>
      </c>
      <c r="R5" s="242" t="b">
        <v>1</v>
      </c>
      <c r="S5" s="245">
        <f>_xll.qlRateHelperEarliestDate(K5,Trigger)</f>
        <v>41997</v>
      </c>
      <c r="T5" s="245">
        <f>_xll.qlRateHelperLatestDate(K5,Trigger)</f>
        <v>43096</v>
      </c>
    </row>
    <row r="6" spans="1:20" ht="11.25" customHeight="1" x14ac:dyDescent="0.2">
      <c r="A6" s="234"/>
      <c r="B6" s="235" t="s">
        <v>135</v>
      </c>
      <c r="C6" s="236" t="s">
        <v>85</v>
      </c>
      <c r="D6" s="237" t="s">
        <v>86</v>
      </c>
      <c r="E6" s="237" t="s">
        <v>88</v>
      </c>
      <c r="F6" s="235" t="s">
        <v>137</v>
      </c>
      <c r="G6" s="238" t="s">
        <v>133</v>
      </c>
      <c r="H6" s="238" t="s">
        <v>143</v>
      </c>
      <c r="I6" s="239">
        <v>0</v>
      </c>
      <c r="J6" s="240" t="str">
        <f t="shared" si="0"/>
        <v>EURAB12EBASIS4Y_Quote</v>
      </c>
      <c r="K6" s="241" t="str">
        <f>_xll.qlSwapRateHelper2(,J6,E6,Calendar,F6,G6,H6,$K$1,I6,B6,Discounting,,Trigger)</f>
        <v>obj_004f7#0004</v>
      </c>
      <c r="L6" s="242" t="str">
        <f>_xll.ohRangeRetrieveError(K6)</f>
        <v/>
      </c>
      <c r="M6" s="243"/>
      <c r="N6" s="243"/>
      <c r="O6" s="242" t="str">
        <f>_xll.qlRateHelperQuoteName(K6,Trigger)</f>
        <v>EURAB12EBASIS4Y_Quote</v>
      </c>
      <c r="P6" s="244">
        <f>_xll.qlQuoteValue(J6,AllTriggers)</f>
        <v>4.5999999999999999E-3</v>
      </c>
      <c r="Q6" s="295">
        <f>IF(ISBLANK(I6),"--",_xll.qlSwapRateHelperSpread(K6,AllTriggers))</f>
        <v>0</v>
      </c>
      <c r="R6" s="242" t="b">
        <v>1</v>
      </c>
      <c r="S6" s="245">
        <f>_xll.qlRateHelperEarliestDate(K6,Trigger)</f>
        <v>41997</v>
      </c>
      <c r="T6" s="245">
        <f>_xll.qlRateHelperLatestDate(K6,Trigger)</f>
        <v>43458</v>
      </c>
    </row>
    <row r="7" spans="1:20" ht="11.25" customHeight="1" x14ac:dyDescent="0.2">
      <c r="A7" s="228"/>
      <c r="B7" s="235" t="s">
        <v>135</v>
      </c>
      <c r="C7" s="236" t="s">
        <v>85</v>
      </c>
      <c r="D7" s="237" t="s">
        <v>86</v>
      </c>
      <c r="E7" s="237" t="s">
        <v>89</v>
      </c>
      <c r="F7" s="235" t="s">
        <v>137</v>
      </c>
      <c r="G7" s="238" t="s">
        <v>133</v>
      </c>
      <c r="H7" s="238" t="s">
        <v>143</v>
      </c>
      <c r="I7" s="239">
        <v>0</v>
      </c>
      <c r="J7" s="240" t="str">
        <f t="shared" si="0"/>
        <v>EURAB12EBASIS5Y_Quote</v>
      </c>
      <c r="K7" s="241" t="str">
        <f>_xll.qlSwapRateHelper2(,J7,E7,Calendar,F7,G7,H7,$K$1,I7,B7,Discounting,,Trigger)</f>
        <v>obj_00500#0004</v>
      </c>
      <c r="L7" s="242" t="str">
        <f>_xll.ohRangeRetrieveError(K7)</f>
        <v/>
      </c>
      <c r="M7" s="243"/>
      <c r="N7" s="243"/>
      <c r="O7" s="242" t="str">
        <f>_xll.qlRateHelperQuoteName(K7,Trigger)</f>
        <v>EURAB12EBASIS5Y_Quote</v>
      </c>
      <c r="P7" s="244">
        <f>_xll.qlQuoteValue(J7,AllTriggers)</f>
        <v>5.4099999999999999E-3</v>
      </c>
      <c r="Q7" s="295">
        <f>IF(ISBLANK(I7),"--",_xll.qlSwapRateHelperSpread(K7,AllTriggers))</f>
        <v>0</v>
      </c>
      <c r="R7" s="242" t="b">
        <v>1</v>
      </c>
      <c r="S7" s="245">
        <f>_xll.qlRateHelperEarliestDate(K7,Trigger)</f>
        <v>41997</v>
      </c>
      <c r="T7" s="245">
        <f>_xll.qlRateHelperLatestDate(K7,Trigger)</f>
        <v>43823</v>
      </c>
    </row>
    <row r="8" spans="1:20" ht="11.25" customHeight="1" x14ac:dyDescent="0.2">
      <c r="A8" s="228"/>
      <c r="B8" s="235" t="s">
        <v>135</v>
      </c>
      <c r="C8" s="236" t="s">
        <v>85</v>
      </c>
      <c r="D8" s="237" t="s">
        <v>86</v>
      </c>
      <c r="E8" s="237" t="s">
        <v>140</v>
      </c>
      <c r="F8" s="235" t="s">
        <v>137</v>
      </c>
      <c r="G8" s="238" t="s">
        <v>133</v>
      </c>
      <c r="H8" s="238" t="s">
        <v>143</v>
      </c>
      <c r="I8" s="239">
        <v>0</v>
      </c>
      <c r="J8" s="240" t="str">
        <f t="shared" si="0"/>
        <v>EURAB12EBASIS6Y_Quote</v>
      </c>
      <c r="K8" s="241" t="str">
        <f>_xll.qlSwapRateHelper2(,J8,E8,Calendar,F8,G8,H8,$K$1,I8,B8,Discounting,,Trigger)</f>
        <v>obj_004f8#0004</v>
      </c>
      <c r="L8" s="242" t="str">
        <f>_xll.ohRangeRetrieveError(K8)</f>
        <v/>
      </c>
      <c r="M8" s="243"/>
      <c r="N8" s="243"/>
      <c r="O8" s="242" t="str">
        <f>_xll.qlRateHelperQuoteName(K8,Trigger)</f>
        <v>EURAB12EBASIS6Y_Quote</v>
      </c>
      <c r="P8" s="244">
        <f>_xll.qlQuoteValue(J8,AllTriggers)</f>
        <v>6.2899999999999996E-3</v>
      </c>
      <c r="Q8" s="295">
        <f>IF(ISBLANK(I8),"--",_xll.qlSwapRateHelperSpread(K8,AllTriggers))</f>
        <v>0</v>
      </c>
      <c r="R8" s="242" t="b">
        <v>1</v>
      </c>
      <c r="S8" s="245">
        <f>_xll.qlRateHelperEarliestDate(K8,Trigger)</f>
        <v>41997</v>
      </c>
      <c r="T8" s="245">
        <f>_xll.qlRateHelperLatestDate(K8,Trigger)</f>
        <v>44189</v>
      </c>
    </row>
    <row r="9" spans="1:20" ht="11.25" customHeight="1" x14ac:dyDescent="0.2">
      <c r="A9" s="228"/>
      <c r="B9" s="235" t="s">
        <v>135</v>
      </c>
      <c r="C9" s="236" t="s">
        <v>85</v>
      </c>
      <c r="D9" s="237" t="s">
        <v>86</v>
      </c>
      <c r="E9" s="237" t="s">
        <v>141</v>
      </c>
      <c r="F9" s="235" t="s">
        <v>137</v>
      </c>
      <c r="G9" s="238" t="s">
        <v>133</v>
      </c>
      <c r="H9" s="238" t="s">
        <v>143</v>
      </c>
      <c r="I9" s="239">
        <v>0</v>
      </c>
      <c r="J9" s="240" t="str">
        <f t="shared" si="0"/>
        <v>EURAB12EBASIS7Y_Quote</v>
      </c>
      <c r="K9" s="241" t="str">
        <f>_xll.qlSwapRateHelper2(,J9,E9,Calendar,F9,G9,H9,$K$1,I9,B9,Discounting,,Trigger)</f>
        <v>obj_004f5#0004</v>
      </c>
      <c r="L9" s="242" t="str">
        <f>_xll.ohRangeRetrieveError(K9)</f>
        <v/>
      </c>
      <c r="O9" s="242" t="str">
        <f>_xll.qlRateHelperQuoteName(K9,Trigger)</f>
        <v>EURAB12EBASIS7Y_Quote</v>
      </c>
      <c r="P9" s="244">
        <f>_xll.qlQuoteValue(J9,AllTriggers)</f>
        <v>7.2499999999999995E-3</v>
      </c>
      <c r="Q9" s="295">
        <f>IF(ISBLANK(I9),"--",_xll.qlSwapRateHelperSpread(K9,AllTriggers))</f>
        <v>0</v>
      </c>
      <c r="R9" s="242" t="b">
        <v>1</v>
      </c>
      <c r="S9" s="245">
        <f>_xll.qlRateHelperEarliestDate(K9,Trigger)</f>
        <v>41997</v>
      </c>
      <c r="T9" s="245">
        <f>_xll.qlRateHelperLatestDate(K9,Trigger)</f>
        <v>44554</v>
      </c>
    </row>
    <row r="10" spans="1:20" x14ac:dyDescent="0.2">
      <c r="B10" s="246" t="s">
        <v>135</v>
      </c>
      <c r="C10" s="247" t="s">
        <v>85</v>
      </c>
      <c r="D10" s="248" t="s">
        <v>86</v>
      </c>
      <c r="E10" s="248" t="s">
        <v>142</v>
      </c>
      <c r="F10" s="246" t="s">
        <v>137</v>
      </c>
      <c r="G10" s="249" t="s">
        <v>133</v>
      </c>
      <c r="H10" s="249" t="s">
        <v>143</v>
      </c>
      <c r="I10" s="250">
        <v>0</v>
      </c>
      <c r="J10" s="275" t="str">
        <f t="shared" si="0"/>
        <v>EURAB12EBASIS8Y_Quote</v>
      </c>
      <c r="K10" s="276" t="str">
        <f>_xll.qlSwapRateHelper2(,J10,E10,Calendar,F10,G10,H10,$K$1,I10,B10,Discounting,,Trigger)</f>
        <v>obj_004f9#0004</v>
      </c>
      <c r="L10" s="251" t="str">
        <f>_xll.ohRangeRetrieveError(K10)</f>
        <v/>
      </c>
      <c r="O10" s="251" t="str">
        <f>_xll.qlRateHelperQuoteName(K10,Trigger)</f>
        <v>EURAB12EBASIS8Y_Quote</v>
      </c>
      <c r="P10" s="252">
        <f>_xll.qlQuoteValue(J10,AllTriggers)</f>
        <v>8.26E-3</v>
      </c>
      <c r="Q10" s="296">
        <f>IF(ISBLANK(I10),"--",_xll.qlSwapRateHelperSpread(K10,AllTriggers))</f>
        <v>0</v>
      </c>
      <c r="R10" s="251" t="b">
        <v>0</v>
      </c>
      <c r="S10" s="253">
        <f>_xll.qlRateHelperEarliestDate(K10,Trigger)</f>
        <v>41997</v>
      </c>
      <c r="T10" s="253">
        <f>_xll.qlRateHelperLatestDate(K10,Trigger)</f>
        <v>44922</v>
      </c>
    </row>
    <row r="11" spans="1:20" x14ac:dyDescent="0.2">
      <c r="D11" s="36"/>
      <c r="E11" s="36"/>
      <c r="K11" s="36"/>
      <c r="L11" s="243"/>
    </row>
    <row r="12" spans="1:20" x14ac:dyDescent="0.2">
      <c r="I12" s="258"/>
      <c r="J12" s="258"/>
      <c r="O12" s="254" t="str">
        <f>J1&amp;" "&amp;PROPER(Currency)&amp;IborType&amp;" Curve"</f>
        <v>1Y Euribor Curve</v>
      </c>
      <c r="P12" s="255"/>
      <c r="Q12" s="255"/>
      <c r="R12" s="255"/>
      <c r="S12" s="255"/>
      <c r="T12" s="256" t="s">
        <v>144</v>
      </c>
    </row>
    <row r="13" spans="1:20" x14ac:dyDescent="0.2">
      <c r="L13" s="233" t="s">
        <v>134</v>
      </c>
      <c r="O13" s="297" t="s">
        <v>90</v>
      </c>
      <c r="P13" s="297" t="s">
        <v>91</v>
      </c>
      <c r="Q13" s="297" t="s">
        <v>131</v>
      </c>
      <c r="R13" s="297" t="s">
        <v>83</v>
      </c>
      <c r="S13" s="297" t="s">
        <v>84</v>
      </c>
      <c r="T13" s="260">
        <f t="array" ref="T13:T27">_xll.qlPiecewiseYieldCurveData('General Settings'!D34,InterestRatesTrigger)</f>
        <v>1</v>
      </c>
    </row>
    <row r="14" spans="1:20" x14ac:dyDescent="0.2">
      <c r="I14" s="258"/>
      <c r="J14" s="258"/>
      <c r="L14" s="265" t="str">
        <f t="array" ref="L14:L27">_xll.ohFilter(K3:K10,R3:R10)</f>
        <v>obj_00555#0004</v>
      </c>
      <c r="O14" s="289" t="str">
        <f t="array" ref="O14:O27">_xll.ohFilter(O3:O10,R3:R10)</f>
        <v>Euribor1YLastFixing_Quote</v>
      </c>
      <c r="P14" s="298">
        <f t="array" ref="P14:P27">_xll.ohFilter(P3:P10,R3:R10)</f>
        <v>3.29E-3</v>
      </c>
      <c r="Q14" s="299" t="str">
        <f t="array" ref="Q14:Q27">_xll.ohFilter(Q3:Q10,R3:R10)</f>
        <v>--</v>
      </c>
      <c r="R14" s="300">
        <f t="array" ref="R14:R27">_xll.ohFilter(S3:S10,R3:R10)</f>
        <v>41997</v>
      </c>
      <c r="S14" s="300">
        <f t="array" ref="S14:S27">_xll.ohFilter(T3:T10,R3:R10)</f>
        <v>42362</v>
      </c>
      <c r="T14" s="261">
        <v>0.99667539542058103</v>
      </c>
    </row>
    <row r="15" spans="1:20" x14ac:dyDescent="0.2">
      <c r="L15" s="266" t="str">
        <v>obj_004f6#0004</v>
      </c>
      <c r="O15" s="242" t="str">
        <v>EUR12x24F_Quote</v>
      </c>
      <c r="P15" s="244">
        <v>3.4499999999999999E-3</v>
      </c>
      <c r="Q15" s="295" t="str">
        <v>--</v>
      </c>
      <c r="R15" s="245">
        <v>42362</v>
      </c>
      <c r="S15" s="245">
        <v>42731</v>
      </c>
      <c r="T15" s="261">
        <v>0.99316332162448639</v>
      </c>
    </row>
    <row r="16" spans="1:20" x14ac:dyDescent="0.2">
      <c r="I16" s="258"/>
      <c r="J16" s="258"/>
      <c r="L16" s="266" t="str">
        <v>obj_004f4#0004</v>
      </c>
      <c r="O16" s="242" t="str">
        <v>EURAB12EBASIS3Y_Quote</v>
      </c>
      <c r="P16" s="244">
        <v>3.9199999999999999E-3</v>
      </c>
      <c r="Q16" s="295">
        <v>0</v>
      </c>
      <c r="R16" s="245">
        <v>41997</v>
      </c>
      <c r="S16" s="245">
        <v>43096</v>
      </c>
      <c r="T16" s="261">
        <v>0.98830017426229633</v>
      </c>
    </row>
    <row r="17" spans="9:34" x14ac:dyDescent="0.2">
      <c r="L17" s="266" t="str">
        <v>obj_004f7#0004</v>
      </c>
      <c r="O17" s="242" t="str">
        <v>EURAB12EBASIS4Y_Quote</v>
      </c>
      <c r="P17" s="244">
        <v>4.5999999999999999E-3</v>
      </c>
      <c r="Q17" s="295">
        <v>0</v>
      </c>
      <c r="R17" s="245">
        <v>41997</v>
      </c>
      <c r="S17" s="245">
        <v>43458</v>
      </c>
      <c r="T17" s="261">
        <v>0.98180975813773552</v>
      </c>
    </row>
    <row r="18" spans="9:34" x14ac:dyDescent="0.2">
      <c r="I18" s="258"/>
      <c r="J18" s="258"/>
      <c r="L18" s="266" t="str">
        <v>obj_00500#0004</v>
      </c>
      <c r="O18" s="242" t="str">
        <v>EURAB12EBASIS5Y_Quote</v>
      </c>
      <c r="P18" s="244">
        <v>5.4099999999999999E-3</v>
      </c>
      <c r="Q18" s="295">
        <v>0</v>
      </c>
      <c r="R18" s="245">
        <v>41997</v>
      </c>
      <c r="S18" s="245">
        <v>43823</v>
      </c>
      <c r="T18" s="261">
        <v>0.97337562062116079</v>
      </c>
    </row>
    <row r="19" spans="9:34" x14ac:dyDescent="0.2">
      <c r="L19" s="266" t="str">
        <v>obj_004f8#0004</v>
      </c>
      <c r="O19" s="242" t="str">
        <v>EURAB12EBASIS6Y_Quote</v>
      </c>
      <c r="P19" s="244">
        <v>6.2899999999999996E-3</v>
      </c>
      <c r="Q19" s="295">
        <v>0</v>
      </c>
      <c r="R19" s="245">
        <v>41997</v>
      </c>
      <c r="S19" s="245">
        <v>44189</v>
      </c>
      <c r="T19" s="261">
        <v>0.96304055430339597</v>
      </c>
    </row>
    <row r="20" spans="9:34" x14ac:dyDescent="0.2">
      <c r="I20" s="258"/>
      <c r="J20" s="258"/>
      <c r="L20" s="266" t="str">
        <v>obj_004f5#0004</v>
      </c>
      <c r="O20" s="242" t="str">
        <v>EURAB12EBASIS7Y_Quote</v>
      </c>
      <c r="P20" s="244">
        <v>7.2499999999999995E-3</v>
      </c>
      <c r="Q20" s="295">
        <v>0</v>
      </c>
      <c r="R20" s="245">
        <v>41997</v>
      </c>
      <c r="S20" s="245">
        <v>44554</v>
      </c>
      <c r="T20" s="261">
        <v>0.95058417945222373</v>
      </c>
      <c r="AH20" s="311"/>
    </row>
    <row r="21" spans="9:34" x14ac:dyDescent="0.2">
      <c r="L21" s="266" t="e">
        <v>#N/A</v>
      </c>
      <c r="O21" s="242" t="e">
        <v>#N/A</v>
      </c>
      <c r="P21" s="244" t="e">
        <v>#N/A</v>
      </c>
      <c r="Q21" s="295" t="e">
        <v>#N/A</v>
      </c>
      <c r="R21" s="245" t="e">
        <v>#N/A</v>
      </c>
      <c r="S21" s="245" t="e">
        <v>#N/A</v>
      </c>
      <c r="T21" s="261" t="e">
        <v>#N/A</v>
      </c>
      <c r="AH21" s="311"/>
    </row>
    <row r="22" spans="9:34" x14ac:dyDescent="0.2">
      <c r="I22" s="258"/>
      <c r="J22" s="258"/>
      <c r="L22" s="266" t="e">
        <v>#N/A</v>
      </c>
      <c r="O22" s="242" t="e">
        <v>#N/A</v>
      </c>
      <c r="P22" s="244" t="e">
        <v>#N/A</v>
      </c>
      <c r="Q22" s="295" t="e">
        <v>#N/A</v>
      </c>
      <c r="R22" s="245" t="e">
        <v>#N/A</v>
      </c>
      <c r="S22" s="245" t="e">
        <v>#N/A</v>
      </c>
      <c r="T22" s="261" t="e">
        <v>#N/A</v>
      </c>
    </row>
    <row r="23" spans="9:34" x14ac:dyDescent="0.2">
      <c r="L23" s="266" t="e">
        <v>#N/A</v>
      </c>
      <c r="O23" s="242" t="e">
        <v>#N/A</v>
      </c>
      <c r="P23" s="244" t="e">
        <v>#N/A</v>
      </c>
      <c r="Q23" s="295" t="e">
        <v>#N/A</v>
      </c>
      <c r="R23" s="245" t="e">
        <v>#N/A</v>
      </c>
      <c r="S23" s="245" t="e">
        <v>#N/A</v>
      </c>
      <c r="T23" s="261" t="e">
        <v>#N/A</v>
      </c>
    </row>
    <row r="24" spans="9:34" x14ac:dyDescent="0.2">
      <c r="I24" s="258"/>
      <c r="J24" s="258"/>
      <c r="L24" s="266" t="e">
        <v>#N/A</v>
      </c>
      <c r="O24" s="242" t="e">
        <v>#N/A</v>
      </c>
      <c r="P24" s="244" t="e">
        <v>#N/A</v>
      </c>
      <c r="Q24" s="295" t="e">
        <v>#N/A</v>
      </c>
      <c r="R24" s="245" t="e">
        <v>#N/A</v>
      </c>
      <c r="S24" s="245" t="e">
        <v>#N/A</v>
      </c>
      <c r="T24" s="261" t="e">
        <v>#N/A</v>
      </c>
    </row>
    <row r="25" spans="9:34" x14ac:dyDescent="0.2">
      <c r="L25" s="266" t="e">
        <v>#N/A</v>
      </c>
      <c r="O25" s="242" t="e">
        <v>#N/A</v>
      </c>
      <c r="P25" s="244" t="e">
        <v>#N/A</v>
      </c>
      <c r="Q25" s="295" t="e">
        <v>#N/A</v>
      </c>
      <c r="R25" s="245" t="e">
        <v>#N/A</v>
      </c>
      <c r="S25" s="245" t="e">
        <v>#N/A</v>
      </c>
      <c r="T25" s="261" t="e">
        <v>#N/A</v>
      </c>
    </row>
    <row r="26" spans="9:34" x14ac:dyDescent="0.2">
      <c r="I26" s="258"/>
      <c r="J26" s="258"/>
      <c r="L26" s="266" t="e">
        <v>#N/A</v>
      </c>
      <c r="O26" s="242" t="e">
        <v>#N/A</v>
      </c>
      <c r="P26" s="244" t="e">
        <v>#N/A</v>
      </c>
      <c r="Q26" s="295" t="e">
        <v>#N/A</v>
      </c>
      <c r="R26" s="245" t="e">
        <v>#N/A</v>
      </c>
      <c r="S26" s="245" t="e">
        <v>#N/A</v>
      </c>
      <c r="T26" s="261" t="e">
        <v>#N/A</v>
      </c>
    </row>
    <row r="27" spans="9:34" x14ac:dyDescent="0.2">
      <c r="L27" s="267" t="e">
        <v>#N/A</v>
      </c>
      <c r="O27" s="251" t="e">
        <v>#N/A</v>
      </c>
      <c r="P27" s="252" t="e">
        <v>#N/A</v>
      </c>
      <c r="Q27" s="296" t="e">
        <v>#N/A</v>
      </c>
      <c r="R27" s="253" t="e">
        <v>#N/A</v>
      </c>
      <c r="S27" s="253" t="e">
        <v>#N/A</v>
      </c>
      <c r="T27" s="262" t="e">
        <v>#N/A</v>
      </c>
    </row>
    <row r="28" spans="9:34" ht="12" thickBot="1" x14ac:dyDescent="0.25">
      <c r="I28" s="258"/>
      <c r="J28" s="258"/>
    </row>
    <row r="29" spans="9:34" ht="12" thickBot="1" x14ac:dyDescent="0.25">
      <c r="O29" s="268" t="str">
        <f>"Delta "&amp;$J$1</f>
        <v>Delta 1Y</v>
      </c>
      <c r="P29" s="268"/>
      <c r="Q29" s="269"/>
      <c r="R29" s="269"/>
      <c r="S29" s="270"/>
      <c r="T29" s="270"/>
      <c r="U29" s="270"/>
      <c r="V29" s="270"/>
      <c r="W29" s="270"/>
    </row>
    <row r="30" spans="9:34" x14ac:dyDescent="0.2">
      <c r="I30" s="258"/>
      <c r="J30" s="258"/>
      <c r="O30" s="217" t="str">
        <f>J1&amp;" Instruments"</f>
        <v>1Y Instruments</v>
      </c>
      <c r="P30" s="218" t="s">
        <v>119</v>
      </c>
      <c r="Q30" s="218" t="s">
        <v>120</v>
      </c>
      <c r="R30" s="218" t="s">
        <v>146</v>
      </c>
      <c r="S30" s="218" t="str">
        <f>"F "&amp;J1</f>
        <v>F 1Y</v>
      </c>
      <c r="T30" s="218" t="s">
        <v>149</v>
      </c>
      <c r="U30" s="218" t="s">
        <v>147</v>
      </c>
      <c r="V30" s="218" t="s">
        <v>148</v>
      </c>
      <c r="W30" s="219" t="s">
        <v>150</v>
      </c>
      <c r="X30" s="219" t="s">
        <v>160</v>
      </c>
    </row>
    <row r="31" spans="9:34" x14ac:dyDescent="0.2">
      <c r="M31" s="303">
        <v>0</v>
      </c>
      <c r="N31" s="303">
        <f>M31+12</f>
        <v>12</v>
      </c>
      <c r="O31" s="305" t="str">
        <f>M31&amp;"x"&amp;N31</f>
        <v>0x12</v>
      </c>
      <c r="P31" s="306">
        <f>_xll.qlCalendarAdvance(Calendar,SettlementDate,M31&amp;"M","mf")</f>
        <v>41997</v>
      </c>
      <c r="Q31" s="306">
        <f>_xll.qlInterestRateIndexMaturity(IborIndex1Y,P31)</f>
        <v>42362</v>
      </c>
      <c r="R31" s="382">
        <f>_xll.qlDayCounterYearFraction(DayCounter,P31,Q31,,,Trigger)</f>
        <v>1.0138888888888888</v>
      </c>
      <c r="S31" s="383">
        <f>_xll.qlIndexFixing(IborIndex1Y,_xll.qlInterestRateIndexFixingDate(IborIndex1Y,P31,Trigger),TRUE,AllTriggers)</f>
        <v>3.2900000000000364E-3</v>
      </c>
      <c r="T31" s="383">
        <f>(U31/V31-1)/R31</f>
        <v>-5.700000000000659E-4</v>
      </c>
      <c r="U31" s="384">
        <f>_xll.qlYieldTSDiscount(Discounting,P31,,AllTriggers)</f>
        <v>1</v>
      </c>
      <c r="V31" s="384">
        <f>_xll.qlYieldTSDiscount(Discounting,Q31,,AllTriggers)</f>
        <v>1.000578250847469</v>
      </c>
      <c r="W31" s="441">
        <f>LN((1+S31*R31)/(1+T31*R31))</f>
        <v>3.9082270816644038E-3</v>
      </c>
      <c r="X31" s="383">
        <f>S31-T31</f>
        <v>3.8600000000001021E-3</v>
      </c>
    </row>
    <row r="32" spans="9:34" x14ac:dyDescent="0.2">
      <c r="I32" s="258"/>
      <c r="J32" s="258"/>
      <c r="M32" s="303">
        <f>M31+12</f>
        <v>12</v>
      </c>
      <c r="N32" s="303">
        <f t="shared" ref="N32:N36" si="1">M32+12</f>
        <v>24</v>
      </c>
      <c r="O32" s="307" t="str">
        <f t="shared" ref="O32:O36" si="2">M32&amp;"x"&amp;N32</f>
        <v>12x24</v>
      </c>
      <c r="P32" s="308">
        <f>_xll.qlCalendarAdvance(Calendar,SettlementDate,M32&amp;"M","mf")</f>
        <v>42362</v>
      </c>
      <c r="Q32" s="308">
        <f>_xll.qlInterestRateIndexMaturity(IborIndex1Y,P32)</f>
        <v>42731</v>
      </c>
      <c r="R32" s="345">
        <f>_xll.qlDayCounterYearFraction(DayCounter,P32,Q32,,,Trigger)</f>
        <v>1.0249999999999999</v>
      </c>
      <c r="S32" s="32">
        <f>_xll.qlIndexFixing(IborIndex1Y,_xll.qlInterestRateIndexFixingDate(IborIndex1Y,P32,Trigger),TRUE,AllTriggers)</f>
        <v>3.4500000000000186E-3</v>
      </c>
      <c r="T32" s="32">
        <f t="shared" ref="T32:T36" si="3">(U32/V32-1)/R32</f>
        <v>-5.6999999999995412E-4</v>
      </c>
      <c r="U32" s="348">
        <f>_xll.qlYieldTSDiscount(Discounting,P32,,AllTriggers)</f>
        <v>1.000578250847469</v>
      </c>
      <c r="V32" s="348">
        <f>_xll.qlYieldTSDiscount(Discounting,Q32,,AllTriggers)</f>
        <v>1.0011631804356385</v>
      </c>
      <c r="W32" s="442">
        <f t="shared" ref="W32:W36" si="4">LN((1+S32*R32)/(1+T32*R32))</f>
        <v>4.1144329098669833E-3</v>
      </c>
      <c r="X32" s="32">
        <f t="shared" ref="X32:X36" si="5">S32-T32</f>
        <v>4.0199999999999724E-3</v>
      </c>
    </row>
    <row r="33" spans="9:24" x14ac:dyDescent="0.2">
      <c r="M33" s="303">
        <f t="shared" ref="M33:M36" si="6">M32+12</f>
        <v>24</v>
      </c>
      <c r="N33" s="303">
        <f t="shared" si="1"/>
        <v>36</v>
      </c>
      <c r="O33" s="307" t="str">
        <f t="shared" si="2"/>
        <v>24x36</v>
      </c>
      <c r="P33" s="308">
        <f>_xll.qlCalendarAdvance(Calendar,SettlementDate,M33&amp;"M","mf")</f>
        <v>42731</v>
      </c>
      <c r="Q33" s="308">
        <f>_xll.qlInterestRateIndexMaturity(IborIndex1Y,P33)</f>
        <v>43096</v>
      </c>
      <c r="R33" s="345">
        <f>_xll.qlDayCounterYearFraction(DayCounter,P33,Q33,,,Trigger)</f>
        <v>1.0138888888888888</v>
      </c>
      <c r="S33" s="32">
        <f>_xll.qlIndexFixing(IborIndex1Y,_xll.qlInterestRateIndexFixingDate(IborIndex1Y,P33,Trigger),TRUE,AllTriggers)</f>
        <v>4.8533118075731307E-3</v>
      </c>
      <c r="T33" s="32">
        <f t="shared" si="3"/>
        <v>3.3331621541769416E-4</v>
      </c>
      <c r="U33" s="348">
        <f>_xll.qlYieldTSDiscount(Discounting,P33,,AllTriggers)</f>
        <v>1.0011631804356385</v>
      </c>
      <c r="V33" s="348">
        <f>_xll.qlYieldTSDiscount(Discounting,Q33,,AllTriggers)</f>
        <v>1.0008249560380706</v>
      </c>
      <c r="W33" s="442">
        <f t="shared" si="4"/>
        <v>4.5707632320451863E-3</v>
      </c>
      <c r="X33" s="32">
        <f t="shared" si="5"/>
        <v>4.5199955921554364E-3</v>
      </c>
    </row>
    <row r="34" spans="9:24" x14ac:dyDescent="0.2">
      <c r="I34" s="258"/>
      <c r="J34" s="258"/>
      <c r="M34" s="303">
        <f t="shared" si="6"/>
        <v>36</v>
      </c>
      <c r="N34" s="303">
        <f t="shared" si="1"/>
        <v>48</v>
      </c>
      <c r="O34" s="307" t="str">
        <f t="shared" si="2"/>
        <v>36x48</v>
      </c>
      <c r="P34" s="308">
        <f>_xll.qlCalendarAdvance(Calendar,SettlementDate,M34&amp;"M","mf")</f>
        <v>43096</v>
      </c>
      <c r="Q34" s="308">
        <f>_xll.qlInterestRateIndexMaturity(IborIndex1Y,P34)</f>
        <v>43461</v>
      </c>
      <c r="R34" s="345">
        <f>_xll.qlDayCounterYearFraction(DayCounter,P34,Q34,,,Trigger)</f>
        <v>1.0138888888888888</v>
      </c>
      <c r="S34" s="32">
        <f>_xll.qlIndexFixing(IborIndex1Y,_xll.qlInterestRateIndexFixingDate(IborIndex1Y,P34,Trigger),TRUE,AllTriggers)</f>
        <v>6.5905131618677129E-3</v>
      </c>
      <c r="T34" s="32">
        <f t="shared" si="3"/>
        <v>1.6028828260810548E-3</v>
      </c>
      <c r="U34" s="348">
        <f>_xll.qlYieldTSDiscount(Discounting,P34,,AllTriggers)</f>
        <v>1.0008249560380706</v>
      </c>
      <c r="V34" s="348">
        <f>_xll.qlYieldTSDiscount(Discounting,Q34,,AllTriggers)</f>
        <v>0.99920110926387151</v>
      </c>
      <c r="W34" s="442">
        <f t="shared" si="4"/>
        <v>5.0359961703303055E-3</v>
      </c>
      <c r="X34" s="32">
        <f t="shared" si="5"/>
        <v>4.9876303357866579E-3</v>
      </c>
    </row>
    <row r="35" spans="9:24" x14ac:dyDescent="0.2">
      <c r="M35" s="303">
        <f t="shared" si="6"/>
        <v>48</v>
      </c>
      <c r="N35" s="303">
        <f t="shared" si="1"/>
        <v>60</v>
      </c>
      <c r="O35" s="307" t="str">
        <f t="shared" si="2"/>
        <v>48x60</v>
      </c>
      <c r="P35" s="308">
        <f>_xll.qlCalendarAdvance(Calendar,SettlementDate,M35&amp;"M","mf")</f>
        <v>43458</v>
      </c>
      <c r="Q35" s="308">
        <f>_xll.qlInterestRateIndexMaturity(IborIndex1Y,P35)</f>
        <v>43823</v>
      </c>
      <c r="R35" s="380">
        <f>_xll.qlDayCounterYearFraction(DayCounter,P35,Q35,,,Trigger)</f>
        <v>1.0138888888888888</v>
      </c>
      <c r="S35" s="381">
        <f>_xll.qlIndexFixing(IborIndex1Y,_xll.qlInterestRateIndexFixingDate(IborIndex1Y,P35,Trigger),TRUE,AllTriggers)</f>
        <v>8.5461369793731149E-3</v>
      </c>
      <c r="T35" s="32">
        <f t="shared" si="3"/>
        <v>3.3030613851594498E-3</v>
      </c>
      <c r="U35" s="348">
        <f>_xll.qlYieldTSDiscount(Discounting,P35,,AllTriggers)</f>
        <v>0.99922856721158149</v>
      </c>
      <c r="V35" s="348">
        <f>_xll.qlYieldTSDiscount(Discounting,Q35,,AllTriggers)</f>
        <v>0.99589338277718886</v>
      </c>
      <c r="W35" s="442">
        <f t="shared" si="4"/>
        <v>5.2841670725471135E-3</v>
      </c>
      <c r="X35" s="32">
        <f t="shared" si="5"/>
        <v>5.2430755942136651E-3</v>
      </c>
    </row>
    <row r="36" spans="9:24" x14ac:dyDescent="0.2">
      <c r="I36" s="258"/>
      <c r="J36" s="258"/>
      <c r="M36" s="303">
        <f t="shared" si="6"/>
        <v>60</v>
      </c>
      <c r="N36" s="303">
        <f t="shared" si="1"/>
        <v>72</v>
      </c>
      <c r="O36" s="309" t="str">
        <f t="shared" si="2"/>
        <v>60x72</v>
      </c>
      <c r="P36" s="310">
        <f>_xll.qlCalendarAdvance(Calendar,SettlementDate,M36&amp;"M","mf")</f>
        <v>43823</v>
      </c>
      <c r="Q36" s="310">
        <f>_xll.qlInterestRateIndexMaturity(IborIndex1Y,P36)</f>
        <v>44189</v>
      </c>
      <c r="R36" s="385">
        <f>_xll.qlDayCounterYearFraction(DayCounter,P36,Q36,,,Trigger)</f>
        <v>1.0166666666666666</v>
      </c>
      <c r="S36" s="386">
        <f>_xll.qlIndexFixing(IborIndex1Y,_xll.qlInterestRateIndexFixingDate(IborIndex1Y,P36,Trigger),TRUE,AllTriggers)</f>
        <v>1.0555774578395993E-2</v>
      </c>
      <c r="T36" s="387">
        <f t="shared" si="3"/>
        <v>5.6994538598566123E-3</v>
      </c>
      <c r="U36" s="388">
        <f>_xll.qlYieldTSDiscount(Discounting,P36,,AllTriggers)</f>
        <v>0.99589338277718886</v>
      </c>
      <c r="V36" s="388">
        <f>_xll.qlYieldTSDiscount(Discounting,Q36,,AllTriggers)</f>
        <v>0.99015597865752869</v>
      </c>
      <c r="W36" s="443">
        <f t="shared" si="4"/>
        <v>4.8968065855255127E-3</v>
      </c>
      <c r="X36" s="387">
        <f t="shared" si="5"/>
        <v>4.8563207185393807E-3</v>
      </c>
    </row>
    <row r="37" spans="9:24" x14ac:dyDescent="0.2">
      <c r="O37" s="303"/>
      <c r="P37" s="303"/>
      <c r="Q37" s="301"/>
      <c r="R37" s="301"/>
      <c r="S37" s="301"/>
      <c r="T37" s="302"/>
      <c r="U37" s="303"/>
      <c r="V37" s="302"/>
      <c r="W37" s="304"/>
      <c r="X37" s="302"/>
    </row>
    <row r="38" spans="9:24" x14ac:dyDescent="0.2">
      <c r="I38" s="258"/>
      <c r="J38" s="258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64</vt:i4>
      </vt:variant>
    </vt:vector>
  </HeadingPairs>
  <TitlesOfParts>
    <vt:vector size="7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delta3Minterpolation</vt:lpstr>
      <vt:lpstr>delta6Minterpolation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2014-12-22T14:33:47Z</dcterms:modified>
</cp:coreProperties>
</file>