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45" windowWidth="7650" windowHeight="7755" activeTab="9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_lin_6M">'Delta 6M '!$AJ$5</definedName>
    <definedName name="a_quad_6M">'Delta 6M '!$AK$5</definedName>
    <definedName name="Accuracy">'General Settings'!$D$30</definedName>
    <definedName name="AllTriggers">'General Settings'!$I$17:$I$21</definedName>
    <definedName name="b_lin_6M">'Delta 6M '!$AJ$4</definedName>
    <definedName name="b_quad_6M">'Delta 6M '!$AK$4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_quad_6M">'Delta 6M '!$AK$3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'!$N$4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9" hidden="1">'Delta 6M '!$AJ$4:$AJ$5</definedName>
    <definedName name="solver_cvg" localSheetId="9" hidden="1">0.000000000001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'Delta 6M '!$AJ$6</definedName>
    <definedName name="solver_pre" localSheetId="9" hidden="1">0.00000000000001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E3" i="40" l="1"/>
  <c r="C3" i="40"/>
  <c r="D3" i="40" s="1"/>
  <c r="R10" i="39"/>
  <c r="R11" i="39"/>
  <c r="Q11" i="39"/>
  <c r="R12" i="39"/>
  <c r="Q12" i="39"/>
  <c r="E6" i="40"/>
  <c r="E5" i="40"/>
  <c r="F3" i="40"/>
  <c r="G3" i="40"/>
  <c r="Q3" i="40"/>
  <c r="I3" i="40"/>
  <c r="R3" i="40"/>
  <c r="J3" i="40"/>
  <c r="Y5" i="40" l="1"/>
  <c r="Y6" i="40"/>
  <c r="Y3" i="40"/>
  <c r="S3" i="40"/>
  <c r="V3" i="40"/>
  <c r="K3" i="40"/>
  <c r="R18" i="39"/>
  <c r="Q15" i="39"/>
  <c r="Q20" i="39"/>
  <c r="R16" i="39"/>
  <c r="R22" i="39"/>
  <c r="R21" i="39"/>
  <c r="Q22" i="39"/>
  <c r="R15" i="39"/>
  <c r="R17" i="39"/>
  <c r="Q17" i="39"/>
  <c r="R20" i="39"/>
  <c r="Q24" i="39"/>
  <c r="Q16" i="39"/>
  <c r="R23" i="39"/>
  <c r="R19" i="39"/>
  <c r="Q18" i="39"/>
  <c r="Q21" i="39"/>
  <c r="R24" i="39"/>
  <c r="Q23" i="39"/>
  <c r="Q19" i="39"/>
  <c r="L3" i="33" l="1" a="1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8"/>
  <c r="B6" i="48"/>
  <c r="B7" i="48"/>
  <c r="B4" i="48"/>
  <c r="J13" i="48"/>
  <c r="O30" i="47"/>
  <c r="N31" i="47"/>
  <c r="O31" i="47" s="1"/>
  <c r="S30" i="47"/>
  <c r="O29" i="47"/>
  <c r="H2" i="40"/>
  <c r="D2" i="40"/>
  <c r="C6" i="40"/>
  <c r="C5" i="40"/>
  <c r="C4" i="40"/>
  <c r="H2" i="42"/>
  <c r="D2" i="42"/>
  <c r="N27" i="45"/>
  <c r="O27" i="45" s="1"/>
  <c r="N28" i="45"/>
  <c r="O28" i="45" s="1"/>
  <c r="N29" i="45"/>
  <c r="O29" i="45" s="1"/>
  <c r="N26" i="45"/>
  <c r="O26" i="45" s="1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C5" i="48"/>
  <c r="C6" i="48"/>
  <c r="C7" i="48"/>
  <c r="C4" i="48"/>
  <c r="L4" i="48"/>
  <c r="L3" i="48"/>
  <c r="P3" i="39"/>
  <c r="P4" i="43"/>
  <c r="P3" i="43"/>
  <c r="C4" i="39"/>
  <c r="M33" i="47" l="1"/>
  <c r="N32" i="47"/>
  <c r="O32" i="47" s="1"/>
  <c r="Q3" i="45"/>
  <c r="M34" i="47" l="1"/>
  <c r="N33" i="47"/>
  <c r="O33" i="47"/>
  <c r="Q4" i="47"/>
  <c r="Q3" i="47"/>
  <c r="J6" i="47"/>
  <c r="J7" i="47"/>
  <c r="J8" i="47"/>
  <c r="J9" i="47"/>
  <c r="J10" i="47"/>
  <c r="J5" i="47"/>
  <c r="J4" i="47"/>
  <c r="K1" i="47"/>
  <c r="L1" i="47"/>
  <c r="K4" i="47"/>
  <c r="K8" i="47"/>
  <c r="O8" i="47" s="1"/>
  <c r="S8" i="47"/>
  <c r="K5" i="47"/>
  <c r="T5" i="47" s="1"/>
  <c r="S4" i="47"/>
  <c r="L4" i="47"/>
  <c r="O4" i="47"/>
  <c r="M35" i="47" l="1"/>
  <c r="N34" i="47"/>
  <c r="O34" i="47"/>
  <c r="J5" i="45"/>
  <c r="J6" i="45"/>
  <c r="J7" i="45"/>
  <c r="J8" i="45"/>
  <c r="J9" i="45"/>
  <c r="J4" i="45"/>
  <c r="K9" i="47"/>
  <c r="T4" i="47"/>
  <c r="K7" i="45"/>
  <c r="K6" i="45"/>
  <c r="L6" i="45" s="1"/>
  <c r="K5" i="45"/>
  <c r="S5" i="45"/>
  <c r="L5" i="45"/>
  <c r="T7" i="45"/>
  <c r="K9" i="45"/>
  <c r="K4" i="45"/>
  <c r="T4" i="45" s="1"/>
  <c r="L9" i="45"/>
  <c r="L1" i="45"/>
  <c r="S7" i="45"/>
  <c r="T8" i="47"/>
  <c r="K6" i="47"/>
  <c r="S5" i="47"/>
  <c r="O5" i="47"/>
  <c r="L5" i="47"/>
  <c r="K10" i="47"/>
  <c r="T10" i="47" s="1"/>
  <c r="L10" i="47"/>
  <c r="L4" i="45"/>
  <c r="S9" i="47"/>
  <c r="S4" i="45"/>
  <c r="K8" i="45"/>
  <c r="O6" i="47"/>
  <c r="L8" i="47"/>
  <c r="O9" i="45"/>
  <c r="K7" i="47"/>
  <c r="O9" i="47"/>
  <c r="S6" i="45"/>
  <c r="T9" i="47"/>
  <c r="T5" i="45"/>
  <c r="O5" i="45"/>
  <c r="T6" i="47"/>
  <c r="L7" i="47"/>
  <c r="S7" i="47"/>
  <c r="O7" i="47"/>
  <c r="T7" i="47"/>
  <c r="M36" i="47" l="1"/>
  <c r="N35" i="47"/>
  <c r="O35" i="47"/>
  <c r="C6" i="39"/>
  <c r="C7" i="39"/>
  <c r="C5" i="39"/>
  <c r="L8" i="45"/>
  <c r="T8" i="45"/>
  <c r="L6" i="47"/>
  <c r="T6" i="45"/>
  <c r="O4" i="45"/>
  <c r="L9" i="47"/>
  <c r="O10" i="47"/>
  <c r="S6" i="47"/>
  <c r="O7" i="45"/>
  <c r="T9" i="45"/>
  <c r="O8" i="45"/>
  <c r="S8" i="45"/>
  <c r="L7" i="45"/>
  <c r="S9" i="45"/>
  <c r="S10" i="47"/>
  <c r="O6" i="45"/>
  <c r="N36" i="47" l="1"/>
  <c r="O36" i="47"/>
  <c r="D6" i="40"/>
  <c r="D5" i="40"/>
  <c r="A7" i="40"/>
  <c r="E7" i="40"/>
  <c r="Y7" i="40" l="1"/>
  <c r="A8" i="40"/>
  <c r="C7" i="40"/>
  <c r="D7" i="40" s="1"/>
  <c r="E8" i="40"/>
  <c r="Y8" i="40" l="1"/>
  <c r="A9" i="40"/>
  <c r="C8" i="40"/>
  <c r="D8" i="40" s="1"/>
  <c r="E9" i="40"/>
  <c r="Y9" i="40" l="1"/>
  <c r="C9" i="40"/>
  <c r="D9" i="40" s="1"/>
  <c r="A10" i="40"/>
  <c r="Y2" i="40"/>
  <c r="E10" i="40"/>
  <c r="C10" i="40" l="1"/>
  <c r="D10" i="40" s="1"/>
  <c r="A11" i="40"/>
  <c r="E11" i="40"/>
  <c r="C11" i="40" l="1"/>
  <c r="D11" i="40" s="1"/>
  <c r="A12" i="40"/>
  <c r="E12" i="40"/>
  <c r="C12" i="40" l="1"/>
  <c r="D12" i="40" s="1"/>
  <c r="A13" i="40"/>
  <c r="E13" i="40"/>
  <c r="C13" i="40" l="1"/>
  <c r="D13" i="40" s="1"/>
  <c r="A14" i="40"/>
  <c r="I21" i="29"/>
  <c r="E14" i="40"/>
  <c r="I18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E15" i="40"/>
  <c r="C15" i="40" l="1"/>
  <c r="D15" i="40" s="1"/>
  <c r="A16" i="40"/>
  <c r="C2" i="33"/>
  <c r="A9" i="33"/>
  <c r="E16" i="40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E17" i="40"/>
  <c r="C17" i="40" l="1"/>
  <c r="D17" i="40" s="1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E18" i="40"/>
  <c r="D48" i="33"/>
  <c r="D80" i="33"/>
  <c r="D54" i="33"/>
  <c r="D83" i="33"/>
  <c r="D76" i="33"/>
  <c r="D47" i="33"/>
  <c r="D64" i="33"/>
  <c r="D55" i="33"/>
  <c r="D77" i="33"/>
  <c r="D41" i="33"/>
  <c r="D52" i="33"/>
  <c r="D53" i="33"/>
  <c r="D81" i="33"/>
  <c r="D60" i="33"/>
  <c r="D45" i="33"/>
  <c r="D59" i="33"/>
  <c r="D69" i="33"/>
  <c r="D84" i="33"/>
  <c r="D72" i="33"/>
  <c r="D42" i="33"/>
  <c r="D79" i="33"/>
  <c r="D67" i="33"/>
  <c r="D43" i="33"/>
  <c r="D57" i="33"/>
  <c r="D75" i="33"/>
  <c r="D63" i="33"/>
  <c r="D65" i="33"/>
  <c r="D66" i="33"/>
  <c r="D62" i="33"/>
  <c r="D46" i="33"/>
  <c r="D68" i="33"/>
  <c r="D61" i="33"/>
  <c r="D71" i="33"/>
  <c r="D44" i="33"/>
  <c r="D78" i="33"/>
  <c r="D73" i="33"/>
  <c r="D82" i="33"/>
  <c r="D51" i="33"/>
  <c r="D50" i="33"/>
  <c r="D49" i="33"/>
  <c r="D58" i="33"/>
  <c r="D74" i="33"/>
  <c r="D56" i="33"/>
  <c r="D70" i="33"/>
  <c r="C18" i="40" l="1"/>
  <c r="D18" i="40" s="1"/>
  <c r="A19" i="40"/>
  <c r="C9" i="33"/>
  <c r="C12" i="33"/>
  <c r="C13" i="33"/>
  <c r="C8" i="33"/>
  <c r="C14" i="33"/>
  <c r="C11" i="33"/>
  <c r="C10" i="33"/>
  <c r="A4" i="33"/>
  <c r="A26" i="33"/>
  <c r="A16" i="33"/>
  <c r="E19" i="40"/>
  <c r="E83" i="33"/>
  <c r="E67" i="33"/>
  <c r="E84" i="33"/>
  <c r="E71" i="33"/>
  <c r="E73" i="33"/>
  <c r="E59" i="33"/>
  <c r="E61" i="33"/>
  <c r="E57" i="33"/>
  <c r="E51" i="33"/>
  <c r="E48" i="33"/>
  <c r="E74" i="33"/>
  <c r="E45" i="33"/>
  <c r="E63" i="33"/>
  <c r="E49" i="33"/>
  <c r="E68" i="33"/>
  <c r="E58" i="33"/>
  <c r="E50" i="33"/>
  <c r="E52" i="33"/>
  <c r="E76" i="33"/>
  <c r="E42" i="33"/>
  <c r="E80" i="33"/>
  <c r="E77" i="33"/>
  <c r="E75" i="33"/>
  <c r="E46" i="33"/>
  <c r="E72" i="33"/>
  <c r="E69" i="33"/>
  <c r="E81" i="33"/>
  <c r="E44" i="33"/>
  <c r="E79" i="33"/>
  <c r="E60" i="33"/>
  <c r="E64" i="33"/>
  <c r="E55" i="33"/>
  <c r="E65" i="33"/>
  <c r="E41" i="33"/>
  <c r="E78" i="33"/>
  <c r="E47" i="33"/>
  <c r="E82" i="33"/>
  <c r="E66" i="33"/>
  <c r="E43" i="33"/>
  <c r="E53" i="33"/>
  <c r="E56" i="33"/>
  <c r="E54" i="33"/>
  <c r="E62" i="33"/>
  <c r="E70" i="33"/>
  <c r="C19" i="40" l="1"/>
  <c r="D19" i="40" s="1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E20" i="40"/>
  <c r="D22" i="33"/>
  <c r="D18" i="33"/>
  <c r="D28" i="33"/>
  <c r="D23" i="33"/>
  <c r="D7" i="33"/>
  <c r="D35" i="33"/>
  <c r="D39" i="33"/>
  <c r="D30" i="33"/>
  <c r="D11" i="33"/>
  <c r="D24" i="33"/>
  <c r="D34" i="33"/>
  <c r="D5" i="33"/>
  <c r="D21" i="33"/>
  <c r="D37" i="33"/>
  <c r="D8" i="33"/>
  <c r="D17" i="29"/>
  <c r="D7" i="39"/>
  <c r="D2" i="35"/>
  <c r="E23" i="39"/>
  <c r="P31" i="47"/>
  <c r="P36" i="47"/>
  <c r="D33" i="35"/>
  <c r="D11" i="35"/>
  <c r="D13" i="33"/>
  <c r="D49" i="35"/>
  <c r="D27" i="33"/>
  <c r="E15" i="48"/>
  <c r="D50" i="35"/>
  <c r="D46" i="35"/>
  <c r="D43" i="35"/>
  <c r="D44" i="35"/>
  <c r="D7" i="35"/>
  <c r="D29" i="33"/>
  <c r="E22" i="49"/>
  <c r="D14" i="33"/>
  <c r="D9" i="33"/>
  <c r="D35" i="35"/>
  <c r="E22" i="39"/>
  <c r="D5" i="39"/>
  <c r="E16" i="49"/>
  <c r="P32" i="47"/>
  <c r="D10" i="33"/>
  <c r="D40" i="35"/>
  <c r="D25" i="33"/>
  <c r="D14" i="35"/>
  <c r="D24" i="35"/>
  <c r="E17" i="43"/>
  <c r="E28" i="49"/>
  <c r="D32" i="35"/>
  <c r="D3" i="35"/>
  <c r="D6" i="35"/>
  <c r="D22" i="35"/>
  <c r="E23" i="49"/>
  <c r="D4" i="33"/>
  <c r="D33" i="33"/>
  <c r="D19" i="33"/>
  <c r="P33" i="47"/>
  <c r="D15" i="35"/>
  <c r="C7" i="42"/>
  <c r="D5" i="35"/>
  <c r="E27" i="49"/>
  <c r="D6" i="39"/>
  <c r="B1" i="29"/>
  <c r="D26" i="33"/>
  <c r="E24" i="49"/>
  <c r="E21" i="49"/>
  <c r="D42" i="35"/>
  <c r="D5" i="48"/>
  <c r="P34" i="47"/>
  <c r="D5" i="49"/>
  <c r="D6" i="33"/>
  <c r="D32" i="33"/>
  <c r="D20" i="33"/>
  <c r="D26" i="35"/>
  <c r="E19" i="43"/>
  <c r="E17" i="48"/>
  <c r="D7" i="49"/>
  <c r="E20" i="49"/>
  <c r="D10" i="35"/>
  <c r="D16" i="33"/>
  <c r="E16" i="39"/>
  <c r="D31" i="33"/>
  <c r="D21" i="35"/>
  <c r="D15" i="33"/>
  <c r="D30" i="35"/>
  <c r="E21" i="43"/>
  <c r="D40" i="33"/>
  <c r="D4" i="35"/>
  <c r="D38" i="33"/>
  <c r="D12" i="33"/>
  <c r="D6" i="49"/>
  <c r="D45" i="35"/>
  <c r="D3" i="33"/>
  <c r="D25" i="35"/>
  <c r="D17" i="33"/>
  <c r="D18" i="29"/>
  <c r="D36" i="33"/>
  <c r="D8" i="35"/>
  <c r="D36" i="35"/>
  <c r="E26" i="49"/>
  <c r="E18" i="49"/>
  <c r="D17" i="35"/>
  <c r="D9" i="35"/>
  <c r="E15" i="39"/>
  <c r="D38" i="35"/>
  <c r="E17" i="49"/>
  <c r="D13" i="35"/>
  <c r="E20" i="43"/>
  <c r="E21" i="39"/>
  <c r="D37" i="35"/>
  <c r="D20" i="35"/>
  <c r="D29" i="35"/>
  <c r="D34" i="35"/>
  <c r="E17" i="39"/>
  <c r="E18" i="48"/>
  <c r="D31" i="35"/>
  <c r="E30" i="49"/>
  <c r="E24" i="39"/>
  <c r="E19" i="39"/>
  <c r="D19" i="35"/>
  <c r="E15" i="49"/>
  <c r="E19" i="49"/>
  <c r="D48" i="35"/>
  <c r="D23" i="35"/>
  <c r="E15" i="43"/>
  <c r="E16" i="43"/>
  <c r="D18" i="35"/>
  <c r="D16" i="35"/>
  <c r="E19" i="48"/>
  <c r="D7" i="48"/>
  <c r="D27" i="35"/>
  <c r="E18" i="43"/>
  <c r="E25" i="49"/>
  <c r="D39" i="35"/>
  <c r="D28" i="35"/>
  <c r="P35" i="47"/>
  <c r="D41" i="35"/>
  <c r="E20" i="39"/>
  <c r="E29" i="49"/>
  <c r="E18" i="39"/>
  <c r="D12" i="35"/>
  <c r="D47" i="35"/>
  <c r="E16" i="48"/>
  <c r="D6" i="48"/>
  <c r="C20" i="40" l="1"/>
  <c r="D20" i="40" s="1"/>
  <c r="A21" i="40"/>
  <c r="D4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H3" i="39"/>
  <c r="D17" i="39"/>
  <c r="E21" i="40"/>
  <c r="E5" i="48"/>
  <c r="E6" i="48"/>
  <c r="D4" i="43"/>
  <c r="G6" i="49"/>
  <c r="G6" i="48"/>
  <c r="G5" i="49"/>
  <c r="K4" i="43"/>
  <c r="D5" i="43"/>
  <c r="G5" i="48"/>
  <c r="A4" i="43"/>
  <c r="G7" i="48"/>
  <c r="K5" i="43"/>
  <c r="G7" i="49"/>
  <c r="E5" i="43"/>
  <c r="L5" i="43" s="1"/>
  <c r="B5" i="43" l="1"/>
  <c r="B4" i="43"/>
  <c r="C4" i="43"/>
  <c r="A5" i="43"/>
  <c r="C5" i="43" s="1"/>
  <c r="M5" i="43"/>
  <c r="C21" i="40"/>
  <c r="D21" i="40" s="1"/>
  <c r="A22" i="40"/>
  <c r="E22" i="40"/>
  <c r="D6" i="43"/>
  <c r="K6" i="43"/>
  <c r="E6" i="43"/>
  <c r="D7" i="43"/>
  <c r="K7" i="43"/>
  <c r="E7" i="43"/>
  <c r="H5" i="43"/>
  <c r="B7" i="43" l="1"/>
  <c r="A7" i="43"/>
  <c r="C7" i="43" s="1"/>
  <c r="B6" i="43"/>
  <c r="A6" i="43"/>
  <c r="C6" i="43" s="1"/>
  <c r="C22" i="40"/>
  <c r="D22" i="40" s="1"/>
  <c r="D2" i="33"/>
  <c r="D7" i="42" l="1"/>
  <c r="E6" i="49"/>
  <c r="AI3" i="39"/>
  <c r="J16" i="39"/>
  <c r="J19" i="43"/>
  <c r="K4" i="39"/>
  <c r="AC3" i="48"/>
  <c r="F25" i="49"/>
  <c r="K3" i="45"/>
  <c r="L3" i="45"/>
  <c r="H6" i="48"/>
  <c r="AF4" i="43"/>
  <c r="F20" i="49"/>
  <c r="E7" i="49"/>
  <c r="E7" i="39"/>
  <c r="H5" i="48"/>
  <c r="AB4" i="49"/>
  <c r="O3" i="45"/>
  <c r="J20" i="39"/>
  <c r="K5" i="39"/>
  <c r="F24" i="49"/>
  <c r="J19" i="39"/>
  <c r="K6" i="39"/>
  <c r="J16" i="43"/>
  <c r="AG3" i="43"/>
  <c r="J15" i="39"/>
  <c r="F16" i="49"/>
  <c r="F26" i="49"/>
  <c r="E4" i="43"/>
  <c r="AC3" i="49"/>
  <c r="J17" i="43"/>
  <c r="J15" i="43"/>
  <c r="F29" i="49"/>
  <c r="G4" i="49"/>
  <c r="F21" i="49"/>
  <c r="J18" i="39"/>
  <c r="F16" i="48"/>
  <c r="E6" i="39"/>
  <c r="AH4" i="39"/>
  <c r="K3" i="47"/>
  <c r="S3" i="47" s="1"/>
  <c r="J22" i="39"/>
  <c r="T3" i="47"/>
  <c r="E5" i="39"/>
  <c r="F28" i="49"/>
  <c r="J24" i="39"/>
  <c r="J21" i="43"/>
  <c r="G4" i="48"/>
  <c r="F23" i="49"/>
  <c r="F27" i="49"/>
  <c r="J21" i="39"/>
  <c r="K7" i="39"/>
  <c r="L13" i="45" a="1"/>
  <c r="J23" i="39"/>
  <c r="F30" i="49"/>
  <c r="F18" i="49"/>
  <c r="F15" i="48"/>
  <c r="AB4" i="48"/>
  <c r="F22" i="49"/>
  <c r="E5" i="49"/>
  <c r="T3" i="45"/>
  <c r="F17" i="49"/>
  <c r="E4" i="48"/>
  <c r="J20" i="43"/>
  <c r="J17" i="39"/>
  <c r="E4" i="39"/>
  <c r="F18" i="48"/>
  <c r="E7" i="48"/>
  <c r="F19" i="48"/>
  <c r="F17" i="48"/>
  <c r="F15" i="49"/>
  <c r="E4" i="49"/>
  <c r="J18" i="43"/>
  <c r="F19" i="49"/>
  <c r="S3" i="45"/>
  <c r="AN3" i="39" l="1"/>
  <c r="AM3" i="39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4" i="49"/>
  <c r="H4" i="39"/>
  <c r="L3" i="47"/>
  <c r="AB5" i="48"/>
  <c r="H7" i="48"/>
  <c r="O3" i="47"/>
  <c r="AI4" i="39"/>
  <c r="H7" i="49"/>
  <c r="L4" i="39"/>
  <c r="AB5" i="49"/>
  <c r="AG4" i="43"/>
  <c r="H6" i="43"/>
  <c r="H6" i="49"/>
  <c r="L7" i="43"/>
  <c r="H6" i="39"/>
  <c r="AC4" i="49"/>
  <c r="AC4" i="48"/>
  <c r="L5" i="39"/>
  <c r="L7" i="39"/>
  <c r="H7" i="43"/>
  <c r="H5" i="49"/>
  <c r="H4" i="48"/>
  <c r="H7" i="39"/>
  <c r="L6" i="39"/>
  <c r="H4" i="43"/>
  <c r="L4" i="43"/>
  <c r="H5" i="39"/>
  <c r="L6" i="43"/>
  <c r="AN4" i="39" l="1"/>
  <c r="AM4" i="39"/>
  <c r="M6" i="43"/>
  <c r="M7" i="43"/>
  <c r="M4" i="43"/>
  <c r="K4" i="48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E3" i="33"/>
  <c r="E5" i="33"/>
  <c r="E24" i="33"/>
  <c r="E23" i="33"/>
  <c r="E39" i="33"/>
  <c r="E25" i="33"/>
  <c r="E28" i="33"/>
  <c r="E34" i="33"/>
  <c r="E26" i="33"/>
  <c r="E7" i="33"/>
  <c r="E31" i="33"/>
  <c r="E20" i="33"/>
  <c r="E21" i="33"/>
  <c r="E32" i="33"/>
  <c r="E18" i="33"/>
  <c r="S13" i="45" a="1"/>
  <c r="E22" i="33"/>
  <c r="AB6" i="48"/>
  <c r="E15" i="33"/>
  <c r="E6" i="33"/>
  <c r="L14" i="47" a="1"/>
  <c r="E16" i="33"/>
  <c r="E40" i="33"/>
  <c r="AC5" i="49"/>
  <c r="R13" i="45" a="1"/>
  <c r="AB7" i="48"/>
  <c r="E35" i="33"/>
  <c r="E17" i="33"/>
  <c r="E30" i="33"/>
  <c r="E27" i="33"/>
  <c r="AH5" i="39"/>
  <c r="R14" i="47" a="1"/>
  <c r="E37" i="33"/>
  <c r="I34" i="29"/>
  <c r="E29" i="33"/>
  <c r="E33" i="33"/>
  <c r="S14" i="47" a="1"/>
  <c r="AB6" i="49"/>
  <c r="E36" i="33"/>
  <c r="O13" i="45" a="1"/>
  <c r="O14" i="47" a="1"/>
  <c r="E4" i="33"/>
  <c r="E19" i="33"/>
  <c r="AF5" i="43"/>
  <c r="AC6" i="48"/>
  <c r="AC5" i="48"/>
  <c r="E38" i="33"/>
  <c r="H38" i="29"/>
  <c r="H37" i="29"/>
  <c r="I28" i="2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AF6" i="43"/>
  <c r="AB7" i="49"/>
  <c r="AH6" i="39"/>
  <c r="Q26" i="45"/>
  <c r="AC6" i="49"/>
  <c r="I38" i="29"/>
  <c r="AC7" i="49"/>
  <c r="I37" i="29"/>
  <c r="AC7" i="48"/>
  <c r="AG5" i="43"/>
  <c r="AI5" i="39"/>
  <c r="AB8" i="49"/>
  <c r="AB8" i="48"/>
  <c r="AB9" i="49"/>
  <c r="AB10" i="49" s="1"/>
  <c r="AC10" i="49"/>
  <c r="AB11" i="49"/>
  <c r="AC11" i="49"/>
  <c r="AB12" i="49"/>
  <c r="AC12" i="49"/>
  <c r="AB13" i="49"/>
  <c r="AB14" i="49"/>
  <c r="AC13" i="49"/>
  <c r="AC14" i="49"/>
  <c r="AB15" i="49"/>
  <c r="AB16" i="49"/>
  <c r="AC15" i="49"/>
  <c r="AC16" i="49"/>
  <c r="AB17" i="49"/>
  <c r="AC17" i="49"/>
  <c r="AB18" i="49"/>
  <c r="AB19" i="49"/>
  <c r="AC18" i="49"/>
  <c r="AB20" i="49"/>
  <c r="AC19" i="49"/>
  <c r="AC20" i="49"/>
  <c r="AB21" i="49"/>
  <c r="AB22" i="49"/>
  <c r="AC21" i="49"/>
  <c r="AB23" i="49"/>
  <c r="AC22" i="49"/>
  <c r="AC23" i="49"/>
  <c r="AB24" i="49"/>
  <c r="AC24" i="49"/>
  <c r="AB25" i="49"/>
  <c r="AB26" i="49"/>
  <c r="AC25" i="49"/>
  <c r="AC26" i="49"/>
  <c r="AB27" i="49"/>
  <c r="AC27" i="49"/>
  <c r="AB28" i="49"/>
  <c r="AC28" i="49"/>
  <c r="AB29" i="49"/>
  <c r="AB30" i="49"/>
  <c r="AC29" i="49"/>
  <c r="AB31" i="49"/>
  <c r="AC30" i="49"/>
  <c r="AB32" i="49"/>
  <c r="AC31" i="49"/>
  <c r="AC32" i="49"/>
  <c r="AB33" i="49"/>
  <c r="AC33" i="49"/>
  <c r="AB34" i="49"/>
  <c r="AB35" i="49"/>
  <c r="AC34" i="49"/>
  <c r="AB36" i="49"/>
  <c r="AC35" i="49"/>
  <c r="AC36" i="49"/>
  <c r="AB37" i="49"/>
  <c r="AB38" i="49"/>
  <c r="AC37" i="49"/>
  <c r="AB39" i="49"/>
  <c r="AC38" i="49"/>
  <c r="AB40" i="49"/>
  <c r="AC39" i="49"/>
  <c r="AC40" i="49"/>
  <c r="AB41" i="49"/>
  <c r="AB42" i="49"/>
  <c r="AC41" i="49"/>
  <c r="AB43" i="49"/>
  <c r="AC42" i="49"/>
  <c r="AB44" i="49"/>
  <c r="AC43" i="49"/>
  <c r="AC44" i="49"/>
  <c r="AB45" i="49"/>
  <c r="AB46" i="49"/>
  <c r="AC45" i="49"/>
  <c r="AC46" i="49"/>
  <c r="AB47" i="49"/>
  <c r="AB48" i="49"/>
  <c r="AC47" i="49"/>
  <c r="AC48" i="49"/>
  <c r="AB49" i="49"/>
  <c r="AC49" i="49"/>
  <c r="AB50" i="49"/>
  <c r="AB51" i="49"/>
  <c r="AC50" i="49"/>
  <c r="AC51" i="49"/>
  <c r="AB52" i="49"/>
  <c r="AC52" i="49"/>
  <c r="AB53" i="49"/>
  <c r="AC53" i="49"/>
  <c r="AB54" i="49"/>
  <c r="AB55" i="49"/>
  <c r="AC54" i="49"/>
  <c r="AC55" i="49"/>
  <c r="AB56" i="49"/>
  <c r="AB57" i="49"/>
  <c r="AC56" i="49"/>
  <c r="AC57" i="49"/>
  <c r="AB58" i="49"/>
  <c r="AB59" i="49"/>
  <c r="AC58" i="49"/>
  <c r="AC59" i="49"/>
  <c r="AB60" i="49"/>
  <c r="AC60" i="49"/>
  <c r="AB61" i="49"/>
  <c r="AB62" i="49"/>
  <c r="AC61" i="49"/>
  <c r="AC62" i="49"/>
  <c r="AB63" i="49"/>
  <c r="AC63" i="49"/>
  <c r="AB64" i="49"/>
  <c r="AB65" i="49"/>
  <c r="AC64" i="49"/>
  <c r="AB66" i="49"/>
  <c r="AC65" i="49"/>
  <c r="AC66" i="49"/>
  <c r="AB67" i="49"/>
  <c r="AC67" i="49"/>
  <c r="AB68" i="49"/>
  <c r="AB69" i="49"/>
  <c r="AC68" i="49"/>
  <c r="AC69" i="49"/>
  <c r="AB70" i="49"/>
  <c r="AC70" i="49"/>
  <c r="AB71" i="49"/>
  <c r="AC71" i="49"/>
  <c r="AB72" i="49"/>
  <c r="AB73" i="49"/>
  <c r="AC72" i="49"/>
  <c r="AC73" i="49"/>
  <c r="AB74" i="49"/>
  <c r="AC74" i="49"/>
  <c r="AB75" i="49"/>
  <c r="AB76" i="49"/>
  <c r="AC75" i="49"/>
  <c r="AB77" i="49"/>
  <c r="AC76" i="49"/>
  <c r="AB78" i="49"/>
  <c r="AC77" i="49"/>
  <c r="AB79" i="49"/>
  <c r="AC78" i="49"/>
  <c r="AB80" i="49"/>
  <c r="AC79" i="49"/>
  <c r="AC80" i="49"/>
  <c r="AB81" i="49"/>
  <c r="AB82" i="49"/>
  <c r="AC81" i="49"/>
  <c r="AC82" i="49"/>
  <c r="AB83" i="49"/>
  <c r="AB84" i="49"/>
  <c r="AC83" i="49"/>
  <c r="AC84" i="49"/>
  <c r="AB85" i="49"/>
  <c r="AC85" i="49"/>
  <c r="AB86" i="49"/>
  <c r="AC86" i="49"/>
  <c r="AB87" i="49"/>
  <c r="AB88" i="49"/>
  <c r="AC87" i="49"/>
  <c r="AB89" i="49"/>
  <c r="AC88" i="49"/>
  <c r="AB90" i="49"/>
  <c r="AC89" i="49"/>
  <c r="AB91" i="49"/>
  <c r="AC90" i="49"/>
  <c r="AC91" i="49"/>
  <c r="AB92" i="49"/>
  <c r="AC92" i="49"/>
  <c r="AB93" i="49"/>
  <c r="AB94" i="49"/>
  <c r="AC93" i="49"/>
  <c r="AB95" i="49"/>
  <c r="AC94" i="49"/>
  <c r="AC95" i="49"/>
  <c r="AB96" i="49"/>
  <c r="AC96" i="49"/>
  <c r="AB97" i="49"/>
  <c r="AB98" i="49"/>
  <c r="AC97" i="49"/>
  <c r="AB99" i="49"/>
  <c r="AC98" i="49"/>
  <c r="AB100" i="49"/>
  <c r="AC99" i="49"/>
  <c r="AB101" i="49"/>
  <c r="AC100" i="49"/>
  <c r="AB102" i="49"/>
  <c r="AC101" i="49"/>
  <c r="AB103" i="49"/>
  <c r="AC102" i="49"/>
  <c r="AC103" i="49"/>
  <c r="AB104" i="49"/>
  <c r="AB105" i="49"/>
  <c r="AC104" i="49"/>
  <c r="AB106" i="49"/>
  <c r="AC105" i="49"/>
  <c r="AB107" i="49"/>
  <c r="AC106" i="49"/>
  <c r="AC107" i="49"/>
  <c r="AB108" i="49"/>
  <c r="AB109" i="49"/>
  <c r="AC108" i="49"/>
  <c r="AC109" i="49"/>
  <c r="AB110" i="49"/>
  <c r="AC110" i="49"/>
  <c r="AB111" i="49"/>
  <c r="AB112" i="49"/>
  <c r="AC111" i="49"/>
  <c r="AC112" i="49"/>
  <c r="AB113" i="49"/>
  <c r="AC113" i="49"/>
  <c r="AB114" i="49"/>
  <c r="AC114" i="49"/>
  <c r="AB115" i="49"/>
  <c r="AB116" i="49"/>
  <c r="AC115" i="49"/>
  <c r="AB117" i="49"/>
  <c r="AC116" i="49"/>
  <c r="AB118" i="49"/>
  <c r="AC117" i="49"/>
  <c r="AB119" i="49"/>
  <c r="AC118" i="49"/>
  <c r="AB120" i="49"/>
  <c r="AC119" i="49"/>
  <c r="AC120" i="49"/>
  <c r="AB121" i="49"/>
  <c r="AB122" i="49"/>
  <c r="AC121" i="49"/>
  <c r="AC122" i="49"/>
  <c r="AB123" i="49"/>
  <c r="AC123" i="49"/>
  <c r="AB124" i="49"/>
  <c r="AB125" i="49"/>
  <c r="AC124" i="49"/>
  <c r="AC125" i="49"/>
  <c r="AB126" i="49"/>
  <c r="AB127" i="49"/>
  <c r="AC126" i="49"/>
  <c r="AB128" i="49"/>
  <c r="AC127" i="49"/>
  <c r="AB129" i="49"/>
  <c r="AC128" i="49"/>
  <c r="AC129" i="49"/>
  <c r="AB130" i="49"/>
  <c r="AC130" i="49"/>
  <c r="AB131" i="49"/>
  <c r="AC131" i="49"/>
  <c r="AB132" i="49"/>
  <c r="AB133" i="49"/>
  <c r="AC132" i="49"/>
  <c r="AB134" i="49"/>
  <c r="AC133" i="49"/>
  <c r="AC134" i="49"/>
  <c r="AB135" i="49"/>
  <c r="AC135" i="49"/>
  <c r="AB136" i="49"/>
  <c r="AB137" i="49"/>
  <c r="AC136" i="49"/>
  <c r="AB138" i="49"/>
  <c r="AC137" i="49"/>
  <c r="AB139" i="49"/>
  <c r="AC138" i="49"/>
  <c r="AC139" i="49"/>
  <c r="AB140" i="49"/>
  <c r="AC140" i="49"/>
  <c r="AB141" i="49"/>
  <c r="AC141" i="49"/>
  <c r="AB142" i="49"/>
  <c r="AC142" i="49"/>
  <c r="AB143" i="49"/>
  <c r="AB144" i="49"/>
  <c r="AC143" i="49"/>
  <c r="AC144" i="49"/>
  <c r="AB145" i="49"/>
  <c r="AB146" i="49"/>
  <c r="AC145" i="49"/>
  <c r="AC146" i="49"/>
  <c r="AB147" i="49"/>
  <c r="AB148" i="49"/>
  <c r="AC147" i="49"/>
  <c r="AC148" i="49"/>
  <c r="AB149" i="49"/>
  <c r="AB150" i="49"/>
  <c r="AC149" i="49"/>
  <c r="AC150" i="49"/>
  <c r="AB151" i="49"/>
  <c r="AC151" i="49"/>
  <c r="AB152" i="49"/>
  <c r="AB153" i="49"/>
  <c r="AC152" i="49"/>
  <c r="AC153" i="49"/>
  <c r="AB154" i="49"/>
  <c r="AB155" i="49"/>
  <c r="AC154" i="49"/>
  <c r="AC155" i="49"/>
  <c r="AB156" i="49"/>
  <c r="AC156" i="49"/>
  <c r="AB157" i="49"/>
  <c r="AB158" i="49"/>
  <c r="AC157" i="49"/>
  <c r="AC158" i="49"/>
  <c r="AB159" i="49"/>
  <c r="AB160" i="49"/>
  <c r="AC159" i="49"/>
  <c r="AB161" i="49"/>
  <c r="AC160" i="49"/>
  <c r="AC161" i="49"/>
  <c r="AB162" i="49"/>
  <c r="AC162" i="49"/>
  <c r="AB163" i="49"/>
  <c r="AC163" i="49"/>
  <c r="AB164" i="49"/>
  <c r="AC164" i="49"/>
  <c r="AB165" i="49"/>
  <c r="AB166" i="49"/>
  <c r="AC165" i="49"/>
  <c r="AC166" i="49"/>
  <c r="AB167" i="49"/>
  <c r="AC167" i="49"/>
  <c r="AB168" i="49"/>
  <c r="AB169" i="49"/>
  <c r="AC168" i="49"/>
  <c r="AB170" i="49"/>
  <c r="AC169" i="49"/>
  <c r="AC170" i="49"/>
  <c r="AB171" i="49"/>
  <c r="AB172" i="49"/>
  <c r="AC171" i="49"/>
  <c r="AC172" i="49"/>
  <c r="AB173" i="49"/>
  <c r="AC173" i="49"/>
  <c r="AB174" i="49"/>
  <c r="AB175" i="49"/>
  <c r="AC174" i="49"/>
  <c r="AC175" i="49"/>
  <c r="AB176" i="49"/>
  <c r="AB177" i="49"/>
  <c r="AC176" i="49"/>
  <c r="AB178" i="49"/>
  <c r="AC177" i="49"/>
  <c r="AC178" i="49"/>
  <c r="AB179" i="49"/>
  <c r="AB180" i="49"/>
  <c r="AC179" i="49"/>
  <c r="AB181" i="49"/>
  <c r="AC180" i="49"/>
  <c r="AB182" i="49"/>
  <c r="AC181" i="49"/>
  <c r="AC182" i="49"/>
  <c r="AB183" i="49"/>
  <c r="AC183" i="49"/>
  <c r="AB184" i="49"/>
  <c r="AC184" i="49"/>
  <c r="AB185" i="49"/>
  <c r="AB186" i="49"/>
  <c r="AC185" i="49"/>
  <c r="AB187" i="49"/>
  <c r="AC186" i="49"/>
  <c r="AC187" i="49"/>
  <c r="AB188" i="49"/>
  <c r="AC188" i="49"/>
  <c r="AB189" i="49"/>
  <c r="AN5" i="39" l="1"/>
  <c r="AM5" i="39"/>
  <c r="P27" i="45"/>
  <c r="AC8" i="49"/>
  <c r="AC8" i="48"/>
  <c r="R26" i="45"/>
  <c r="AC9" i="49"/>
  <c r="D34" i="29"/>
  <c r="D33" i="29"/>
  <c r="Q27" i="45"/>
  <c r="AF7" i="43"/>
  <c r="AG7" i="43"/>
  <c r="AB190" i="49"/>
  <c r="AH7" i="39"/>
  <c r="AF8" i="43"/>
  <c r="AC189" i="49"/>
  <c r="AB9" i="48"/>
  <c r="AB10" i="48"/>
  <c r="AB11" i="48" s="1"/>
  <c r="AG6" i="43"/>
  <c r="I35" i="29"/>
  <c r="AC9" i="48"/>
  <c r="AI6" i="39"/>
  <c r="C37" i="29"/>
  <c r="AC10" i="48"/>
  <c r="C38" i="29"/>
  <c r="D35" i="29"/>
  <c r="AC11" i="48"/>
  <c r="AB12" i="48"/>
  <c r="AC12" i="48"/>
  <c r="AB13" i="48"/>
  <c r="AC13" i="48"/>
  <c r="AB14" i="48"/>
  <c r="AC14" i="48"/>
  <c r="AB15" i="48"/>
  <c r="AC15" i="48"/>
  <c r="AB16" i="48"/>
  <c r="AB17" i="48"/>
  <c r="AC16" i="48"/>
  <c r="AB18" i="48"/>
  <c r="AC17" i="48"/>
  <c r="AC18" i="48"/>
  <c r="AB19" i="48"/>
  <c r="AC19" i="48"/>
  <c r="AB20" i="48"/>
  <c r="AB21" i="48"/>
  <c r="AC20" i="48"/>
  <c r="AB22" i="48"/>
  <c r="AC21" i="48"/>
  <c r="AC22" i="48"/>
  <c r="AB23" i="48"/>
  <c r="AB24" i="48"/>
  <c r="AC23" i="48"/>
  <c r="AB25" i="48"/>
  <c r="AC24" i="48"/>
  <c r="AB26" i="48"/>
  <c r="AC25" i="48"/>
  <c r="AN6" i="39" l="1"/>
  <c r="AM6" i="39"/>
  <c r="P28" i="45"/>
  <c r="AC190" i="49"/>
  <c r="D28" i="29"/>
  <c r="B39" i="35"/>
  <c r="B43" i="35"/>
  <c r="B37" i="35"/>
  <c r="E50" i="35"/>
  <c r="B2" i="35"/>
  <c r="E43" i="35"/>
  <c r="B15" i="35"/>
  <c r="Q34" i="47"/>
  <c r="E32" i="35"/>
  <c r="E7" i="35"/>
  <c r="B47" i="35"/>
  <c r="E10" i="35"/>
  <c r="E28" i="35"/>
  <c r="E21" i="35"/>
  <c r="B20" i="35"/>
  <c r="Q28" i="45"/>
  <c r="E42" i="35"/>
  <c r="B29" i="35"/>
  <c r="AH8" i="39"/>
  <c r="E17" i="35"/>
  <c r="B25" i="35"/>
  <c r="E2" i="35"/>
  <c r="R27" i="45"/>
  <c r="B42" i="35"/>
  <c r="B26" i="35"/>
  <c r="B9" i="35"/>
  <c r="B35" i="35"/>
  <c r="E5" i="35"/>
  <c r="E8" i="35"/>
  <c r="AI7" i="39"/>
  <c r="Q31" i="47"/>
  <c r="D38" i="29"/>
  <c r="E13" i="35"/>
  <c r="E29" i="35"/>
  <c r="E16" i="35"/>
  <c r="B22" i="35"/>
  <c r="B16" i="35"/>
  <c r="E38" i="35"/>
  <c r="B27" i="35"/>
  <c r="B17" i="35"/>
  <c r="B18" i="35"/>
  <c r="E41" i="35"/>
  <c r="E20" i="35"/>
  <c r="B31" i="35"/>
  <c r="B45" i="35"/>
  <c r="B10" i="35"/>
  <c r="B4" i="35"/>
  <c r="B44" i="35"/>
  <c r="E39" i="35"/>
  <c r="AC26" i="48"/>
  <c r="B5" i="35"/>
  <c r="B50" i="35"/>
  <c r="B38" i="35"/>
  <c r="E11" i="35"/>
  <c r="E34" i="35"/>
  <c r="Q36" i="47"/>
  <c r="B7" i="35"/>
  <c r="E44" i="35"/>
  <c r="E6" i="35"/>
  <c r="E45" i="35"/>
  <c r="E26" i="35"/>
  <c r="B48" i="35"/>
  <c r="E37" i="35"/>
  <c r="E19" i="35"/>
  <c r="D37" i="29"/>
  <c r="E48" i="35"/>
  <c r="B34" i="35"/>
  <c r="AB191" i="49"/>
  <c r="E46" i="35"/>
  <c r="AF9" i="43"/>
  <c r="B8" i="35"/>
  <c r="B30" i="35"/>
  <c r="E15" i="35"/>
  <c r="E9" i="35"/>
  <c r="E3" i="35"/>
  <c r="B40" i="35"/>
  <c r="B19" i="35"/>
  <c r="B49" i="35"/>
  <c r="E14" i="35"/>
  <c r="AG8" i="43"/>
  <c r="E30" i="35"/>
  <c r="B41" i="35"/>
  <c r="E25" i="35"/>
  <c r="E36" i="35"/>
  <c r="E4" i="35"/>
  <c r="AF10" i="43"/>
  <c r="E33" i="35"/>
  <c r="B33" i="35"/>
  <c r="B28" i="35"/>
  <c r="Q32" i="47"/>
  <c r="Q35" i="47"/>
  <c r="E24" i="35"/>
  <c r="B23" i="35"/>
  <c r="B14" i="35"/>
  <c r="B24" i="35"/>
  <c r="E40" i="35"/>
  <c r="E18" i="35"/>
  <c r="B12" i="35"/>
  <c r="B32" i="35"/>
  <c r="B36" i="35"/>
  <c r="E49" i="35"/>
  <c r="E35" i="35"/>
  <c r="Q33" i="47"/>
  <c r="B13" i="35"/>
  <c r="E31" i="35"/>
  <c r="E47" i="35"/>
  <c r="E12" i="35"/>
  <c r="AC191" i="49"/>
  <c r="E22" i="35"/>
  <c r="B11" i="35"/>
  <c r="E27" i="35"/>
  <c r="B46" i="35"/>
  <c r="B21" i="35"/>
  <c r="E23" i="35"/>
  <c r="B6" i="35"/>
  <c r="B3" i="35"/>
  <c r="AB192" i="49"/>
  <c r="AC192" i="49"/>
  <c r="AB193" i="49"/>
  <c r="AB194" i="49"/>
  <c r="AC193" i="49"/>
  <c r="AC194" i="49"/>
  <c r="AB195" i="49"/>
  <c r="AC195" i="49"/>
  <c r="AB196" i="49"/>
  <c r="AC196" i="49"/>
  <c r="AB197" i="49"/>
  <c r="AC197" i="49"/>
  <c r="AB198" i="49"/>
  <c r="AB199" i="49"/>
  <c r="AC198" i="49"/>
  <c r="AC199" i="49"/>
  <c r="AB200" i="49"/>
  <c r="AB201" i="49"/>
  <c r="AC200" i="49"/>
  <c r="AB202" i="49"/>
  <c r="AC201" i="49"/>
  <c r="AB203" i="49"/>
  <c r="AC202" i="49"/>
  <c r="AB204" i="49"/>
  <c r="AC203" i="49"/>
  <c r="AB205" i="49"/>
  <c r="AC204" i="49"/>
  <c r="AC205" i="49"/>
  <c r="AB206" i="49"/>
  <c r="AB207" i="49"/>
  <c r="AC206" i="49"/>
  <c r="AC207" i="49"/>
  <c r="AB208" i="49"/>
  <c r="AB209" i="49"/>
  <c r="AC208" i="49"/>
  <c r="AC209" i="49"/>
  <c r="AB210" i="49"/>
  <c r="AC210" i="49"/>
  <c r="AB211" i="49"/>
  <c r="AC211" i="49"/>
  <c r="AB212" i="49"/>
  <c r="AB213" i="49"/>
  <c r="AC212" i="49"/>
  <c r="AB214" i="49"/>
  <c r="AC213" i="49"/>
  <c r="AB215" i="49"/>
  <c r="AC214" i="49"/>
  <c r="AB216" i="49"/>
  <c r="AC215" i="49"/>
  <c r="AB217" i="49"/>
  <c r="AC216" i="49"/>
  <c r="AC217" i="49"/>
  <c r="AB218" i="49"/>
  <c r="AB219" i="49"/>
  <c r="AC218" i="49"/>
  <c r="AB220" i="49"/>
  <c r="AC219" i="49"/>
  <c r="AB221" i="49"/>
  <c r="AC220" i="49"/>
  <c r="AB222" i="49"/>
  <c r="AC221" i="49"/>
  <c r="AC222" i="49"/>
  <c r="AB223" i="49"/>
  <c r="AB224" i="49"/>
  <c r="AC223" i="49"/>
  <c r="AC224" i="49"/>
  <c r="AB225" i="49"/>
  <c r="AC225" i="49"/>
  <c r="AB226" i="49"/>
  <c r="AC226" i="49"/>
  <c r="AB227" i="49"/>
  <c r="AB228" i="49"/>
  <c r="AC227" i="49"/>
  <c r="AB229" i="49"/>
  <c r="AC228" i="49"/>
  <c r="AC229" i="49"/>
  <c r="AB230" i="49"/>
  <c r="AB231" i="49"/>
  <c r="AC230" i="49"/>
  <c r="AC231" i="49"/>
  <c r="AB232" i="49"/>
  <c r="AB233" i="49"/>
  <c r="AC232" i="49"/>
  <c r="AC233" i="49"/>
  <c r="AB234" i="49"/>
  <c r="AC234" i="49"/>
  <c r="AB235" i="49"/>
  <c r="AB236" i="49"/>
  <c r="AC235" i="49"/>
  <c r="AC236" i="49"/>
  <c r="AB237" i="49"/>
  <c r="AC237" i="49"/>
  <c r="AB238" i="49"/>
  <c r="AC238" i="49"/>
  <c r="AB239" i="49"/>
  <c r="AC239" i="49"/>
  <c r="AB240" i="49"/>
  <c r="AC240" i="49"/>
  <c r="AB241" i="49"/>
  <c r="AB242" i="49"/>
  <c r="AC241" i="49"/>
  <c r="AB243" i="49"/>
  <c r="AC242" i="49"/>
  <c r="AB244" i="49"/>
  <c r="AC243" i="49"/>
  <c r="AC244" i="49"/>
  <c r="AB245" i="49"/>
  <c r="AC245" i="49"/>
  <c r="AB246" i="49"/>
  <c r="AC246" i="49"/>
  <c r="AB247" i="49"/>
  <c r="AB248" i="49"/>
  <c r="AC247" i="49"/>
  <c r="AB249" i="49"/>
  <c r="AC248" i="49"/>
  <c r="AC249" i="49"/>
  <c r="AB250" i="49"/>
  <c r="AB251" i="49"/>
  <c r="AC250" i="49"/>
  <c r="AC251" i="49"/>
  <c r="AB252" i="49"/>
  <c r="AC252" i="49"/>
  <c r="AB253" i="49"/>
  <c r="AC253" i="49"/>
  <c r="AB254" i="49"/>
  <c r="AB255" i="49"/>
  <c r="AC254" i="49"/>
  <c r="AB256" i="49"/>
  <c r="AC255" i="49"/>
  <c r="AC256" i="49"/>
  <c r="AB257" i="49"/>
  <c r="AN7" i="39" l="1"/>
  <c r="AM7" i="39"/>
  <c r="P29" i="45"/>
  <c r="F4" i="48" l="1" a="1"/>
  <c r="R35" i="47"/>
  <c r="C41" i="35"/>
  <c r="C37" i="35"/>
  <c r="R32" i="47"/>
  <c r="AG9" i="43"/>
  <c r="C47" i="35"/>
  <c r="AF11" i="43"/>
  <c r="C38" i="35"/>
  <c r="C13" i="35"/>
  <c r="C3" i="35"/>
  <c r="C49" i="35"/>
  <c r="AF12" i="43"/>
  <c r="Q29" i="45"/>
  <c r="AI8" i="39"/>
  <c r="C27" i="35"/>
  <c r="C30" i="35"/>
  <c r="C48" i="35"/>
  <c r="C29" i="35"/>
  <c r="C28" i="35"/>
  <c r="C26" i="35"/>
  <c r="C8" i="35"/>
  <c r="C21" i="35"/>
  <c r="C43" i="35"/>
  <c r="AC257" i="49"/>
  <c r="C17" i="35"/>
  <c r="C45" i="35"/>
  <c r="C10" i="35"/>
  <c r="C23" i="35"/>
  <c r="C36" i="35"/>
  <c r="C24" i="35"/>
  <c r="R36" i="47"/>
  <c r="AG10" i="43"/>
  <c r="C33" i="35"/>
  <c r="C32" i="35"/>
  <c r="R31" i="47"/>
  <c r="AF13" i="43"/>
  <c r="C14" i="35"/>
  <c r="C46" i="35"/>
  <c r="AG12" i="43"/>
  <c r="R34" i="47"/>
  <c r="C22" i="35"/>
  <c r="C16" i="35"/>
  <c r="C7" i="35"/>
  <c r="C6" i="35"/>
  <c r="C12" i="35"/>
  <c r="C25" i="35"/>
  <c r="AH9" i="39"/>
  <c r="C18" i="35"/>
  <c r="C4" i="35"/>
  <c r="C42" i="35"/>
  <c r="C39" i="35"/>
  <c r="AG11" i="43"/>
  <c r="C35" i="35"/>
  <c r="C11" i="35"/>
  <c r="C9" i="35"/>
  <c r="C40" i="35"/>
  <c r="C31" i="35"/>
  <c r="C5" i="35"/>
  <c r="C2" i="35"/>
  <c r="R33" i="47"/>
  <c r="C50" i="35"/>
  <c r="C34" i="35"/>
  <c r="R28" i="45"/>
  <c r="C44" i="35"/>
  <c r="C19" i="35"/>
  <c r="C20" i="35"/>
  <c r="C15" i="35"/>
  <c r="AG13" i="43"/>
  <c r="AF14" i="43"/>
  <c r="AH10" i="39"/>
  <c r="AI10" i="39" s="1"/>
  <c r="AF15" i="43"/>
  <c r="AG14" i="43"/>
  <c r="AG15" i="43"/>
  <c r="AF16" i="43"/>
  <c r="AF17" i="43"/>
  <c r="AG16" i="43"/>
  <c r="AF18" i="43"/>
  <c r="AG17" i="43"/>
  <c r="AG18" i="43"/>
  <c r="AF19" i="43"/>
  <c r="AF20" i="43"/>
  <c r="AG19" i="43"/>
  <c r="AG20" i="43"/>
  <c r="AF21" i="43"/>
  <c r="AF22" i="43"/>
  <c r="AG21" i="43"/>
  <c r="AG22" i="43"/>
  <c r="AF23" i="43"/>
  <c r="AG23" i="43"/>
  <c r="AF24" i="43"/>
  <c r="AF25" i="43"/>
  <c r="AG24" i="43"/>
  <c r="AF26" i="43"/>
  <c r="AG25" i="43"/>
  <c r="AF27" i="43"/>
  <c r="AG26" i="43"/>
  <c r="AF28" i="43"/>
  <c r="AG27" i="43"/>
  <c r="AF29" i="43"/>
  <c r="AG28" i="43"/>
  <c r="AG29" i="43"/>
  <c r="AF30" i="43"/>
  <c r="AF31" i="43"/>
  <c r="AG30" i="43"/>
  <c r="AG31" i="43"/>
  <c r="AF32" i="43"/>
  <c r="AF33" i="43"/>
  <c r="AG32" i="43"/>
  <c r="AG33" i="43"/>
  <c r="AF34" i="43"/>
  <c r="AF35" i="43"/>
  <c r="AG34" i="43"/>
  <c r="AF36" i="43"/>
  <c r="AG35" i="43"/>
  <c r="AG36" i="43"/>
  <c r="AF37" i="43"/>
  <c r="AG37" i="43"/>
  <c r="AF38" i="43"/>
  <c r="AF39" i="43"/>
  <c r="AG38" i="43"/>
  <c r="AF40" i="43"/>
  <c r="AG39" i="43"/>
  <c r="AF41" i="43"/>
  <c r="AG40" i="43"/>
  <c r="AG41" i="43"/>
  <c r="AF42" i="43"/>
  <c r="AF43" i="43"/>
  <c r="AG42" i="43"/>
  <c r="AG43" i="43"/>
  <c r="AF44" i="43"/>
  <c r="AF45" i="43"/>
  <c r="AG44" i="43"/>
  <c r="AG45" i="43"/>
  <c r="AF46" i="43"/>
  <c r="AF47" i="43"/>
  <c r="AG46" i="43"/>
  <c r="AG47" i="43"/>
  <c r="AF48" i="43"/>
  <c r="AG48" i="43"/>
  <c r="AF49" i="43"/>
  <c r="AG49" i="43"/>
  <c r="AF50" i="43"/>
  <c r="AG50" i="43"/>
  <c r="AF51" i="43"/>
  <c r="AG51" i="43"/>
  <c r="AF52" i="43"/>
  <c r="AF53" i="43"/>
  <c r="AG52" i="43"/>
  <c r="AG53" i="43"/>
  <c r="AF54" i="43"/>
  <c r="AG54" i="43"/>
  <c r="AF55" i="43"/>
  <c r="AF56" i="43"/>
  <c r="AG55" i="43"/>
  <c r="AG56" i="43"/>
  <c r="AF57" i="43"/>
  <c r="AF58" i="43"/>
  <c r="AG57" i="43"/>
  <c r="AG58" i="43"/>
  <c r="AF59" i="43"/>
  <c r="AF60" i="43"/>
  <c r="AG59" i="43"/>
  <c r="AF61" i="43"/>
  <c r="AG60" i="43"/>
  <c r="AG61" i="43"/>
  <c r="AF62" i="43"/>
  <c r="AF63" i="43"/>
  <c r="AG62" i="43"/>
  <c r="AF64" i="43"/>
  <c r="AG63" i="43"/>
  <c r="AF65" i="43"/>
  <c r="AG64" i="43"/>
  <c r="AN10" i="39" l="1"/>
  <c r="AM10" i="39"/>
  <c r="AN8" i="39"/>
  <c r="AM8" i="39"/>
  <c r="F4" i="49" a="1"/>
  <c r="AG65" i="43"/>
  <c r="AI9" i="39"/>
  <c r="AH11" i="39"/>
  <c r="R29" i="45"/>
  <c r="AI11" i="39"/>
  <c r="AH12" i="39"/>
  <c r="AH13" i="39" s="1"/>
  <c r="AI12" i="39"/>
  <c r="AH14" i="39"/>
  <c r="AI13" i="39"/>
  <c r="AH15" i="39"/>
  <c r="AI14" i="39"/>
  <c r="AH16" i="39"/>
  <c r="AI15" i="39"/>
  <c r="AH17" i="39"/>
  <c r="AI16" i="39"/>
  <c r="AH18" i="39"/>
  <c r="AI17" i="39"/>
  <c r="AI18" i="39"/>
  <c r="AH19" i="39"/>
  <c r="AH20" i="39"/>
  <c r="AI19" i="39"/>
  <c r="AI20" i="39"/>
  <c r="AH21" i="39"/>
  <c r="AI21" i="39"/>
  <c r="AH22" i="39"/>
  <c r="AI22" i="39"/>
  <c r="AH23" i="39"/>
  <c r="AI23" i="39"/>
  <c r="AH24" i="39"/>
  <c r="AH25" i="39"/>
  <c r="AI24" i="39"/>
  <c r="AH26" i="39"/>
  <c r="AI25" i="39"/>
  <c r="AH27" i="39"/>
  <c r="AI26" i="39"/>
  <c r="AH28" i="39"/>
  <c r="AI27" i="39"/>
  <c r="AH29" i="39"/>
  <c r="AI28" i="39"/>
  <c r="AH30" i="39"/>
  <c r="AI29" i="39"/>
  <c r="AH31" i="39"/>
  <c r="AI30" i="39"/>
  <c r="AI31" i="39"/>
  <c r="AH32" i="39"/>
  <c r="AI32" i="39"/>
  <c r="AH33" i="39"/>
  <c r="AH34" i="39"/>
  <c r="AI33" i="39"/>
  <c r="AI34" i="39"/>
  <c r="AH35" i="39"/>
  <c r="AH36" i="39"/>
  <c r="AI35" i="39"/>
  <c r="AH37" i="39"/>
  <c r="AI36" i="39"/>
  <c r="AI37" i="39"/>
  <c r="AH38" i="39"/>
  <c r="AH39" i="39"/>
  <c r="AI38" i="39"/>
  <c r="AH40" i="39"/>
  <c r="AI39" i="39"/>
  <c r="AH41" i="39"/>
  <c r="AI40" i="39"/>
  <c r="AI41" i="39"/>
  <c r="AH42" i="39"/>
  <c r="AI42" i="39"/>
  <c r="AH43" i="39"/>
  <c r="AI43" i="39"/>
  <c r="AH44" i="39"/>
  <c r="AH45" i="39"/>
  <c r="AI44" i="39"/>
  <c r="AI45" i="39"/>
  <c r="AH46" i="39"/>
  <c r="AH47" i="39"/>
  <c r="AI46" i="39"/>
  <c r="AI47" i="39"/>
  <c r="AH48" i="39"/>
  <c r="AI48" i="39"/>
  <c r="AH49" i="39"/>
  <c r="AH50" i="39"/>
  <c r="AI49" i="39"/>
  <c r="AH51" i="39"/>
  <c r="AI50" i="39"/>
  <c r="AH52" i="39"/>
  <c r="AI51" i="39"/>
  <c r="AI52" i="39"/>
  <c r="AH53" i="39"/>
  <c r="AH54" i="39"/>
  <c r="AI53" i="39"/>
  <c r="AI54" i="39"/>
  <c r="AH55" i="39"/>
  <c r="AH56" i="39"/>
  <c r="AI55" i="39"/>
  <c r="AH57" i="39"/>
  <c r="AI56" i="39"/>
  <c r="AH58" i="39"/>
  <c r="AI57" i="39"/>
  <c r="AI58" i="39"/>
  <c r="AH59" i="39"/>
  <c r="AI59" i="39"/>
  <c r="AH60" i="39"/>
  <c r="AH61" i="39"/>
  <c r="AI60" i="39"/>
  <c r="AH62" i="39"/>
  <c r="AI61" i="39"/>
  <c r="AI62" i="39"/>
  <c r="AH63" i="39"/>
  <c r="AI63" i="39"/>
  <c r="AH64" i="39"/>
  <c r="AI64" i="39"/>
  <c r="AH65" i="39"/>
  <c r="AI65" i="39"/>
  <c r="AH66" i="39"/>
  <c r="AI66" i="39"/>
  <c r="AH67" i="39"/>
  <c r="AI67" i="39"/>
  <c r="AH68" i="39"/>
  <c r="AH69" i="39"/>
  <c r="AI68" i="39"/>
  <c r="AH70" i="39"/>
  <c r="AI69" i="39"/>
  <c r="AI70" i="39"/>
  <c r="AH71" i="39"/>
  <c r="AI71" i="39"/>
  <c r="AH72" i="39"/>
  <c r="AI72" i="39"/>
  <c r="AH73" i="39"/>
  <c r="AI73" i="39"/>
  <c r="AH74" i="39"/>
  <c r="AH75" i="39"/>
  <c r="AI74" i="39"/>
  <c r="AI75" i="39"/>
  <c r="AH76" i="39"/>
  <c r="AI76" i="39"/>
  <c r="AH77" i="39"/>
  <c r="AH78" i="39"/>
  <c r="AI77" i="39"/>
  <c r="AH79" i="39"/>
  <c r="AI78" i="39"/>
  <c r="AH80" i="39"/>
  <c r="AI79" i="39"/>
  <c r="AH81" i="39"/>
  <c r="AI80" i="39"/>
  <c r="AH82" i="39"/>
  <c r="AI81" i="39"/>
  <c r="AI82" i="39"/>
  <c r="AH83" i="39"/>
  <c r="AH84" i="39"/>
  <c r="AI83" i="39"/>
  <c r="AH85" i="39"/>
  <c r="AI84" i="39"/>
  <c r="AH86" i="39"/>
  <c r="AI85" i="39"/>
  <c r="AI86" i="39"/>
  <c r="AH87" i="39"/>
  <c r="AI87" i="39"/>
  <c r="AH88" i="39"/>
  <c r="AH89" i="39"/>
  <c r="AI88" i="39"/>
  <c r="AH90" i="39"/>
  <c r="AI89" i="39"/>
  <c r="AI90" i="39"/>
  <c r="AH91" i="39"/>
  <c r="AI91" i="39"/>
  <c r="AH92" i="39"/>
  <c r="AI92" i="39"/>
  <c r="AH93" i="39"/>
  <c r="AH94" i="39"/>
  <c r="AI93" i="39"/>
  <c r="AH95" i="39"/>
  <c r="AI94" i="39"/>
  <c r="AH96" i="39"/>
  <c r="AI95" i="39"/>
  <c r="AI96" i="39"/>
  <c r="AH97" i="39"/>
  <c r="AH98" i="39"/>
  <c r="AI97" i="39"/>
  <c r="AI98" i="39"/>
  <c r="AH99" i="39"/>
  <c r="AH100" i="39"/>
  <c r="AI99" i="39"/>
  <c r="AH101" i="39"/>
  <c r="AI100" i="39"/>
  <c r="AH102" i="39"/>
  <c r="AI101" i="39"/>
  <c r="AI102" i="39"/>
  <c r="AH103" i="39"/>
  <c r="AH104" i="39"/>
  <c r="AI103" i="39"/>
  <c r="AH105" i="39"/>
  <c r="AI104" i="39"/>
  <c r="AH106" i="39"/>
  <c r="AI105" i="39"/>
  <c r="AH107" i="39"/>
  <c r="AI106" i="39"/>
  <c r="AH108" i="39"/>
  <c r="AI107" i="39"/>
  <c r="AI108" i="39"/>
  <c r="AH109" i="39"/>
  <c r="AI109" i="39"/>
  <c r="AH110" i="39"/>
  <c r="AH111" i="39"/>
  <c r="AI110" i="39"/>
  <c r="AI111" i="39"/>
  <c r="AH112" i="39"/>
  <c r="AI112" i="39"/>
  <c r="AH113" i="39"/>
  <c r="AI113" i="39"/>
  <c r="AH114" i="39"/>
  <c r="AH115" i="39"/>
  <c r="AI114" i="39"/>
  <c r="AH116" i="39"/>
  <c r="AI115" i="39"/>
  <c r="AI116" i="39"/>
  <c r="AH117" i="39"/>
  <c r="AH118" i="39"/>
  <c r="AI117" i="39"/>
  <c r="AH119" i="39"/>
  <c r="AI118" i="39"/>
  <c r="AI119" i="39"/>
  <c r="AH120" i="39"/>
  <c r="AI120" i="39"/>
  <c r="AH121" i="39"/>
  <c r="AH122" i="39"/>
  <c r="AI121" i="39"/>
  <c r="AI122" i="39"/>
  <c r="AH123" i="39"/>
  <c r="AI123" i="39"/>
  <c r="AH124" i="39"/>
  <c r="AI124" i="39"/>
  <c r="AH125" i="39"/>
  <c r="AH126" i="39"/>
  <c r="AI125" i="39"/>
  <c r="AI126" i="39"/>
  <c r="AH127" i="39"/>
  <c r="AI127" i="39"/>
  <c r="AH128" i="39"/>
  <c r="AH129" i="39"/>
  <c r="AI128" i="39"/>
  <c r="AI129" i="39"/>
  <c r="AH130" i="39"/>
  <c r="AI130" i="39"/>
  <c r="AH131" i="39"/>
  <c r="AH132" i="39"/>
  <c r="AI131" i="39"/>
  <c r="AI132" i="39"/>
  <c r="AN132" i="39" l="1"/>
  <c r="AM132" i="39"/>
  <c r="AN131" i="39"/>
  <c r="AM131" i="39"/>
  <c r="AN130" i="39"/>
  <c r="AM130" i="39"/>
  <c r="AN129" i="39"/>
  <c r="AM129" i="39"/>
  <c r="AN128" i="39"/>
  <c r="AM128" i="39"/>
  <c r="AN127" i="39"/>
  <c r="AM127" i="39"/>
  <c r="AN126" i="39"/>
  <c r="AM126" i="39"/>
  <c r="AN125" i="39"/>
  <c r="AM125" i="39"/>
  <c r="AN124" i="39"/>
  <c r="AM124" i="39"/>
  <c r="AN123" i="39"/>
  <c r="AM123" i="39"/>
  <c r="AN122" i="39"/>
  <c r="AM122" i="39"/>
  <c r="AN121" i="39"/>
  <c r="AM121" i="39"/>
  <c r="AN120" i="39"/>
  <c r="AM120" i="39"/>
  <c r="AN119" i="39"/>
  <c r="AM119" i="39"/>
  <c r="AN118" i="39"/>
  <c r="AM118" i="39"/>
  <c r="AN117" i="39"/>
  <c r="AM117" i="39"/>
  <c r="AN116" i="39"/>
  <c r="AM116" i="39"/>
  <c r="AN115" i="39"/>
  <c r="AM115" i="39"/>
  <c r="AN114" i="39"/>
  <c r="AM114" i="39"/>
  <c r="AM113" i="39"/>
  <c r="AN113" i="39"/>
  <c r="AN112" i="39"/>
  <c r="AM112" i="39"/>
  <c r="AN111" i="39"/>
  <c r="AM111" i="39"/>
  <c r="AN110" i="39"/>
  <c r="AM110" i="39"/>
  <c r="AN109" i="39"/>
  <c r="AM109" i="39"/>
  <c r="AN108" i="39"/>
  <c r="AM108" i="39"/>
  <c r="AN107" i="39"/>
  <c r="AM107" i="39"/>
  <c r="AM106" i="39"/>
  <c r="AN106" i="39"/>
  <c r="AN105" i="39"/>
  <c r="AM105" i="39"/>
  <c r="AN104" i="39"/>
  <c r="AM104" i="39"/>
  <c r="AN103" i="39"/>
  <c r="AM103" i="39"/>
  <c r="AN102" i="39"/>
  <c r="AM102" i="39"/>
  <c r="AN101" i="39"/>
  <c r="AM101" i="39"/>
  <c r="AN100" i="39"/>
  <c r="AM100" i="39"/>
  <c r="AN99" i="39"/>
  <c r="AM99" i="39"/>
  <c r="AN98" i="39"/>
  <c r="AM98" i="39"/>
  <c r="AN97" i="39"/>
  <c r="AM97" i="39"/>
  <c r="AN96" i="39"/>
  <c r="AM96" i="39"/>
  <c r="AN95" i="39"/>
  <c r="AM95" i="39"/>
  <c r="AN94" i="39"/>
  <c r="AM94" i="39"/>
  <c r="AN93" i="39"/>
  <c r="AM93" i="39"/>
  <c r="AN92" i="39"/>
  <c r="AM92" i="39"/>
  <c r="AN91" i="39"/>
  <c r="AM91" i="39"/>
  <c r="AN90" i="39"/>
  <c r="AM90" i="39"/>
  <c r="AN89" i="39"/>
  <c r="AM89" i="39"/>
  <c r="AN88" i="39"/>
  <c r="AM88" i="39"/>
  <c r="AN87" i="39"/>
  <c r="AM87" i="39"/>
  <c r="AN86" i="39"/>
  <c r="AM86" i="39"/>
  <c r="AN85" i="39"/>
  <c r="AM85" i="39"/>
  <c r="AN84" i="39"/>
  <c r="AM84" i="39"/>
  <c r="AN83" i="39"/>
  <c r="AM83" i="39"/>
  <c r="AN82" i="39"/>
  <c r="AM82" i="39"/>
  <c r="AM81" i="39"/>
  <c r="AN81" i="39"/>
  <c r="AN80" i="39"/>
  <c r="AM80" i="39"/>
  <c r="AN79" i="39"/>
  <c r="AM79" i="39"/>
  <c r="AN78" i="39"/>
  <c r="AM78" i="39"/>
  <c r="AN77" i="39"/>
  <c r="AM77" i="39"/>
  <c r="AN76" i="39"/>
  <c r="AM76" i="39"/>
  <c r="AN75" i="39"/>
  <c r="AM75" i="39"/>
  <c r="AM74" i="39"/>
  <c r="AN74" i="39"/>
  <c r="AN73" i="39"/>
  <c r="AM73" i="39"/>
  <c r="AN72" i="39"/>
  <c r="AM72" i="39"/>
  <c r="AN71" i="39"/>
  <c r="AM71" i="39"/>
  <c r="AN70" i="39"/>
  <c r="AM70" i="39"/>
  <c r="AN69" i="39"/>
  <c r="AM69" i="39"/>
  <c r="AN68" i="39"/>
  <c r="AM68" i="39"/>
  <c r="AN67" i="39"/>
  <c r="AM67" i="39"/>
  <c r="AN66" i="39"/>
  <c r="AM66" i="39"/>
  <c r="AN65" i="39"/>
  <c r="AM65" i="39"/>
  <c r="AN64" i="39"/>
  <c r="AM64" i="39"/>
  <c r="AN63" i="39"/>
  <c r="AM63" i="39"/>
  <c r="AN62" i="39"/>
  <c r="AM62" i="39"/>
  <c r="AN61" i="39"/>
  <c r="AM61" i="39"/>
  <c r="AN60" i="39"/>
  <c r="AM60" i="39"/>
  <c r="AN59" i="39"/>
  <c r="AM59" i="39"/>
  <c r="AN58" i="39"/>
  <c r="AM58" i="39"/>
  <c r="AN57" i="39"/>
  <c r="AM57" i="39"/>
  <c r="AN56" i="39"/>
  <c r="AM56" i="39"/>
  <c r="AN55" i="39"/>
  <c r="AM55" i="39"/>
  <c r="AN54" i="39"/>
  <c r="AM54" i="39"/>
  <c r="AN53" i="39"/>
  <c r="AM53" i="39"/>
  <c r="AN52" i="39"/>
  <c r="AM52" i="39"/>
  <c r="AN51" i="39"/>
  <c r="AM51" i="39"/>
  <c r="AN50" i="39"/>
  <c r="AM50" i="39"/>
  <c r="AN49" i="39"/>
  <c r="AM49" i="39"/>
  <c r="AN48" i="39"/>
  <c r="AM48" i="39"/>
  <c r="AN47" i="39"/>
  <c r="AM47" i="39"/>
  <c r="AN46" i="39"/>
  <c r="AM46" i="39"/>
  <c r="AM45" i="39"/>
  <c r="AN45" i="39"/>
  <c r="AN44" i="39"/>
  <c r="AM44" i="39"/>
  <c r="AN43" i="39"/>
  <c r="AM43" i="39"/>
  <c r="AN42" i="39"/>
  <c r="AM42" i="39"/>
  <c r="AN41" i="39"/>
  <c r="AM41" i="39"/>
  <c r="AN40" i="39"/>
  <c r="AM40" i="39"/>
  <c r="AN39" i="39"/>
  <c r="AM39" i="39"/>
  <c r="AN38" i="39"/>
  <c r="AM38" i="39"/>
  <c r="AN37" i="39"/>
  <c r="AM37" i="39"/>
  <c r="AN36" i="39"/>
  <c r="AM36" i="39"/>
  <c r="AN35" i="39"/>
  <c r="AM35" i="39"/>
  <c r="AN34" i="39"/>
  <c r="AM34" i="39"/>
  <c r="AN33" i="39"/>
  <c r="AM33" i="39"/>
  <c r="AN32" i="39"/>
  <c r="AM32" i="39"/>
  <c r="AN31" i="39"/>
  <c r="AM31" i="39"/>
  <c r="AN30" i="39"/>
  <c r="AM30" i="39"/>
  <c r="AN29" i="39"/>
  <c r="AM29" i="39"/>
  <c r="AN28" i="39"/>
  <c r="AM28" i="39"/>
  <c r="AN27" i="39"/>
  <c r="AM27" i="39"/>
  <c r="AN26" i="39"/>
  <c r="AM26" i="39"/>
  <c r="AN25" i="39"/>
  <c r="AM25" i="39"/>
  <c r="AN24" i="39"/>
  <c r="AM24" i="39"/>
  <c r="AN23" i="39"/>
  <c r="AM23" i="39"/>
  <c r="AN22" i="39"/>
  <c r="AM22" i="39"/>
  <c r="AN21" i="39"/>
  <c r="AM21" i="39"/>
  <c r="AN20" i="39"/>
  <c r="AM20" i="39"/>
  <c r="AN19" i="39"/>
  <c r="AM19" i="39"/>
  <c r="AN18" i="39"/>
  <c r="AM18" i="39"/>
  <c r="AN17" i="39"/>
  <c r="AM17" i="39"/>
  <c r="AN16" i="39"/>
  <c r="AM16" i="39"/>
  <c r="AN15" i="39"/>
  <c r="AM15" i="39"/>
  <c r="AN14" i="39"/>
  <c r="AM14" i="39"/>
  <c r="AN13" i="39"/>
  <c r="AM13" i="39"/>
  <c r="AN12" i="39"/>
  <c r="AM12" i="39"/>
  <c r="AN11" i="39"/>
  <c r="AM11" i="39"/>
  <c r="AN9" i="39"/>
  <c r="AM9" i="39"/>
  <c r="I19" i="29" l="1"/>
  <c r="I20" i="29"/>
  <c r="Q7" i="47"/>
  <c r="H22" i="49"/>
  <c r="G21" i="49"/>
  <c r="U29" i="45"/>
  <c r="F42" i="35"/>
  <c r="L22" i="39"/>
  <c r="Q7" i="45"/>
  <c r="V27" i="45"/>
  <c r="F40" i="35"/>
  <c r="H15" i="48"/>
  <c r="S35" i="47"/>
  <c r="G16" i="49"/>
  <c r="H10" i="40"/>
  <c r="F26" i="35"/>
  <c r="K24" i="39"/>
  <c r="H19" i="40"/>
  <c r="U26" i="45"/>
  <c r="F3" i="35"/>
  <c r="F6" i="43"/>
  <c r="Q4" i="45"/>
  <c r="P7" i="45"/>
  <c r="H23" i="49"/>
  <c r="H16" i="48"/>
  <c r="G28" i="49"/>
  <c r="F35" i="35"/>
  <c r="G18" i="48"/>
  <c r="S33" i="47"/>
  <c r="L15" i="43"/>
  <c r="L18" i="39"/>
  <c r="G7" i="43"/>
  <c r="S34" i="47"/>
  <c r="F12" i="35"/>
  <c r="F6" i="35"/>
  <c r="G15" i="48"/>
  <c r="F39" i="35"/>
  <c r="H20" i="49"/>
  <c r="G19" i="49"/>
  <c r="U31" i="47"/>
  <c r="Q8" i="45"/>
  <c r="H5" i="42"/>
  <c r="F7" i="43"/>
  <c r="F4" i="35"/>
  <c r="H21" i="49"/>
  <c r="H13" i="40"/>
  <c r="P8" i="45"/>
  <c r="U27" i="45"/>
  <c r="V36" i="47"/>
  <c r="F23" i="35"/>
  <c r="G4" i="43"/>
  <c r="F32" i="35"/>
  <c r="V34" i="47"/>
  <c r="K19" i="39"/>
  <c r="K21" i="43"/>
  <c r="P9" i="47"/>
  <c r="H27" i="49"/>
  <c r="K20" i="39"/>
  <c r="L18" i="43"/>
  <c r="F5" i="39"/>
  <c r="F19" i="35"/>
  <c r="K22" i="39"/>
  <c r="Q10" i="47"/>
  <c r="G20" i="49"/>
  <c r="V33" i="47"/>
  <c r="H20" i="40"/>
  <c r="L19" i="43"/>
  <c r="F28" i="35"/>
  <c r="H22" i="40"/>
  <c r="F14" i="35"/>
  <c r="H28" i="49"/>
  <c r="L21" i="39"/>
  <c r="V32" i="47"/>
  <c r="U36" i="47"/>
  <c r="H11" i="40"/>
  <c r="G5" i="43"/>
  <c r="F45" i="35"/>
  <c r="F24" i="35"/>
  <c r="Q9" i="45"/>
  <c r="L21" i="43"/>
  <c r="P4" i="47"/>
  <c r="K15" i="39"/>
  <c r="G22" i="49"/>
  <c r="L17" i="39"/>
  <c r="K21" i="39"/>
  <c r="U32" i="47"/>
  <c r="F11" i="35"/>
  <c r="G18" i="49"/>
  <c r="P5" i="47"/>
  <c r="V28" i="45"/>
  <c r="F17" i="35"/>
  <c r="F2" i="35"/>
  <c r="G17" i="48"/>
  <c r="H4" i="42"/>
  <c r="T12" i="45" a="1"/>
  <c r="H29" i="49"/>
  <c r="K17" i="43"/>
  <c r="F4" i="39"/>
  <c r="L20" i="39"/>
  <c r="H6" i="40"/>
  <c r="L16" i="39"/>
  <c r="Q9" i="47"/>
  <c r="H7" i="40"/>
  <c r="L17" i="43"/>
  <c r="Q6" i="47"/>
  <c r="H24" i="49"/>
  <c r="K17" i="39"/>
  <c r="F21" i="35"/>
  <c r="F4" i="43"/>
  <c r="G6" i="43"/>
  <c r="P3" i="47"/>
  <c r="P4" i="45"/>
  <c r="K23" i="39"/>
  <c r="H18" i="40"/>
  <c r="K15" i="43"/>
  <c r="G25" i="49"/>
  <c r="F36" i="35"/>
  <c r="F43" i="35"/>
  <c r="Q5" i="45"/>
  <c r="H5" i="40"/>
  <c r="F38" i="35"/>
  <c r="L16" i="43"/>
  <c r="L20" i="43"/>
  <c r="F18" i="35"/>
  <c r="K18" i="39"/>
  <c r="V31" i="47"/>
  <c r="P10" i="47"/>
  <c r="S26" i="45"/>
  <c r="G30" i="49"/>
  <c r="H15" i="49"/>
  <c r="S29" i="45"/>
  <c r="T13" i="47" a="1"/>
  <c r="P3" i="45"/>
  <c r="G23" i="49"/>
  <c r="H17" i="48"/>
  <c r="H18" i="49"/>
  <c r="L19" i="39"/>
  <c r="G27" i="49"/>
  <c r="F30" i="35"/>
  <c r="F22" i="35"/>
  <c r="P9" i="45"/>
  <c r="F10" i="35"/>
  <c r="H9" i="40"/>
  <c r="F49" i="35"/>
  <c r="F29" i="35"/>
  <c r="H19" i="48"/>
  <c r="H15" i="40"/>
  <c r="G24" i="49"/>
  <c r="U33" i="47"/>
  <c r="F8" i="35"/>
  <c r="H12" i="40"/>
  <c r="H25" i="49"/>
  <c r="H17" i="49"/>
  <c r="H17" i="40"/>
  <c r="F27" i="35"/>
  <c r="K20" i="43"/>
  <c r="H21" i="40"/>
  <c r="G5" i="39"/>
  <c r="H30" i="49"/>
  <c r="L24" i="39"/>
  <c r="V35" i="47"/>
  <c r="F9" i="35"/>
  <c r="K16" i="39"/>
  <c r="F48" i="35"/>
  <c r="F47" i="35"/>
  <c r="S27" i="45"/>
  <c r="F15" i="35"/>
  <c r="F5" i="35"/>
  <c r="G6" i="39"/>
  <c r="H7" i="42"/>
  <c r="G15" i="49"/>
  <c r="F37" i="35"/>
  <c r="U28" i="45"/>
  <c r="Q6" i="45"/>
  <c r="Q13" i="45" s="1" a="1"/>
  <c r="K16" i="43"/>
  <c r="F7" i="35"/>
  <c r="L23" i="39"/>
  <c r="S28" i="45"/>
  <c r="G7" i="39"/>
  <c r="F46" i="35"/>
  <c r="G16" i="48"/>
  <c r="K18" i="43"/>
  <c r="F7" i="39"/>
  <c r="H6" i="42"/>
  <c r="P6" i="45"/>
  <c r="F16" i="35"/>
  <c r="F44" i="35"/>
  <c r="H18" i="48"/>
  <c r="F13" i="35"/>
  <c r="G29" i="49"/>
  <c r="F41" i="35"/>
  <c r="F5" i="43"/>
  <c r="F33" i="35"/>
  <c r="S32" i="47"/>
  <c r="F20" i="35"/>
  <c r="F31" i="35"/>
  <c r="H8" i="40"/>
  <c r="P8" i="47"/>
  <c r="Q5" i="47"/>
  <c r="V29" i="45"/>
  <c r="K19" i="43"/>
  <c r="L15" i="39"/>
  <c r="F6" i="39"/>
  <c r="U35" i="47"/>
  <c r="S36" i="47"/>
  <c r="G17" i="49"/>
  <c r="H14" i="40"/>
  <c r="P7" i="47"/>
  <c r="F25" i="35"/>
  <c r="F50" i="35"/>
  <c r="G4" i="39"/>
  <c r="H26" i="49"/>
  <c r="G19" i="48"/>
  <c r="P6" i="47"/>
  <c r="U34" i="47"/>
  <c r="H16" i="40"/>
  <c r="P5" i="45"/>
  <c r="V26" i="45"/>
  <c r="G26" i="49"/>
  <c r="H19" i="49"/>
  <c r="S31" i="47"/>
  <c r="H16" i="49"/>
  <c r="Q8" i="47"/>
  <c r="Q14" i="47" s="1" a="1"/>
  <c r="F34" i="35"/>
  <c r="D3" i="43"/>
  <c r="H3" i="42"/>
  <c r="E4" i="40"/>
  <c r="Q4" i="40" s="1"/>
  <c r="D3" i="48"/>
  <c r="D3" i="49"/>
  <c r="D3" i="39"/>
  <c r="H4" i="40"/>
  <c r="E3" i="42"/>
  <c r="E3" i="43"/>
  <c r="K3" i="43"/>
  <c r="F3" i="43"/>
  <c r="Q7" i="40"/>
  <c r="Q19" i="40"/>
  <c r="Q20" i="40"/>
  <c r="I4" i="40"/>
  <c r="Q11" i="40"/>
  <c r="Q5" i="40"/>
  <c r="Q22" i="40"/>
  <c r="Q21" i="40"/>
  <c r="Q14" i="40"/>
  <c r="Q13" i="40"/>
  <c r="Q18" i="40"/>
  <c r="Q9" i="40"/>
  <c r="Q10" i="40"/>
  <c r="Q8" i="40"/>
  <c r="Q17" i="40"/>
  <c r="Q16" i="40"/>
  <c r="Q15" i="40"/>
  <c r="Q6" i="40"/>
  <c r="Q12" i="40"/>
  <c r="F4" i="40"/>
  <c r="R4" i="40" s="1"/>
  <c r="E3" i="48"/>
  <c r="H3" i="48" s="1"/>
  <c r="G3" i="48"/>
  <c r="E3" i="49"/>
  <c r="H3" i="49" s="1"/>
  <c r="G3" i="49"/>
  <c r="F3" i="39"/>
  <c r="E3" i="39"/>
  <c r="K3" i="39"/>
  <c r="F3" i="42"/>
  <c r="E6" i="42"/>
  <c r="E4" i="42"/>
  <c r="E7" i="42"/>
  <c r="E5" i="42"/>
  <c r="I3" i="42"/>
  <c r="H3" i="43"/>
  <c r="G3" i="43"/>
  <c r="L3" i="43"/>
  <c r="I7" i="40"/>
  <c r="F7" i="40"/>
  <c r="R7" i="40" s="1"/>
  <c r="F19" i="40"/>
  <c r="R19" i="40" s="1"/>
  <c r="I19" i="40"/>
  <c r="I20" i="40"/>
  <c r="F20" i="40"/>
  <c r="R20" i="40" s="1"/>
  <c r="F11" i="40"/>
  <c r="R11" i="40" s="1"/>
  <c r="I11" i="40"/>
  <c r="F5" i="40"/>
  <c r="R5" i="40" s="1"/>
  <c r="I5" i="40"/>
  <c r="F22" i="40"/>
  <c r="R22" i="40" s="1"/>
  <c r="I22" i="40"/>
  <c r="I21" i="40"/>
  <c r="F21" i="40"/>
  <c r="R21" i="40" s="1"/>
  <c r="I14" i="40"/>
  <c r="F14" i="40"/>
  <c r="R14" i="40" s="1"/>
  <c r="F13" i="40"/>
  <c r="R13" i="40" s="1"/>
  <c r="I13" i="40"/>
  <c r="F18" i="40"/>
  <c r="R18" i="40" s="1"/>
  <c r="I18" i="40"/>
  <c r="I9" i="40"/>
  <c r="F9" i="40"/>
  <c r="R9" i="40" s="1"/>
  <c r="I10" i="40"/>
  <c r="F10" i="40"/>
  <c r="R10" i="40" s="1"/>
  <c r="F8" i="40"/>
  <c r="R8" i="40" s="1"/>
  <c r="I8" i="40"/>
  <c r="I17" i="40"/>
  <c r="F17" i="40"/>
  <c r="R17" i="40" s="1"/>
  <c r="F16" i="40"/>
  <c r="R16" i="40" s="1"/>
  <c r="I16" i="40"/>
  <c r="I15" i="40"/>
  <c r="F15" i="40"/>
  <c r="R15" i="40" s="1"/>
  <c r="I6" i="40"/>
  <c r="F6" i="40"/>
  <c r="R6" i="40" s="1"/>
  <c r="F12" i="40"/>
  <c r="R12" i="40" s="1"/>
  <c r="I12" i="40"/>
  <c r="G4" i="40"/>
  <c r="J4" i="40"/>
  <c r="H3" i="39"/>
  <c r="G3" i="39"/>
  <c r="L3" i="39"/>
  <c r="G3" i="42"/>
  <c r="J3" i="42"/>
  <c r="F6" i="42"/>
  <c r="I6" i="42"/>
  <c r="F4" i="42"/>
  <c r="I4" i="42"/>
  <c r="F7" i="42"/>
  <c r="I7" i="42"/>
  <c r="C8" i="42"/>
  <c r="F5" i="42"/>
  <c r="I5" i="42"/>
  <c r="G7" i="40"/>
  <c r="J7" i="40"/>
  <c r="G19" i="40"/>
  <c r="J19" i="40"/>
  <c r="G20" i="40"/>
  <c r="J20" i="40"/>
  <c r="G11" i="40"/>
  <c r="J11" i="40"/>
  <c r="G5" i="40"/>
  <c r="J5" i="40"/>
  <c r="G22" i="40"/>
  <c r="J22" i="40"/>
  <c r="G21" i="40"/>
  <c r="J21" i="40"/>
  <c r="G14" i="40"/>
  <c r="J14" i="40"/>
  <c r="G13" i="40"/>
  <c r="J13" i="40"/>
  <c r="G18" i="40"/>
  <c r="J18" i="40"/>
  <c r="G9" i="40"/>
  <c r="J9" i="40"/>
  <c r="G10" i="40"/>
  <c r="J10" i="40"/>
  <c r="G8" i="40"/>
  <c r="J8" i="40"/>
  <c r="G17" i="40"/>
  <c r="J17" i="40"/>
  <c r="G16" i="40"/>
  <c r="J16" i="40"/>
  <c r="G15" i="40"/>
  <c r="J15" i="40"/>
  <c r="G6" i="40"/>
  <c r="J6" i="40"/>
  <c r="G12" i="40"/>
  <c r="J12" i="40"/>
  <c r="G6" i="42"/>
  <c r="J6" i="42"/>
  <c r="G4" i="42"/>
  <c r="J4" i="42"/>
  <c r="G7" i="42"/>
  <c r="J7" i="42"/>
  <c r="E8" i="42"/>
  <c r="G5" i="42"/>
  <c r="J5" i="42"/>
  <c r="I8" i="42"/>
  <c r="F8" i="42"/>
  <c r="C9" i="42"/>
  <c r="G8" i="42"/>
  <c r="J8" i="42"/>
  <c r="E9" i="42"/>
  <c r="F9" i="42"/>
  <c r="I9" i="42"/>
  <c r="C10" i="42"/>
  <c r="G9" i="42"/>
  <c r="J9" i="42"/>
  <c r="E10" i="42"/>
  <c r="F10" i="42"/>
  <c r="C11" i="42"/>
  <c r="I10" i="42"/>
  <c r="G10" i="42"/>
  <c r="J10" i="42"/>
  <c r="E11" i="42"/>
  <c r="C12" i="42"/>
  <c r="F11" i="42"/>
  <c r="I11" i="42"/>
  <c r="E12" i="42"/>
  <c r="G11" i="42"/>
  <c r="J11" i="42"/>
  <c r="I12" i="42"/>
  <c r="C13" i="42"/>
  <c r="F12" i="42"/>
  <c r="E13" i="42"/>
  <c r="G12" i="42"/>
  <c r="J12" i="42"/>
  <c r="C14" i="42"/>
  <c r="I13" i="42"/>
  <c r="F13" i="42"/>
  <c r="E14" i="42"/>
  <c r="G13" i="42"/>
  <c r="J13" i="42"/>
  <c r="F14" i="42"/>
  <c r="C15" i="42"/>
  <c r="I14" i="42"/>
  <c r="G14" i="42"/>
  <c r="J14" i="42"/>
  <c r="E15" i="42"/>
  <c r="I15" i="42"/>
  <c r="F15" i="42"/>
  <c r="G15" i="42"/>
  <c r="J15" i="42"/>
  <c r="S4" i="40" l="1"/>
  <c r="V4" i="40"/>
  <c r="V12" i="40"/>
  <c r="V6" i="40"/>
  <c r="V15" i="40"/>
  <c r="V16" i="40"/>
  <c r="V17" i="40"/>
  <c r="W17" i="40" s="1"/>
  <c r="V8" i="40"/>
  <c r="V10" i="40"/>
  <c r="V9" i="40"/>
  <c r="V18" i="40"/>
  <c r="V13" i="40"/>
  <c r="V14" i="40"/>
  <c r="V21" i="40"/>
  <c r="V22" i="40"/>
  <c r="W22" i="40" s="1"/>
  <c r="V5" i="40"/>
  <c r="V11" i="40"/>
  <c r="V20" i="40"/>
  <c r="V19" i="40"/>
  <c r="V7" i="40"/>
  <c r="S12" i="40"/>
  <c r="S6" i="40"/>
  <c r="S15" i="40"/>
  <c r="S16" i="40"/>
  <c r="T16" i="40" s="1"/>
  <c r="S17" i="40"/>
  <c r="S8" i="40"/>
  <c r="S10" i="40"/>
  <c r="S9" i="40"/>
  <c r="S18" i="40"/>
  <c r="S13" i="40"/>
  <c r="S14" i="40"/>
  <c r="S21" i="40"/>
  <c r="T21" i="40" s="1"/>
  <c r="S22" i="40"/>
  <c r="S5" i="40"/>
  <c r="S11" i="40"/>
  <c r="S20" i="40"/>
  <c r="S19" i="40"/>
  <c r="S7" i="40"/>
  <c r="K15" i="42"/>
  <c r="K14" i="42"/>
  <c r="D15" i="42"/>
  <c r="K13" i="42"/>
  <c r="D14" i="42"/>
  <c r="D13" i="42"/>
  <c r="K12" i="42"/>
  <c r="K11" i="42"/>
  <c r="D12" i="42"/>
  <c r="K10" i="42"/>
  <c r="D11" i="42"/>
  <c r="D10" i="42"/>
  <c r="K9" i="42"/>
  <c r="D9" i="42"/>
  <c r="K8" i="42"/>
  <c r="K5" i="42"/>
  <c r="P5" i="42" s="1"/>
  <c r="D8" i="42"/>
  <c r="K7" i="42"/>
  <c r="L7" i="42" s="1"/>
  <c r="K4" i="42"/>
  <c r="P4" i="42" s="1"/>
  <c r="K6" i="42"/>
  <c r="L6" i="42" s="1"/>
  <c r="M3" i="39"/>
  <c r="O3" i="39"/>
  <c r="N3" i="39"/>
  <c r="K12" i="40"/>
  <c r="P12" i="40" s="1"/>
  <c r="K6" i="40"/>
  <c r="P6" i="40" s="1"/>
  <c r="W6" i="40" s="1"/>
  <c r="K15" i="40"/>
  <c r="P15" i="40" s="1"/>
  <c r="K16" i="40"/>
  <c r="P16" i="40" s="1"/>
  <c r="K17" i="40"/>
  <c r="P17" i="40" s="1"/>
  <c r="K8" i="40"/>
  <c r="L8" i="40" s="1"/>
  <c r="K10" i="40"/>
  <c r="P10" i="40" s="1"/>
  <c r="K9" i="40"/>
  <c r="P9" i="40" s="1"/>
  <c r="K18" i="40"/>
  <c r="P18" i="40" s="1"/>
  <c r="K13" i="40"/>
  <c r="P13" i="40" s="1"/>
  <c r="K14" i="40"/>
  <c r="P14" i="40" s="1"/>
  <c r="K21" i="40"/>
  <c r="P21" i="40" s="1"/>
  <c r="K22" i="40"/>
  <c r="P22" i="40" s="1"/>
  <c r="K5" i="40"/>
  <c r="P5" i="40" s="1"/>
  <c r="K11" i="40"/>
  <c r="P11" i="40" s="1"/>
  <c r="K20" i="40"/>
  <c r="P20" i="40" s="1"/>
  <c r="K19" i="40"/>
  <c r="P19" i="40" s="1"/>
  <c r="K7" i="40"/>
  <c r="P7" i="40" s="1"/>
  <c r="N3" i="43"/>
  <c r="M3" i="43"/>
  <c r="O3" i="43"/>
  <c r="K3" i="42"/>
  <c r="L3" i="42" s="1"/>
  <c r="I3" i="39"/>
  <c r="I3" i="49"/>
  <c r="K3" i="49"/>
  <c r="J3" i="49"/>
  <c r="I3" i="48"/>
  <c r="K3" i="48"/>
  <c r="J3" i="48"/>
  <c r="K4" i="40"/>
  <c r="P4" i="40" s="1"/>
  <c r="I3" i="43"/>
  <c r="R3" i="42"/>
  <c r="Z3" i="40"/>
  <c r="Q23" i="47"/>
  <c r="Q19" i="47"/>
  <c r="Q20" i="47"/>
  <c r="Q21" i="47"/>
  <c r="Q17" i="47"/>
  <c r="Q24" i="47"/>
  <c r="Q15" i="47"/>
  <c r="Q18" i="47"/>
  <c r="Q14" i="47"/>
  <c r="Q22" i="47"/>
  <c r="Q25" i="47"/>
  <c r="Q26" i="47"/>
  <c r="Q27" i="47"/>
  <c r="Q16" i="47"/>
  <c r="I26" i="49"/>
  <c r="T34" i="47"/>
  <c r="X34" i="47" s="1"/>
  <c r="I19" i="48"/>
  <c r="I17" i="49"/>
  <c r="T35" i="47"/>
  <c r="W35" i="47" s="1"/>
  <c r="I6" i="39"/>
  <c r="M19" i="43"/>
  <c r="I5" i="43"/>
  <c r="I29" i="49"/>
  <c r="I7" i="39"/>
  <c r="M18" i="43"/>
  <c r="I16" i="48"/>
  <c r="M16" i="43"/>
  <c r="Q19" i="45"/>
  <c r="Q17" i="45"/>
  <c r="Q14" i="45"/>
  <c r="Q15" i="45"/>
  <c r="Q16" i="45"/>
  <c r="Q18" i="45"/>
  <c r="Q21" i="45"/>
  <c r="Q20" i="45"/>
  <c r="Q13" i="45"/>
  <c r="T28" i="45"/>
  <c r="W28" i="45" s="1"/>
  <c r="F6" i="48" s="1"/>
  <c r="I15" i="49"/>
  <c r="P7" i="42"/>
  <c r="M16" i="39"/>
  <c r="M20" i="43"/>
  <c r="T33" i="47"/>
  <c r="W33" i="47" s="1"/>
  <c r="F6" i="49" s="1"/>
  <c r="I24" i="49"/>
  <c r="I27" i="49"/>
  <c r="I23" i="49"/>
  <c r="T25" i="47"/>
  <c r="T26" i="47"/>
  <c r="T18" i="47"/>
  <c r="T27" i="47"/>
  <c r="T20" i="47"/>
  <c r="T23" i="47"/>
  <c r="T17" i="47"/>
  <c r="T19" i="47"/>
  <c r="T13" i="47"/>
  <c r="T14" i="47"/>
  <c r="T15" i="47"/>
  <c r="T22" i="47"/>
  <c r="T24" i="47"/>
  <c r="T16" i="47"/>
  <c r="T21" i="47"/>
  <c r="I30" i="49"/>
  <c r="M18" i="39"/>
  <c r="I25" i="49"/>
  <c r="M15" i="43"/>
  <c r="M23" i="39"/>
  <c r="I4" i="43"/>
  <c r="M17" i="39"/>
  <c r="I4" i="39"/>
  <c r="M17" i="43"/>
  <c r="T15" i="45"/>
  <c r="T19" i="45"/>
  <c r="T18" i="45"/>
  <c r="T21" i="45"/>
  <c r="T12" i="45"/>
  <c r="T16" i="45"/>
  <c r="T17" i="45"/>
  <c r="T13" i="45"/>
  <c r="T14" i="45"/>
  <c r="T20" i="45"/>
  <c r="I17" i="48"/>
  <c r="I18" i="49"/>
  <c r="T32" i="47"/>
  <c r="X32" i="47" s="1"/>
  <c r="M21" i="39"/>
  <c r="I22" i="49"/>
  <c r="M15" i="39"/>
  <c r="T36" i="47"/>
  <c r="X36" i="47" s="1"/>
  <c r="I20" i="49"/>
  <c r="M22" i="39"/>
  <c r="I5" i="39"/>
  <c r="M20" i="39"/>
  <c r="M21" i="43"/>
  <c r="M19" i="39"/>
  <c r="T27" i="45"/>
  <c r="W27" i="45" s="1"/>
  <c r="F5" i="48" s="1"/>
  <c r="I7" i="43"/>
  <c r="T31" i="47"/>
  <c r="X31" i="47" s="1"/>
  <c r="I19" i="49"/>
  <c r="I15" i="48"/>
  <c r="I18" i="48"/>
  <c r="I28" i="49"/>
  <c r="I6" i="43"/>
  <c r="T26" i="45"/>
  <c r="W26" i="45" s="1"/>
  <c r="M24" i="39"/>
  <c r="I16" i="49"/>
  <c r="T29" i="45"/>
  <c r="W29" i="45" s="1"/>
  <c r="F7" i="48" s="1"/>
  <c r="I21" i="49"/>
  <c r="H12" i="42"/>
  <c r="H8" i="42"/>
  <c r="P3" i="49" a="1"/>
  <c r="P9" i="49" a="1"/>
  <c r="Z4" i="40"/>
  <c r="AD3" i="40"/>
  <c r="AA3" i="40"/>
  <c r="T9" i="43" a="1"/>
  <c r="T3" i="43" a="1"/>
  <c r="Q3" i="48" a="1"/>
  <c r="Q9" i="48" a="1"/>
  <c r="Q13" i="48" a="1"/>
  <c r="H15" i="42"/>
  <c r="U13" i="43" a="1"/>
  <c r="U9" i="43" a="1"/>
  <c r="U3" i="43" a="1"/>
  <c r="O3" i="48" a="1"/>
  <c r="S3" i="43" a="1"/>
  <c r="P9" i="48" a="1"/>
  <c r="P3" i="48" a="1"/>
  <c r="H14" i="42"/>
  <c r="W9" i="39" a="1"/>
  <c r="W3" i="39" a="1"/>
  <c r="W13" i="39" a="1"/>
  <c r="H13" i="42"/>
  <c r="U3" i="39" a="1"/>
  <c r="Q3" i="49" a="1"/>
  <c r="Q9" i="49" a="1"/>
  <c r="Q13" i="49" a="1"/>
  <c r="V3" i="42"/>
  <c r="S3" i="42"/>
  <c r="R4" i="42"/>
  <c r="H11" i="42"/>
  <c r="H10" i="42"/>
  <c r="H9" i="42"/>
  <c r="V9" i="39" a="1"/>
  <c r="V3" i="39" a="1"/>
  <c r="O3" i="49" a="1"/>
  <c r="Z5" i="40"/>
  <c r="AA4" i="40"/>
  <c r="AD4" i="40"/>
  <c r="AB3" i="40"/>
  <c r="AE3" i="40"/>
  <c r="T3" i="42"/>
  <c r="W3" i="42"/>
  <c r="R5" i="42"/>
  <c r="V4" i="42"/>
  <c r="S4" i="42"/>
  <c r="AA5" i="40"/>
  <c r="Z6" i="40"/>
  <c r="AD5" i="40"/>
  <c r="AB4" i="40"/>
  <c r="AE4" i="40"/>
  <c r="V5" i="42"/>
  <c r="S5" i="42"/>
  <c r="R6" i="42"/>
  <c r="T4" i="42"/>
  <c r="W4" i="42"/>
  <c r="AB5" i="40"/>
  <c r="AE5" i="40"/>
  <c r="Z7" i="40"/>
  <c r="AD6" i="40"/>
  <c r="AA6" i="40"/>
  <c r="T5" i="42"/>
  <c r="W5" i="42"/>
  <c r="V6" i="42"/>
  <c r="S6" i="42"/>
  <c r="R7" i="42"/>
  <c r="AD7" i="40"/>
  <c r="Z8" i="40"/>
  <c r="AA7" i="40"/>
  <c r="AB6" i="40"/>
  <c r="AE6" i="40"/>
  <c r="T6" i="42"/>
  <c r="W6" i="42"/>
  <c r="V7" i="42"/>
  <c r="R8" i="42"/>
  <c r="S7" i="42"/>
  <c r="AA8" i="40"/>
  <c r="AD8" i="40"/>
  <c r="Z9" i="40"/>
  <c r="AB7" i="40"/>
  <c r="AE7" i="40"/>
  <c r="R9" i="42"/>
  <c r="S8" i="42"/>
  <c r="V8" i="42"/>
  <c r="T7" i="42"/>
  <c r="W7" i="42"/>
  <c r="AB8" i="40"/>
  <c r="AE8" i="40"/>
  <c r="AA9" i="40"/>
  <c r="AD9" i="40"/>
  <c r="Z10" i="40"/>
  <c r="S9" i="42"/>
  <c r="V9" i="42"/>
  <c r="R10" i="42"/>
  <c r="T8" i="42"/>
  <c r="W8" i="42"/>
  <c r="AB9" i="40"/>
  <c r="AE9" i="40"/>
  <c r="Z11" i="40"/>
  <c r="AD10" i="40"/>
  <c r="AA10" i="40"/>
  <c r="T9" i="42"/>
  <c r="W9" i="42"/>
  <c r="R11" i="42"/>
  <c r="V10" i="42"/>
  <c r="S10" i="42"/>
  <c r="Z12" i="40"/>
  <c r="AD11" i="40"/>
  <c r="AA11" i="40"/>
  <c r="AB10" i="40"/>
  <c r="AE10" i="40"/>
  <c r="R12" i="42"/>
  <c r="S11" i="42"/>
  <c r="V11" i="42"/>
  <c r="T10" i="42"/>
  <c r="W10" i="42"/>
  <c r="AD12" i="40"/>
  <c r="AA12" i="40"/>
  <c r="Z13" i="40"/>
  <c r="AB11" i="40"/>
  <c r="AE11" i="40"/>
  <c r="S12" i="42"/>
  <c r="V12" i="42"/>
  <c r="R13" i="42"/>
  <c r="T11" i="42"/>
  <c r="W11" i="42"/>
  <c r="AB12" i="40"/>
  <c r="AE12" i="40"/>
  <c r="AD13" i="40"/>
  <c r="AA13" i="40"/>
  <c r="Z14" i="40"/>
  <c r="T12" i="42"/>
  <c r="W12" i="42"/>
  <c r="V13" i="42"/>
  <c r="R14" i="42"/>
  <c r="S13" i="42"/>
  <c r="AB13" i="40"/>
  <c r="AE13" i="40"/>
  <c r="AA14" i="40"/>
  <c r="AD14" i="40"/>
  <c r="Z15" i="40"/>
  <c r="R15" i="42"/>
  <c r="S14" i="42"/>
  <c r="V14" i="42"/>
  <c r="T13" i="42"/>
  <c r="W13" i="42"/>
  <c r="AB14" i="40"/>
  <c r="AE14" i="40"/>
  <c r="AD15" i="40"/>
  <c r="Z16" i="40"/>
  <c r="AA15" i="40"/>
  <c r="S15" i="42"/>
  <c r="R16" i="42"/>
  <c r="V15" i="42"/>
  <c r="T14" i="42"/>
  <c r="W14" i="42"/>
  <c r="Z17" i="40"/>
  <c r="AA16" i="40"/>
  <c r="AD16" i="40"/>
  <c r="AB15" i="40"/>
  <c r="AE15" i="40"/>
  <c r="T15" i="42"/>
  <c r="W15" i="42"/>
  <c r="S16" i="42"/>
  <c r="V16" i="42"/>
  <c r="R17" i="42"/>
  <c r="Z18" i="40"/>
  <c r="AA17" i="40"/>
  <c r="AD17" i="40"/>
  <c r="AB16" i="40"/>
  <c r="AE16" i="40"/>
  <c r="T16" i="42"/>
  <c r="W16" i="42"/>
  <c r="R18" i="42"/>
  <c r="V17" i="42"/>
  <c r="S17" i="42"/>
  <c r="Z19" i="40"/>
  <c r="AA18" i="40"/>
  <c r="AD18" i="40"/>
  <c r="AB17" i="40"/>
  <c r="AE17" i="40"/>
  <c r="R19" i="42"/>
  <c r="V18" i="42"/>
  <c r="S18" i="42"/>
  <c r="T17" i="42"/>
  <c r="W17" i="42"/>
  <c r="AD19" i="40"/>
  <c r="AA19" i="40"/>
  <c r="Z20" i="40"/>
  <c r="AB18" i="40"/>
  <c r="AE18" i="40"/>
  <c r="S19" i="42"/>
  <c r="R20" i="42"/>
  <c r="V19" i="42"/>
  <c r="T18" i="42"/>
  <c r="W18" i="42"/>
  <c r="AB19" i="40"/>
  <c r="AE19" i="40"/>
  <c r="Z21" i="40"/>
  <c r="AD20" i="40"/>
  <c r="AA20" i="40"/>
  <c r="T19" i="42"/>
  <c r="W19" i="42"/>
  <c r="R21" i="42"/>
  <c r="S20" i="42"/>
  <c r="V20" i="42"/>
  <c r="Z22" i="40"/>
  <c r="AD21" i="40"/>
  <c r="AA21" i="40"/>
  <c r="AB20" i="40"/>
  <c r="AE20" i="40"/>
  <c r="V21" i="42"/>
  <c r="R22" i="42"/>
  <c r="S21" i="42"/>
  <c r="T20" i="42"/>
  <c r="W20" i="42"/>
  <c r="AD22" i="40"/>
  <c r="Z23" i="40"/>
  <c r="AA22" i="40"/>
  <c r="AB21" i="40"/>
  <c r="AE21" i="40"/>
  <c r="R23" i="42"/>
  <c r="V22" i="42"/>
  <c r="S22" i="42"/>
  <c r="T21" i="42"/>
  <c r="W21" i="42"/>
  <c r="AA23" i="40"/>
  <c r="AD23" i="40"/>
  <c r="Z24" i="40"/>
  <c r="AB22" i="40"/>
  <c r="AE22" i="40"/>
  <c r="S23" i="42"/>
  <c r="R24" i="42"/>
  <c r="V23" i="42"/>
  <c r="T22" i="42"/>
  <c r="W22" i="42"/>
  <c r="AB23" i="40"/>
  <c r="AE23" i="40"/>
  <c r="AD24" i="40"/>
  <c r="AA24" i="40"/>
  <c r="Z25" i="40"/>
  <c r="T23" i="42"/>
  <c r="W23" i="42"/>
  <c r="V24" i="42"/>
  <c r="S24" i="42"/>
  <c r="R25" i="42"/>
  <c r="AB24" i="40"/>
  <c r="AE24" i="40"/>
  <c r="AA25" i="40"/>
  <c r="Z26" i="40"/>
  <c r="AD25" i="40"/>
  <c r="T24" i="42"/>
  <c r="W24" i="42"/>
  <c r="S25" i="42"/>
  <c r="R26" i="42"/>
  <c r="V25" i="42"/>
  <c r="AB25" i="40"/>
  <c r="AE25" i="40"/>
  <c r="Z27" i="40"/>
  <c r="AA26" i="40"/>
  <c r="AD26" i="40"/>
  <c r="T25" i="42"/>
  <c r="W25" i="42"/>
  <c r="V26" i="42"/>
  <c r="S26" i="42"/>
  <c r="R27" i="42"/>
  <c r="AD27" i="40"/>
  <c r="AA27" i="40"/>
  <c r="Z28" i="40"/>
  <c r="AB26" i="40"/>
  <c r="AE26" i="40"/>
  <c r="T26" i="42"/>
  <c r="W26" i="42"/>
  <c r="V27" i="42"/>
  <c r="S27" i="42"/>
  <c r="R28" i="42"/>
  <c r="AB27" i="40"/>
  <c r="AE27" i="40"/>
  <c r="Z29" i="40"/>
  <c r="AD28" i="40"/>
  <c r="AA28" i="40"/>
  <c r="T27" i="42"/>
  <c r="W27" i="42"/>
  <c r="S28" i="42"/>
  <c r="V28" i="42"/>
  <c r="R29" i="42"/>
  <c r="AA29" i="40"/>
  <c r="AD29" i="40"/>
  <c r="Z30" i="40"/>
  <c r="AB28" i="40"/>
  <c r="AE28" i="40"/>
  <c r="T28" i="42"/>
  <c r="W28" i="42"/>
  <c r="S29" i="42"/>
  <c r="V29" i="42"/>
  <c r="R30" i="42"/>
  <c r="AB29" i="40"/>
  <c r="AE29" i="40"/>
  <c r="AD30" i="40"/>
  <c r="AA30" i="40"/>
  <c r="Z31" i="40"/>
  <c r="T29" i="42"/>
  <c r="W29" i="42"/>
  <c r="S30" i="42"/>
  <c r="V30" i="42"/>
  <c r="R31" i="42"/>
  <c r="AB30" i="40"/>
  <c r="AE30" i="40"/>
  <c r="Z32" i="40"/>
  <c r="AD31" i="40"/>
  <c r="AA31" i="40"/>
  <c r="T30" i="42"/>
  <c r="W30" i="42"/>
  <c r="R32" i="42"/>
  <c r="V31" i="42"/>
  <c r="S31" i="42"/>
  <c r="AA32" i="40"/>
  <c r="Z33" i="40"/>
  <c r="AD32" i="40"/>
  <c r="AB31" i="40"/>
  <c r="AE31" i="40"/>
  <c r="V32" i="42"/>
  <c r="S32" i="42"/>
  <c r="R33" i="42"/>
  <c r="T31" i="42"/>
  <c r="W31" i="42"/>
  <c r="AB32" i="40"/>
  <c r="AE32" i="40"/>
  <c r="AD33" i="40"/>
  <c r="Z34" i="40"/>
  <c r="AA33" i="40"/>
  <c r="T32" i="42"/>
  <c r="W32" i="42"/>
  <c r="V33" i="42"/>
  <c r="R34" i="42"/>
  <c r="S33" i="42"/>
  <c r="Z35" i="40"/>
  <c r="AA34" i="40"/>
  <c r="AD34" i="40"/>
  <c r="AB33" i="40"/>
  <c r="AE33" i="40"/>
  <c r="R35" i="42"/>
  <c r="V34" i="42"/>
  <c r="S34" i="42"/>
  <c r="T33" i="42"/>
  <c r="W33" i="42"/>
  <c r="Z36" i="40"/>
  <c r="AD35" i="40"/>
  <c r="AA35" i="40"/>
  <c r="AB34" i="40"/>
  <c r="AE34" i="40"/>
  <c r="R36" i="42"/>
  <c r="V35" i="42"/>
  <c r="S35" i="42"/>
  <c r="T34" i="42"/>
  <c r="W34" i="42"/>
  <c r="Z37" i="40"/>
  <c r="AA36" i="40"/>
  <c r="AD36" i="40"/>
  <c r="AB35" i="40"/>
  <c r="AE35" i="40"/>
  <c r="R37" i="42"/>
  <c r="V36" i="42"/>
  <c r="S36" i="42"/>
  <c r="T35" i="42"/>
  <c r="W35" i="42"/>
  <c r="AD37" i="40"/>
  <c r="Z38" i="40"/>
  <c r="AA37" i="40"/>
  <c r="AB36" i="40"/>
  <c r="AE36" i="40"/>
  <c r="V37" i="42"/>
  <c r="S37" i="42"/>
  <c r="R38" i="42"/>
  <c r="T36" i="42"/>
  <c r="W36" i="42"/>
  <c r="AA38" i="40"/>
  <c r="AD38" i="40"/>
  <c r="Z39" i="40"/>
  <c r="AB37" i="40"/>
  <c r="AE37" i="40"/>
  <c r="T37" i="42"/>
  <c r="W37" i="42"/>
  <c r="S38" i="42"/>
  <c r="R39" i="42"/>
  <c r="V38" i="42"/>
  <c r="AB38" i="40"/>
  <c r="AE38" i="40"/>
  <c r="AD39" i="40"/>
  <c r="AA39" i="40"/>
  <c r="Z40" i="40"/>
  <c r="T38" i="42"/>
  <c r="W38" i="42"/>
  <c r="S39" i="42"/>
  <c r="V39" i="42"/>
  <c r="R40" i="42"/>
  <c r="AB39" i="40"/>
  <c r="AE39" i="40"/>
  <c r="AD40" i="40"/>
  <c r="Z41" i="40"/>
  <c r="AA40" i="40"/>
  <c r="T39" i="42"/>
  <c r="W39" i="42"/>
  <c r="S40" i="42"/>
  <c r="R41" i="42"/>
  <c r="V40" i="42"/>
  <c r="AD41" i="40"/>
  <c r="AA41" i="40"/>
  <c r="Z42" i="40"/>
  <c r="AB40" i="40"/>
  <c r="AE40" i="40"/>
  <c r="T40" i="42"/>
  <c r="W40" i="42"/>
  <c r="R42" i="42"/>
  <c r="S41" i="42"/>
  <c r="V41" i="42"/>
  <c r="AB41" i="40"/>
  <c r="AE41" i="40"/>
  <c r="AD42" i="40"/>
  <c r="AA42" i="40"/>
  <c r="Z43" i="40"/>
  <c r="R43" i="42"/>
  <c r="V42" i="42"/>
  <c r="S42" i="42"/>
  <c r="T41" i="42"/>
  <c r="W41" i="42"/>
  <c r="AB42" i="40"/>
  <c r="AE42" i="40"/>
  <c r="Z44" i="40"/>
  <c r="AA43" i="40"/>
  <c r="AD43" i="40"/>
  <c r="R44" i="42"/>
  <c r="S43" i="42"/>
  <c r="V43" i="42"/>
  <c r="T42" i="42"/>
  <c r="W42" i="42"/>
  <c r="AD44" i="40"/>
  <c r="AA44" i="40"/>
  <c r="Z45" i="40"/>
  <c r="AB43" i="40"/>
  <c r="AE43" i="40"/>
  <c r="R45" i="42"/>
  <c r="V44" i="42"/>
  <c r="S44" i="42"/>
  <c r="T43" i="42"/>
  <c r="W43" i="42"/>
  <c r="AB44" i="40"/>
  <c r="AE44" i="40"/>
  <c r="AD45" i="40"/>
  <c r="Z46" i="40"/>
  <c r="AA45" i="40"/>
  <c r="R46" i="42"/>
  <c r="V45" i="42"/>
  <c r="S45" i="42"/>
  <c r="T44" i="42"/>
  <c r="W44" i="42"/>
  <c r="AD46" i="40"/>
  <c r="AA46" i="40"/>
  <c r="Z47" i="40"/>
  <c r="AB45" i="40"/>
  <c r="AE45" i="40"/>
  <c r="S46" i="42"/>
  <c r="V46" i="42"/>
  <c r="R47" i="42"/>
  <c r="T45" i="42"/>
  <c r="W45" i="42"/>
  <c r="AB46" i="40"/>
  <c r="AE46" i="40"/>
  <c r="AA47" i="40"/>
  <c r="Z48" i="40"/>
  <c r="AD47" i="40"/>
  <c r="T46" i="42"/>
  <c r="W46" i="42"/>
  <c r="V47" i="42"/>
  <c r="R48" i="42"/>
  <c r="S47" i="42"/>
  <c r="AB47" i="40"/>
  <c r="AE47" i="40"/>
  <c r="AA48" i="40"/>
  <c r="AD48" i="40"/>
  <c r="Z49" i="40"/>
  <c r="S48" i="42"/>
  <c r="V48" i="42"/>
  <c r="R49" i="42"/>
  <c r="T47" i="42"/>
  <c r="W47" i="42"/>
  <c r="AB48" i="40"/>
  <c r="AE48" i="40"/>
  <c r="Z50" i="40"/>
  <c r="AD49" i="40"/>
  <c r="AA49" i="40"/>
  <c r="T48" i="42"/>
  <c r="W48" i="42"/>
  <c r="R50" i="42"/>
  <c r="S49" i="42"/>
  <c r="V49" i="42"/>
  <c r="AA50" i="40"/>
  <c r="Z51" i="40"/>
  <c r="AD50" i="40"/>
  <c r="AB49" i="40"/>
  <c r="AE49" i="40"/>
  <c r="S50" i="42"/>
  <c r="R51" i="42"/>
  <c r="V50" i="42"/>
  <c r="T49" i="42"/>
  <c r="W49" i="42"/>
  <c r="AB50" i="40"/>
  <c r="AE50" i="40"/>
  <c r="AA51" i="40"/>
  <c r="AD51" i="40"/>
  <c r="Z52" i="40"/>
  <c r="T50" i="42"/>
  <c r="W50" i="42"/>
  <c r="R52" i="42"/>
  <c r="V51" i="42"/>
  <c r="S51" i="42"/>
  <c r="AB51" i="40"/>
  <c r="AE51" i="40"/>
  <c r="Z53" i="40"/>
  <c r="AD52" i="40"/>
  <c r="AA52" i="40"/>
  <c r="S52" i="42"/>
  <c r="V52" i="42"/>
  <c r="R53" i="42"/>
  <c r="T51" i="42"/>
  <c r="W51" i="42"/>
  <c r="AA53" i="40"/>
  <c r="AD53" i="40"/>
  <c r="Z54" i="40"/>
  <c r="AB52" i="40"/>
  <c r="AE52" i="40"/>
  <c r="T52" i="42"/>
  <c r="W52" i="42"/>
  <c r="R54" i="42"/>
  <c r="V53" i="42"/>
  <c r="S53" i="42"/>
  <c r="AB53" i="40"/>
  <c r="AE53" i="40"/>
  <c r="Z55" i="40"/>
  <c r="AA54" i="40"/>
  <c r="AD54" i="40"/>
  <c r="V54" i="42"/>
  <c r="R55" i="42"/>
  <c r="S54" i="42"/>
  <c r="T53" i="42"/>
  <c r="W53" i="42"/>
  <c r="Z56" i="40"/>
  <c r="AA55" i="40"/>
  <c r="AD55" i="40"/>
  <c r="AB54" i="40"/>
  <c r="AE54" i="40"/>
  <c r="S55" i="42"/>
  <c r="V55" i="42"/>
  <c r="R56" i="42"/>
  <c r="T54" i="42"/>
  <c r="W54" i="42"/>
  <c r="AD56" i="40"/>
  <c r="Z57" i="40"/>
  <c r="AA56" i="40"/>
  <c r="AB55" i="40"/>
  <c r="AE55" i="40"/>
  <c r="T55" i="42"/>
  <c r="W55" i="42"/>
  <c r="R57" i="42"/>
  <c r="V56" i="42"/>
  <c r="S56" i="42"/>
  <c r="AD57" i="40"/>
  <c r="Z58" i="40"/>
  <c r="AA57" i="40"/>
  <c r="AB56" i="40"/>
  <c r="AE56" i="40"/>
  <c r="V57" i="42"/>
  <c r="S57" i="42"/>
  <c r="R58" i="42"/>
  <c r="T56" i="42"/>
  <c r="W56" i="42"/>
  <c r="AD58" i="40"/>
  <c r="Z59" i="40"/>
  <c r="AA58" i="40"/>
  <c r="AB57" i="40"/>
  <c r="AE57" i="40"/>
  <c r="T57" i="42"/>
  <c r="W57" i="42"/>
  <c r="R59" i="42"/>
  <c r="S58" i="42"/>
  <c r="V58" i="42"/>
  <c r="AA59" i="40"/>
  <c r="AD59" i="40"/>
  <c r="Z60" i="40"/>
  <c r="AB58" i="40"/>
  <c r="AE58" i="40"/>
  <c r="S59" i="42"/>
  <c r="R60" i="42"/>
  <c r="V59" i="42"/>
  <c r="T58" i="42"/>
  <c r="W58" i="42"/>
  <c r="AB59" i="40"/>
  <c r="AE59" i="40"/>
  <c r="Z61" i="40"/>
  <c r="AA60" i="40"/>
  <c r="AD60" i="40"/>
  <c r="T59" i="42"/>
  <c r="W59" i="42"/>
  <c r="R61" i="42"/>
  <c r="V60" i="42"/>
  <c r="S60" i="42"/>
  <c r="AD61" i="40"/>
  <c r="Z62" i="40"/>
  <c r="AA61" i="40"/>
  <c r="AB60" i="40"/>
  <c r="AE60" i="40"/>
  <c r="S61" i="42"/>
  <c r="R62" i="42"/>
  <c r="V61" i="42"/>
  <c r="T60" i="42"/>
  <c r="W60" i="42"/>
  <c r="AA62" i="40"/>
  <c r="Z63" i="40"/>
  <c r="AD62" i="40"/>
  <c r="AB61" i="40"/>
  <c r="AE61" i="40"/>
  <c r="T61" i="42"/>
  <c r="W61" i="42"/>
  <c r="R63" i="42"/>
  <c r="S62" i="42"/>
  <c r="V62" i="42"/>
  <c r="AB62" i="40"/>
  <c r="AE62" i="40"/>
  <c r="AA63" i="40"/>
  <c r="Z64" i="40"/>
  <c r="AD63" i="40"/>
  <c r="V63" i="42"/>
  <c r="S63" i="42"/>
  <c r="R64" i="42"/>
  <c r="T62" i="42"/>
  <c r="W62" i="42"/>
  <c r="AB63" i="40"/>
  <c r="AE63" i="40"/>
  <c r="AD64" i="40"/>
  <c r="AA64" i="40"/>
  <c r="Z65" i="40"/>
  <c r="T63" i="42"/>
  <c r="W63" i="42"/>
  <c r="S64" i="42"/>
  <c r="V64" i="42"/>
  <c r="R65" i="42"/>
  <c r="AB64" i="40"/>
  <c r="AE64" i="40"/>
  <c r="AA65" i="40"/>
  <c r="AD65" i="40"/>
  <c r="Z66" i="40"/>
  <c r="T64" i="42"/>
  <c r="W64" i="42"/>
  <c r="R66" i="42"/>
  <c r="S65" i="42"/>
  <c r="V65" i="42"/>
  <c r="AB65" i="40"/>
  <c r="AE65" i="40"/>
  <c r="AD66" i="40"/>
  <c r="AA66" i="40"/>
  <c r="Z67" i="40"/>
  <c r="R67" i="42"/>
  <c r="S66" i="42"/>
  <c r="V66" i="42"/>
  <c r="T65" i="42"/>
  <c r="W65" i="42"/>
  <c r="AB66" i="40"/>
  <c r="AE66" i="40"/>
  <c r="AA67" i="40"/>
  <c r="AD67" i="40"/>
  <c r="Z68" i="40"/>
  <c r="S67" i="42"/>
  <c r="V67" i="42"/>
  <c r="R68" i="42"/>
  <c r="T66" i="42"/>
  <c r="W66" i="42"/>
  <c r="AB67" i="40"/>
  <c r="AE67" i="40"/>
  <c r="AA68" i="40"/>
  <c r="AD68" i="40"/>
  <c r="Z69" i="40"/>
  <c r="T67" i="42"/>
  <c r="W67" i="42"/>
  <c r="R69" i="42"/>
  <c r="S68" i="42"/>
  <c r="V68" i="42"/>
  <c r="AB68" i="40"/>
  <c r="AE68" i="40"/>
  <c r="AA69" i="40"/>
  <c r="Z70" i="40"/>
  <c r="AD69" i="40"/>
  <c r="S69" i="42"/>
  <c r="V69" i="42"/>
  <c r="R70" i="42"/>
  <c r="T68" i="42"/>
  <c r="W68" i="42"/>
  <c r="AB69" i="40"/>
  <c r="AE69" i="40"/>
  <c r="AD70" i="40"/>
  <c r="AA70" i="40"/>
  <c r="Z71" i="40"/>
  <c r="T69" i="42"/>
  <c r="W69" i="42"/>
  <c r="S70" i="42"/>
  <c r="R71" i="42"/>
  <c r="V70" i="42"/>
  <c r="AB70" i="40"/>
  <c r="AE70" i="40"/>
  <c r="AA71" i="40"/>
  <c r="Z72" i="40"/>
  <c r="AD71" i="40"/>
  <c r="T70" i="42"/>
  <c r="W70" i="42"/>
  <c r="S71" i="42"/>
  <c r="V71" i="42"/>
  <c r="R72" i="42"/>
  <c r="AB71" i="40"/>
  <c r="AE71" i="40"/>
  <c r="Z73" i="40"/>
  <c r="AA72" i="40"/>
  <c r="AD72" i="40"/>
  <c r="T71" i="42"/>
  <c r="W71" i="42"/>
  <c r="S72" i="42"/>
  <c r="R73" i="42"/>
  <c r="V72" i="42"/>
  <c r="Z74" i="40"/>
  <c r="AD73" i="40"/>
  <c r="AA73" i="40"/>
  <c r="AB72" i="40"/>
  <c r="AE72" i="40"/>
  <c r="T72" i="42"/>
  <c r="W72" i="42"/>
  <c r="R74" i="42"/>
  <c r="S73" i="42"/>
  <c r="V73" i="42"/>
  <c r="AA74" i="40"/>
  <c r="Z75" i="40"/>
  <c r="AD74" i="40"/>
  <c r="AB73" i="40"/>
  <c r="AE73" i="40"/>
  <c r="R75" i="42"/>
  <c r="S74" i="42"/>
  <c r="V74" i="42"/>
  <c r="T73" i="42"/>
  <c r="W73" i="42"/>
  <c r="AB74" i="40"/>
  <c r="AE74" i="40"/>
  <c r="Z76" i="40"/>
  <c r="AA75" i="40"/>
  <c r="AD75" i="40"/>
  <c r="V75" i="42"/>
  <c r="R76" i="42"/>
  <c r="S75" i="42"/>
  <c r="T74" i="42"/>
  <c r="W74" i="42"/>
  <c r="Z77" i="40"/>
  <c r="AA76" i="40"/>
  <c r="AD76" i="40"/>
  <c r="AB75" i="40"/>
  <c r="AE75" i="40"/>
  <c r="V76" i="42"/>
  <c r="R77" i="42"/>
  <c r="S76" i="42"/>
  <c r="T75" i="42"/>
  <c r="W75" i="42"/>
  <c r="AD77" i="40"/>
  <c r="AA77" i="40"/>
  <c r="Z78" i="40"/>
  <c r="AB76" i="40"/>
  <c r="AE76" i="40"/>
  <c r="R78" i="42"/>
  <c r="S77" i="42"/>
  <c r="V77" i="42"/>
  <c r="T76" i="42"/>
  <c r="W76" i="42"/>
  <c r="AB77" i="40"/>
  <c r="AE77" i="40"/>
  <c r="AD78" i="40"/>
  <c r="AA78" i="40"/>
  <c r="Z79" i="40"/>
  <c r="R79" i="42"/>
  <c r="S78" i="42"/>
  <c r="V78" i="42"/>
  <c r="T77" i="42"/>
  <c r="W77" i="42"/>
  <c r="AB78" i="40"/>
  <c r="AE78" i="40"/>
  <c r="AD79" i="40"/>
  <c r="AA79" i="40"/>
  <c r="Z80" i="40"/>
  <c r="R80" i="42"/>
  <c r="S79" i="42"/>
  <c r="V79" i="42"/>
  <c r="T78" i="42"/>
  <c r="W78" i="42"/>
  <c r="AB79" i="40"/>
  <c r="AE79" i="40"/>
  <c r="Z81" i="40"/>
  <c r="AA80" i="40"/>
  <c r="AD80" i="40"/>
  <c r="S80" i="42"/>
  <c r="V80" i="42"/>
  <c r="R81" i="42"/>
  <c r="T79" i="42"/>
  <c r="W79" i="42"/>
  <c r="AD81" i="40"/>
  <c r="Z82" i="40"/>
  <c r="AA81" i="40"/>
  <c r="AB80" i="40"/>
  <c r="AE80" i="40"/>
  <c r="T80" i="42"/>
  <c r="W80" i="42"/>
  <c r="R82" i="42"/>
  <c r="S81" i="42"/>
  <c r="V81" i="42"/>
  <c r="AD82" i="40"/>
  <c r="AA82" i="40"/>
  <c r="Z83" i="40"/>
  <c r="AB81" i="40"/>
  <c r="AE81" i="40"/>
  <c r="V82" i="42"/>
  <c r="S82" i="42"/>
  <c r="R83" i="42"/>
  <c r="T81" i="42"/>
  <c r="W81" i="42"/>
  <c r="AB82" i="40"/>
  <c r="AE82" i="40"/>
  <c r="Z84" i="40"/>
  <c r="AD83" i="40"/>
  <c r="AA83" i="40"/>
  <c r="T82" i="42"/>
  <c r="W82" i="42"/>
  <c r="R84" i="42"/>
  <c r="S83" i="42"/>
  <c r="V83" i="42"/>
  <c r="AD84" i="40"/>
  <c r="Z85" i="40"/>
  <c r="AA84" i="40"/>
  <c r="AB83" i="40"/>
  <c r="AE83" i="40"/>
  <c r="V84" i="42"/>
  <c r="R85" i="42"/>
  <c r="S84" i="42"/>
  <c r="T83" i="42"/>
  <c r="W83" i="42"/>
  <c r="AA85" i="40"/>
  <c r="Z86" i="40"/>
  <c r="AD85" i="40"/>
  <c r="AB84" i="40"/>
  <c r="AE84" i="40"/>
  <c r="R86" i="42"/>
  <c r="S85" i="42"/>
  <c r="V85" i="42"/>
  <c r="T84" i="42"/>
  <c r="W84" i="42"/>
  <c r="AB85" i="40"/>
  <c r="AE85" i="40"/>
  <c r="Z87" i="40"/>
  <c r="AA86" i="40"/>
  <c r="AD86" i="40"/>
  <c r="S86" i="42"/>
  <c r="R87" i="42"/>
  <c r="V86" i="42"/>
  <c r="T85" i="42"/>
  <c r="W85" i="42"/>
  <c r="AA87" i="40"/>
  <c r="Z88" i="40"/>
  <c r="AD87" i="40"/>
  <c r="AB86" i="40"/>
  <c r="AE86" i="40"/>
  <c r="T86" i="42"/>
  <c r="W86" i="42"/>
  <c r="S87" i="42"/>
  <c r="V87" i="42"/>
  <c r="R88" i="42"/>
  <c r="AB87" i="40"/>
  <c r="AE87" i="40"/>
  <c r="AA88" i="40"/>
  <c r="Z89" i="40"/>
  <c r="AD88" i="40"/>
  <c r="T87" i="42"/>
  <c r="W87" i="42"/>
  <c r="S88" i="42"/>
  <c r="V88" i="42"/>
  <c r="R89" i="42"/>
  <c r="AB88" i="40"/>
  <c r="AE88" i="40"/>
  <c r="AA89" i="40"/>
  <c r="Z90" i="40"/>
  <c r="AD89" i="40"/>
  <c r="T88" i="42"/>
  <c r="W88" i="42"/>
  <c r="R90" i="42"/>
  <c r="S89" i="42"/>
  <c r="V89" i="42"/>
  <c r="AB89" i="40"/>
  <c r="AE89" i="40"/>
  <c r="Z91" i="40"/>
  <c r="AD90" i="40"/>
  <c r="AA90" i="40"/>
  <c r="R91" i="42"/>
  <c r="V90" i="42"/>
  <c r="S90" i="42"/>
  <c r="T89" i="42"/>
  <c r="W89" i="42"/>
  <c r="Z92" i="40"/>
  <c r="AD91" i="40"/>
  <c r="AA91" i="40"/>
  <c r="AB90" i="40"/>
  <c r="AE90" i="40"/>
  <c r="V91" i="42"/>
  <c r="S91" i="42"/>
  <c r="R92" i="42"/>
  <c r="T90" i="42"/>
  <c r="W90" i="42"/>
  <c r="AA92" i="40"/>
  <c r="Z93" i="40"/>
  <c r="AD92" i="40"/>
  <c r="AB91" i="40"/>
  <c r="AE91" i="40"/>
  <c r="T91" i="42"/>
  <c r="W91" i="42"/>
  <c r="V92" i="42"/>
  <c r="S92" i="42"/>
  <c r="R93" i="42"/>
  <c r="AB92" i="40"/>
  <c r="AE92" i="40"/>
  <c r="AA93" i="40"/>
  <c r="Z94" i="40"/>
  <c r="AD93" i="40"/>
  <c r="T92" i="42"/>
  <c r="W92" i="42"/>
  <c r="S93" i="42"/>
  <c r="V93" i="42"/>
  <c r="R94" i="42"/>
  <c r="AB93" i="40"/>
  <c r="AE93" i="40"/>
  <c r="Z95" i="40"/>
  <c r="AA94" i="40"/>
  <c r="AD94" i="40"/>
  <c r="T93" i="42"/>
  <c r="W93" i="42"/>
  <c r="S94" i="42"/>
  <c r="R95" i="42"/>
  <c r="V94" i="42"/>
  <c r="Z96" i="40"/>
  <c r="AA95" i="40"/>
  <c r="AD95" i="40"/>
  <c r="AB94" i="40"/>
  <c r="AE94" i="40"/>
  <c r="T94" i="42"/>
  <c r="W94" i="42"/>
  <c r="R96" i="42"/>
  <c r="V95" i="42"/>
  <c r="S95" i="42"/>
  <c r="AA96" i="40"/>
  <c r="Z97" i="40"/>
  <c r="AD96" i="40"/>
  <c r="AB95" i="40"/>
  <c r="AE95" i="40"/>
  <c r="S96" i="42"/>
  <c r="R97" i="42"/>
  <c r="V96" i="42"/>
  <c r="T95" i="42"/>
  <c r="W95" i="42"/>
  <c r="AB96" i="40"/>
  <c r="AE96" i="40"/>
  <c r="AD97" i="40"/>
  <c r="Z98" i="40"/>
  <c r="AA97" i="40"/>
  <c r="T96" i="42"/>
  <c r="W96" i="42"/>
  <c r="S97" i="42"/>
  <c r="R98" i="42"/>
  <c r="V97" i="42"/>
  <c r="AD98" i="40"/>
  <c r="AA98" i="40"/>
  <c r="Z99" i="40"/>
  <c r="AB97" i="40"/>
  <c r="AE97" i="40"/>
  <c r="T97" i="42"/>
  <c r="W97" i="42"/>
  <c r="R99" i="42"/>
  <c r="S98" i="42"/>
  <c r="V98" i="42"/>
  <c r="AB98" i="40"/>
  <c r="AE98" i="40"/>
  <c r="AD99" i="40"/>
  <c r="Z100" i="40"/>
  <c r="AA99" i="40"/>
  <c r="S99" i="42"/>
  <c r="V99" i="42"/>
  <c r="R100" i="42"/>
  <c r="T98" i="42"/>
  <c r="W98" i="42"/>
  <c r="AD100" i="40"/>
  <c r="Z101" i="40"/>
  <c r="AA100" i="40"/>
  <c r="AB99" i="40"/>
  <c r="AE99" i="40"/>
  <c r="T99" i="42"/>
  <c r="W99" i="42"/>
  <c r="R101" i="42"/>
  <c r="S100" i="42"/>
  <c r="V100" i="42"/>
  <c r="AA101" i="40"/>
  <c r="Z102" i="40"/>
  <c r="AD101" i="40"/>
  <c r="AB100" i="40"/>
  <c r="AE100" i="40"/>
  <c r="R102" i="42"/>
  <c r="V101" i="42"/>
  <c r="S101" i="42"/>
  <c r="T100" i="42"/>
  <c r="W100" i="42"/>
  <c r="AB101" i="40"/>
  <c r="AE101" i="40"/>
  <c r="AD102" i="40"/>
  <c r="Z103" i="40"/>
  <c r="AA102" i="40"/>
  <c r="R103" i="42"/>
  <c r="S102" i="42"/>
  <c r="V102" i="42"/>
  <c r="T101" i="42"/>
  <c r="W101" i="42"/>
  <c r="Z104" i="40"/>
  <c r="AD103" i="40"/>
  <c r="AA103" i="40"/>
  <c r="AB102" i="40"/>
  <c r="AE102" i="40"/>
  <c r="R104" i="42"/>
  <c r="V103" i="42"/>
  <c r="S103" i="42"/>
  <c r="T102" i="42"/>
  <c r="W102" i="42"/>
  <c r="Z105" i="40"/>
  <c r="AA104" i="40"/>
  <c r="AD104" i="40"/>
  <c r="AB103" i="40"/>
  <c r="AE103" i="40"/>
  <c r="V104" i="42"/>
  <c r="S104" i="42"/>
  <c r="R105" i="42"/>
  <c r="T103" i="42"/>
  <c r="W103" i="42"/>
  <c r="AA105" i="40"/>
  <c r="Z106" i="40"/>
  <c r="AD105" i="40"/>
  <c r="AB104" i="40"/>
  <c r="AE104" i="40"/>
  <c r="T104" i="42"/>
  <c r="W104" i="42"/>
  <c r="R106" i="42"/>
  <c r="S105" i="42"/>
  <c r="V105" i="42"/>
  <c r="AB105" i="40"/>
  <c r="AE105" i="40"/>
  <c r="AD106" i="40"/>
  <c r="Z107" i="40"/>
  <c r="AA106" i="40"/>
  <c r="S106" i="42"/>
  <c r="V106" i="42"/>
  <c r="R107" i="42"/>
  <c r="T105" i="42"/>
  <c r="W105" i="42"/>
  <c r="AA107" i="40"/>
  <c r="AD107" i="40"/>
  <c r="Z108" i="40"/>
  <c r="AB106" i="40"/>
  <c r="AE106" i="40"/>
  <c r="T106" i="42"/>
  <c r="W106" i="42"/>
  <c r="R108" i="42"/>
  <c r="S107" i="42"/>
  <c r="V107" i="42"/>
  <c r="AB107" i="40"/>
  <c r="AE107" i="40"/>
  <c r="AA108" i="40"/>
  <c r="AD108" i="40"/>
  <c r="Z109" i="40"/>
  <c r="R109" i="42"/>
  <c r="V108" i="42"/>
  <c r="S108" i="42"/>
  <c r="T107" i="42"/>
  <c r="W107" i="42"/>
  <c r="AB108" i="40"/>
  <c r="AE108" i="40"/>
  <c r="AD109" i="40"/>
  <c r="Z110" i="40"/>
  <c r="AA109" i="40"/>
  <c r="S109" i="42"/>
  <c r="R110" i="42"/>
  <c r="V109" i="42"/>
  <c r="T108" i="42"/>
  <c r="W108" i="42"/>
  <c r="AA110" i="40"/>
  <c r="Z111" i="40"/>
  <c r="AD110" i="40"/>
  <c r="AB109" i="40"/>
  <c r="AE109" i="40"/>
  <c r="T109" i="42"/>
  <c r="W109" i="42"/>
  <c r="S110" i="42"/>
  <c r="R111" i="42"/>
  <c r="V110" i="42"/>
  <c r="AB110" i="40"/>
  <c r="AE110" i="40"/>
  <c r="AD111" i="40"/>
  <c r="AA111" i="40"/>
  <c r="Z112" i="40"/>
  <c r="T110" i="42"/>
  <c r="W110" i="42"/>
  <c r="S111" i="42"/>
  <c r="V111" i="42"/>
  <c r="R112" i="42"/>
  <c r="AB111" i="40"/>
  <c r="AE111" i="40"/>
  <c r="Z113" i="40"/>
  <c r="AD112" i="40"/>
  <c r="AA112" i="40"/>
  <c r="T111" i="42"/>
  <c r="W111" i="42"/>
  <c r="V112" i="42"/>
  <c r="S112" i="42"/>
  <c r="R113" i="42"/>
  <c r="AA113" i="40"/>
  <c r="Z114" i="40"/>
  <c r="AD113" i="40"/>
  <c r="AB112" i="40"/>
  <c r="AE112" i="40"/>
  <c r="T112" i="42"/>
  <c r="W112" i="42"/>
  <c r="R114" i="42"/>
  <c r="S113" i="42"/>
  <c r="V113" i="42"/>
  <c r="AB113" i="40"/>
  <c r="AE113" i="40"/>
  <c r="AD114" i="40"/>
  <c r="Z115" i="40"/>
  <c r="AA114" i="40"/>
  <c r="R115" i="42"/>
  <c r="S114" i="42"/>
  <c r="V114" i="42"/>
  <c r="T113" i="42"/>
  <c r="W113" i="42"/>
  <c r="AA115" i="40"/>
  <c r="Z116" i="40"/>
  <c r="AD115" i="40"/>
  <c r="AB114" i="40"/>
  <c r="AE114" i="40"/>
  <c r="S115" i="42"/>
  <c r="R116" i="42"/>
  <c r="V115" i="42"/>
  <c r="T114" i="42"/>
  <c r="W114" i="42"/>
  <c r="AB115" i="40"/>
  <c r="AE115" i="40"/>
  <c r="AA116" i="40"/>
  <c r="AD116" i="40"/>
  <c r="Z117" i="40"/>
  <c r="T115" i="42"/>
  <c r="W115" i="42"/>
  <c r="S116" i="42"/>
  <c r="R117" i="42"/>
  <c r="V116" i="42"/>
  <c r="AB116" i="40"/>
  <c r="AE116" i="40"/>
  <c r="AD117" i="40"/>
  <c r="AA117" i="40"/>
  <c r="Z118" i="40"/>
  <c r="T116" i="42"/>
  <c r="W116" i="42"/>
  <c r="V117" i="42"/>
  <c r="R118" i="42"/>
  <c r="S117" i="42"/>
  <c r="AB117" i="40"/>
  <c r="AE117" i="40"/>
  <c r="AD118" i="40"/>
  <c r="Z119" i="40"/>
  <c r="AA118" i="40"/>
  <c r="V118" i="42"/>
  <c r="R119" i="42"/>
  <c r="S118" i="42"/>
  <c r="T117" i="42"/>
  <c r="W117" i="42"/>
  <c r="AA119" i="40"/>
  <c r="AD119" i="40"/>
  <c r="Z120" i="40"/>
  <c r="AB118" i="40"/>
  <c r="AE118" i="40"/>
  <c r="V119" i="42"/>
  <c r="R120" i="42"/>
  <c r="S119" i="42"/>
  <c r="T118" i="42"/>
  <c r="W118" i="42"/>
  <c r="AB119" i="40"/>
  <c r="AE119" i="40"/>
  <c r="Z121" i="40"/>
  <c r="AD120" i="40"/>
  <c r="AA120" i="40"/>
  <c r="V120" i="42"/>
  <c r="S120" i="42"/>
  <c r="R121" i="42"/>
  <c r="T119" i="42"/>
  <c r="W119" i="42"/>
  <c r="Z122" i="40"/>
  <c r="AD121" i="40"/>
  <c r="AA121" i="40"/>
  <c r="AB120" i="40"/>
  <c r="AE120" i="40"/>
  <c r="T120" i="42"/>
  <c r="W120" i="42"/>
  <c r="V121" i="42"/>
  <c r="S121" i="42"/>
  <c r="R122" i="42"/>
  <c r="AD122" i="40"/>
  <c r="AA122" i="40"/>
  <c r="Z123" i="40"/>
  <c r="AB121" i="40"/>
  <c r="AE121" i="40"/>
  <c r="T121" i="42"/>
  <c r="W121" i="42"/>
  <c r="S122" i="42"/>
  <c r="V122" i="42"/>
  <c r="R123" i="42"/>
  <c r="AB122" i="40"/>
  <c r="AE122" i="40"/>
  <c r="Z124" i="40"/>
  <c r="AA123" i="40"/>
  <c r="AD123" i="40"/>
  <c r="T122" i="42"/>
  <c r="W122" i="42"/>
  <c r="S123" i="42"/>
  <c r="V123" i="42"/>
  <c r="R124" i="42"/>
  <c r="AD124" i="40"/>
  <c r="AA124" i="40"/>
  <c r="Z125" i="40"/>
  <c r="AB123" i="40"/>
  <c r="AE123" i="40"/>
  <c r="T123" i="42"/>
  <c r="W123" i="42"/>
  <c r="S124" i="42"/>
  <c r="V124" i="42"/>
  <c r="R125" i="42"/>
  <c r="AB124" i="40"/>
  <c r="AE124" i="40"/>
  <c r="AA125" i="40"/>
  <c r="AD125" i="40"/>
  <c r="Z126" i="40"/>
  <c r="T124" i="42"/>
  <c r="W124" i="42"/>
  <c r="V125" i="42"/>
  <c r="S125" i="42"/>
  <c r="R126" i="42"/>
  <c r="AB125" i="40"/>
  <c r="AE125" i="40"/>
  <c r="AA126" i="40"/>
  <c r="Z127" i="40"/>
  <c r="AD126" i="40"/>
  <c r="T125" i="42"/>
  <c r="W125" i="42"/>
  <c r="R127" i="42"/>
  <c r="V126" i="42"/>
  <c r="S126" i="42"/>
  <c r="AB126" i="40"/>
  <c r="AE126" i="40"/>
  <c r="AD127" i="40"/>
  <c r="Z128" i="40"/>
  <c r="AA127" i="40"/>
  <c r="V127" i="42"/>
  <c r="R128" i="42"/>
  <c r="S127" i="42"/>
  <c r="T126" i="42"/>
  <c r="W126" i="42"/>
  <c r="AA128" i="40"/>
  <c r="AD128" i="40"/>
  <c r="Z129" i="40"/>
  <c r="AB127" i="40"/>
  <c r="AE127" i="40"/>
  <c r="S128" i="42"/>
  <c r="V128" i="42"/>
  <c r="R129" i="42"/>
  <c r="T127" i="42"/>
  <c r="W127" i="42"/>
  <c r="AB128" i="40"/>
  <c r="AE128" i="40"/>
  <c r="Z130" i="40"/>
  <c r="AD129" i="40"/>
  <c r="AA129" i="40"/>
  <c r="T128" i="42"/>
  <c r="W128" i="42"/>
  <c r="S129" i="42"/>
  <c r="R130" i="42"/>
  <c r="V129" i="42"/>
  <c r="Z131" i="40"/>
  <c r="AD130" i="40"/>
  <c r="AA130" i="40"/>
  <c r="AB129" i="40"/>
  <c r="AE129" i="40"/>
  <c r="T129" i="42"/>
  <c r="W129" i="42"/>
  <c r="V130" i="42"/>
  <c r="R131" i="42"/>
  <c r="S130" i="42"/>
  <c r="AA131" i="40"/>
  <c r="Z132" i="40"/>
  <c r="AD131" i="40"/>
  <c r="AB130" i="40"/>
  <c r="AE130" i="40"/>
  <c r="S131" i="42"/>
  <c r="V131" i="42"/>
  <c r="R132" i="42"/>
  <c r="T130" i="42"/>
  <c r="W130" i="42"/>
  <c r="AB131" i="40"/>
  <c r="AE131" i="40"/>
  <c r="AD132" i="40"/>
  <c r="AA132" i="40"/>
  <c r="Z133" i="40"/>
  <c r="T131" i="42"/>
  <c r="W131" i="42"/>
  <c r="S132" i="42"/>
  <c r="V132" i="42"/>
  <c r="R133" i="42"/>
  <c r="AB132" i="40"/>
  <c r="AE132" i="40"/>
  <c r="AD133" i="40"/>
  <c r="Z134" i="40"/>
  <c r="AA133" i="40"/>
  <c r="T132" i="42"/>
  <c r="W132" i="42"/>
  <c r="S133" i="42"/>
  <c r="V133" i="42"/>
  <c r="R134" i="42"/>
  <c r="Z135" i="40"/>
  <c r="AA134" i="40"/>
  <c r="AD134" i="40"/>
  <c r="AB133" i="40"/>
  <c r="AE133" i="40"/>
  <c r="T133" i="42"/>
  <c r="W133" i="42"/>
  <c r="S134" i="42"/>
  <c r="R135" i="42"/>
  <c r="V134" i="42"/>
  <c r="AA135" i="40"/>
  <c r="Z136" i="40"/>
  <c r="AD135" i="40"/>
  <c r="AB134" i="40"/>
  <c r="AE134" i="40"/>
  <c r="T134" i="42"/>
  <c r="W134" i="42"/>
  <c r="V135" i="42"/>
  <c r="R136" i="42"/>
  <c r="S135" i="42"/>
  <c r="AB135" i="40"/>
  <c r="AE135" i="40"/>
  <c r="AA136" i="40"/>
  <c r="Z137" i="40"/>
  <c r="AD136" i="40"/>
  <c r="R137" i="42"/>
  <c r="V136" i="42"/>
  <c r="S136" i="42"/>
  <c r="T135" i="42"/>
  <c r="W135" i="42"/>
  <c r="AB136" i="40"/>
  <c r="AE136" i="40"/>
  <c r="Z138" i="40"/>
  <c r="AD137" i="40"/>
  <c r="AA137" i="40"/>
  <c r="S137" i="42"/>
  <c r="R138" i="42"/>
  <c r="V137" i="42"/>
  <c r="T136" i="42"/>
  <c r="W136" i="42"/>
  <c r="Z139" i="40"/>
  <c r="AA138" i="40"/>
  <c r="AD138" i="40"/>
  <c r="AB137" i="40"/>
  <c r="AE137" i="40"/>
  <c r="T137" i="42"/>
  <c r="W137" i="42"/>
  <c r="S138" i="42"/>
  <c r="R139" i="42"/>
  <c r="V138" i="42"/>
  <c r="AD139" i="40"/>
  <c r="Z140" i="40"/>
  <c r="AA139" i="40"/>
  <c r="AB138" i="40"/>
  <c r="AE138" i="40"/>
  <c r="T138" i="42"/>
  <c r="W138" i="42"/>
  <c r="V139" i="42"/>
  <c r="S139" i="42"/>
  <c r="R140" i="42"/>
  <c r="AD140" i="40"/>
  <c r="AA140" i="40"/>
  <c r="Z141" i="40"/>
  <c r="AB139" i="40"/>
  <c r="AE139" i="40"/>
  <c r="T139" i="42"/>
  <c r="W139" i="42"/>
  <c r="R141" i="42"/>
  <c r="S140" i="42"/>
  <c r="V140" i="42"/>
  <c r="AB140" i="40"/>
  <c r="AE140" i="40"/>
  <c r="Z142" i="40"/>
  <c r="AA141" i="40"/>
  <c r="AD141" i="40"/>
  <c r="S141" i="42"/>
  <c r="V141" i="42"/>
  <c r="R142" i="42"/>
  <c r="T140" i="42"/>
  <c r="W140" i="42"/>
  <c r="AD142" i="40"/>
  <c r="Z143" i="40"/>
  <c r="AA142" i="40"/>
  <c r="AB141" i="40"/>
  <c r="AE141" i="40"/>
  <c r="T141" i="42"/>
  <c r="W141" i="42"/>
  <c r="R143" i="42"/>
  <c r="S142" i="42"/>
  <c r="V142" i="42"/>
  <c r="AD143" i="40"/>
  <c r="Z144" i="40"/>
  <c r="AA143" i="40"/>
  <c r="AB142" i="40"/>
  <c r="AE142" i="40"/>
  <c r="R144" i="42"/>
  <c r="V143" i="42"/>
  <c r="S143" i="42"/>
  <c r="T142" i="42"/>
  <c r="W142" i="42"/>
  <c r="Z145" i="40"/>
  <c r="AA144" i="40"/>
  <c r="AD144" i="40"/>
  <c r="AB143" i="40"/>
  <c r="AE143" i="40"/>
  <c r="S144" i="42"/>
  <c r="R145" i="42"/>
  <c r="V144" i="42"/>
  <c r="T143" i="42"/>
  <c r="W143" i="42"/>
  <c r="AA145" i="40"/>
  <c r="AD145" i="40"/>
  <c r="Z146" i="40"/>
  <c r="AB144" i="40"/>
  <c r="AE144" i="40"/>
  <c r="T144" i="42"/>
  <c r="W144" i="42"/>
  <c r="S145" i="42"/>
  <c r="R146" i="42"/>
  <c r="V145" i="42"/>
  <c r="AB145" i="40"/>
  <c r="AE145" i="40"/>
  <c r="AD146" i="40"/>
  <c r="Z147" i="40"/>
  <c r="AA146" i="40"/>
  <c r="T145" i="42"/>
  <c r="W145" i="42"/>
  <c r="V146" i="42"/>
  <c r="S146" i="42"/>
  <c r="R147" i="42"/>
  <c r="AD147" i="40"/>
  <c r="AA147" i="40"/>
  <c r="Z148" i="40"/>
  <c r="AB146" i="40"/>
  <c r="AE146" i="40"/>
  <c r="T146" i="42"/>
  <c r="W146" i="42"/>
  <c r="V147" i="42"/>
  <c r="S147" i="42"/>
  <c r="R148" i="42"/>
  <c r="AB147" i="40"/>
  <c r="AE147" i="40"/>
  <c r="Z149" i="40"/>
  <c r="AD148" i="40"/>
  <c r="AA148" i="40"/>
  <c r="T147" i="42"/>
  <c r="W147" i="42"/>
  <c r="S148" i="42"/>
  <c r="R149" i="42"/>
  <c r="V148" i="42"/>
  <c r="AA149" i="40"/>
  <c r="Z150" i="40"/>
  <c r="AD149" i="40"/>
  <c r="AB148" i="40"/>
  <c r="AE148" i="40"/>
  <c r="T148" i="42"/>
  <c r="W148" i="42"/>
  <c r="V149" i="42"/>
  <c r="R150" i="42"/>
  <c r="S149" i="42"/>
  <c r="AB149" i="40"/>
  <c r="AE149" i="40"/>
  <c r="AD150" i="40"/>
  <c r="Z151" i="40"/>
  <c r="AA150" i="40"/>
  <c r="S150" i="42"/>
  <c r="R151" i="42"/>
  <c r="V150" i="42"/>
  <c r="T149" i="42"/>
  <c r="W149" i="42"/>
  <c r="AD151" i="40"/>
  <c r="Z152" i="40"/>
  <c r="AA151" i="40"/>
  <c r="AB150" i="40"/>
  <c r="AE150" i="40"/>
  <c r="T150" i="42"/>
  <c r="W150" i="42"/>
  <c r="S151" i="42"/>
  <c r="V151" i="42"/>
  <c r="R152" i="42"/>
  <c r="Z153" i="40"/>
  <c r="AD152" i="40"/>
  <c r="AA152" i="40"/>
  <c r="AB151" i="40"/>
  <c r="AE151" i="40"/>
  <c r="T151" i="42"/>
  <c r="W151" i="42"/>
  <c r="S152" i="42"/>
  <c r="R153" i="42"/>
  <c r="V152" i="42"/>
  <c r="Z154" i="40"/>
  <c r="AA153" i="40"/>
  <c r="AD153" i="40"/>
  <c r="AB152" i="40"/>
  <c r="AE152" i="40"/>
  <c r="T152" i="42"/>
  <c r="W152" i="42"/>
  <c r="V153" i="42"/>
  <c r="S153" i="42"/>
  <c r="R154" i="42"/>
  <c r="AD154" i="40"/>
  <c r="AA154" i="40"/>
  <c r="Z155" i="40"/>
  <c r="AB153" i="40"/>
  <c r="AE153" i="40"/>
  <c r="T153" i="42"/>
  <c r="W153" i="42"/>
  <c r="V154" i="42"/>
  <c r="R155" i="42"/>
  <c r="S154" i="42"/>
  <c r="AB154" i="40"/>
  <c r="AE154" i="40"/>
  <c r="Z156" i="40"/>
  <c r="AA155" i="40"/>
  <c r="AD155" i="40"/>
  <c r="S155" i="42"/>
  <c r="V155" i="42"/>
  <c r="R156" i="42"/>
  <c r="T154" i="42"/>
  <c r="W154" i="42"/>
  <c r="Z157" i="40"/>
  <c r="AA156" i="40"/>
  <c r="AD156" i="40"/>
  <c r="AB155" i="40"/>
  <c r="AE155" i="40"/>
  <c r="T155" i="42"/>
  <c r="W155" i="42"/>
  <c r="S156" i="42"/>
  <c r="R157" i="42"/>
  <c r="V156" i="42"/>
  <c r="AA157" i="40"/>
  <c r="AD157" i="40"/>
  <c r="Z158" i="40"/>
  <c r="AB156" i="40"/>
  <c r="AE156" i="40"/>
  <c r="T156" i="42"/>
  <c r="W156" i="42"/>
  <c r="S157" i="42"/>
  <c r="R158" i="42"/>
  <c r="V157" i="42"/>
  <c r="AB157" i="40"/>
  <c r="AE157" i="40"/>
  <c r="Z159" i="40"/>
  <c r="AA158" i="40"/>
  <c r="AD158" i="40"/>
  <c r="T157" i="42"/>
  <c r="W157" i="42"/>
  <c r="V158" i="42"/>
  <c r="R159" i="42"/>
  <c r="S158" i="42"/>
  <c r="AA159" i="40"/>
  <c r="AD159" i="40"/>
  <c r="Z160" i="40"/>
  <c r="AB158" i="40"/>
  <c r="AE158" i="40"/>
  <c r="V159" i="42"/>
  <c r="R160" i="42"/>
  <c r="S159" i="42"/>
  <c r="T158" i="42"/>
  <c r="W158" i="42"/>
  <c r="AB159" i="40"/>
  <c r="AE159" i="40"/>
  <c r="Z161" i="40"/>
  <c r="AA160" i="40"/>
  <c r="AD160" i="40"/>
  <c r="S160" i="42"/>
  <c r="V160" i="42"/>
  <c r="R161" i="42"/>
  <c r="T159" i="42"/>
  <c r="W159" i="42"/>
  <c r="Z162" i="40"/>
  <c r="AA161" i="40"/>
  <c r="AD161" i="40"/>
  <c r="AB160" i="40"/>
  <c r="AE160" i="40"/>
  <c r="T160" i="42"/>
  <c r="W160" i="42"/>
  <c r="R162" i="42"/>
  <c r="S161" i="42"/>
  <c r="V161" i="42"/>
  <c r="Z163" i="40"/>
  <c r="AA162" i="40"/>
  <c r="AD162" i="40"/>
  <c r="AB161" i="40"/>
  <c r="AE161" i="40"/>
  <c r="R163" i="42"/>
  <c r="S162" i="42"/>
  <c r="V162" i="42"/>
  <c r="T161" i="42"/>
  <c r="W161" i="42"/>
  <c r="AD163" i="40"/>
  <c r="Z164" i="40"/>
  <c r="AA163" i="40"/>
  <c r="AB162" i="40"/>
  <c r="AE162" i="40"/>
  <c r="R164" i="42"/>
  <c r="S163" i="42"/>
  <c r="V163" i="42"/>
  <c r="T162" i="42"/>
  <c r="W162" i="42"/>
  <c r="AD164" i="40"/>
  <c r="Z165" i="40"/>
  <c r="AA164" i="40"/>
  <c r="AB163" i="40"/>
  <c r="AE163" i="40"/>
  <c r="V164" i="42"/>
  <c r="S164" i="42"/>
  <c r="R165" i="42"/>
  <c r="T163" i="42"/>
  <c r="W163" i="42"/>
  <c r="AD165" i="40"/>
  <c r="Z166" i="40"/>
  <c r="AA165" i="40"/>
  <c r="AB164" i="40"/>
  <c r="AE164" i="40"/>
  <c r="T164" i="42"/>
  <c r="W164" i="42"/>
  <c r="S165" i="42"/>
  <c r="R166" i="42"/>
  <c r="V165" i="42"/>
  <c r="AA166" i="40"/>
  <c r="AD166" i="40"/>
  <c r="Z167" i="40"/>
  <c r="AB165" i="40"/>
  <c r="AE165" i="40"/>
  <c r="T165" i="42"/>
  <c r="W165" i="42"/>
  <c r="V166" i="42"/>
  <c r="R167" i="42"/>
  <c r="S166" i="42"/>
  <c r="AB166" i="40"/>
  <c r="AE166" i="40"/>
  <c r="AD167" i="40"/>
  <c r="Z168" i="40"/>
  <c r="AA167" i="40"/>
  <c r="S167" i="42"/>
  <c r="V167" i="42"/>
  <c r="R168" i="42"/>
  <c r="T166" i="42"/>
  <c r="W166" i="42"/>
  <c r="AD168" i="40"/>
  <c r="Z169" i="40"/>
  <c r="AA168" i="40"/>
  <c r="AB167" i="40"/>
  <c r="AE167" i="40"/>
  <c r="T167" i="42"/>
  <c r="W167" i="42"/>
  <c r="S168" i="42"/>
  <c r="R169" i="42"/>
  <c r="V168" i="42"/>
  <c r="Z170" i="40"/>
  <c r="AA169" i="40"/>
  <c r="AD169" i="40"/>
  <c r="AB168" i="40"/>
  <c r="AE168" i="40"/>
  <c r="T168" i="42"/>
  <c r="W168" i="42"/>
  <c r="R170" i="42"/>
  <c r="V169" i="42"/>
  <c r="S169" i="42"/>
  <c r="AD170" i="40"/>
  <c r="AA170" i="40"/>
  <c r="Z171" i="40"/>
  <c r="AB169" i="40"/>
  <c r="AE169" i="40"/>
  <c r="V170" i="42"/>
  <c r="R171" i="42"/>
  <c r="S170" i="42"/>
  <c r="T169" i="42"/>
  <c r="W169" i="42"/>
  <c r="AB170" i="40"/>
  <c r="AE170" i="40"/>
  <c r="Z172" i="40"/>
  <c r="AD171" i="40"/>
  <c r="AA171" i="40"/>
  <c r="R172" i="42"/>
  <c r="S171" i="42"/>
  <c r="V171" i="42"/>
  <c r="T170" i="42"/>
  <c r="W170" i="42"/>
  <c r="AA172" i="40"/>
  <c r="Z173" i="40"/>
  <c r="AD172" i="40"/>
  <c r="AB171" i="40"/>
  <c r="AE171" i="40"/>
  <c r="S172" i="42"/>
  <c r="R173" i="42"/>
  <c r="V172" i="42"/>
  <c r="T171" i="42"/>
  <c r="W171" i="42"/>
  <c r="AB172" i="40"/>
  <c r="AE172" i="40"/>
  <c r="Z174" i="40"/>
  <c r="AA173" i="40"/>
  <c r="AD173" i="40"/>
  <c r="T172" i="42"/>
  <c r="W172" i="42"/>
  <c r="S173" i="42"/>
  <c r="R174" i="42"/>
  <c r="V173" i="42"/>
  <c r="AD174" i="40"/>
  <c r="Z175" i="40"/>
  <c r="AA174" i="40"/>
  <c r="AB173" i="40"/>
  <c r="AE173" i="40"/>
  <c r="T173" i="42"/>
  <c r="W173" i="42"/>
  <c r="R175" i="42"/>
  <c r="S174" i="42"/>
  <c r="V174" i="42"/>
  <c r="AA175" i="40"/>
  <c r="Z176" i="40"/>
  <c r="AD175" i="40"/>
  <c r="AB174" i="40"/>
  <c r="AE174" i="40"/>
  <c r="R176" i="42"/>
  <c r="S175" i="42"/>
  <c r="V175" i="42"/>
  <c r="T174" i="42"/>
  <c r="W174" i="42"/>
  <c r="AB175" i="40"/>
  <c r="AE175" i="40"/>
  <c r="Z177" i="40"/>
  <c r="AD176" i="40"/>
  <c r="AA176" i="40"/>
  <c r="S176" i="42"/>
  <c r="R177" i="42"/>
  <c r="V176" i="42"/>
  <c r="T175" i="42"/>
  <c r="W175" i="42"/>
  <c r="Z178" i="40"/>
  <c r="AA177" i="40"/>
  <c r="AD177" i="40"/>
  <c r="AB176" i="40"/>
  <c r="AE176" i="40"/>
  <c r="T176" i="42"/>
  <c r="W176" i="42"/>
  <c r="S177" i="42"/>
  <c r="R178" i="42"/>
  <c r="V177" i="42"/>
  <c r="Z179" i="40"/>
  <c r="AA178" i="40"/>
  <c r="AD178" i="40"/>
  <c r="AB177" i="40"/>
  <c r="AE177" i="40"/>
  <c r="T177" i="42"/>
  <c r="W177" i="42"/>
  <c r="V178" i="42"/>
  <c r="S178" i="42"/>
  <c r="R179" i="42"/>
  <c r="AD179" i="40"/>
  <c r="AA179" i="40"/>
  <c r="Z180" i="40"/>
  <c r="AB178" i="40"/>
  <c r="AE178" i="40"/>
  <c r="T178" i="42"/>
  <c r="W178" i="42"/>
  <c r="S179" i="42"/>
  <c r="V179" i="42"/>
  <c r="R180" i="42"/>
  <c r="AB179" i="40"/>
  <c r="AE179" i="40"/>
  <c r="AA180" i="40"/>
  <c r="Z181" i="40"/>
  <c r="AD180" i="40"/>
  <c r="T179" i="42"/>
  <c r="W179" i="42"/>
  <c r="R181" i="42"/>
  <c r="S180" i="42"/>
  <c r="V180" i="42"/>
  <c r="AB180" i="40"/>
  <c r="AE180" i="40"/>
  <c r="AD181" i="40"/>
  <c r="Z182" i="40"/>
  <c r="AA181" i="40"/>
  <c r="R182" i="42"/>
  <c r="S181" i="42"/>
  <c r="V181" i="42"/>
  <c r="T180" i="42"/>
  <c r="W180" i="42"/>
  <c r="Z183" i="40"/>
  <c r="AD182" i="40"/>
  <c r="AA182" i="40"/>
  <c r="AB181" i="40"/>
  <c r="AE181" i="40"/>
  <c r="V182" i="42"/>
  <c r="R183" i="42"/>
  <c r="S182" i="42"/>
  <c r="T181" i="42"/>
  <c r="W181" i="42"/>
  <c r="Z184" i="40"/>
  <c r="AA183" i="40"/>
  <c r="AD183" i="40"/>
  <c r="AB182" i="40"/>
  <c r="AE182" i="40"/>
  <c r="R184" i="42"/>
  <c r="S183" i="42"/>
  <c r="V183" i="42"/>
  <c r="T182" i="42"/>
  <c r="W182" i="42"/>
  <c r="Z185" i="40"/>
  <c r="AD184" i="40"/>
  <c r="AA184" i="40"/>
  <c r="AB183" i="40"/>
  <c r="AE183" i="40"/>
  <c r="S184" i="42"/>
  <c r="R185" i="42"/>
  <c r="V184" i="42"/>
  <c r="T183" i="42"/>
  <c r="W183" i="42"/>
  <c r="AD185" i="40"/>
  <c r="AA185" i="40"/>
  <c r="Z186" i="40"/>
  <c r="AB184" i="40"/>
  <c r="AE184" i="40"/>
  <c r="T184" i="42"/>
  <c r="W184" i="42"/>
  <c r="S185" i="42"/>
  <c r="V185" i="42"/>
  <c r="R186" i="42"/>
  <c r="AB185" i="40"/>
  <c r="AE185" i="40"/>
  <c r="Z187" i="40"/>
  <c r="AA186" i="40"/>
  <c r="AD186" i="40"/>
  <c r="T185" i="42"/>
  <c r="W185" i="42"/>
  <c r="R187" i="42"/>
  <c r="S186" i="42"/>
  <c r="V186" i="42"/>
  <c r="AA187" i="40"/>
  <c r="Z188" i="40"/>
  <c r="AD187" i="40"/>
  <c r="AB186" i="40"/>
  <c r="AE186" i="40"/>
  <c r="V187" i="42"/>
  <c r="S187" i="42"/>
  <c r="R188" i="42"/>
  <c r="T186" i="42"/>
  <c r="W186" i="42"/>
  <c r="AB187" i="40"/>
  <c r="AE187" i="40"/>
  <c r="Z189" i="40"/>
  <c r="AD188" i="40"/>
  <c r="AA188" i="40"/>
  <c r="T187" i="42"/>
  <c r="W187" i="42"/>
  <c r="R189" i="42"/>
  <c r="V188" i="42"/>
  <c r="S188" i="42"/>
  <c r="AA189" i="40"/>
  <c r="AD189" i="40"/>
  <c r="Z190" i="40"/>
  <c r="AB188" i="40"/>
  <c r="AE188" i="40"/>
  <c r="R190" i="42"/>
  <c r="V189" i="42"/>
  <c r="S189" i="42"/>
  <c r="T188" i="42"/>
  <c r="W188" i="42"/>
  <c r="AB189" i="40"/>
  <c r="AE189" i="40"/>
  <c r="AD190" i="40"/>
  <c r="AA190" i="40"/>
  <c r="Z191" i="40"/>
  <c r="R191" i="42"/>
  <c r="S190" i="42"/>
  <c r="V190" i="42"/>
  <c r="T189" i="42"/>
  <c r="W189" i="42"/>
  <c r="AB190" i="40"/>
  <c r="AE190" i="40"/>
  <c r="AA191" i="40"/>
  <c r="Z192" i="40"/>
  <c r="AD191" i="40"/>
  <c r="V191" i="42"/>
  <c r="R192" i="42"/>
  <c r="S191" i="42"/>
  <c r="T190" i="42"/>
  <c r="W190" i="42"/>
  <c r="AB191" i="40"/>
  <c r="AE191" i="40"/>
  <c r="AD192" i="40"/>
  <c r="Z193" i="40"/>
  <c r="AA192" i="40"/>
  <c r="R193" i="42"/>
  <c r="S192" i="42"/>
  <c r="V192" i="42"/>
  <c r="T191" i="42"/>
  <c r="W191" i="42"/>
  <c r="AA193" i="40"/>
  <c r="Z194" i="40"/>
  <c r="AD193" i="40"/>
  <c r="AB192" i="40"/>
  <c r="AE192" i="40"/>
  <c r="V193" i="42"/>
  <c r="S193" i="42"/>
  <c r="R194" i="42"/>
  <c r="T192" i="42"/>
  <c r="W192" i="42"/>
  <c r="AB193" i="40"/>
  <c r="AE193" i="40"/>
  <c r="Z195" i="40"/>
  <c r="AA194" i="40"/>
  <c r="AD194" i="40"/>
  <c r="T193" i="42"/>
  <c r="W193" i="42"/>
  <c r="S194" i="42"/>
  <c r="V194" i="42"/>
  <c r="R195" i="42"/>
  <c r="AD195" i="40"/>
  <c r="Z196" i="40"/>
  <c r="AA195" i="40"/>
  <c r="AB194" i="40"/>
  <c r="AE194" i="40"/>
  <c r="T194" i="42"/>
  <c r="W194" i="42"/>
  <c r="V195" i="42"/>
  <c r="R196" i="42"/>
  <c r="S195" i="42"/>
  <c r="Z197" i="40"/>
  <c r="AA196" i="40"/>
  <c r="AD196" i="40"/>
  <c r="AB195" i="40"/>
  <c r="AE195" i="40"/>
  <c r="S196" i="42"/>
  <c r="V196" i="42"/>
  <c r="R197" i="42"/>
  <c r="T195" i="42"/>
  <c r="W195" i="42"/>
  <c r="Z198" i="40"/>
  <c r="AA197" i="40"/>
  <c r="AD197" i="40"/>
  <c r="AB196" i="40"/>
  <c r="AE196" i="40"/>
  <c r="T196" i="42"/>
  <c r="W196" i="42"/>
  <c r="R198" i="42"/>
  <c r="S197" i="42"/>
  <c r="V197" i="42"/>
  <c r="AD198" i="40"/>
  <c r="Z199" i="40"/>
  <c r="AA198" i="40"/>
  <c r="AB197" i="40"/>
  <c r="AE197" i="40"/>
  <c r="V198" i="42"/>
  <c r="S198" i="42"/>
  <c r="R199" i="42"/>
  <c r="T197" i="42"/>
  <c r="W197" i="42"/>
  <c r="AD199" i="40"/>
  <c r="AA199" i="40"/>
  <c r="Z200" i="40"/>
  <c r="AB198" i="40"/>
  <c r="AE198" i="40"/>
  <c r="T198" i="42"/>
  <c r="W198" i="42"/>
  <c r="R200" i="42"/>
  <c r="S199" i="42"/>
  <c r="V199" i="42"/>
  <c r="AB199" i="40"/>
  <c r="AE199" i="40"/>
  <c r="Z201" i="40"/>
  <c r="AA200" i="40"/>
  <c r="AD200" i="40"/>
  <c r="S200" i="42"/>
  <c r="R201" i="42"/>
  <c r="V200" i="42"/>
  <c r="T199" i="42"/>
  <c r="W199" i="42"/>
  <c r="AA201" i="40"/>
  <c r="Z202" i="40"/>
  <c r="AD201" i="40"/>
  <c r="AB200" i="40"/>
  <c r="AE200" i="40"/>
  <c r="T200" i="42"/>
  <c r="W200" i="42"/>
  <c r="R202" i="42"/>
  <c r="V201" i="42"/>
  <c r="S201" i="42"/>
  <c r="AB201" i="40"/>
  <c r="AE201" i="40"/>
  <c r="AD202" i="40"/>
  <c r="AA202" i="40"/>
  <c r="Z203" i="40"/>
  <c r="S202" i="42"/>
  <c r="V202" i="42"/>
  <c r="R203" i="42"/>
  <c r="T201" i="42"/>
  <c r="W201" i="42"/>
  <c r="AB202" i="40"/>
  <c r="AE202" i="40"/>
  <c r="AD203" i="40"/>
  <c r="Z204" i="40"/>
  <c r="AA203" i="40"/>
  <c r="T202" i="42"/>
  <c r="W202" i="42"/>
  <c r="R204" i="42"/>
  <c r="V203" i="42"/>
  <c r="S203" i="42"/>
  <c r="AD204" i="40"/>
  <c r="Z205" i="40"/>
  <c r="AA204" i="40"/>
  <c r="AB203" i="40"/>
  <c r="AE203" i="40"/>
  <c r="V204" i="42"/>
  <c r="S204" i="42"/>
  <c r="R205" i="42"/>
  <c r="T203" i="42"/>
  <c r="W203" i="42"/>
  <c r="Z206" i="40"/>
  <c r="AD205" i="40"/>
  <c r="AA205" i="40"/>
  <c r="AB204" i="40"/>
  <c r="AE204" i="40"/>
  <c r="T204" i="42"/>
  <c r="W204" i="42"/>
  <c r="V205" i="42"/>
  <c r="R206" i="42"/>
  <c r="S205" i="42"/>
  <c r="AA206" i="40"/>
  <c r="AD206" i="40"/>
  <c r="Z207" i="40"/>
  <c r="AB205" i="40"/>
  <c r="AE205" i="40"/>
  <c r="S206" i="42"/>
  <c r="R207" i="42"/>
  <c r="V206" i="42"/>
  <c r="T205" i="42"/>
  <c r="W205" i="42"/>
  <c r="AB206" i="40"/>
  <c r="AE206" i="40"/>
  <c r="AA207" i="40"/>
  <c r="Z208" i="40"/>
  <c r="AD207" i="40"/>
  <c r="T206" i="42"/>
  <c r="W206" i="42"/>
  <c r="V207" i="42"/>
  <c r="R208" i="42"/>
  <c r="S207" i="42"/>
  <c r="AB207" i="40"/>
  <c r="AE207" i="40"/>
  <c r="AD208" i="40"/>
  <c r="Z209" i="40"/>
  <c r="AA208" i="40"/>
  <c r="V208" i="42"/>
  <c r="R209" i="42"/>
  <c r="S208" i="42"/>
  <c r="T207" i="42"/>
  <c r="W207" i="42"/>
  <c r="Z210" i="40"/>
  <c r="AD209" i="40"/>
  <c r="AA209" i="40"/>
  <c r="AB208" i="40"/>
  <c r="AE208" i="40"/>
  <c r="V209" i="42"/>
  <c r="S209" i="42"/>
  <c r="R210" i="42"/>
  <c r="T208" i="42"/>
  <c r="W208" i="42"/>
  <c r="AA210" i="40"/>
  <c r="AD210" i="40"/>
  <c r="Z211" i="40"/>
  <c r="AB209" i="40"/>
  <c r="AE209" i="40"/>
  <c r="T209" i="42"/>
  <c r="W209" i="42"/>
  <c r="S210" i="42"/>
  <c r="R211" i="42"/>
  <c r="V210" i="42"/>
  <c r="AB210" i="40"/>
  <c r="AE210" i="40"/>
  <c r="AA211" i="40"/>
  <c r="Z212" i="40"/>
  <c r="AD211" i="40"/>
  <c r="T210" i="42"/>
  <c r="W210" i="42"/>
  <c r="S211" i="42"/>
  <c r="R212" i="42"/>
  <c r="V211" i="42"/>
  <c r="AB211" i="40"/>
  <c r="AE211" i="40"/>
  <c r="AA212" i="40"/>
  <c r="AD212" i="40"/>
  <c r="Z213" i="40"/>
  <c r="T211" i="42"/>
  <c r="W211" i="42"/>
  <c r="S212" i="42"/>
  <c r="R213" i="42"/>
  <c r="V212" i="42"/>
  <c r="AB212" i="40"/>
  <c r="AE212" i="40"/>
  <c r="AA213" i="40"/>
  <c r="AD213" i="40"/>
  <c r="Z214" i="40"/>
  <c r="T212" i="42"/>
  <c r="W212" i="42"/>
  <c r="V213" i="42"/>
  <c r="S213" i="42"/>
  <c r="R214" i="42"/>
  <c r="AB213" i="40"/>
  <c r="AE213" i="40"/>
  <c r="Z215" i="40"/>
  <c r="AA214" i="40"/>
  <c r="AD214" i="40"/>
  <c r="T213" i="42"/>
  <c r="W213" i="42"/>
  <c r="R215" i="42"/>
  <c r="V214" i="42"/>
  <c r="S214" i="42"/>
  <c r="AD215" i="40"/>
  <c r="Z216" i="40"/>
  <c r="AA215" i="40"/>
  <c r="AB214" i="40"/>
  <c r="AE214" i="40"/>
  <c r="R216" i="42"/>
  <c r="S215" i="42"/>
  <c r="V215" i="42"/>
  <c r="T214" i="42"/>
  <c r="W214" i="42"/>
  <c r="Z217" i="40"/>
  <c r="AD216" i="40"/>
  <c r="AA216" i="40"/>
  <c r="AB215" i="40"/>
  <c r="AE215" i="40"/>
  <c r="S216" i="42"/>
  <c r="R217" i="42"/>
  <c r="V216" i="42"/>
  <c r="T215" i="42"/>
  <c r="W215" i="42"/>
  <c r="Z218" i="40"/>
  <c r="AD217" i="40"/>
  <c r="AA217" i="40"/>
  <c r="AB216" i="40"/>
  <c r="AE216" i="40"/>
  <c r="T216" i="42"/>
  <c r="W216" i="42"/>
  <c r="R218" i="42"/>
  <c r="S217" i="42"/>
  <c r="V217" i="42"/>
  <c r="AD218" i="40"/>
  <c r="AA218" i="40"/>
  <c r="Z219" i="40"/>
  <c r="AB217" i="40"/>
  <c r="AE217" i="40"/>
  <c r="R219" i="42"/>
  <c r="S218" i="42"/>
  <c r="V218" i="42"/>
  <c r="T217" i="42"/>
  <c r="W217" i="42"/>
  <c r="AB218" i="40"/>
  <c r="AE218" i="40"/>
  <c r="AA219" i="40"/>
  <c r="AD219" i="40"/>
  <c r="Z220" i="40"/>
  <c r="S219" i="42"/>
  <c r="R220" i="42"/>
  <c r="V219" i="42"/>
  <c r="T218" i="42"/>
  <c r="W218" i="42"/>
  <c r="AB219" i="40"/>
  <c r="AE219" i="40"/>
  <c r="Z221" i="40"/>
  <c r="AA220" i="40"/>
  <c r="AD220" i="40"/>
  <c r="T219" i="42"/>
  <c r="W219" i="42"/>
  <c r="S220" i="42"/>
  <c r="R221" i="42"/>
  <c r="V220" i="42"/>
  <c r="Z222" i="40"/>
  <c r="AA221" i="40"/>
  <c r="AD221" i="40"/>
  <c r="AB220" i="40"/>
  <c r="AE220" i="40"/>
  <c r="T220" i="42"/>
  <c r="W220" i="42"/>
  <c r="V221" i="42"/>
  <c r="R222" i="42"/>
  <c r="S221" i="42"/>
  <c r="Z223" i="40"/>
  <c r="AA222" i="40"/>
  <c r="AD222" i="40"/>
  <c r="AB221" i="40"/>
  <c r="AE221" i="40"/>
  <c r="V222" i="42"/>
  <c r="S222" i="42"/>
  <c r="R223" i="42"/>
  <c r="T221" i="42"/>
  <c r="W221" i="42"/>
  <c r="Z224" i="40"/>
  <c r="AA223" i="40"/>
  <c r="AD223" i="40"/>
  <c r="AB222" i="40"/>
  <c r="AE222" i="40"/>
  <c r="T222" i="42"/>
  <c r="W222" i="42"/>
  <c r="V223" i="42"/>
  <c r="S223" i="42"/>
  <c r="R224" i="42"/>
  <c r="Z225" i="40"/>
  <c r="AA224" i="40"/>
  <c r="AD224" i="40"/>
  <c r="AB223" i="40"/>
  <c r="AE223" i="40"/>
  <c r="T223" i="42"/>
  <c r="W223" i="42"/>
  <c r="R225" i="42"/>
  <c r="V224" i="42"/>
  <c r="S224" i="42"/>
  <c r="AD225" i="40"/>
  <c r="AA225" i="40"/>
  <c r="Z226" i="40"/>
  <c r="AB224" i="40"/>
  <c r="AE224" i="40"/>
  <c r="S225" i="42"/>
  <c r="R226" i="42"/>
  <c r="V225" i="42"/>
  <c r="T224" i="42"/>
  <c r="W224" i="42"/>
  <c r="AB225" i="40"/>
  <c r="AE225" i="40"/>
  <c r="AD226" i="40"/>
  <c r="AA226" i="40"/>
  <c r="Z227" i="40"/>
  <c r="T225" i="42"/>
  <c r="W225" i="42"/>
  <c r="S226" i="42"/>
  <c r="V226" i="42"/>
  <c r="R227" i="42"/>
  <c r="AB226" i="40"/>
  <c r="AE226" i="40"/>
  <c r="AA227" i="40"/>
  <c r="Z228" i="40"/>
  <c r="AD227" i="40"/>
  <c r="T226" i="42"/>
  <c r="W226" i="42"/>
  <c r="R228" i="42"/>
  <c r="V227" i="42"/>
  <c r="S227" i="42"/>
  <c r="AB227" i="40"/>
  <c r="AE227" i="40"/>
  <c r="Z229" i="40"/>
  <c r="AD228" i="40"/>
  <c r="AA228" i="40"/>
  <c r="S228" i="42"/>
  <c r="R229" i="42"/>
  <c r="V228" i="42"/>
  <c r="T227" i="42"/>
  <c r="W227" i="42"/>
  <c r="AA229" i="40"/>
  <c r="AD229" i="40"/>
  <c r="Z230" i="40"/>
  <c r="AB228" i="40"/>
  <c r="AE228" i="40"/>
  <c r="T228" i="42"/>
  <c r="W228" i="42"/>
  <c r="V229" i="42"/>
  <c r="R230" i="42"/>
  <c r="S229" i="42"/>
  <c r="AB229" i="40"/>
  <c r="AE229" i="40"/>
  <c r="AD230" i="40"/>
  <c r="AA230" i="40"/>
  <c r="Z231" i="40"/>
  <c r="V230" i="42"/>
  <c r="R231" i="42"/>
  <c r="S230" i="42"/>
  <c r="T229" i="42"/>
  <c r="W229" i="42"/>
  <c r="AB230" i="40"/>
  <c r="AE230" i="40"/>
  <c r="Z232" i="40"/>
  <c r="AD231" i="40"/>
  <c r="AA231" i="40"/>
  <c r="V231" i="42"/>
  <c r="R232" i="42"/>
  <c r="S231" i="42"/>
  <c r="T230" i="42"/>
  <c r="W230" i="42"/>
  <c r="Z233" i="40"/>
  <c r="AD232" i="40"/>
  <c r="AA232" i="40"/>
  <c r="AB231" i="40"/>
  <c r="AE231" i="40"/>
  <c r="S232" i="42"/>
  <c r="R233" i="42"/>
  <c r="V232" i="42"/>
  <c r="T231" i="42"/>
  <c r="W231" i="42"/>
  <c r="AA233" i="40"/>
  <c r="AD233" i="40"/>
  <c r="Z234" i="40"/>
  <c r="AB232" i="40"/>
  <c r="AE232" i="40"/>
  <c r="T232" i="42"/>
  <c r="W232" i="42"/>
  <c r="V233" i="42"/>
  <c r="S233" i="42"/>
  <c r="R234" i="42"/>
  <c r="AB233" i="40"/>
  <c r="AE233" i="40"/>
  <c r="AA234" i="40"/>
  <c r="Z235" i="40"/>
  <c r="AD234" i="40"/>
  <c r="T233" i="42"/>
  <c r="W233" i="42"/>
  <c r="S234" i="42"/>
  <c r="V234" i="42"/>
  <c r="R235" i="42"/>
  <c r="AB234" i="40"/>
  <c r="AE234" i="40"/>
  <c r="AD235" i="40"/>
  <c r="AA235" i="40"/>
  <c r="Z236" i="40"/>
  <c r="T234" i="42"/>
  <c r="W234" i="42"/>
  <c r="R236" i="42"/>
  <c r="V235" i="42"/>
  <c r="S235" i="42"/>
  <c r="AB235" i="40"/>
  <c r="AE235" i="40"/>
  <c r="AD236" i="40"/>
  <c r="AA236" i="40"/>
  <c r="Z237" i="40"/>
  <c r="S236" i="42"/>
  <c r="R237" i="42"/>
  <c r="V236" i="42"/>
  <c r="T235" i="42"/>
  <c r="W235" i="42"/>
  <c r="AB236" i="40"/>
  <c r="AE236" i="40"/>
  <c r="AA237" i="40"/>
  <c r="AD237" i="40"/>
  <c r="Z238" i="40"/>
  <c r="T236" i="42"/>
  <c r="W236" i="42"/>
  <c r="R238" i="42"/>
  <c r="V237" i="42"/>
  <c r="S237" i="42"/>
  <c r="AB237" i="40"/>
  <c r="AE237" i="40"/>
  <c r="AD238" i="40"/>
  <c r="Z239" i="40"/>
  <c r="AA238" i="40"/>
  <c r="S238" i="42"/>
  <c r="V238" i="42"/>
  <c r="R239" i="42"/>
  <c r="T237" i="42"/>
  <c r="W237" i="42"/>
  <c r="AA239" i="40"/>
  <c r="AD239" i="40"/>
  <c r="Z240" i="40"/>
  <c r="AB238" i="40"/>
  <c r="AE238" i="40"/>
  <c r="T238" i="42"/>
  <c r="W238" i="42"/>
  <c r="S239" i="42"/>
  <c r="V239" i="42"/>
  <c r="R240" i="42"/>
  <c r="AB239" i="40"/>
  <c r="AE239" i="40"/>
  <c r="Z241" i="40"/>
  <c r="AA240" i="40"/>
  <c r="AD240" i="40"/>
  <c r="T239" i="42"/>
  <c r="W239" i="42"/>
  <c r="R241" i="42"/>
  <c r="V240" i="42"/>
  <c r="S240" i="42"/>
  <c r="AD241" i="40"/>
  <c r="AA241" i="40"/>
  <c r="Z242" i="40"/>
  <c r="AB240" i="40"/>
  <c r="AE240" i="40"/>
  <c r="V241" i="42"/>
  <c r="R242" i="42"/>
  <c r="S241" i="42"/>
  <c r="T240" i="42"/>
  <c r="W240" i="42"/>
  <c r="AB241" i="40"/>
  <c r="AE241" i="40"/>
  <c r="AD242" i="40"/>
  <c r="Z243" i="40"/>
  <c r="AA242" i="40"/>
  <c r="V242" i="42"/>
  <c r="R243" i="42"/>
  <c r="S242" i="42"/>
  <c r="T241" i="42"/>
  <c r="W241" i="42"/>
  <c r="Z244" i="40"/>
  <c r="AD243" i="40"/>
  <c r="AA243" i="40"/>
  <c r="AB242" i="40"/>
  <c r="AE242" i="40"/>
  <c r="V243" i="42"/>
  <c r="R244" i="42"/>
  <c r="S243" i="42"/>
  <c r="T242" i="42"/>
  <c r="W242" i="42"/>
  <c r="AA244" i="40"/>
  <c r="Z245" i="40"/>
  <c r="AD244" i="40"/>
  <c r="AB243" i="40"/>
  <c r="AE243" i="40"/>
  <c r="V244" i="42"/>
  <c r="S244" i="42"/>
  <c r="R245" i="42"/>
  <c r="T243" i="42"/>
  <c r="W243" i="42"/>
  <c r="AB244" i="40"/>
  <c r="AE244" i="40"/>
  <c r="AD245" i="40"/>
  <c r="Z246" i="40"/>
  <c r="AA245" i="40"/>
  <c r="T244" i="42"/>
  <c r="W244" i="42"/>
  <c r="R246" i="42"/>
  <c r="S245" i="42"/>
  <c r="V245" i="42"/>
  <c r="Z247" i="40"/>
  <c r="AD246" i="40"/>
  <c r="AA246" i="40"/>
  <c r="AB245" i="40"/>
  <c r="AE245" i="40"/>
  <c r="S246" i="42"/>
  <c r="V246" i="42"/>
  <c r="R247" i="42"/>
  <c r="T245" i="42"/>
  <c r="W245" i="42"/>
  <c r="AD247" i="40"/>
  <c r="Z248" i="40"/>
  <c r="AA247" i="40"/>
  <c r="AB246" i="40"/>
  <c r="AE246" i="40"/>
  <c r="T246" i="42"/>
  <c r="W246" i="42"/>
  <c r="R248" i="42"/>
  <c r="V247" i="42"/>
  <c r="S247" i="42"/>
  <c r="AD248" i="40"/>
  <c r="AA248" i="40"/>
  <c r="Z249" i="40"/>
  <c r="AB247" i="40"/>
  <c r="AE247" i="40"/>
  <c r="S248" i="42"/>
  <c r="V248" i="42"/>
  <c r="R249" i="42"/>
  <c r="T247" i="42"/>
  <c r="W247" i="42"/>
  <c r="AB248" i="40"/>
  <c r="AE248" i="40"/>
  <c r="AA249" i="40"/>
  <c r="Z250" i="40"/>
  <c r="AD249" i="40"/>
  <c r="T248" i="42"/>
  <c r="W248" i="42"/>
  <c r="R250" i="42"/>
  <c r="S249" i="42"/>
  <c r="V249" i="42"/>
  <c r="AB249" i="40"/>
  <c r="AE249" i="40"/>
  <c r="Z251" i="40"/>
  <c r="AA250" i="40"/>
  <c r="AD250" i="40"/>
  <c r="R251" i="42"/>
  <c r="V250" i="42"/>
  <c r="S250" i="42"/>
  <c r="T249" i="42"/>
  <c r="W249" i="42"/>
  <c r="AA251" i="40"/>
  <c r="Z252" i="40"/>
  <c r="AD251" i="40"/>
  <c r="AB250" i="40"/>
  <c r="AE250" i="40"/>
  <c r="R252" i="42"/>
  <c r="S251" i="42"/>
  <c r="V251" i="42"/>
  <c r="T250" i="42"/>
  <c r="W250" i="42"/>
  <c r="AB251" i="40"/>
  <c r="AE251" i="40"/>
  <c r="AD252" i="40"/>
  <c r="Z253" i="40"/>
  <c r="AA252" i="40"/>
  <c r="V252" i="42"/>
  <c r="R253" i="42"/>
  <c r="S252" i="42"/>
  <c r="T251" i="42"/>
  <c r="W251" i="42"/>
  <c r="AA253" i="40"/>
  <c r="Z254" i="40"/>
  <c r="AD253" i="40"/>
  <c r="AB252" i="40"/>
  <c r="AE252" i="40"/>
  <c r="S253" i="42"/>
  <c r="R254" i="42"/>
  <c r="V253" i="42"/>
  <c r="T252" i="42"/>
  <c r="W252" i="42"/>
  <c r="AB253" i="40"/>
  <c r="AE253" i="40"/>
  <c r="AD254" i="40"/>
  <c r="AA254" i="40"/>
  <c r="Z255" i="40"/>
  <c r="T253" i="42"/>
  <c r="W253" i="42"/>
  <c r="R255" i="42"/>
  <c r="S254" i="42"/>
  <c r="V254" i="42"/>
  <c r="AB254" i="40"/>
  <c r="AE254" i="40"/>
  <c r="AA255" i="40"/>
  <c r="Z256" i="40"/>
  <c r="AD255" i="40"/>
  <c r="V255" i="42"/>
  <c r="R256" i="42"/>
  <c r="S255" i="42"/>
  <c r="T254" i="42"/>
  <c r="W254" i="42"/>
  <c r="AB255" i="40"/>
  <c r="AE255" i="40"/>
  <c r="Z257" i="40"/>
  <c r="AA256" i="40"/>
  <c r="AD256" i="40"/>
  <c r="R257" i="42"/>
  <c r="S256" i="42"/>
  <c r="V256" i="42"/>
  <c r="T255" i="42"/>
  <c r="W255" i="42"/>
  <c r="AD257" i="40"/>
  <c r="Z258" i="40"/>
  <c r="AA257" i="40"/>
  <c r="AB256" i="40"/>
  <c r="AE256" i="40"/>
  <c r="S257" i="42"/>
  <c r="V257" i="42"/>
  <c r="R258" i="42"/>
  <c r="T256" i="42"/>
  <c r="W256" i="42"/>
  <c r="AA258" i="40"/>
  <c r="AD258" i="40"/>
  <c r="Z259" i="40"/>
  <c r="AB257" i="40"/>
  <c r="AE257" i="40"/>
  <c r="T257" i="42"/>
  <c r="W257" i="42"/>
  <c r="V258" i="42"/>
  <c r="R259" i="42"/>
  <c r="S258" i="42"/>
  <c r="AB258" i="40"/>
  <c r="AE258" i="40"/>
  <c r="Z260" i="40"/>
  <c r="AD259" i="40"/>
  <c r="AA259" i="40"/>
  <c r="S259" i="42"/>
  <c r="R260" i="42"/>
  <c r="V259" i="42"/>
  <c r="T258" i="42"/>
  <c r="W258" i="42"/>
  <c r="AA260" i="40"/>
  <c r="Z261" i="40"/>
  <c r="AD260" i="40"/>
  <c r="AB259" i="40"/>
  <c r="AE259" i="40"/>
  <c r="T259" i="42"/>
  <c r="W259" i="42"/>
  <c r="R261" i="42"/>
  <c r="S260" i="42"/>
  <c r="V260" i="42"/>
  <c r="AB260" i="40"/>
  <c r="AE260" i="40"/>
  <c r="Z262" i="40"/>
  <c r="AA261" i="40"/>
  <c r="AD261" i="40"/>
  <c r="S261" i="42"/>
  <c r="V261" i="42"/>
  <c r="T260" i="42"/>
  <c r="W260" i="42"/>
  <c r="AA262" i="40"/>
  <c r="AD262" i="40"/>
  <c r="AB261" i="40"/>
  <c r="AE261" i="40"/>
  <c r="T261" i="42"/>
  <c r="W261" i="42"/>
  <c r="AB262" i="40"/>
  <c r="AE262" i="40"/>
  <c r="W9" i="40" l="1"/>
  <c r="W7" i="40"/>
  <c r="W5" i="40"/>
  <c r="J3" i="39"/>
  <c r="W20" i="40"/>
  <c r="T22" i="40"/>
  <c r="T17" i="40"/>
  <c r="W11" i="40"/>
  <c r="W10" i="40"/>
  <c r="W21" i="40"/>
  <c r="W16" i="40"/>
  <c r="T14" i="40"/>
  <c r="T7" i="40"/>
  <c r="T6" i="40"/>
  <c r="T12" i="40"/>
  <c r="T15" i="40"/>
  <c r="T13" i="40"/>
  <c r="T19" i="40"/>
  <c r="T18" i="40"/>
  <c r="T20" i="40"/>
  <c r="T9" i="40"/>
  <c r="W14" i="40"/>
  <c r="W15" i="40"/>
  <c r="T11" i="40"/>
  <c r="T10" i="40"/>
  <c r="W13" i="40"/>
  <c r="T5" i="40"/>
  <c r="T8" i="40"/>
  <c r="W19" i="40"/>
  <c r="W18" i="40"/>
  <c r="W12" i="40"/>
  <c r="L13" i="40"/>
  <c r="L6" i="40"/>
  <c r="L7" i="40"/>
  <c r="P8" i="40"/>
  <c r="W8" i="40" s="1"/>
  <c r="L4" i="40"/>
  <c r="L17" i="40"/>
  <c r="L14" i="40"/>
  <c r="W32" i="47"/>
  <c r="F5" i="49" s="1"/>
  <c r="W31" i="47"/>
  <c r="F3" i="49" s="1"/>
  <c r="L5" i="40"/>
  <c r="L10" i="40"/>
  <c r="W34" i="47"/>
  <c r="F7" i="49" s="1"/>
  <c r="P6" i="42"/>
  <c r="L20" i="40"/>
  <c r="L22" i="40"/>
  <c r="L4" i="42"/>
  <c r="L15" i="40"/>
  <c r="AF262" i="40"/>
  <c r="X261" i="42"/>
  <c r="AF261" i="40"/>
  <c r="X260" i="42"/>
  <c r="AF260" i="40"/>
  <c r="X259" i="42"/>
  <c r="AF259" i="40"/>
  <c r="X258" i="42"/>
  <c r="AF258" i="40"/>
  <c r="X257" i="42"/>
  <c r="AF257" i="40"/>
  <c r="X256" i="42"/>
  <c r="AF256" i="40"/>
  <c r="X255" i="42"/>
  <c r="AF255" i="40"/>
  <c r="X254" i="42"/>
  <c r="AF254" i="40"/>
  <c r="X253" i="42"/>
  <c r="AF253" i="40"/>
  <c r="X252" i="42"/>
  <c r="AF252" i="40"/>
  <c r="X251" i="42"/>
  <c r="AF251" i="40"/>
  <c r="X250" i="42"/>
  <c r="AF250" i="40"/>
  <c r="X249" i="42"/>
  <c r="AF249" i="40"/>
  <c r="X248" i="42"/>
  <c r="AF248" i="40"/>
  <c r="X247" i="42"/>
  <c r="AF247" i="40"/>
  <c r="X246" i="42"/>
  <c r="AF246" i="40"/>
  <c r="X245" i="42"/>
  <c r="AF245" i="40"/>
  <c r="X244" i="42"/>
  <c r="AF244" i="40"/>
  <c r="X243" i="42"/>
  <c r="AF243" i="40"/>
  <c r="X242" i="42"/>
  <c r="AF242" i="40"/>
  <c r="X241" i="42"/>
  <c r="AF241" i="40"/>
  <c r="X240" i="42"/>
  <c r="AF240" i="40"/>
  <c r="X239" i="42"/>
  <c r="AF239" i="40"/>
  <c r="X238" i="42"/>
  <c r="AF238" i="40"/>
  <c r="X237" i="42"/>
  <c r="AF237" i="40"/>
  <c r="X236" i="42"/>
  <c r="AF236" i="40"/>
  <c r="X235" i="42"/>
  <c r="AF235" i="40"/>
  <c r="X234" i="42"/>
  <c r="AF234" i="40"/>
  <c r="X233" i="42"/>
  <c r="AF233" i="40"/>
  <c r="X232" i="42"/>
  <c r="AF232" i="40"/>
  <c r="X231" i="42"/>
  <c r="AF231" i="40"/>
  <c r="X230" i="42"/>
  <c r="AF230" i="40"/>
  <c r="X229" i="42"/>
  <c r="AF229" i="40"/>
  <c r="X228" i="42"/>
  <c r="AF228" i="40"/>
  <c r="X227" i="42"/>
  <c r="AF227" i="40"/>
  <c r="X226" i="42"/>
  <c r="AF226" i="40"/>
  <c r="X225" i="42"/>
  <c r="AF225" i="40"/>
  <c r="X224" i="42"/>
  <c r="AF224" i="40"/>
  <c r="X223" i="42"/>
  <c r="AF223" i="40"/>
  <c r="X222" i="42"/>
  <c r="AF222" i="40"/>
  <c r="X221" i="42"/>
  <c r="AF221" i="40"/>
  <c r="X220" i="42"/>
  <c r="AF220" i="40"/>
  <c r="X219" i="42"/>
  <c r="AF219" i="40"/>
  <c r="X218" i="42"/>
  <c r="AF218" i="40"/>
  <c r="X217" i="42"/>
  <c r="AF217" i="40"/>
  <c r="X216" i="42"/>
  <c r="AF216" i="40"/>
  <c r="X215" i="42"/>
  <c r="AF215" i="40"/>
  <c r="X214" i="42"/>
  <c r="AF214" i="40"/>
  <c r="X213" i="42"/>
  <c r="AF213" i="40"/>
  <c r="X212" i="42"/>
  <c r="AF212" i="40"/>
  <c r="X211" i="42"/>
  <c r="AF211" i="40"/>
  <c r="X210" i="42"/>
  <c r="AF210" i="40"/>
  <c r="X209" i="42"/>
  <c r="AF209" i="40"/>
  <c r="X208" i="42"/>
  <c r="AF208" i="40"/>
  <c r="X207" i="42"/>
  <c r="AF207" i="40"/>
  <c r="X206" i="42"/>
  <c r="AF206" i="40"/>
  <c r="X205" i="42"/>
  <c r="AF205" i="40"/>
  <c r="X204" i="42"/>
  <c r="AF204" i="40"/>
  <c r="X203" i="42"/>
  <c r="AF203" i="40"/>
  <c r="X202" i="42"/>
  <c r="AF202" i="40"/>
  <c r="X201" i="42"/>
  <c r="AF201" i="40"/>
  <c r="X200" i="42"/>
  <c r="AF200" i="40"/>
  <c r="X199" i="42"/>
  <c r="AF199" i="40"/>
  <c r="X198" i="42"/>
  <c r="AF198" i="40"/>
  <c r="X197" i="42"/>
  <c r="AF197" i="40"/>
  <c r="X196" i="42"/>
  <c r="AF196" i="40"/>
  <c r="X195" i="42"/>
  <c r="AF195" i="40"/>
  <c r="X194" i="42"/>
  <c r="AF194" i="40"/>
  <c r="X193" i="42"/>
  <c r="AF193" i="40"/>
  <c r="X192" i="42"/>
  <c r="AF192" i="40"/>
  <c r="X191" i="42"/>
  <c r="AF191" i="40"/>
  <c r="X190" i="42"/>
  <c r="AF190" i="40"/>
  <c r="X189" i="42"/>
  <c r="AF189" i="40"/>
  <c r="X188" i="42"/>
  <c r="AF188" i="40"/>
  <c r="X187" i="42"/>
  <c r="AF187" i="40"/>
  <c r="X186" i="42"/>
  <c r="AF186" i="40"/>
  <c r="X185" i="42"/>
  <c r="AF185" i="40"/>
  <c r="X184" i="42"/>
  <c r="AF184" i="40"/>
  <c r="X183" i="42"/>
  <c r="AF183" i="40"/>
  <c r="X182" i="42"/>
  <c r="AF182" i="40"/>
  <c r="X181" i="42"/>
  <c r="AF181" i="40"/>
  <c r="X180" i="42"/>
  <c r="AF180" i="40"/>
  <c r="X179" i="42"/>
  <c r="AF179" i="40"/>
  <c r="X178" i="42"/>
  <c r="AF178" i="40"/>
  <c r="X177" i="42"/>
  <c r="AF177" i="40"/>
  <c r="X176" i="42"/>
  <c r="AF176" i="40"/>
  <c r="X175" i="42"/>
  <c r="AF175" i="40"/>
  <c r="X174" i="42"/>
  <c r="AF174" i="40"/>
  <c r="X173" i="42"/>
  <c r="AF173" i="40"/>
  <c r="X172" i="42"/>
  <c r="AF172" i="40"/>
  <c r="X171" i="42"/>
  <c r="AF171" i="40"/>
  <c r="X170" i="42"/>
  <c r="AF170" i="40"/>
  <c r="X169" i="42"/>
  <c r="AF169" i="40"/>
  <c r="X168" i="42"/>
  <c r="AF168" i="40"/>
  <c r="X167" i="42"/>
  <c r="AF167" i="40"/>
  <c r="X166" i="42"/>
  <c r="AF166" i="40"/>
  <c r="X165" i="42"/>
  <c r="AF165" i="40"/>
  <c r="X164" i="42"/>
  <c r="AF164" i="40"/>
  <c r="X163" i="42"/>
  <c r="AF163" i="40"/>
  <c r="X162" i="42"/>
  <c r="AF162" i="40"/>
  <c r="X161" i="42"/>
  <c r="AF161" i="40"/>
  <c r="X160" i="42"/>
  <c r="AF160" i="40"/>
  <c r="X159" i="42"/>
  <c r="AF159" i="40"/>
  <c r="X158" i="42"/>
  <c r="AF158" i="40"/>
  <c r="X157" i="42"/>
  <c r="AF157" i="40"/>
  <c r="X156" i="42"/>
  <c r="AF156" i="40"/>
  <c r="X155" i="42"/>
  <c r="AF155" i="40"/>
  <c r="X154" i="42"/>
  <c r="AF154" i="40"/>
  <c r="X153" i="42"/>
  <c r="AF153" i="40"/>
  <c r="X152" i="42"/>
  <c r="AF152" i="40"/>
  <c r="X151" i="42"/>
  <c r="AF151" i="40"/>
  <c r="X150" i="42"/>
  <c r="AF150" i="40"/>
  <c r="X149" i="42"/>
  <c r="AF149" i="40"/>
  <c r="X148" i="42"/>
  <c r="AF148" i="40"/>
  <c r="X147" i="42"/>
  <c r="AF147" i="40"/>
  <c r="X146" i="42"/>
  <c r="AF146" i="40"/>
  <c r="X145" i="42"/>
  <c r="AF145" i="40"/>
  <c r="X144" i="42"/>
  <c r="AF144" i="40"/>
  <c r="X143" i="42"/>
  <c r="AF143" i="40"/>
  <c r="X142" i="42"/>
  <c r="AF142" i="40"/>
  <c r="X141" i="42"/>
  <c r="AF141" i="40"/>
  <c r="X140" i="42"/>
  <c r="AF140" i="40"/>
  <c r="X139" i="42"/>
  <c r="AF139" i="40"/>
  <c r="X138" i="42"/>
  <c r="AF138" i="40"/>
  <c r="X137" i="42"/>
  <c r="AF137" i="40"/>
  <c r="X136" i="42"/>
  <c r="AF136" i="40"/>
  <c r="X135" i="42"/>
  <c r="AF135" i="40"/>
  <c r="X134" i="42"/>
  <c r="AF134" i="40"/>
  <c r="X133" i="42"/>
  <c r="AF133" i="40"/>
  <c r="X132" i="42"/>
  <c r="AF132" i="40"/>
  <c r="X131" i="42"/>
  <c r="AF131" i="40"/>
  <c r="X130" i="42"/>
  <c r="AF130" i="40"/>
  <c r="X129" i="42"/>
  <c r="AF129" i="40"/>
  <c r="X128" i="42"/>
  <c r="AF128" i="40"/>
  <c r="X127" i="42"/>
  <c r="AF127" i="40"/>
  <c r="X126" i="42"/>
  <c r="AF126" i="40"/>
  <c r="X125" i="42"/>
  <c r="AF125" i="40"/>
  <c r="X124" i="42"/>
  <c r="AF124" i="40"/>
  <c r="X123" i="42"/>
  <c r="AF123" i="40"/>
  <c r="X122" i="42"/>
  <c r="AF122" i="40"/>
  <c r="X121" i="42"/>
  <c r="AF121" i="40"/>
  <c r="X120" i="42"/>
  <c r="AF120" i="40"/>
  <c r="X119" i="42"/>
  <c r="AF119" i="40"/>
  <c r="X118" i="42"/>
  <c r="AF118" i="40"/>
  <c r="X117" i="42"/>
  <c r="AF117" i="40"/>
  <c r="X116" i="42"/>
  <c r="AF116" i="40"/>
  <c r="X115" i="42"/>
  <c r="AF115" i="40"/>
  <c r="X114" i="42"/>
  <c r="AF114" i="40"/>
  <c r="X113" i="42"/>
  <c r="AF113" i="40"/>
  <c r="X112" i="42"/>
  <c r="AF112" i="40"/>
  <c r="X111" i="42"/>
  <c r="AF111" i="40"/>
  <c r="X110" i="42"/>
  <c r="AF110" i="40"/>
  <c r="X109" i="42"/>
  <c r="AF109" i="40"/>
  <c r="X108" i="42"/>
  <c r="AF108" i="40"/>
  <c r="X107" i="42"/>
  <c r="AF107" i="40"/>
  <c r="X106" i="42"/>
  <c r="AF106" i="40"/>
  <c r="X105" i="42"/>
  <c r="AF105" i="40"/>
  <c r="X104" i="42"/>
  <c r="AF104" i="40"/>
  <c r="X103" i="42"/>
  <c r="AF103" i="40"/>
  <c r="X102" i="42"/>
  <c r="AF102" i="40"/>
  <c r="X101" i="42"/>
  <c r="AF101" i="40"/>
  <c r="X100" i="42"/>
  <c r="AF100" i="40"/>
  <c r="X99" i="42"/>
  <c r="AF99" i="40"/>
  <c r="X98" i="42"/>
  <c r="AF98" i="40"/>
  <c r="X97" i="42"/>
  <c r="AF97" i="40"/>
  <c r="X96" i="42"/>
  <c r="AF96" i="40"/>
  <c r="X95" i="42"/>
  <c r="AF95" i="40"/>
  <c r="X94" i="42"/>
  <c r="AF94" i="40"/>
  <c r="X93" i="42"/>
  <c r="AF93" i="40"/>
  <c r="X92" i="42"/>
  <c r="AF92" i="40"/>
  <c r="X91" i="42"/>
  <c r="AF91" i="40"/>
  <c r="X90" i="42"/>
  <c r="AF90" i="40"/>
  <c r="X89" i="42"/>
  <c r="AF89" i="40"/>
  <c r="X88" i="42"/>
  <c r="AF88" i="40"/>
  <c r="X87" i="42"/>
  <c r="AF87" i="40"/>
  <c r="X86" i="42"/>
  <c r="AF86" i="40"/>
  <c r="X85" i="42"/>
  <c r="AF85" i="40"/>
  <c r="X84" i="42"/>
  <c r="AF84" i="40"/>
  <c r="X83" i="42"/>
  <c r="AF83" i="40"/>
  <c r="X82" i="42"/>
  <c r="AF82" i="40"/>
  <c r="X81" i="42"/>
  <c r="AF81" i="40"/>
  <c r="X80" i="42"/>
  <c r="AF80" i="40"/>
  <c r="X79" i="42"/>
  <c r="AF79" i="40"/>
  <c r="X78" i="42"/>
  <c r="AF78" i="40"/>
  <c r="X77" i="42"/>
  <c r="AF77" i="40"/>
  <c r="X76" i="42"/>
  <c r="AF76" i="40"/>
  <c r="X75" i="42"/>
  <c r="AF75" i="40"/>
  <c r="X74" i="42"/>
  <c r="AF74" i="40"/>
  <c r="X73" i="42"/>
  <c r="AF73" i="40"/>
  <c r="X72" i="42"/>
  <c r="AF72" i="40"/>
  <c r="X71" i="42"/>
  <c r="AF71" i="40"/>
  <c r="X70" i="42"/>
  <c r="AF70" i="40"/>
  <c r="X69" i="42"/>
  <c r="AF69" i="40"/>
  <c r="X68" i="42"/>
  <c r="AF68" i="40"/>
  <c r="X67" i="42"/>
  <c r="AF67" i="40"/>
  <c r="X66" i="42"/>
  <c r="AF66" i="40"/>
  <c r="X65" i="42"/>
  <c r="AF65" i="40"/>
  <c r="X64" i="42"/>
  <c r="AF64" i="40"/>
  <c r="X63" i="42"/>
  <c r="AF63" i="40"/>
  <c r="X62" i="42"/>
  <c r="AF62" i="40"/>
  <c r="X61" i="42"/>
  <c r="AF61" i="40"/>
  <c r="X60" i="42"/>
  <c r="AF60" i="40"/>
  <c r="X59" i="42"/>
  <c r="AF59" i="40"/>
  <c r="X58" i="42"/>
  <c r="AF58" i="40"/>
  <c r="X57" i="42"/>
  <c r="AF57" i="40"/>
  <c r="X56" i="42"/>
  <c r="AF56" i="40"/>
  <c r="X55" i="42"/>
  <c r="AF55" i="40"/>
  <c r="X54" i="42"/>
  <c r="AF54" i="40"/>
  <c r="X53" i="42"/>
  <c r="AF53" i="40"/>
  <c r="X52" i="42"/>
  <c r="AF52" i="40"/>
  <c r="X51" i="42"/>
  <c r="AF51" i="40"/>
  <c r="X50" i="42"/>
  <c r="AF50" i="40"/>
  <c r="X49" i="42"/>
  <c r="AF49" i="40"/>
  <c r="X48" i="42"/>
  <c r="AF48" i="40"/>
  <c r="X47" i="42"/>
  <c r="AF47" i="40"/>
  <c r="X46" i="42"/>
  <c r="AF46" i="40"/>
  <c r="X45" i="42"/>
  <c r="AF45" i="40"/>
  <c r="X44" i="42"/>
  <c r="AF44" i="40"/>
  <c r="X43" i="42"/>
  <c r="AF43" i="40"/>
  <c r="X42" i="42"/>
  <c r="AF42" i="40"/>
  <c r="X41" i="42"/>
  <c r="AF41" i="40"/>
  <c r="X40" i="42"/>
  <c r="AF40" i="40"/>
  <c r="X39" i="42"/>
  <c r="AF39" i="40"/>
  <c r="X38" i="42"/>
  <c r="AF38" i="40"/>
  <c r="X37" i="42"/>
  <c r="AF37" i="40"/>
  <c r="X36" i="42"/>
  <c r="AF36" i="40"/>
  <c r="X35" i="42"/>
  <c r="AF35" i="40"/>
  <c r="X34" i="42"/>
  <c r="AF34" i="40"/>
  <c r="X33" i="42"/>
  <c r="AF33" i="40"/>
  <c r="X32" i="42"/>
  <c r="AF32" i="40"/>
  <c r="X31" i="42"/>
  <c r="AF31" i="40"/>
  <c r="X30" i="42"/>
  <c r="AF30" i="40"/>
  <c r="X29" i="42"/>
  <c r="AF29" i="40"/>
  <c r="X28" i="42"/>
  <c r="AF28" i="40"/>
  <c r="X27" i="42"/>
  <c r="AF27" i="40"/>
  <c r="X26" i="42"/>
  <c r="AF26" i="40"/>
  <c r="X25" i="42"/>
  <c r="AF25" i="40"/>
  <c r="X24" i="42"/>
  <c r="AF24" i="40"/>
  <c r="X23" i="42"/>
  <c r="AF23" i="40"/>
  <c r="X22" i="42"/>
  <c r="AF22" i="40"/>
  <c r="X21" i="42"/>
  <c r="AF21" i="40"/>
  <c r="X20" i="42"/>
  <c r="AF20" i="40"/>
  <c r="X19" i="42"/>
  <c r="AF19" i="40"/>
  <c r="X18" i="42"/>
  <c r="AF18" i="40"/>
  <c r="X17" i="42"/>
  <c r="AF17" i="40"/>
  <c r="X16" i="42"/>
  <c r="AF16" i="40"/>
  <c r="X15" i="42"/>
  <c r="AF15" i="40"/>
  <c r="X14" i="42"/>
  <c r="AF14" i="40"/>
  <c r="X13" i="42"/>
  <c r="AF13" i="40"/>
  <c r="X12" i="42"/>
  <c r="AF12" i="40"/>
  <c r="X11" i="42"/>
  <c r="AF11" i="40"/>
  <c r="X10" i="42"/>
  <c r="AF10" i="40"/>
  <c r="X9" i="42"/>
  <c r="AF9" i="40"/>
  <c r="X8" i="42"/>
  <c r="AF8" i="40"/>
  <c r="X7" i="42"/>
  <c r="AF7" i="40"/>
  <c r="X6" i="42"/>
  <c r="AF6" i="40"/>
  <c r="X5" i="42"/>
  <c r="AF5" i="40"/>
  <c r="X4" i="42"/>
  <c r="AF4" i="40"/>
  <c r="O4" i="49"/>
  <c r="O3" i="49"/>
  <c r="O5" i="49"/>
  <c r="V4" i="39"/>
  <c r="V3" i="39"/>
  <c r="V5" i="39"/>
  <c r="V10" i="39"/>
  <c r="V9" i="39"/>
  <c r="L9" i="42"/>
  <c r="P9" i="42"/>
  <c r="L10" i="42"/>
  <c r="P10" i="42"/>
  <c r="P11" i="42"/>
  <c r="L11" i="42"/>
  <c r="X3" i="42"/>
  <c r="Q13" i="49"/>
  <c r="W13" i="49" s="1"/>
  <c r="Q10" i="49"/>
  <c r="Q9" i="49"/>
  <c r="Q4" i="49"/>
  <c r="Q5" i="49"/>
  <c r="Q3" i="49"/>
  <c r="U4" i="39"/>
  <c r="U3" i="39"/>
  <c r="U5" i="39"/>
  <c r="P13" i="42"/>
  <c r="L13" i="42"/>
  <c r="W13" i="39"/>
  <c r="AC13" i="39" s="1"/>
  <c r="W3" i="39"/>
  <c r="W4" i="39"/>
  <c r="W5" i="39"/>
  <c r="W9" i="39"/>
  <c r="W10" i="39"/>
  <c r="P14" i="42"/>
  <c r="L14" i="42"/>
  <c r="P5" i="48"/>
  <c r="P3" i="48"/>
  <c r="P4" i="48"/>
  <c r="P10" i="48"/>
  <c r="P9" i="48"/>
  <c r="S5" i="43"/>
  <c r="S4" i="43"/>
  <c r="S3" i="43"/>
  <c r="O4" i="48"/>
  <c r="O3" i="48"/>
  <c r="O5" i="48"/>
  <c r="U5" i="43"/>
  <c r="U3" i="43"/>
  <c r="U4" i="43"/>
  <c r="U10" i="43"/>
  <c r="U9" i="43"/>
  <c r="U13" i="43"/>
  <c r="AA13" i="43" s="1"/>
  <c r="L15" i="42"/>
  <c r="P15" i="42"/>
  <c r="Q13" i="48"/>
  <c r="W13" i="48" s="1"/>
  <c r="Q9" i="48"/>
  <c r="Q10" i="48"/>
  <c r="Q3" i="48"/>
  <c r="Q5" i="48"/>
  <c r="Q4" i="48"/>
  <c r="T5" i="43"/>
  <c r="T3" i="43"/>
  <c r="T4" i="43"/>
  <c r="T10" i="43"/>
  <c r="T9" i="43"/>
  <c r="AF3" i="40"/>
  <c r="P9" i="49"/>
  <c r="P10" i="49"/>
  <c r="P4" i="49"/>
  <c r="P5" i="49"/>
  <c r="P3" i="49"/>
  <c r="P8" i="42"/>
  <c r="L8" i="42"/>
  <c r="L12" i="42"/>
  <c r="P12" i="42"/>
  <c r="L5" i="42"/>
  <c r="L19" i="40"/>
  <c r="F4" i="48"/>
  <c r="F3" i="48"/>
  <c r="L18" i="40"/>
  <c r="L12" i="40"/>
  <c r="X33" i="47"/>
  <c r="L9" i="40"/>
  <c r="L11" i="40"/>
  <c r="L21" i="40"/>
  <c r="L16" i="40"/>
  <c r="P3" i="42"/>
  <c r="J3" i="43" s="1"/>
  <c r="X35" i="47"/>
  <c r="W36" i="47"/>
  <c r="AA3" i="43" l="1" a="1"/>
  <c r="AC9" i="39" a="1"/>
  <c r="AC9" i="39" s="1"/>
  <c r="F4" i="49"/>
  <c r="W9" i="49" a="1"/>
  <c r="W3" i="49" a="1"/>
  <c r="AA4" i="43"/>
  <c r="AB3" i="43"/>
  <c r="AA3" i="43"/>
  <c r="AC4" i="43"/>
  <c r="AB5" i="43"/>
  <c r="AC3" i="43"/>
  <c r="AB4" i="43"/>
  <c r="AC5" i="43"/>
  <c r="AA5" i="43"/>
  <c r="AC3" i="39" a="1"/>
  <c r="AA9" i="43" a="1"/>
  <c r="W9" i="48" a="1"/>
  <c r="W3" i="48" a="1"/>
  <c r="AD10" i="39" l="1"/>
  <c r="AC10" i="39"/>
  <c r="AD9" i="39"/>
  <c r="AD5" i="39"/>
  <c r="AD3" i="39"/>
  <c r="AE5" i="39"/>
  <c r="AD4" i="39"/>
  <c r="AC3" i="39"/>
  <c r="AE4" i="39"/>
  <c r="AE3" i="39"/>
  <c r="AC5" i="39"/>
  <c r="AC4" i="39"/>
  <c r="X3" i="48"/>
  <c r="W5" i="48"/>
  <c r="W3" i="48"/>
  <c r="Y4" i="48"/>
  <c r="W4" i="48"/>
  <c r="Y5" i="48"/>
  <c r="X5" i="48"/>
  <c r="X4" i="48"/>
  <c r="Y3" i="48"/>
  <c r="W9" i="48"/>
  <c r="X10" i="48"/>
  <c r="X9" i="48"/>
  <c r="W10" i="48"/>
  <c r="W4" i="49"/>
  <c r="W3" i="49"/>
  <c r="X5" i="49"/>
  <c r="X4" i="49"/>
  <c r="W5" i="49"/>
  <c r="Y5" i="49"/>
  <c r="Y4" i="49"/>
  <c r="Y3" i="49"/>
  <c r="X3" i="49"/>
  <c r="AA9" i="43"/>
  <c r="AB9" i="43"/>
  <c r="AB10" i="43"/>
  <c r="AA10" i="43"/>
  <c r="X9" i="49"/>
  <c r="W9" i="49"/>
  <c r="W10" i="49"/>
  <c r="X10" i="49"/>
  <c r="N1" i="42" l="1"/>
  <c r="U138" i="42"/>
  <c r="U110" i="42"/>
  <c r="U49" i="42"/>
  <c r="U39" i="42"/>
  <c r="U127" i="42"/>
  <c r="U128" i="42"/>
  <c r="U58" i="42"/>
  <c r="U233" i="42"/>
  <c r="U144" i="42"/>
  <c r="U85" i="42"/>
  <c r="U62" i="42"/>
  <c r="U198" i="42"/>
  <c r="N9" i="42"/>
  <c r="U207" i="42"/>
  <c r="U258" i="42"/>
  <c r="U92" i="42"/>
  <c r="U212" i="42"/>
  <c r="U18" i="42"/>
  <c r="U13" i="49" a="1"/>
  <c r="U107" i="42"/>
  <c r="U27" i="42"/>
  <c r="U191" i="42"/>
  <c r="U238" i="42"/>
  <c r="U29" i="42"/>
  <c r="U19" i="42"/>
  <c r="U86" i="42"/>
  <c r="U34" i="42"/>
  <c r="U186" i="42"/>
  <c r="U164" i="42"/>
  <c r="U160" i="42"/>
  <c r="U192" i="42"/>
  <c r="U157" i="42"/>
  <c r="U11" i="42"/>
  <c r="U190" i="42"/>
  <c r="U210" i="42"/>
  <c r="U123" i="42"/>
  <c r="U211" i="42"/>
  <c r="U178" i="42"/>
  <c r="U239" i="42"/>
  <c r="U180" i="42"/>
  <c r="U230" i="42"/>
  <c r="U248" i="42"/>
  <c r="U170" i="42"/>
  <c r="U119" i="42"/>
  <c r="U9" i="42"/>
  <c r="U143" i="42"/>
  <c r="U55" i="42"/>
  <c r="U76" i="42"/>
  <c r="U77" i="42"/>
  <c r="U66" i="42"/>
  <c r="U104" i="42"/>
  <c r="U156" i="42"/>
  <c r="U148" i="42"/>
  <c r="U70" i="42"/>
  <c r="U130" i="42"/>
  <c r="U146" i="42"/>
  <c r="U68" i="42"/>
  <c r="U57" i="42"/>
  <c r="U226" i="42"/>
  <c r="U209" i="42"/>
  <c r="P14" i="47" a="1"/>
  <c r="U250" i="42"/>
  <c r="U36" i="42"/>
  <c r="U235" i="42"/>
  <c r="U136" i="42"/>
  <c r="U158" i="42"/>
  <c r="U35" i="42"/>
  <c r="U183" i="42"/>
  <c r="U94" i="42"/>
  <c r="U221" i="42"/>
  <c r="U140" i="42"/>
  <c r="U14" i="42"/>
  <c r="U13" i="48" a="1"/>
  <c r="J4" i="43"/>
  <c r="U54" i="42"/>
  <c r="U10" i="42"/>
  <c r="U121" i="42"/>
  <c r="U99" i="42"/>
  <c r="U56" i="42"/>
  <c r="U52" i="42"/>
  <c r="U79" i="42"/>
  <c r="U44" i="42"/>
  <c r="U108" i="42"/>
  <c r="U173" i="42"/>
  <c r="U254" i="42"/>
  <c r="U131" i="42"/>
  <c r="U155" i="42"/>
  <c r="U260" i="42"/>
  <c r="U241" i="42"/>
  <c r="U245" i="42"/>
  <c r="U249" i="42"/>
  <c r="U109" i="42"/>
  <c r="U126" i="42"/>
  <c r="J6" i="43"/>
  <c r="U213" i="42"/>
  <c r="U152" i="42"/>
  <c r="U17" i="42"/>
  <c r="U22" i="42"/>
  <c r="D41" i="29"/>
  <c r="P13" i="45" a="1"/>
  <c r="G5" i="35"/>
  <c r="U185" i="42"/>
  <c r="U16" i="42"/>
  <c r="G13" i="35"/>
  <c r="G9" i="35"/>
  <c r="G27" i="35"/>
  <c r="G30" i="35"/>
  <c r="U246" i="42"/>
  <c r="N14" i="42"/>
  <c r="U115" i="42"/>
  <c r="U102" i="42"/>
  <c r="U37" i="42"/>
  <c r="U134" i="42"/>
  <c r="U41" i="42"/>
  <c r="U61" i="42"/>
  <c r="U193" i="42"/>
  <c r="U13" i="42"/>
  <c r="G3" i="35"/>
  <c r="U184" i="42"/>
  <c r="U243" i="42"/>
  <c r="U117" i="42"/>
  <c r="U182" i="42"/>
  <c r="U87" i="42"/>
  <c r="N11" i="42"/>
  <c r="U75" i="42"/>
  <c r="J5" i="43"/>
  <c r="U24" i="42"/>
  <c r="G2" i="35"/>
  <c r="U174" i="42"/>
  <c r="U167" i="42"/>
  <c r="U3" i="49" a="1"/>
  <c r="U74" i="42"/>
  <c r="U217" i="42"/>
  <c r="U114" i="42"/>
  <c r="U40" i="42"/>
  <c r="U218" i="42"/>
  <c r="U63" i="42"/>
  <c r="U227" i="42"/>
  <c r="U232" i="42"/>
  <c r="U133" i="42"/>
  <c r="U202" i="42"/>
  <c r="G37" i="35"/>
  <c r="U98" i="42"/>
  <c r="U25" i="42"/>
  <c r="U71" i="42"/>
  <c r="U59" i="42"/>
  <c r="U171" i="42"/>
  <c r="N5" i="42"/>
  <c r="U261" i="42"/>
  <c r="U113" i="42"/>
  <c r="U88" i="42"/>
  <c r="U216" i="42"/>
  <c r="U168" i="42"/>
  <c r="U125" i="42"/>
  <c r="U129" i="42"/>
  <c r="U219" i="42"/>
  <c r="U179" i="42"/>
  <c r="U175" i="42"/>
  <c r="U244" i="42"/>
  <c r="U32" i="42"/>
  <c r="U3" i="48" a="1"/>
  <c r="U234" i="42"/>
  <c r="U240" i="42"/>
  <c r="U65" i="42"/>
  <c r="U201" i="42"/>
  <c r="U90" i="42"/>
  <c r="U23" i="42"/>
  <c r="U252" i="42"/>
  <c r="U9" i="48" a="1"/>
  <c r="N6" i="42"/>
  <c r="U60" i="42"/>
  <c r="G33" i="35"/>
  <c r="U97" i="42"/>
  <c r="U106" i="42"/>
  <c r="U73" i="42"/>
  <c r="U229" i="42"/>
  <c r="G6" i="35"/>
  <c r="U255" i="42"/>
  <c r="U91" i="42"/>
  <c r="U95" i="42"/>
  <c r="U4" i="42"/>
  <c r="U43" i="42"/>
  <c r="U205" i="42"/>
  <c r="G26" i="35"/>
  <c r="U135" i="42"/>
  <c r="U67" i="42"/>
  <c r="G31" i="35"/>
  <c r="U31" i="42"/>
  <c r="U145" i="42"/>
  <c r="U237" i="42"/>
  <c r="G7" i="35"/>
  <c r="U222" i="42"/>
  <c r="G46" i="35"/>
  <c r="U64" i="42"/>
  <c r="U137" i="42"/>
  <c r="U220" i="42"/>
  <c r="U111" i="42"/>
  <c r="N4" i="42"/>
  <c r="U15" i="42"/>
  <c r="U80" i="42"/>
  <c r="U141" i="42"/>
  <c r="U142" i="42"/>
  <c r="U112" i="42"/>
  <c r="G50" i="35"/>
  <c r="G39" i="35"/>
  <c r="U83" i="42"/>
  <c r="U124" i="42"/>
  <c r="U204" i="42"/>
  <c r="U5" i="42"/>
  <c r="G43" i="35"/>
  <c r="U53" i="42"/>
  <c r="U203" i="42"/>
  <c r="U7" i="42"/>
  <c r="U165" i="42"/>
  <c r="U28" i="42"/>
  <c r="U9" i="49" a="1"/>
  <c r="U69" i="42"/>
  <c r="U251" i="42"/>
  <c r="U159" i="42"/>
  <c r="U8" i="42"/>
  <c r="N12" i="42"/>
  <c r="U151" i="42"/>
  <c r="U224" i="42"/>
  <c r="U257" i="42"/>
  <c r="U118" i="42"/>
  <c r="N3" i="42"/>
  <c r="U214" i="42"/>
  <c r="U72" i="42"/>
  <c r="U199" i="42"/>
  <c r="U242" i="42"/>
  <c r="U236" i="42"/>
  <c r="U188" i="42"/>
  <c r="U181" i="42"/>
  <c r="U161" i="42"/>
  <c r="U163" i="42"/>
  <c r="U215" i="42"/>
  <c r="U162" i="42"/>
  <c r="U153" i="42"/>
  <c r="U120" i="42"/>
  <c r="U154" i="42"/>
  <c r="U78" i="42"/>
  <c r="U195" i="42"/>
  <c r="U228" i="42"/>
  <c r="U149" i="42"/>
  <c r="U47" i="42"/>
  <c r="U96" i="42"/>
  <c r="U45" i="42"/>
  <c r="U105" i="42"/>
  <c r="U3" i="42"/>
  <c r="U139" i="42"/>
  <c r="U189" i="42"/>
  <c r="U26" i="42"/>
  <c r="U223" i="42"/>
  <c r="U147" i="42"/>
  <c r="U177" i="42"/>
  <c r="U208" i="42"/>
  <c r="U225" i="42"/>
  <c r="J7" i="43"/>
  <c r="Y13" i="43" a="1"/>
  <c r="U176" i="42"/>
  <c r="U150" i="42"/>
  <c r="U51" i="42"/>
  <c r="N13" i="42"/>
  <c r="U256" i="42"/>
  <c r="U46" i="42"/>
  <c r="U187" i="42"/>
  <c r="N8" i="42"/>
  <c r="N10" i="42"/>
  <c r="U84" i="42"/>
  <c r="U194" i="42"/>
  <c r="U30" i="42"/>
  <c r="U247" i="42"/>
  <c r="U169" i="42"/>
  <c r="U132" i="42"/>
  <c r="U197" i="42"/>
  <c r="U231" i="42"/>
  <c r="U48" i="42"/>
  <c r="U122" i="42"/>
  <c r="U93" i="42"/>
  <c r="U82" i="42"/>
  <c r="U81" i="42"/>
  <c r="U42" i="42"/>
  <c r="U200" i="42"/>
  <c r="U116" i="42"/>
  <c r="N15" i="42"/>
  <c r="U166" i="42"/>
  <c r="U101" i="42"/>
  <c r="U33" i="42"/>
  <c r="N7" i="42"/>
  <c r="U206" i="42"/>
  <c r="U50" i="42"/>
  <c r="U103" i="42"/>
  <c r="U89" i="42"/>
  <c r="U6" i="42"/>
  <c r="U21" i="42"/>
  <c r="U100" i="42"/>
  <c r="U172" i="42"/>
  <c r="U196" i="42"/>
  <c r="U259" i="42"/>
  <c r="U12" i="42"/>
  <c r="U38" i="42"/>
  <c r="U253" i="42"/>
  <c r="U20" i="42"/>
  <c r="Y9" i="43" a="1"/>
  <c r="Y3" i="43" a="1"/>
  <c r="G19" i="35"/>
  <c r="G49" i="35"/>
  <c r="G47" i="35"/>
  <c r="G42" i="35"/>
  <c r="G45" i="35"/>
  <c r="G41" i="35"/>
  <c r="G23" i="35"/>
  <c r="G38" i="35"/>
  <c r="G48" i="35"/>
  <c r="G16" i="35"/>
  <c r="G10" i="35"/>
  <c r="G29" i="35"/>
  <c r="G15" i="35"/>
  <c r="G35" i="35"/>
  <c r="G34" i="35"/>
  <c r="G44" i="35"/>
  <c r="G32" i="35"/>
  <c r="G20" i="35"/>
  <c r="G40" i="35"/>
  <c r="G11" i="35"/>
  <c r="G14" i="35"/>
  <c r="G36" i="35"/>
  <c r="G4" i="35"/>
  <c r="G18" i="35"/>
  <c r="G17" i="35"/>
  <c r="G25" i="35"/>
  <c r="G8" i="35"/>
  <c r="G22" i="35"/>
  <c r="G28" i="35"/>
  <c r="G24" i="35"/>
  <c r="G12" i="35"/>
  <c r="G21" i="35"/>
  <c r="Y253" i="42" l="1"/>
  <c r="Y6" i="42"/>
  <c r="Y116" i="42"/>
  <c r="Y231" i="42"/>
  <c r="Y187" i="42"/>
  <c r="Y208" i="42"/>
  <c r="Y105" i="42"/>
  <c r="Y154" i="42"/>
  <c r="Y188" i="42"/>
  <c r="Y224" i="42"/>
  <c r="Y165" i="42"/>
  <c r="Y204" i="42"/>
  <c r="Y43" i="42"/>
  <c r="U10" i="48"/>
  <c r="U3" i="48"/>
  <c r="Y171" i="42"/>
  <c r="Y202" i="42"/>
  <c r="Y74" i="42"/>
  <c r="Y75" i="42"/>
  <c r="Y61" i="42"/>
  <c r="Y115" i="42"/>
  <c r="Y185" i="42"/>
  <c r="P19" i="45"/>
  <c r="Y152" i="42"/>
  <c r="Y109" i="42"/>
  <c r="Y108" i="42"/>
  <c r="Y54" i="42"/>
  <c r="Y158" i="42"/>
  <c r="P25" i="47"/>
  <c r="P17" i="47"/>
  <c r="Y130" i="42"/>
  <c r="Y55" i="42"/>
  <c r="Y239" i="42"/>
  <c r="Y192" i="42"/>
  <c r="Y238" i="42"/>
  <c r="Y258" i="42"/>
  <c r="Y128" i="42"/>
  <c r="Y38" i="42"/>
  <c r="Y89" i="42"/>
  <c r="Y200" i="42"/>
  <c r="Y197" i="42"/>
  <c r="Y46" i="42"/>
  <c r="Y177" i="42"/>
  <c r="Y45" i="42"/>
  <c r="Y120" i="42"/>
  <c r="Y236" i="42"/>
  <c r="Y7" i="42"/>
  <c r="Y124" i="42"/>
  <c r="Y112" i="42"/>
  <c r="Y111" i="42"/>
  <c r="Y4" i="42"/>
  <c r="U9" i="48"/>
  <c r="Y219" i="42"/>
  <c r="Y59" i="42"/>
  <c r="Y133" i="42"/>
  <c r="Y87" i="42"/>
  <c r="Y41" i="42"/>
  <c r="P13" i="45"/>
  <c r="Y213" i="42"/>
  <c r="Y249" i="42"/>
  <c r="Y44" i="42"/>
  <c r="U13" i="48"/>
  <c r="S13" i="48" s="1"/>
  <c r="Y136" i="42"/>
  <c r="P18" i="47"/>
  <c r="P23" i="47"/>
  <c r="Y70" i="42"/>
  <c r="Y143" i="42"/>
  <c r="Y178" i="42"/>
  <c r="Y160" i="42"/>
  <c r="Y191" i="42"/>
  <c r="Y207" i="42"/>
  <c r="Y127" i="42"/>
  <c r="Y5" i="43"/>
  <c r="Y12" i="42"/>
  <c r="Y103" i="42"/>
  <c r="Y42" i="42"/>
  <c r="Y132" i="42"/>
  <c r="Y256" i="42"/>
  <c r="Y147" i="42"/>
  <c r="Y96" i="42"/>
  <c r="Y153" i="42"/>
  <c r="Y242" i="42"/>
  <c r="Y151" i="42"/>
  <c r="Y83" i="42"/>
  <c r="Y142" i="42"/>
  <c r="Y95" i="42"/>
  <c r="Y255" i="42"/>
  <c r="Y252" i="42"/>
  <c r="Y32" i="42"/>
  <c r="Y129" i="42"/>
  <c r="Y71" i="42"/>
  <c r="Y232" i="42"/>
  <c r="U3" i="49"/>
  <c r="Y182" i="42"/>
  <c r="P20" i="45"/>
  <c r="Y126" i="42"/>
  <c r="Y245" i="42"/>
  <c r="Y155" i="42"/>
  <c r="Y79" i="42"/>
  <c r="Y14" i="42"/>
  <c r="Y235" i="42"/>
  <c r="P22" i="47"/>
  <c r="P21" i="47"/>
  <c r="Y148" i="42"/>
  <c r="Y9" i="42"/>
  <c r="Y211" i="42"/>
  <c r="Y164" i="42"/>
  <c r="Y27" i="42"/>
  <c r="Y198" i="42"/>
  <c r="Y39" i="42"/>
  <c r="Y4" i="43"/>
  <c r="Y21" i="42"/>
  <c r="Y93" i="42"/>
  <c r="Y51" i="42"/>
  <c r="Y139" i="42"/>
  <c r="Y215" i="42"/>
  <c r="Y257" i="42"/>
  <c r="U9" i="49"/>
  <c r="Y237" i="42"/>
  <c r="Y205" i="42"/>
  <c r="Y73" i="42"/>
  <c r="Y23" i="42"/>
  <c r="U4" i="48"/>
  <c r="Y168" i="42"/>
  <c r="Y261" i="42"/>
  <c r="Y218" i="42"/>
  <c r="U4" i="49"/>
  <c r="Y37" i="42"/>
  <c r="P16" i="45"/>
  <c r="Y260" i="42"/>
  <c r="Y56" i="42"/>
  <c r="Y35" i="42"/>
  <c r="P26" i="47"/>
  <c r="Y156" i="42"/>
  <c r="Y230" i="42"/>
  <c r="Y34" i="42"/>
  <c r="Y92" i="42"/>
  <c r="Y138" i="42"/>
  <c r="Y20" i="42"/>
  <c r="Y149" i="42"/>
  <c r="Y65" i="42"/>
  <c r="Y184" i="42"/>
  <c r="P14" i="45"/>
  <c r="Y131" i="42"/>
  <c r="Y209" i="42"/>
  <c r="Y29" i="42"/>
  <c r="Y247" i="42"/>
  <c r="Y199" i="42"/>
  <c r="Y64" i="42"/>
  <c r="Y67" i="42"/>
  <c r="Y114" i="42"/>
  <c r="Y246" i="42"/>
  <c r="P19" i="47"/>
  <c r="Y76" i="42"/>
  <c r="Y233" i="42"/>
  <c r="Y30" i="42"/>
  <c r="Y72" i="42"/>
  <c r="Y141" i="42"/>
  <c r="Y91" i="42"/>
  <c r="Y175" i="42"/>
  <c r="Y217" i="42"/>
  <c r="P24" i="47"/>
  <c r="Y11" i="42"/>
  <c r="Y172" i="42"/>
  <c r="Y26" i="42"/>
  <c r="Y179" i="42"/>
  <c r="Y68" i="42"/>
  <c r="Y18" i="42"/>
  <c r="Y84" i="42"/>
  <c r="Y162" i="42"/>
  <c r="P18" i="45"/>
  <c r="Y241" i="42"/>
  <c r="Y146" i="42"/>
  <c r="Y212" i="42"/>
  <c r="Y9" i="43"/>
  <c r="Y50" i="42"/>
  <c r="Y122" i="42"/>
  <c r="Y150" i="42"/>
  <c r="Y3" i="42"/>
  <c r="Y163" i="42"/>
  <c r="Y8" i="42"/>
  <c r="U10" i="49"/>
  <c r="Y15" i="42"/>
  <c r="Y145" i="42"/>
  <c r="Y106" i="42"/>
  <c r="Y90" i="42"/>
  <c r="U5" i="48"/>
  <c r="Y216" i="42"/>
  <c r="Y40" i="42"/>
  <c r="U5" i="49"/>
  <c r="P17" i="45"/>
  <c r="Y99" i="42"/>
  <c r="Y36" i="42"/>
  <c r="P14" i="47"/>
  <c r="Y104" i="42"/>
  <c r="Y180" i="42"/>
  <c r="Y86" i="42"/>
  <c r="Y62" i="42"/>
  <c r="Y33" i="42"/>
  <c r="Y13" i="43"/>
  <c r="W13" i="43" s="1"/>
  <c r="AH48" i="43" s="1"/>
  <c r="Y181" i="42"/>
  <c r="Y113" i="42"/>
  <c r="Y174" i="42"/>
  <c r="Y16" i="42"/>
  <c r="Y10" i="42"/>
  <c r="Y210" i="42"/>
  <c r="Y101" i="42"/>
  <c r="Y228" i="42"/>
  <c r="Y203" i="42"/>
  <c r="Y240" i="42"/>
  <c r="Y13" i="42"/>
  <c r="Y140" i="42"/>
  <c r="Y190" i="42"/>
  <c r="Y196" i="42"/>
  <c r="Y223" i="42"/>
  <c r="Y69" i="42"/>
  <c r="Y135" i="42"/>
  <c r="Y98" i="42"/>
  <c r="Y193" i="42"/>
  <c r="Y221" i="42"/>
  <c r="Y119" i="42"/>
  <c r="Y58" i="42"/>
  <c r="Y81" i="42"/>
  <c r="Y214" i="42"/>
  <c r="Y80" i="42"/>
  <c r="Y60" i="42"/>
  <c r="P27" i="47"/>
  <c r="Y170" i="42"/>
  <c r="Y49" i="42"/>
  <c r="Y100" i="42"/>
  <c r="Y118" i="42"/>
  <c r="Y222" i="42"/>
  <c r="Y234" i="42"/>
  <c r="Y63" i="42"/>
  <c r="Y52" i="42"/>
  <c r="Y248" i="42"/>
  <c r="Y10" i="43"/>
  <c r="Y206" i="42"/>
  <c r="Y48" i="42"/>
  <c r="Y176" i="42"/>
  <c r="Y47" i="42"/>
  <c r="Y161" i="42"/>
  <c r="Y28" i="42"/>
  <c r="Y220" i="42"/>
  <c r="Y31" i="42"/>
  <c r="Y97" i="42"/>
  <c r="Y201" i="42"/>
  <c r="Y88" i="42"/>
  <c r="Y25" i="42"/>
  <c r="Y167" i="42"/>
  <c r="Y102" i="42"/>
  <c r="P15" i="45"/>
  <c r="Y121" i="42"/>
  <c r="Y250" i="42"/>
  <c r="P16" i="47"/>
  <c r="Y66" i="42"/>
  <c r="Y123" i="42"/>
  <c r="Y19" i="42"/>
  <c r="Y85" i="42"/>
  <c r="Y169" i="42"/>
  <c r="Y159" i="42"/>
  <c r="Y137" i="42"/>
  <c r="Y244" i="42"/>
  <c r="P15" i="47"/>
  <c r="Y77" i="42"/>
  <c r="Y144" i="42"/>
  <c r="Y259" i="42"/>
  <c r="Y225" i="42"/>
  <c r="Y251" i="42"/>
  <c r="Y24" i="42"/>
  <c r="Y254" i="42"/>
  <c r="Y226" i="42"/>
  <c r="Y107" i="42"/>
  <c r="Y166" i="42"/>
  <c r="Y195" i="42"/>
  <c r="Y53" i="42"/>
  <c r="Y117" i="42"/>
  <c r="Y173" i="42"/>
  <c r="Y57" i="42"/>
  <c r="U13" i="49"/>
  <c r="S13" i="49" s="1"/>
  <c r="Y194" i="42"/>
  <c r="Y78" i="42"/>
  <c r="Y227" i="42"/>
  <c r="Y243" i="42"/>
  <c r="P21" i="45"/>
  <c r="Y22" i="42"/>
  <c r="Y94" i="42"/>
  <c r="Y157" i="42"/>
  <c r="Y3" i="43"/>
  <c r="Y82" i="42"/>
  <c r="Y189" i="42"/>
  <c r="Y5" i="42"/>
  <c r="Y229" i="42"/>
  <c r="Y125" i="42"/>
  <c r="Y134" i="42"/>
  <c r="Y17" i="42"/>
  <c r="P20" i="47"/>
  <c r="Y186" i="42"/>
  <c r="Y110" i="42"/>
  <c r="Y183" i="42"/>
  <c r="AD25" i="48" l="1"/>
  <c r="AD20" i="48"/>
  <c r="AD17" i="48"/>
  <c r="AD10" i="48"/>
  <c r="AD11" i="48"/>
  <c r="AD88" i="49"/>
  <c r="AD139" i="49"/>
  <c r="AD257" i="49"/>
  <c r="AH39" i="43"/>
  <c r="AD247" i="49"/>
  <c r="AD144" i="49"/>
  <c r="AD36" i="49"/>
  <c r="AD112" i="49"/>
  <c r="AD55" i="49"/>
  <c r="AD183" i="49"/>
  <c r="AD4" i="49"/>
  <c r="AD5" i="49"/>
  <c r="AD62" i="49"/>
  <c r="AD7" i="48"/>
  <c r="AD189" i="49"/>
  <c r="AH20" i="43"/>
  <c r="AD3" i="49"/>
  <c r="AH58" i="43"/>
  <c r="AH37" i="43"/>
  <c r="AD103" i="49"/>
  <c r="AD168" i="49"/>
  <c r="AD227" i="49"/>
  <c r="AD4" i="48"/>
  <c r="AD24" i="49"/>
  <c r="AD250" i="49"/>
  <c r="AD45" i="49"/>
  <c r="AD50" i="49"/>
  <c r="AD236" i="49"/>
  <c r="AD161" i="49"/>
  <c r="AD248" i="49"/>
  <c r="AD187" i="49"/>
  <c r="AD106" i="49"/>
  <c r="AH59" i="43"/>
  <c r="AH4" i="43"/>
  <c r="AH43" i="43"/>
  <c r="AH31" i="43"/>
  <c r="AH34" i="43"/>
  <c r="AH57" i="43"/>
  <c r="AH23" i="43"/>
  <c r="AH18" i="43"/>
  <c r="AH55" i="43"/>
  <c r="AH5" i="43"/>
  <c r="AD79" i="49"/>
  <c r="AD193" i="49"/>
  <c r="AD33" i="49"/>
  <c r="AD226" i="49"/>
  <c r="AD251" i="49"/>
  <c r="AD132" i="49"/>
  <c r="AD44" i="49"/>
  <c r="AD207" i="49"/>
  <c r="AD9" i="49"/>
  <c r="AD224" i="49"/>
  <c r="AH24" i="43"/>
  <c r="AH22" i="43"/>
  <c r="AD208" i="49"/>
  <c r="AD23" i="48"/>
  <c r="AD22" i="48"/>
  <c r="AD18" i="48"/>
  <c r="AD26" i="48"/>
  <c r="AD13" i="48"/>
  <c r="AD6" i="48"/>
  <c r="AD5" i="48"/>
  <c r="AD9" i="48"/>
  <c r="AD24" i="48"/>
  <c r="AD22" i="49"/>
  <c r="AH42" i="43"/>
  <c r="AH19" i="43"/>
  <c r="AD20" i="49"/>
  <c r="AD137" i="49"/>
  <c r="AH50" i="43"/>
  <c r="AD185" i="49"/>
  <c r="AD235" i="49"/>
  <c r="AD212" i="49"/>
  <c r="AD128" i="49"/>
  <c r="AH27" i="43"/>
  <c r="AD121" i="49"/>
  <c r="AD180" i="49"/>
  <c r="AD140" i="49"/>
  <c r="AH16" i="43"/>
  <c r="AD97" i="49"/>
  <c r="AH14" i="43"/>
  <c r="AD31" i="49"/>
  <c r="AD240" i="49"/>
  <c r="AD190" i="49"/>
  <c r="AD153" i="49"/>
  <c r="AD65" i="49"/>
  <c r="AD138" i="49"/>
  <c r="AD82" i="49"/>
  <c r="AD232" i="49"/>
  <c r="AD186" i="49"/>
  <c r="AH15" i="43"/>
  <c r="AD167" i="49"/>
  <c r="AD78" i="49"/>
  <c r="AD123" i="49"/>
  <c r="AD229" i="49"/>
  <c r="AD203" i="49"/>
  <c r="AH6" i="43"/>
  <c r="AH8" i="43"/>
  <c r="AD13" i="49"/>
  <c r="AD99" i="49"/>
  <c r="AD146" i="49"/>
  <c r="AD64" i="49"/>
  <c r="AD215" i="49"/>
  <c r="AD21" i="49"/>
  <c r="AD130" i="49"/>
  <c r="AD8" i="49"/>
  <c r="AD110" i="49"/>
  <c r="AD135" i="49"/>
  <c r="AD241" i="49"/>
  <c r="AD223" i="49"/>
  <c r="AD116" i="49"/>
  <c r="AH52" i="43"/>
  <c r="AD87" i="49"/>
  <c r="AD195" i="49"/>
  <c r="AD16" i="49"/>
  <c r="AH62" i="43"/>
  <c r="AH35" i="43"/>
  <c r="AD73" i="49"/>
  <c r="AD175" i="49"/>
  <c r="AD7" i="49"/>
  <c r="AD104" i="49"/>
  <c r="AD14" i="49"/>
  <c r="AH61" i="43"/>
  <c r="AD159" i="49"/>
  <c r="AH10" i="43"/>
  <c r="AD93" i="49"/>
  <c r="AD117" i="49"/>
  <c r="AD219" i="49"/>
  <c r="AH56" i="43"/>
  <c r="AH7" i="43"/>
  <c r="AD28" i="49"/>
  <c r="AD242" i="49"/>
  <c r="AD48" i="49"/>
  <c r="AD213" i="49"/>
  <c r="AH51" i="43"/>
  <c r="AD12" i="49"/>
  <c r="AD71" i="49"/>
  <c r="AD245" i="49"/>
  <c r="AD14" i="48"/>
  <c r="AD252" i="49"/>
  <c r="AD67" i="49"/>
  <c r="AH12" i="43"/>
  <c r="AD163" i="49"/>
  <c r="AD98" i="49"/>
  <c r="AD124" i="49"/>
  <c r="AD170" i="49"/>
  <c r="AD70" i="49"/>
  <c r="AD38" i="49"/>
  <c r="AD52" i="49"/>
  <c r="AH3" i="43"/>
  <c r="AH28" i="43"/>
  <c r="AD17" i="49"/>
  <c r="AD21" i="48"/>
  <c r="AD111" i="49"/>
  <c r="AH29" i="43"/>
  <c r="AD58" i="49"/>
  <c r="AD244" i="49"/>
  <c r="AD43" i="49"/>
  <c r="AD3" i="48"/>
  <c r="AD225" i="49"/>
  <c r="AD57" i="49"/>
  <c r="AH38" i="43"/>
  <c r="AD8" i="48"/>
  <c r="AD216" i="49"/>
  <c r="AD171" i="49"/>
  <c r="AD84" i="49"/>
  <c r="AD66" i="49"/>
  <c r="AD136" i="49"/>
  <c r="AD152" i="49"/>
  <c r="AD46" i="49"/>
  <c r="AD80" i="49"/>
  <c r="AD141" i="49"/>
  <c r="AD157" i="49"/>
  <c r="AD90" i="49"/>
  <c r="AD95" i="49"/>
  <c r="AD191" i="49"/>
  <c r="AD220" i="49"/>
  <c r="AD165" i="49"/>
  <c r="AD34" i="49"/>
  <c r="AD199" i="49"/>
  <c r="AD164" i="49"/>
  <c r="AD133" i="49"/>
  <c r="AD148" i="49"/>
  <c r="AD149" i="49"/>
  <c r="AD77" i="49"/>
  <c r="AD119" i="49"/>
  <c r="AD35" i="49"/>
  <c r="AD83" i="49"/>
  <c r="AD32" i="49"/>
  <c r="AD91" i="49"/>
  <c r="AD113" i="49"/>
  <c r="AD201" i="49"/>
  <c r="AD86" i="49"/>
  <c r="AD177" i="49"/>
  <c r="AD254" i="49"/>
  <c r="AD30" i="49"/>
  <c r="AD174" i="49"/>
  <c r="AD211" i="49"/>
  <c r="AD200" i="49"/>
  <c r="AD18" i="49"/>
  <c r="AD143" i="49"/>
  <c r="AD47" i="49"/>
  <c r="AD217" i="49"/>
  <c r="AD196" i="49"/>
  <c r="AD42" i="49"/>
  <c r="AD134" i="49"/>
  <c r="AD15" i="49"/>
  <c r="AD60" i="49"/>
  <c r="AD209" i="49"/>
  <c r="AD210" i="49"/>
  <c r="AD188" i="49"/>
  <c r="AD150" i="49"/>
  <c r="AD114" i="49"/>
  <c r="AD233" i="49"/>
  <c r="AD51" i="49"/>
  <c r="AD221" i="49"/>
  <c r="AD68" i="49"/>
  <c r="AD11" i="49"/>
  <c r="AD61" i="49"/>
  <c r="AD115" i="49"/>
  <c r="AD239" i="49"/>
  <c r="AD147" i="49"/>
  <c r="AD142" i="49"/>
  <c r="AD105" i="49"/>
  <c r="AD151" i="49"/>
  <c r="AD169" i="49"/>
  <c r="AD155" i="49"/>
  <c r="AD118" i="49"/>
  <c r="AD108" i="49"/>
  <c r="AD126" i="49"/>
  <c r="AD39" i="49"/>
  <c r="AH21" i="43"/>
  <c r="AD41" i="49"/>
  <c r="AD156" i="49"/>
  <c r="AD25" i="49"/>
  <c r="AD214" i="49"/>
  <c r="AH41" i="43"/>
  <c r="AD205" i="49"/>
  <c r="AH25" i="43"/>
  <c r="AD246" i="49"/>
  <c r="AD255" i="49"/>
  <c r="AD101" i="49"/>
  <c r="AD238" i="49"/>
  <c r="AD182" i="49"/>
  <c r="AD202" i="49"/>
  <c r="AD10" i="49"/>
  <c r="AD122" i="49"/>
  <c r="AD249" i="49"/>
  <c r="AH32" i="43"/>
  <c r="AD173" i="49"/>
  <c r="AD53" i="49"/>
  <c r="AD59" i="49"/>
  <c r="AD230" i="49"/>
  <c r="AH11" i="43"/>
  <c r="AH44" i="43"/>
  <c r="AD127" i="49"/>
  <c r="AH45" i="43"/>
  <c r="AH49" i="43"/>
  <c r="AD204" i="49"/>
  <c r="AH30" i="43"/>
  <c r="AH9" i="43"/>
  <c r="AD37" i="49"/>
  <c r="AH17" i="43"/>
  <c r="AD131" i="49"/>
  <c r="AD6" i="49"/>
  <c r="AD19" i="48"/>
  <c r="AD197" i="49"/>
  <c r="AD56" i="49"/>
  <c r="AD192" i="49"/>
  <c r="AD154" i="49"/>
  <c r="AD81" i="49"/>
  <c r="AD194" i="49"/>
  <c r="AH13" i="43"/>
  <c r="AH60" i="43"/>
  <c r="AD89" i="49"/>
  <c r="AD26" i="49"/>
  <c r="AD243" i="49"/>
  <c r="AD23" i="49"/>
  <c r="AD75" i="49"/>
  <c r="AD29" i="49"/>
  <c r="AD54" i="49"/>
  <c r="AD76" i="49"/>
  <c r="AH63" i="43"/>
  <c r="AD145" i="49"/>
  <c r="AD40" i="49"/>
  <c r="AD176" i="49"/>
  <c r="AH65" i="43"/>
  <c r="AD228" i="49"/>
  <c r="AD63" i="49"/>
  <c r="AD19" i="49"/>
  <c r="AD12" i="48"/>
  <c r="AH54" i="43"/>
  <c r="AD100" i="49"/>
  <c r="AD158" i="49"/>
  <c r="AH33" i="43"/>
  <c r="AH47" i="43"/>
  <c r="AD16" i="48"/>
  <c r="AD125" i="49"/>
  <c r="AD237" i="49"/>
  <c r="AD49" i="49"/>
  <c r="AD218" i="49"/>
  <c r="AD92" i="49"/>
  <c r="AD179" i="49"/>
  <c r="AD85" i="49"/>
  <c r="AD256" i="49"/>
  <c r="AD129" i="49"/>
  <c r="AH26" i="43"/>
  <c r="AD181" i="49"/>
  <c r="AD206" i="49"/>
  <c r="AD74" i="49"/>
  <c r="AD109" i="49"/>
  <c r="AD253" i="49"/>
  <c r="AH53" i="43"/>
  <c r="AD162" i="49"/>
  <c r="AD120" i="49"/>
  <c r="AH46" i="43"/>
  <c r="AH36" i="43"/>
  <c r="AD166" i="49"/>
  <c r="AD160" i="49"/>
  <c r="AD172" i="49"/>
  <c r="AH40" i="43"/>
  <c r="AD94" i="49"/>
  <c r="AD72" i="49"/>
  <c r="AD198" i="49"/>
  <c r="AD231" i="49"/>
  <c r="AD107" i="49"/>
  <c r="AD234" i="49"/>
  <c r="AD184" i="49"/>
  <c r="AD102" i="49"/>
  <c r="AD178" i="49"/>
  <c r="AD27" i="49"/>
  <c r="AD96" i="49"/>
  <c r="AD222" i="49"/>
  <c r="AD69" i="49"/>
  <c r="AH64" i="43"/>
  <c r="AD15" i="48"/>
  <c r="H34" i="35" l="1"/>
  <c r="H70" i="33" s="1"/>
  <c r="L70" i="33" s="1"/>
  <c r="M70" i="33"/>
  <c r="H33" i="35"/>
  <c r="H69" i="33" s="1"/>
  <c r="L69" i="33" s="1"/>
  <c r="M69" i="33"/>
  <c r="H37" i="35"/>
  <c r="H73" i="33" s="1"/>
  <c r="L73" i="33" s="1"/>
  <c r="M73" i="33"/>
  <c r="H9" i="35"/>
  <c r="H47" i="33" s="1"/>
  <c r="L47" i="33" s="1"/>
  <c r="M47" i="33"/>
  <c r="H17" i="35"/>
  <c r="H54" i="33" s="1"/>
  <c r="L54" i="33" s="1"/>
  <c r="M54" i="33"/>
  <c r="H45" i="35"/>
  <c r="H80" i="33" s="1"/>
  <c r="L80" i="33" s="1"/>
  <c r="M80" i="33"/>
  <c r="O7" i="42"/>
  <c r="H19" i="35"/>
  <c r="H56" i="33" s="1"/>
  <c r="L56" i="33" s="1"/>
  <c r="M56" i="33"/>
  <c r="H6" i="35"/>
  <c r="H44" i="33" s="1"/>
  <c r="L44" i="33" s="1"/>
  <c r="M44" i="33"/>
  <c r="H3" i="35"/>
  <c r="H41" i="33" s="1"/>
  <c r="L41" i="33" s="1"/>
  <c r="M41" i="33"/>
  <c r="H40" i="35"/>
  <c r="H75" i="33" s="1"/>
  <c r="L75" i="33" s="1"/>
  <c r="M75" i="33"/>
  <c r="H29" i="35"/>
  <c r="H65" i="33" s="1"/>
  <c r="L65" i="33" s="1"/>
  <c r="M65" i="33"/>
  <c r="H4" i="35"/>
  <c r="H42" i="33" s="1"/>
  <c r="L42" i="33" s="1"/>
  <c r="M42" i="33"/>
  <c r="H12" i="35"/>
  <c r="H50" i="33" s="1"/>
  <c r="L50" i="33" s="1"/>
  <c r="M50" i="33"/>
  <c r="H42" i="35"/>
  <c r="H77" i="33" s="1"/>
  <c r="L77" i="33" s="1"/>
  <c r="M77" i="33"/>
  <c r="O6" i="42"/>
  <c r="H5" i="35"/>
  <c r="H43" i="33" s="1"/>
  <c r="L43" i="33" s="1"/>
  <c r="M43" i="33"/>
  <c r="H49" i="35"/>
  <c r="H84" i="33" s="1"/>
  <c r="L84" i="33" s="1"/>
  <c r="M84" i="33"/>
  <c r="H18" i="35"/>
  <c r="H55" i="33" s="1"/>
  <c r="L55" i="33" s="1"/>
  <c r="M55" i="33"/>
  <c r="H15" i="35"/>
  <c r="H52" i="33" s="1"/>
  <c r="L52" i="33" s="1"/>
  <c r="M52" i="33"/>
  <c r="H38" i="35"/>
  <c r="H25" i="35"/>
  <c r="H62" i="33" s="1"/>
  <c r="L62" i="33" s="1"/>
  <c r="M62" i="33"/>
  <c r="H44" i="35"/>
  <c r="H79" i="33" s="1"/>
  <c r="L79" i="33" s="1"/>
  <c r="M79" i="33"/>
  <c r="O4" i="42"/>
  <c r="H28" i="35"/>
  <c r="H64" i="33" s="1"/>
  <c r="L64" i="33" s="1"/>
  <c r="M64" i="33"/>
  <c r="H26" i="35"/>
  <c r="H48" i="35"/>
  <c r="H83" i="33" s="1"/>
  <c r="L83" i="33" s="1"/>
  <c r="M83" i="33"/>
  <c r="H22" i="35"/>
  <c r="H59" i="33" s="1"/>
  <c r="L59" i="33" s="1"/>
  <c r="M59" i="33"/>
  <c r="H36" i="35"/>
  <c r="H72" i="33" s="1"/>
  <c r="L72" i="33" s="1"/>
  <c r="M72" i="33"/>
  <c r="H2" i="35"/>
  <c r="H39" i="35"/>
  <c r="H74" i="33" s="1"/>
  <c r="L74" i="33" s="1"/>
  <c r="M74" i="33"/>
  <c r="H41" i="35"/>
  <c r="H76" i="33" s="1"/>
  <c r="L76" i="33" s="1"/>
  <c r="M76" i="33"/>
  <c r="H11" i="35"/>
  <c r="H49" i="33" s="1"/>
  <c r="L49" i="33" s="1"/>
  <c r="M49" i="33"/>
  <c r="H46" i="35"/>
  <c r="H81" i="33" s="1"/>
  <c r="L81" i="33" s="1"/>
  <c r="M81" i="33"/>
  <c r="H27" i="35"/>
  <c r="H63" i="33" s="1"/>
  <c r="L63" i="33" s="1"/>
  <c r="M63" i="33"/>
  <c r="H14" i="35"/>
  <c r="O3" i="42"/>
  <c r="H50" i="35"/>
  <c r="H13" i="35"/>
  <c r="H51" i="33" s="1"/>
  <c r="L51" i="33" s="1"/>
  <c r="M51" i="33"/>
  <c r="H7" i="35"/>
  <c r="H45" i="33" s="1"/>
  <c r="L45" i="33" s="1"/>
  <c r="M45" i="33"/>
  <c r="H31" i="35"/>
  <c r="H67" i="33" s="1"/>
  <c r="L67" i="33" s="1"/>
  <c r="M67" i="33"/>
  <c r="H47" i="35"/>
  <c r="H82" i="33" s="1"/>
  <c r="L82" i="33" s="1"/>
  <c r="M82" i="33"/>
  <c r="H10" i="35"/>
  <c r="H48" i="33" s="1"/>
  <c r="L48" i="33" s="1"/>
  <c r="M48" i="33"/>
  <c r="H21" i="35"/>
  <c r="H58" i="33" s="1"/>
  <c r="L58" i="33" s="1"/>
  <c r="M58" i="33"/>
  <c r="H20" i="35"/>
  <c r="H57" i="33" s="1"/>
  <c r="L57" i="33" s="1"/>
  <c r="M57" i="33"/>
  <c r="H16" i="35"/>
  <c r="H53" i="33" s="1"/>
  <c r="L53" i="33" s="1"/>
  <c r="M53" i="33"/>
  <c r="H8" i="35"/>
  <c r="H46" i="33" s="1"/>
  <c r="L46" i="33" s="1"/>
  <c r="M46" i="33"/>
  <c r="H43" i="35"/>
  <c r="H78" i="33" s="1"/>
  <c r="L78" i="33" s="1"/>
  <c r="M78" i="33"/>
  <c r="H32" i="35"/>
  <c r="H68" i="33" s="1"/>
  <c r="L68" i="33" s="1"/>
  <c r="M68" i="33"/>
  <c r="H35" i="35"/>
  <c r="H71" i="33" s="1"/>
  <c r="L71" i="33" s="1"/>
  <c r="M71" i="33"/>
  <c r="H30" i="35"/>
  <c r="H66" i="33" s="1"/>
  <c r="L66" i="33" s="1"/>
  <c r="M66" i="33"/>
  <c r="H24" i="35"/>
  <c r="H61" i="33" s="1"/>
  <c r="L61" i="33" s="1"/>
  <c r="M61" i="33"/>
  <c r="H23" i="35"/>
  <c r="H60" i="33" s="1"/>
  <c r="L60" i="33" s="1"/>
  <c r="M60" i="33"/>
  <c r="O15" i="42"/>
  <c r="O5" i="42"/>
  <c r="N19" i="43"/>
  <c r="J29" i="49"/>
  <c r="N15" i="43"/>
  <c r="J18" i="49"/>
  <c r="J25" i="49"/>
  <c r="J15" i="49"/>
  <c r="J19" i="48"/>
  <c r="J26" i="49"/>
  <c r="O8" i="42"/>
  <c r="J16" i="49"/>
  <c r="J19" i="49"/>
  <c r="J18" i="48"/>
  <c r="J16" i="48"/>
  <c r="J27" i="49"/>
  <c r="O12" i="42"/>
  <c r="N20" i="43"/>
  <c r="J17" i="48"/>
  <c r="J23" i="49"/>
  <c r="J20" i="49"/>
  <c r="N21" i="43"/>
  <c r="O11" i="42"/>
  <c r="J28" i="49"/>
  <c r="J22" i="49"/>
  <c r="N16" i="43"/>
  <c r="J30" i="49"/>
  <c r="N18" i="43"/>
  <c r="O13" i="42"/>
  <c r="N17" i="43"/>
  <c r="J15" i="48"/>
  <c r="O9" i="42"/>
  <c r="O14" i="42"/>
  <c r="O10" i="42"/>
  <c r="J17" i="49"/>
  <c r="J24" i="49"/>
  <c r="J21" i="49"/>
  <c r="W3" i="43" a="1"/>
  <c r="W4" i="43" s="1"/>
  <c r="W3" i="43" l="1"/>
  <c r="W5" i="43"/>
  <c r="P16" i="43" l="1"/>
  <c r="C26" i="43" s="1"/>
  <c r="H9" i="33" s="1"/>
  <c r="L9" i="33" s="1"/>
  <c r="P21" i="43"/>
  <c r="C31" i="43" s="1"/>
  <c r="H14" i="33" s="1"/>
  <c r="L14" i="33" s="1"/>
  <c r="P15" i="43"/>
  <c r="C25" i="43" s="1"/>
  <c r="H8" i="33" s="1"/>
  <c r="L8" i="33" s="1"/>
  <c r="M9" i="33"/>
  <c r="M14" i="33"/>
  <c r="M8" i="33"/>
  <c r="P19" i="43"/>
  <c r="C29" i="43" s="1"/>
  <c r="H12" i="33" s="1"/>
  <c r="L12" i="33" s="1"/>
  <c r="M12" i="33"/>
  <c r="P18" i="43"/>
  <c r="C28" i="43" s="1"/>
  <c r="H11" i="33" s="1"/>
  <c r="L11" i="33" s="1"/>
  <c r="M11" i="33"/>
  <c r="P17" i="43"/>
  <c r="C27" i="43" s="1"/>
  <c r="H10" i="33" s="1"/>
  <c r="L10" i="33" s="1"/>
  <c r="M10" i="33"/>
  <c r="P20" i="43"/>
  <c r="C30" i="43" s="1"/>
  <c r="H13" i="33" s="1"/>
  <c r="L13" i="33" s="1"/>
  <c r="M13" i="33"/>
  <c r="AJ29" i="43"/>
  <c r="AJ58" i="43"/>
  <c r="AJ51" i="43"/>
  <c r="AJ48" i="43"/>
  <c r="AJ52" i="43"/>
  <c r="AJ31" i="43"/>
  <c r="AJ50" i="43"/>
  <c r="AJ63" i="43"/>
  <c r="AJ49" i="43"/>
  <c r="AJ4" i="43"/>
  <c r="AJ45" i="43"/>
  <c r="AJ30" i="43"/>
  <c r="AJ64" i="43"/>
  <c r="AJ62" i="43"/>
  <c r="AJ14" i="43"/>
  <c r="AJ41" i="43"/>
  <c r="AJ18" i="43"/>
  <c r="AJ61" i="43"/>
  <c r="AJ32" i="43"/>
  <c r="AJ16" i="43"/>
  <c r="AJ13" i="43"/>
  <c r="AJ33" i="43"/>
  <c r="AJ43" i="43"/>
  <c r="AJ44" i="43"/>
  <c r="AJ22" i="43"/>
  <c r="AJ65" i="43"/>
  <c r="AJ21" i="43"/>
  <c r="AJ19" i="43"/>
  <c r="AJ23" i="43"/>
  <c r="AJ24" i="43"/>
  <c r="AJ46" i="43"/>
  <c r="AJ47" i="43"/>
  <c r="AJ40" i="43"/>
  <c r="AJ56" i="43"/>
  <c r="AJ28" i="43"/>
  <c r="AJ53" i="43"/>
  <c r="AJ42" i="43"/>
  <c r="AJ10" i="43"/>
  <c r="AJ7" i="43"/>
  <c r="AJ39" i="43"/>
  <c r="AJ57" i="43"/>
  <c r="AJ26" i="43"/>
  <c r="AJ3" i="43"/>
  <c r="AJ9" i="43"/>
  <c r="AJ17" i="43"/>
  <c r="AJ38" i="43"/>
  <c r="AJ37" i="43"/>
  <c r="AJ11" i="43"/>
  <c r="AJ6" i="43"/>
  <c r="AJ5" i="43"/>
  <c r="AJ25" i="43"/>
  <c r="AJ55" i="43"/>
  <c r="AJ60" i="43"/>
  <c r="AJ20" i="43"/>
  <c r="AJ54" i="43"/>
  <c r="AJ12" i="43"/>
  <c r="AJ8" i="43"/>
  <c r="AJ59" i="43"/>
  <c r="AJ34" i="43"/>
  <c r="AJ36" i="43"/>
  <c r="AJ35" i="43"/>
  <c r="AJ27" i="43"/>
  <c r="AJ15" i="43"/>
  <c r="S9" i="48" l="1" a="1"/>
  <c r="S9" i="48" s="1"/>
  <c r="S3" i="48" a="1"/>
  <c r="S4" i="48" s="1"/>
  <c r="S10" i="48" l="1"/>
  <c r="AE14" i="48" s="1"/>
  <c r="S5" i="48"/>
  <c r="S3" i="48"/>
  <c r="AE25" i="48"/>
  <c r="AE6" i="48" l="1"/>
  <c r="K17" i="48"/>
  <c r="AE7" i="48"/>
  <c r="AE5" i="48"/>
  <c r="AE24" i="48"/>
  <c r="K16" i="48"/>
  <c r="AE21" i="48"/>
  <c r="K15" i="48"/>
  <c r="AE15" i="48"/>
  <c r="AE11" i="48"/>
  <c r="AE18" i="48"/>
  <c r="AE3" i="48"/>
  <c r="AE16" i="48"/>
  <c r="AE13" i="48"/>
  <c r="AE17" i="48"/>
  <c r="AE9" i="48"/>
  <c r="AE4" i="48"/>
  <c r="AE10" i="48"/>
  <c r="AE12" i="48"/>
  <c r="AE23" i="48"/>
  <c r="AE20" i="48"/>
  <c r="AE8" i="48"/>
  <c r="AE22" i="48"/>
  <c r="AE19" i="48"/>
  <c r="AE26" i="48"/>
  <c r="K19" i="48"/>
  <c r="K18" i="48"/>
  <c r="L19" i="48"/>
  <c r="C27" i="48" s="1"/>
  <c r="H7" i="33" s="1"/>
  <c r="L7" i="33" s="1"/>
  <c r="L16" i="48"/>
  <c r="C24" i="48" s="1"/>
  <c r="H4" i="33" s="1"/>
  <c r="L4" i="33" s="1"/>
  <c r="L15" i="48"/>
  <c r="C23" i="48" s="1"/>
  <c r="H3" i="33" s="1"/>
  <c r="L3" i="33" s="1"/>
  <c r="M7" i="33"/>
  <c r="M4" i="33"/>
  <c r="M3" i="33"/>
  <c r="L18" i="48"/>
  <c r="C26" i="48" s="1"/>
  <c r="H6" i="33" s="1"/>
  <c r="L6" i="33" s="1"/>
  <c r="M6" i="33"/>
  <c r="L17" i="48"/>
  <c r="C25" i="48" s="1"/>
  <c r="H5" i="33" s="1"/>
  <c r="L5" i="33" s="1"/>
  <c r="M5" i="33"/>
  <c r="AF8" i="48"/>
  <c r="AF16" i="48"/>
  <c r="AF14" i="48"/>
  <c r="AF12" i="48"/>
  <c r="AF25" i="48"/>
  <c r="AF21" i="48"/>
  <c r="AF18" i="48"/>
  <c r="AF10" i="48"/>
  <c r="AF20" i="48"/>
  <c r="AF15" i="48"/>
  <c r="AF17" i="48"/>
  <c r="AF7" i="48"/>
  <c r="AF24" i="48"/>
  <c r="AF23" i="48"/>
  <c r="AF3" i="48"/>
  <c r="AF13" i="48"/>
  <c r="AF9" i="48"/>
  <c r="AF22" i="48"/>
  <c r="AF26" i="48"/>
  <c r="AF19" i="48"/>
  <c r="AF4" i="48"/>
  <c r="AF5" i="48"/>
  <c r="AF11" i="48"/>
  <c r="AF6" i="48"/>
  <c r="S9" i="49" l="1" a="1"/>
  <c r="S10" i="49" s="1"/>
  <c r="S9" i="49" l="1"/>
  <c r="K16" i="49" s="1"/>
  <c r="C35" i="49" s="1"/>
  <c r="H26" i="33" s="1"/>
  <c r="L26" i="33" s="1"/>
  <c r="M26" i="33"/>
  <c r="K18" i="49" l="1"/>
  <c r="C37" i="49" s="1"/>
  <c r="H28" i="33" s="1"/>
  <c r="L28" i="33" s="1"/>
  <c r="K21" i="49"/>
  <c r="C40" i="49" s="1"/>
  <c r="H31" i="33" s="1"/>
  <c r="L31" i="33" s="1"/>
  <c r="M28" i="33"/>
  <c r="M31" i="33"/>
  <c r="K27" i="49"/>
  <c r="C46" i="49" s="1"/>
  <c r="H37" i="33" s="1"/>
  <c r="L37" i="33" s="1"/>
  <c r="M37" i="33"/>
  <c r="K26" i="49"/>
  <c r="C45" i="49" s="1"/>
  <c r="H36" i="33" s="1"/>
  <c r="L36" i="33" s="1"/>
  <c r="M36" i="33"/>
  <c r="K15" i="49"/>
  <c r="C34" i="49" s="1"/>
  <c r="H25" i="33" s="1"/>
  <c r="L25" i="33" s="1"/>
  <c r="M25" i="33"/>
  <c r="K30" i="49"/>
  <c r="C49" i="49" s="1"/>
  <c r="H40" i="33" s="1"/>
  <c r="L40" i="33" s="1"/>
  <c r="M40" i="33"/>
  <c r="K22" i="49"/>
  <c r="C41" i="49" s="1"/>
  <c r="H32" i="33" s="1"/>
  <c r="L32" i="33" s="1"/>
  <c r="M32" i="33"/>
  <c r="K28" i="49"/>
  <c r="C47" i="49" s="1"/>
  <c r="H38" i="33" s="1"/>
  <c r="L38" i="33" s="1"/>
  <c r="M38" i="33"/>
  <c r="K25" i="49"/>
  <c r="C44" i="49" s="1"/>
  <c r="H35" i="33" s="1"/>
  <c r="L35" i="33" s="1"/>
  <c r="M35" i="33"/>
  <c r="K29" i="49"/>
  <c r="C48" i="49" s="1"/>
  <c r="H39" i="33" s="1"/>
  <c r="L39" i="33" s="1"/>
  <c r="M39" i="33"/>
  <c r="K17" i="49"/>
  <c r="C36" i="49" s="1"/>
  <c r="H27" i="33" s="1"/>
  <c r="L27" i="33" s="1"/>
  <c r="M27" i="33"/>
  <c r="K19" i="49"/>
  <c r="C38" i="49" s="1"/>
  <c r="H29" i="33" s="1"/>
  <c r="L29" i="33" s="1"/>
  <c r="M29" i="33"/>
  <c r="K20" i="49"/>
  <c r="C39" i="49" s="1"/>
  <c r="H30" i="33" s="1"/>
  <c r="L30" i="33" s="1"/>
  <c r="M30" i="33"/>
  <c r="K23" i="49"/>
  <c r="C42" i="49" s="1"/>
  <c r="H33" i="33" s="1"/>
  <c r="L33" i="33" s="1"/>
  <c r="M33" i="33"/>
  <c r="K24" i="49"/>
  <c r="C43" i="49" s="1"/>
  <c r="H34" i="33" s="1"/>
  <c r="L34" i="33" s="1"/>
  <c r="M34" i="33"/>
  <c r="N25" i="33"/>
  <c r="AE122" i="49"/>
  <c r="AE132" i="49"/>
  <c r="AE92" i="49"/>
  <c r="AE101" i="49"/>
  <c r="AE108" i="49"/>
  <c r="AE149" i="49"/>
  <c r="AE239" i="49"/>
  <c r="AE145" i="49"/>
  <c r="AE37" i="49"/>
  <c r="AE9" i="49"/>
  <c r="AE111" i="49"/>
  <c r="AE117" i="49"/>
  <c r="AE226" i="49"/>
  <c r="AE21" i="49"/>
  <c r="AE188" i="49"/>
  <c r="AE218" i="49"/>
  <c r="AE31" i="49"/>
  <c r="AE173" i="49"/>
  <c r="AE73" i="49"/>
  <c r="AE224" i="49"/>
  <c r="AE221" i="49"/>
  <c r="AE47" i="49"/>
  <c r="AE52" i="49"/>
  <c r="AE113" i="49"/>
  <c r="AE100" i="49"/>
  <c r="AE28" i="49"/>
  <c r="AE249" i="49"/>
  <c r="AE225" i="49"/>
  <c r="AE245" i="49"/>
  <c r="AE160" i="49"/>
  <c r="AE248" i="49"/>
  <c r="AE254" i="49"/>
  <c r="AE143" i="49"/>
  <c r="AE175" i="49"/>
  <c r="AE156" i="49"/>
  <c r="AE58" i="49"/>
  <c r="AE187" i="49"/>
  <c r="AE155" i="49"/>
  <c r="AE22" i="49"/>
  <c r="AE181" i="49"/>
  <c r="AE24" i="49"/>
  <c r="AE136" i="49"/>
  <c r="AE106" i="49"/>
  <c r="AE154" i="49"/>
  <c r="AE98" i="49"/>
  <c r="AE165" i="49"/>
  <c r="AE99" i="49"/>
  <c r="AE125" i="49"/>
  <c r="AE42" i="49"/>
  <c r="AE172" i="49"/>
  <c r="AE27" i="49"/>
  <c r="AE85" i="49"/>
  <c r="AE157" i="49"/>
  <c r="AE57" i="49"/>
  <c r="AE177" i="49"/>
  <c r="AE46" i="49"/>
  <c r="AE70" i="49"/>
  <c r="AE170" i="49"/>
  <c r="AE148" i="49"/>
  <c r="AE193" i="49"/>
  <c r="AE81" i="49"/>
  <c r="AE217" i="49"/>
  <c r="AE164" i="49"/>
  <c r="AE135" i="49"/>
  <c r="AE153" i="49"/>
  <c r="AE50" i="49"/>
  <c r="AE147" i="49"/>
  <c r="AE251" i="49"/>
  <c r="AE78" i="49"/>
  <c r="AE182" i="49"/>
  <c r="AE169" i="49"/>
  <c r="AE191" i="49"/>
  <c r="AE66" i="49"/>
  <c r="AE137" i="49"/>
  <c r="AE55" i="49"/>
  <c r="AE116" i="49"/>
  <c r="AE230" i="49"/>
  <c r="AE17" i="49"/>
  <c r="AE44" i="49"/>
  <c r="AE38" i="49"/>
  <c r="AE23" i="49"/>
  <c r="AE43" i="49"/>
  <c r="AE204" i="49"/>
  <c r="AE68" i="49"/>
  <c r="AE253" i="49"/>
  <c r="AE183" i="49"/>
  <c r="AE14" i="49"/>
  <c r="AE13" i="49"/>
  <c r="AE128" i="49"/>
  <c r="AE20" i="49"/>
  <c r="AE231" i="49"/>
  <c r="AE219" i="49"/>
  <c r="AE139" i="49"/>
  <c r="AE123" i="49"/>
  <c r="AE211" i="49"/>
  <c r="AE19" i="49"/>
  <c r="AE25" i="49"/>
  <c r="AE129" i="49"/>
  <c r="AE124" i="49"/>
  <c r="AE138" i="49"/>
  <c r="AE195" i="49"/>
  <c r="AE134" i="49"/>
  <c r="AE213" i="49"/>
  <c r="AE33" i="49"/>
  <c r="AE94" i="49"/>
  <c r="AE56" i="49"/>
  <c r="AE10" i="49"/>
  <c r="AE220" i="49"/>
  <c r="AE131" i="49"/>
  <c r="AE8" i="49"/>
  <c r="AE197" i="49"/>
  <c r="AE120" i="49"/>
  <c r="AE205" i="49"/>
  <c r="AE215" i="49"/>
  <c r="AE79" i="49"/>
  <c r="AE18" i="49"/>
  <c r="AE144" i="49"/>
  <c r="AE216" i="49"/>
  <c r="AE247" i="49"/>
  <c r="AE71" i="49"/>
  <c r="AE171" i="49"/>
  <c r="AE222" i="49"/>
  <c r="AE96" i="49"/>
  <c r="AE243" i="49"/>
  <c r="AE64" i="49"/>
  <c r="AE82" i="49"/>
  <c r="AE87" i="49"/>
  <c r="AE12" i="49"/>
  <c r="AE39" i="49"/>
  <c r="AE174" i="49"/>
  <c r="AE32" i="49"/>
  <c r="AE88" i="49"/>
  <c r="AE234" i="49"/>
  <c r="AE90" i="49"/>
  <c r="AE36" i="49"/>
  <c r="AE255" i="49"/>
  <c r="AE109" i="49"/>
  <c r="AE246" i="49"/>
  <c r="AE89" i="49"/>
  <c r="AE40" i="49"/>
  <c r="AE45" i="49"/>
  <c r="AE207" i="49"/>
  <c r="AE166" i="49"/>
  <c r="AE140" i="49"/>
  <c r="AE252" i="49"/>
  <c r="AE126" i="49"/>
  <c r="AE107" i="49"/>
  <c r="AE112" i="49"/>
  <c r="AE212" i="49"/>
  <c r="AE114" i="49"/>
  <c r="AE150" i="49"/>
  <c r="AE130" i="49"/>
  <c r="AE41" i="49"/>
  <c r="AE76" i="49"/>
  <c r="AE163" i="49"/>
  <c r="AE62" i="49"/>
  <c r="AE209" i="49"/>
  <c r="AE232" i="49"/>
  <c r="AE15" i="49"/>
  <c r="AE133" i="49"/>
  <c r="AE16" i="49"/>
  <c r="AE77" i="49"/>
  <c r="AE185" i="49"/>
  <c r="AE161" i="49"/>
  <c r="AE26" i="49"/>
  <c r="AE199" i="49"/>
  <c r="AE206" i="49"/>
  <c r="AE202" i="49"/>
  <c r="AE152" i="49"/>
  <c r="AE72" i="49"/>
  <c r="AE118" i="49"/>
  <c r="AE250" i="49"/>
  <c r="AE54" i="49"/>
  <c r="AE151" i="49"/>
  <c r="AE142" i="49"/>
  <c r="AE208" i="49"/>
  <c r="AE240" i="49"/>
  <c r="AE176" i="49"/>
  <c r="AE236" i="49"/>
  <c r="AE48" i="49"/>
  <c r="AE198" i="49"/>
  <c r="AE227" i="49"/>
  <c r="AE5" i="49"/>
  <c r="AE75" i="49"/>
  <c r="AE121" i="49"/>
  <c r="AE74" i="49"/>
  <c r="AE65" i="49"/>
  <c r="AE127" i="49"/>
  <c r="AE210" i="49"/>
  <c r="AE146" i="49"/>
  <c r="AE95" i="49"/>
  <c r="AE35" i="49"/>
  <c r="AE4" i="49"/>
  <c r="AE93" i="49"/>
  <c r="AE178" i="49"/>
  <c r="AE168" i="49"/>
  <c r="AE3" i="49"/>
  <c r="AE105" i="49"/>
  <c r="AE53" i="49"/>
  <c r="AE229" i="49"/>
  <c r="AE257" i="49"/>
  <c r="AE51" i="49"/>
  <c r="AE69" i="49"/>
  <c r="AE223" i="49"/>
  <c r="AE158" i="49"/>
  <c r="AE104" i="49"/>
  <c r="AE49" i="49"/>
  <c r="AE6" i="49"/>
  <c r="AE228" i="49"/>
  <c r="AE190" i="49"/>
  <c r="AE84" i="49"/>
  <c r="AE184" i="49"/>
  <c r="AE180" i="49"/>
  <c r="AE203" i="49"/>
  <c r="AE141" i="49"/>
  <c r="AE91" i="49"/>
  <c r="AE83" i="49"/>
  <c r="AE192" i="49"/>
  <c r="AE167" i="49"/>
  <c r="AE256" i="49"/>
  <c r="AE201" i="49"/>
  <c r="AE237" i="49"/>
  <c r="AE30" i="49"/>
  <c r="AE86" i="49"/>
  <c r="AE194" i="49"/>
  <c r="AE60" i="49"/>
  <c r="AE189" i="49"/>
  <c r="AE162" i="49"/>
  <c r="AE110" i="49"/>
  <c r="AE119" i="49"/>
  <c r="AE238" i="49"/>
  <c r="AE63" i="49"/>
  <c r="AE61" i="49"/>
  <c r="AE59" i="49"/>
  <c r="AE242" i="49"/>
  <c r="AE244" i="49"/>
  <c r="AE241" i="49"/>
  <c r="AE97" i="49"/>
  <c r="AE200" i="49"/>
  <c r="AE186" i="49"/>
  <c r="AE34" i="49"/>
  <c r="AE103" i="49"/>
  <c r="AE11" i="49"/>
  <c r="AE196" i="49"/>
  <c r="AE115" i="49"/>
  <c r="AE214" i="49"/>
  <c r="AE67" i="49"/>
  <c r="AE159" i="49"/>
  <c r="AE29" i="49"/>
  <c r="AE80" i="49"/>
  <c r="AE102" i="49"/>
  <c r="AE179" i="49"/>
  <c r="AE235" i="49"/>
  <c r="AE7" i="49"/>
  <c r="AE233" i="49"/>
  <c r="S3" i="49" a="1"/>
  <c r="W9" i="43" a="1"/>
  <c r="W10" i="43" s="1"/>
  <c r="W9" i="43" l="1"/>
  <c r="O19" i="43" s="1"/>
  <c r="S4" i="49"/>
  <c r="S3" i="49"/>
  <c r="S5" i="49"/>
  <c r="AI65" i="43" l="1"/>
  <c r="AI15" i="43"/>
  <c r="AI30" i="43"/>
  <c r="AI60" i="43"/>
  <c r="O16" i="43"/>
  <c r="O15" i="43"/>
  <c r="AI16" i="43"/>
  <c r="AI52" i="43"/>
  <c r="AI23" i="43"/>
  <c r="AI31" i="43"/>
  <c r="AI38" i="43"/>
  <c r="AI35" i="43"/>
  <c r="AI28" i="43"/>
  <c r="AI43" i="43"/>
  <c r="AI22" i="43"/>
  <c r="AI19" i="43"/>
  <c r="AI53" i="43"/>
  <c r="AI56" i="43"/>
  <c r="AI42" i="43"/>
  <c r="AI46" i="43"/>
  <c r="AI50" i="43"/>
  <c r="AI11" i="43"/>
  <c r="AI54" i="43"/>
  <c r="AI10" i="43"/>
  <c r="AI40" i="43"/>
  <c r="AI34" i="43"/>
  <c r="AI12" i="43"/>
  <c r="AI8" i="43"/>
  <c r="AI51" i="43"/>
  <c r="AI4" i="43"/>
  <c r="AI59" i="43"/>
  <c r="AI3" i="43"/>
  <c r="AI44" i="43"/>
  <c r="AI32" i="43"/>
  <c r="AI21" i="43"/>
  <c r="AI33" i="43"/>
  <c r="AI37" i="43"/>
  <c r="AI14" i="43"/>
  <c r="AI5" i="43"/>
  <c r="AI13" i="43"/>
  <c r="AI20" i="43"/>
  <c r="AI6" i="43"/>
  <c r="O17" i="43"/>
  <c r="AI9" i="43"/>
  <c r="AI61" i="43"/>
  <c r="AI17" i="43"/>
  <c r="AI47" i="43"/>
  <c r="AI7" i="43"/>
  <c r="AI63" i="43"/>
  <c r="AI45" i="43"/>
  <c r="AI49" i="43"/>
  <c r="O18" i="43"/>
  <c r="O21" i="43"/>
  <c r="O20" i="43"/>
  <c r="AI18" i="43"/>
  <c r="AI39" i="43"/>
  <c r="AI57" i="43"/>
  <c r="AI55" i="43"/>
  <c r="AI36" i="43"/>
  <c r="AI48" i="43"/>
  <c r="AI64" i="43"/>
  <c r="AI62" i="43"/>
  <c r="AI26" i="43"/>
  <c r="AI41" i="43"/>
  <c r="AI29" i="43"/>
  <c r="AI58" i="43"/>
  <c r="AI24" i="43"/>
  <c r="AI27" i="43"/>
  <c r="AI25" i="43"/>
  <c r="L21" i="49"/>
  <c r="L24" i="49"/>
  <c r="AF216" i="49"/>
  <c r="AF108" i="49"/>
  <c r="AF148" i="49"/>
  <c r="AF219" i="49"/>
  <c r="AF202" i="49"/>
  <c r="AF34" i="49"/>
  <c r="AF58" i="49"/>
  <c r="AF96" i="49"/>
  <c r="AF205" i="49"/>
  <c r="AF60" i="49"/>
  <c r="AF12" i="49"/>
  <c r="AF26" i="49"/>
  <c r="AF126" i="49"/>
  <c r="AF27" i="49"/>
  <c r="AF95" i="49"/>
  <c r="AF169" i="49"/>
  <c r="AF5" i="49"/>
  <c r="AF252" i="49"/>
  <c r="AF156" i="49"/>
  <c r="AF90" i="49"/>
  <c r="AF63" i="49"/>
  <c r="AF242" i="49"/>
  <c r="AF250" i="49"/>
  <c r="AF86" i="49"/>
  <c r="AF88" i="49"/>
  <c r="AF44" i="49"/>
  <c r="AF136" i="49"/>
  <c r="AF36" i="49"/>
  <c r="AF87" i="49"/>
  <c r="AF147" i="49"/>
  <c r="AF84" i="49"/>
  <c r="AF53" i="49"/>
  <c r="L15" i="49"/>
  <c r="AF61" i="49"/>
  <c r="AF15" i="49"/>
  <c r="AF42" i="49"/>
  <c r="AF233" i="49"/>
  <c r="AF186" i="49"/>
  <c r="AF193" i="49"/>
  <c r="AF46" i="49"/>
  <c r="AF128" i="49"/>
  <c r="L28" i="49"/>
  <c r="AF139" i="49"/>
  <c r="AF168" i="49"/>
  <c r="AF173" i="49"/>
  <c r="AF163" i="49"/>
  <c r="AF246" i="49"/>
  <c r="AF195" i="49"/>
  <c r="AF112" i="49"/>
  <c r="AF32" i="49"/>
  <c r="AF176" i="49"/>
  <c r="AF62" i="49"/>
  <c r="AF122" i="49"/>
  <c r="AF180" i="49"/>
  <c r="AF194" i="49"/>
  <c r="AF150" i="49"/>
  <c r="L25" i="49"/>
  <c r="AF232" i="49"/>
  <c r="AF125" i="49"/>
  <c r="AF132" i="49"/>
  <c r="AF79" i="49"/>
  <c r="AF174" i="49"/>
  <c r="AF211" i="49"/>
  <c r="L26" i="49"/>
  <c r="L20" i="49"/>
  <c r="AF29" i="49"/>
  <c r="AF175" i="49"/>
  <c r="AF28" i="49"/>
  <c r="AF91" i="49"/>
  <c r="AF191" i="49"/>
  <c r="AF244" i="49"/>
  <c r="AF81" i="49"/>
  <c r="AF237" i="49"/>
  <c r="AF198" i="49"/>
  <c r="AF70" i="49"/>
  <c r="AF151" i="49"/>
  <c r="AF146" i="49"/>
  <c r="AF183" i="49"/>
  <c r="AF7" i="49"/>
  <c r="AF142" i="49"/>
  <c r="AF57" i="49"/>
  <c r="AF99" i="49"/>
  <c r="AF80" i="49"/>
  <c r="AF45" i="49"/>
  <c r="AF256" i="49"/>
  <c r="AF137" i="49"/>
  <c r="AF51" i="49"/>
  <c r="AF74" i="49"/>
  <c r="AF30" i="49"/>
  <c r="AF117" i="49"/>
  <c r="AF101" i="49"/>
  <c r="AF240" i="49"/>
  <c r="AF48" i="49"/>
  <c r="AF257" i="49"/>
  <c r="AF227" i="49"/>
  <c r="AF114" i="49"/>
  <c r="AF64" i="49"/>
  <c r="AF23" i="49"/>
  <c r="AF119" i="49"/>
  <c r="AF82" i="49"/>
  <c r="AF254" i="49"/>
  <c r="AF9" i="49"/>
  <c r="AF208" i="49"/>
  <c r="AF149" i="49"/>
  <c r="AF94" i="49"/>
  <c r="AF18" i="49"/>
  <c r="AF166" i="49"/>
  <c r="AF241" i="49"/>
  <c r="AF217" i="49"/>
  <c r="AF224" i="49"/>
  <c r="AF134" i="49"/>
  <c r="AF130" i="49"/>
  <c r="AF225" i="49"/>
  <c r="AF182" i="49"/>
  <c r="AF49" i="49"/>
  <c r="L27" i="49"/>
  <c r="AF54" i="49"/>
  <c r="AF179" i="49"/>
  <c r="AF25" i="49"/>
  <c r="AF207" i="49"/>
  <c r="AF106" i="49"/>
  <c r="AF229" i="49"/>
  <c r="AF210" i="49"/>
  <c r="AF43" i="49"/>
  <c r="AF107" i="49"/>
  <c r="AF172" i="49"/>
  <c r="AF68" i="49"/>
  <c r="AF113" i="49"/>
  <c r="AF120" i="49"/>
  <c r="AF124" i="49"/>
  <c r="AF65" i="49"/>
  <c r="AF145" i="49"/>
  <c r="AF162" i="49"/>
  <c r="L30" i="49"/>
  <c r="L17" i="49"/>
  <c r="AF221" i="49"/>
  <c r="AF144" i="49"/>
  <c r="AF55" i="49"/>
  <c r="AF197" i="49"/>
  <c r="AF4" i="49"/>
  <c r="AF123" i="49"/>
  <c r="AF220" i="49"/>
  <c r="AF200" i="49"/>
  <c r="AF153" i="49"/>
  <c r="AF67" i="49"/>
  <c r="AF127" i="49"/>
  <c r="AF155" i="49"/>
  <c r="AF189" i="49"/>
  <c r="AF230" i="49"/>
  <c r="AF104" i="49"/>
  <c r="AF212" i="49"/>
  <c r="AF78" i="49"/>
  <c r="AF203" i="49"/>
  <c r="AF192" i="49"/>
  <c r="AF167" i="49"/>
  <c r="AF223" i="49"/>
  <c r="AF69" i="49"/>
  <c r="AF190" i="49"/>
  <c r="AF21" i="49"/>
  <c r="AF22" i="49"/>
  <c r="AF141" i="49"/>
  <c r="AF178" i="49"/>
  <c r="AF158" i="49"/>
  <c r="AF171" i="49"/>
  <c r="AF38" i="49"/>
  <c r="AF93" i="49"/>
  <c r="AF245" i="49"/>
  <c r="AF10" i="49"/>
  <c r="AF255" i="49"/>
  <c r="AF165" i="49"/>
  <c r="AF77" i="49"/>
  <c r="AF206" i="49"/>
  <c r="AF31" i="49"/>
  <c r="AF66" i="49"/>
  <c r="AF41" i="49"/>
  <c r="AF37" i="49"/>
  <c r="AF222" i="49"/>
  <c r="AF75" i="49"/>
  <c r="AF184" i="49"/>
  <c r="AF116" i="49"/>
  <c r="AF47" i="49"/>
  <c r="AF238" i="49"/>
  <c r="AF98" i="49"/>
  <c r="AF3" i="49"/>
  <c r="AF105" i="49"/>
  <c r="AF138" i="49"/>
  <c r="AF35" i="49"/>
  <c r="AF157" i="49"/>
  <c r="AF76" i="49"/>
  <c r="L16" i="49"/>
  <c r="AF188" i="49"/>
  <c r="AF248" i="49"/>
  <c r="AF24" i="49"/>
  <c r="AF243" i="49"/>
  <c r="AF71" i="49"/>
  <c r="AF89" i="49"/>
  <c r="L19" i="49"/>
  <c r="AF16" i="49"/>
  <c r="AF213" i="49"/>
  <c r="AF204" i="49"/>
  <c r="L23" i="49"/>
  <c r="L22" i="49"/>
  <c r="AF140" i="49"/>
  <c r="AF181" i="49"/>
  <c r="AF236" i="49"/>
  <c r="AF50" i="49"/>
  <c r="AF133" i="49"/>
  <c r="AF56" i="49"/>
  <c r="AF247" i="49"/>
  <c r="AF196" i="49"/>
  <c r="AF109" i="49"/>
  <c r="AF164" i="49"/>
  <c r="AF100" i="49"/>
  <c r="AF199" i="49"/>
  <c r="AF239" i="49"/>
  <c r="AF39" i="49"/>
  <c r="AF249" i="49"/>
  <c r="AF160" i="49"/>
  <c r="AF228" i="49"/>
  <c r="AF118" i="49"/>
  <c r="L18" i="49"/>
  <c r="AF40" i="49"/>
  <c r="AF52" i="49"/>
  <c r="AF152" i="49"/>
  <c r="AF33" i="49"/>
  <c r="AF97" i="49"/>
  <c r="AF251" i="49"/>
  <c r="AF187" i="49"/>
  <c r="AF234" i="49"/>
  <c r="AF121" i="49"/>
  <c r="AF131" i="49"/>
  <c r="AF85" i="49"/>
  <c r="AF72" i="49"/>
  <c r="L29" i="49"/>
  <c r="AF92" i="49"/>
  <c r="AF102" i="49"/>
  <c r="AF159" i="49"/>
  <c r="AF161" i="49"/>
  <c r="AF231" i="49"/>
  <c r="AF129" i="49"/>
  <c r="AF135" i="49"/>
  <c r="AF218" i="49"/>
  <c r="AF8" i="49"/>
  <c r="AF11" i="49"/>
  <c r="AF226" i="49"/>
  <c r="AF14" i="49"/>
  <c r="AF17" i="49"/>
  <c r="AF201" i="49"/>
  <c r="AF170" i="49"/>
  <c r="AF111" i="49"/>
  <c r="AF154" i="49"/>
  <c r="AF185" i="49"/>
  <c r="AF215" i="49"/>
  <c r="AF110" i="49"/>
  <c r="AF103" i="49"/>
  <c r="AF235" i="49"/>
  <c r="AF253" i="49"/>
  <c r="AF209" i="49"/>
  <c r="AF73" i="49"/>
  <c r="AF20" i="49"/>
  <c r="AF143" i="49"/>
  <c r="AF13" i="49"/>
  <c r="AF115" i="49"/>
  <c r="AF214" i="49"/>
  <c r="AF59" i="49"/>
  <c r="AF19" i="49"/>
  <c r="AF83" i="49"/>
  <c r="AF6" i="49"/>
  <c r="AF177" i="49"/>
  <c r="N2" i="33"/>
  <c r="N41" i="33"/>
  <c r="N8" i="33"/>
  <c r="N1" i="40"/>
  <c r="N18" i="40"/>
  <c r="L3" i="40"/>
  <c r="N19" i="40"/>
  <c r="N16" i="40"/>
  <c r="N21" i="40"/>
  <c r="N11" i="40"/>
  <c r="N9" i="40"/>
  <c r="N12" i="40"/>
  <c r="N7" i="40"/>
  <c r="N17" i="40"/>
  <c r="N8" i="40"/>
  <c r="N10" i="40"/>
  <c r="N4" i="40"/>
  <c r="N20" i="40"/>
  <c r="N14" i="40"/>
  <c r="N5" i="40"/>
  <c r="N22" i="40"/>
  <c r="N13" i="40"/>
  <c r="N15" i="40"/>
  <c r="N6" i="40"/>
  <c r="J4" i="39"/>
  <c r="AC58" i="40"/>
  <c r="AC194" i="40"/>
  <c r="AC47" i="40"/>
  <c r="AC72" i="40"/>
  <c r="AC18" i="40"/>
  <c r="AC184" i="40"/>
  <c r="AC140" i="40"/>
  <c r="AC164" i="40"/>
  <c r="AC174" i="40"/>
  <c r="AC23" i="40"/>
  <c r="AC60" i="40"/>
  <c r="AC99" i="40"/>
  <c r="AC85" i="40"/>
  <c r="AC179" i="40"/>
  <c r="AC196" i="40"/>
  <c r="AC210" i="40"/>
  <c r="AC115" i="40"/>
  <c r="AC102" i="40"/>
  <c r="AC20" i="40"/>
  <c r="AC16" i="40"/>
  <c r="AC120" i="40"/>
  <c r="AC138" i="40"/>
  <c r="AC208" i="40"/>
  <c r="AC109" i="40"/>
  <c r="AC168" i="40"/>
  <c r="AC123" i="40"/>
  <c r="AC55" i="40"/>
  <c r="AC211" i="40"/>
  <c r="AC65" i="40"/>
  <c r="AC64" i="40"/>
  <c r="AC238" i="40"/>
  <c r="AC53" i="40"/>
  <c r="AC52" i="40"/>
  <c r="AC227" i="40"/>
  <c r="AC245" i="40"/>
  <c r="AC121" i="40"/>
  <c r="AC9" i="40"/>
  <c r="AC11" i="40"/>
  <c r="AC225" i="40"/>
  <c r="AC165" i="40"/>
  <c r="AC95" i="40"/>
  <c r="AC232" i="40"/>
  <c r="AC253" i="40"/>
  <c r="AC173" i="40"/>
  <c r="AC31" i="40"/>
  <c r="AC250" i="40"/>
  <c r="AC119" i="40"/>
  <c r="AC69" i="40"/>
  <c r="AC134" i="40"/>
  <c r="AC19" i="40"/>
  <c r="AC202" i="40"/>
  <c r="AC79" i="40"/>
  <c r="AC70" i="40"/>
  <c r="AC82" i="40"/>
  <c r="AC239" i="40"/>
  <c r="AC27" i="40"/>
  <c r="AC40" i="40"/>
  <c r="AC224" i="40"/>
  <c r="AC112" i="40"/>
  <c r="AC76" i="40"/>
  <c r="AC228" i="40"/>
  <c r="AC73" i="40"/>
  <c r="AC216" i="40"/>
  <c r="AC233" i="40"/>
  <c r="AC24" i="40"/>
  <c r="AC240" i="40"/>
  <c r="AC32" i="40"/>
  <c r="AC43" i="40"/>
  <c r="AC218" i="40"/>
  <c r="AC247" i="40"/>
  <c r="AC75" i="40"/>
  <c r="AC136" i="40"/>
  <c r="AC246" i="40"/>
  <c r="AC261" i="40"/>
  <c r="AC7" i="40"/>
  <c r="AC63" i="40"/>
  <c r="AC91" i="40"/>
  <c r="AC81" i="40"/>
  <c r="AC223" i="40"/>
  <c r="AC214" i="40"/>
  <c r="AC229" i="40"/>
  <c r="AC241" i="40"/>
  <c r="AC257" i="40"/>
  <c r="AC162" i="40"/>
  <c r="AC42" i="40"/>
  <c r="AC220" i="40"/>
  <c r="AC197" i="40"/>
  <c r="AC113" i="40"/>
  <c r="AC34" i="40"/>
  <c r="AC44" i="40"/>
  <c r="AC10" i="40"/>
  <c r="AC254" i="40"/>
  <c r="AC262" i="40"/>
  <c r="AC128" i="40"/>
  <c r="AC147" i="40"/>
  <c r="AC185" i="40"/>
  <c r="AC38" i="40"/>
  <c r="AC192" i="40"/>
  <c r="AC6" i="40"/>
  <c r="AC96" i="40"/>
  <c r="AC167" i="40"/>
  <c r="AC243" i="40"/>
  <c r="AC56" i="40"/>
  <c r="AC158" i="40"/>
  <c r="AC226" i="40"/>
  <c r="AC186" i="40"/>
  <c r="AC41" i="40"/>
  <c r="AC87" i="40"/>
  <c r="AC57" i="40"/>
  <c r="AC35" i="40"/>
  <c r="AC159" i="40"/>
  <c r="AC131" i="40"/>
  <c r="AC12" i="40"/>
  <c r="AC118" i="40"/>
  <c r="AC176" i="40"/>
  <c r="AC258" i="40"/>
  <c r="AC103" i="40"/>
  <c r="AC230" i="40"/>
  <c r="AC166" i="40"/>
  <c r="AC3" i="40"/>
  <c r="AC259" i="40"/>
  <c r="AC13" i="40"/>
  <c r="AC244" i="40"/>
  <c r="AC36" i="40"/>
  <c r="AC146" i="40"/>
  <c r="AC26" i="40"/>
  <c r="AC107" i="40"/>
  <c r="AC195" i="40"/>
  <c r="AC132" i="40"/>
  <c r="AC201" i="40"/>
  <c r="AC153" i="40"/>
  <c r="AC59" i="40"/>
  <c r="AC205" i="40"/>
  <c r="AC48" i="40"/>
  <c r="AC122" i="40"/>
  <c r="AC66" i="40"/>
  <c r="AC77" i="40"/>
  <c r="AC234" i="40"/>
  <c r="AC8" i="40"/>
  <c r="AC215" i="40"/>
  <c r="AC148" i="40"/>
  <c r="AC97" i="40"/>
  <c r="AC169" i="40"/>
  <c r="AC46" i="40"/>
  <c r="AC51" i="40"/>
  <c r="AC260" i="40"/>
  <c r="AC236" i="40"/>
  <c r="AC217" i="40"/>
  <c r="AC114" i="40"/>
  <c r="AC237" i="40"/>
  <c r="AC193" i="40"/>
  <c r="AC125" i="40"/>
  <c r="AC93" i="40"/>
  <c r="AC187" i="40"/>
  <c r="AC171" i="40"/>
  <c r="AC29" i="40"/>
  <c r="AC15" i="40"/>
  <c r="AC152" i="40"/>
  <c r="AC175" i="40"/>
  <c r="AC90" i="40"/>
  <c r="AC98" i="40"/>
  <c r="AC149" i="40"/>
  <c r="AC105" i="40"/>
  <c r="AC156" i="40"/>
  <c r="AC4" i="40"/>
  <c r="AC67" i="40"/>
  <c r="AC5" i="40"/>
  <c r="AC170" i="40"/>
  <c r="AC203" i="40"/>
  <c r="AC108" i="40"/>
  <c r="AC68" i="40"/>
  <c r="AC145" i="40"/>
  <c r="AC178" i="40"/>
  <c r="AC219" i="40"/>
  <c r="AC160" i="40"/>
  <c r="AC94" i="40"/>
  <c r="AC181" i="40"/>
  <c r="AC71" i="40"/>
  <c r="AC106" i="40"/>
  <c r="AC255" i="40"/>
  <c r="AC161" i="40"/>
  <c r="AC155" i="40"/>
  <c r="AC251" i="40"/>
  <c r="AC86" i="40"/>
  <c r="AC117" i="40"/>
  <c r="AC231" i="40"/>
  <c r="AC89" i="40"/>
  <c r="AC143" i="40"/>
  <c r="AC30" i="40"/>
  <c r="AC137" i="40"/>
  <c r="AC129" i="40"/>
  <c r="AC28" i="40"/>
  <c r="AC182" i="40"/>
  <c r="AC25" i="40"/>
  <c r="AC37" i="40"/>
  <c r="AC206" i="40"/>
  <c r="AC111" i="40"/>
  <c r="AC14" i="40"/>
  <c r="AC249" i="40"/>
  <c r="AC21" i="40"/>
  <c r="AC151" i="40"/>
  <c r="AC110" i="40"/>
  <c r="AC256" i="40"/>
  <c r="AC221" i="40"/>
  <c r="AC209" i="40"/>
  <c r="AC88" i="40"/>
  <c r="AC222" i="40"/>
  <c r="AC127" i="40"/>
  <c r="AC142" i="40"/>
  <c r="AC204" i="40"/>
  <c r="AC199" i="40"/>
  <c r="AC188" i="40"/>
  <c r="AC139" i="40"/>
  <c r="AC144" i="40"/>
  <c r="AC213" i="40"/>
  <c r="AC45" i="40"/>
  <c r="AC104" i="40"/>
  <c r="AC177" i="40"/>
  <c r="AC80" i="40"/>
  <c r="AC78" i="40"/>
  <c r="AC252" i="40"/>
  <c r="AC54" i="40"/>
  <c r="AC191" i="40"/>
  <c r="AC248" i="40"/>
  <c r="AC62" i="40"/>
  <c r="AC150" i="40"/>
  <c r="AC242" i="40"/>
  <c r="AC33" i="40"/>
  <c r="AC84" i="40"/>
  <c r="AC133" i="40"/>
  <c r="AC92" i="40"/>
  <c r="AC61" i="40"/>
  <c r="AC207" i="40"/>
  <c r="AC141" i="40"/>
  <c r="AC126" i="40"/>
  <c r="AC74" i="40"/>
  <c r="AC22" i="40"/>
  <c r="AC235" i="40"/>
  <c r="AC17" i="40"/>
  <c r="AC212" i="40"/>
  <c r="AC154" i="40"/>
  <c r="AC172" i="40"/>
  <c r="AC100" i="40"/>
  <c r="AC163" i="40"/>
  <c r="AC101" i="40"/>
  <c r="AC50" i="40"/>
  <c r="AC39" i="40"/>
  <c r="AC157" i="40"/>
  <c r="AC200" i="40"/>
  <c r="AC83" i="40"/>
  <c r="AC183" i="40"/>
  <c r="AC49" i="40"/>
  <c r="AC180" i="40"/>
  <c r="AC198" i="40"/>
  <c r="AC189" i="40"/>
  <c r="AC135" i="40"/>
  <c r="AC130" i="40"/>
  <c r="AC124" i="40"/>
  <c r="AC116" i="40"/>
  <c r="AC190" i="40"/>
  <c r="J5" i="39"/>
  <c r="J6" i="39"/>
  <c r="J7" i="39"/>
  <c r="N3" i="40"/>
  <c r="AA13" i="39" a="1"/>
  <c r="AA9" i="39" a="1"/>
  <c r="AA3" i="39" a="1"/>
  <c r="H3" i="40" l="1"/>
  <c r="P3" i="40" s="1"/>
  <c r="W3" i="40" s="1"/>
  <c r="AA4" i="39"/>
  <c r="AA5" i="39"/>
  <c r="AA3" i="39"/>
  <c r="AA10" i="39"/>
  <c r="AA9" i="39"/>
  <c r="Y9" i="39" s="1" a="1"/>
  <c r="AA13" i="39"/>
  <c r="Y13" i="39" s="1"/>
  <c r="AG190" i="40"/>
  <c r="AG116" i="40"/>
  <c r="AG124" i="40"/>
  <c r="AG130" i="40"/>
  <c r="AG135" i="40"/>
  <c r="AG189" i="40"/>
  <c r="AG198" i="40"/>
  <c r="AG180" i="40"/>
  <c r="AG49" i="40"/>
  <c r="AG183" i="40"/>
  <c r="AG83" i="40"/>
  <c r="AG200" i="40"/>
  <c r="AG157" i="40"/>
  <c r="AG39" i="40"/>
  <c r="AG50" i="40"/>
  <c r="AG101" i="40"/>
  <c r="AG163" i="40"/>
  <c r="AG100" i="40"/>
  <c r="AG172" i="40"/>
  <c r="AG154" i="40"/>
  <c r="AG212" i="40"/>
  <c r="AG17" i="40"/>
  <c r="AG235" i="40"/>
  <c r="AG22" i="40"/>
  <c r="AG74" i="40"/>
  <c r="AG126" i="40"/>
  <c r="AG141" i="40"/>
  <c r="AG207" i="40"/>
  <c r="AG61" i="40"/>
  <c r="AG92" i="40"/>
  <c r="AG133" i="40"/>
  <c r="AG84" i="40"/>
  <c r="AG33" i="40"/>
  <c r="AG242" i="40"/>
  <c r="AG150" i="40"/>
  <c r="AG62" i="40"/>
  <c r="AG248" i="40"/>
  <c r="AG191" i="40"/>
  <c r="AG54" i="40"/>
  <c r="AG252" i="40"/>
  <c r="AG78" i="40"/>
  <c r="AG80" i="40"/>
  <c r="AG177" i="40"/>
  <c r="AG104" i="40"/>
  <c r="AG45" i="40"/>
  <c r="AG213" i="40"/>
  <c r="AG144" i="40"/>
  <c r="AG139" i="40"/>
  <c r="AG188" i="40"/>
  <c r="AG199" i="40"/>
  <c r="AG204" i="40"/>
  <c r="AG142" i="40"/>
  <c r="AG127" i="40"/>
  <c r="AG222" i="40"/>
  <c r="AG88" i="40"/>
  <c r="AG209" i="40"/>
  <c r="AG221" i="40"/>
  <c r="AG256" i="40"/>
  <c r="AG110" i="40"/>
  <c r="AG151" i="40"/>
  <c r="AG21" i="40"/>
  <c r="AG249" i="40"/>
  <c r="AG14" i="40"/>
  <c r="AG111" i="40"/>
  <c r="AG206" i="40"/>
  <c r="AG37" i="40"/>
  <c r="AG25" i="40"/>
  <c r="AG182" i="40"/>
  <c r="AG28" i="40"/>
  <c r="AG129" i="40"/>
  <c r="AG137" i="40"/>
  <c r="AG30" i="40"/>
  <c r="AG143" i="40"/>
  <c r="AG89" i="40"/>
  <c r="AG231" i="40"/>
  <c r="AG117" i="40"/>
  <c r="AG86" i="40"/>
  <c r="AG251" i="40"/>
  <c r="AG155" i="40"/>
  <c r="AG161" i="40"/>
  <c r="AG255" i="40"/>
  <c r="AG106" i="40"/>
  <c r="AG71" i="40"/>
  <c r="AG181" i="40"/>
  <c r="AG94" i="40"/>
  <c r="AG160" i="40"/>
  <c r="AG219" i="40"/>
  <c r="AG178" i="40"/>
  <c r="AG145" i="40"/>
  <c r="AG68" i="40"/>
  <c r="AG108" i="40"/>
  <c r="AG203" i="40"/>
  <c r="AG170" i="40"/>
  <c r="AG5" i="40"/>
  <c r="AG67" i="40"/>
  <c r="AG4" i="40"/>
  <c r="AG156" i="40"/>
  <c r="AG105" i="40"/>
  <c r="AG149" i="40"/>
  <c r="AG98" i="40"/>
  <c r="AG90" i="40"/>
  <c r="AG175" i="40"/>
  <c r="AG152" i="40"/>
  <c r="AG15" i="40"/>
  <c r="AG29" i="40"/>
  <c r="AG171" i="40"/>
  <c r="AG187" i="40"/>
  <c r="AG93" i="40"/>
  <c r="AG125" i="40"/>
  <c r="AG193" i="40"/>
  <c r="AG237" i="40"/>
  <c r="AG114" i="40"/>
  <c r="AG217" i="40"/>
  <c r="AG236" i="40"/>
  <c r="AG260" i="40"/>
  <c r="AG51" i="40"/>
  <c r="AG46" i="40"/>
  <c r="AG169" i="40"/>
  <c r="AG97" i="40"/>
  <c r="AG148" i="40"/>
  <c r="AG215" i="40"/>
  <c r="AG8" i="40"/>
  <c r="AG234" i="40"/>
  <c r="AG77" i="40"/>
  <c r="AG66" i="40"/>
  <c r="AG122" i="40"/>
  <c r="AG48" i="40"/>
  <c r="AG205" i="40"/>
  <c r="AG59" i="40"/>
  <c r="AG153" i="40"/>
  <c r="AG201" i="40"/>
  <c r="AG132" i="40"/>
  <c r="AG195" i="40"/>
  <c r="AG107" i="40"/>
  <c r="AG26" i="40"/>
  <c r="AG146" i="40"/>
  <c r="AG36" i="40"/>
  <c r="AG244" i="40"/>
  <c r="AG13" i="40"/>
  <c r="AG259" i="40"/>
  <c r="AG3" i="40"/>
  <c r="AG166" i="40"/>
  <c r="AG230" i="40"/>
  <c r="AG103" i="40"/>
  <c r="AG258" i="40"/>
  <c r="AG176" i="40"/>
  <c r="AG118" i="40"/>
  <c r="AG12" i="40"/>
  <c r="AG131" i="40"/>
  <c r="AG159" i="40"/>
  <c r="AG35" i="40"/>
  <c r="AG57" i="40"/>
  <c r="AG87" i="40"/>
  <c r="AG41" i="40"/>
  <c r="AG186" i="40"/>
  <c r="AG226" i="40"/>
  <c r="AG158" i="40"/>
  <c r="AG56" i="40"/>
  <c r="AG243" i="40"/>
  <c r="AG167" i="40"/>
  <c r="AG96" i="40"/>
  <c r="AG6" i="40"/>
  <c r="AG192" i="40"/>
  <c r="AG38" i="40"/>
  <c r="AG185" i="40"/>
  <c r="AG147" i="40"/>
  <c r="AG128" i="40"/>
  <c r="AG262" i="40"/>
  <c r="AG254" i="40"/>
  <c r="AG10" i="40"/>
  <c r="AG44" i="40"/>
  <c r="AG34" i="40"/>
  <c r="AG113" i="40"/>
  <c r="AG197" i="40"/>
  <c r="AG220" i="40"/>
  <c r="AG42" i="40"/>
  <c r="AG162" i="40"/>
  <c r="AG257" i="40"/>
  <c r="AG241" i="40"/>
  <c r="AG229" i="40"/>
  <c r="AG214" i="40"/>
  <c r="AG223" i="40"/>
  <c r="AG81" i="40"/>
  <c r="AG91" i="40"/>
  <c r="AG63" i="40"/>
  <c r="AG7" i="40"/>
  <c r="AG261" i="40"/>
  <c r="AG246" i="40"/>
  <c r="AG136" i="40"/>
  <c r="AG75" i="40"/>
  <c r="AG247" i="40"/>
  <c r="AG218" i="40"/>
  <c r="AG43" i="40"/>
  <c r="AG32" i="40"/>
  <c r="AG240" i="40"/>
  <c r="AG24" i="40"/>
  <c r="AG233" i="40"/>
  <c r="AG216" i="40"/>
  <c r="AG73" i="40"/>
  <c r="AG228" i="40"/>
  <c r="AG76" i="40"/>
  <c r="AG112" i="40"/>
  <c r="AG224" i="40"/>
  <c r="AG40" i="40"/>
  <c r="AG27" i="40"/>
  <c r="AG239" i="40"/>
  <c r="AG82" i="40"/>
  <c r="AG70" i="40"/>
  <c r="AG79" i="40"/>
  <c r="AG202" i="40"/>
  <c r="AG19" i="40"/>
  <c r="AG134" i="40"/>
  <c r="AG69" i="40"/>
  <c r="AG119" i="40"/>
  <c r="AG250" i="40"/>
  <c r="AG31" i="40"/>
  <c r="AG173" i="40"/>
  <c r="AG253" i="40"/>
  <c r="AG232" i="40"/>
  <c r="AG95" i="40"/>
  <c r="AG165" i="40"/>
  <c r="AG225" i="40"/>
  <c r="AG11" i="40"/>
  <c r="AG9" i="40"/>
  <c r="AG121" i="40"/>
  <c r="AG245" i="40"/>
  <c r="AG227" i="40"/>
  <c r="AG52" i="40"/>
  <c r="AG53" i="40"/>
  <c r="AG238" i="40"/>
  <c r="AG64" i="40"/>
  <c r="AG65" i="40"/>
  <c r="AG211" i="40"/>
  <c r="AG55" i="40"/>
  <c r="AG123" i="40"/>
  <c r="AG168" i="40"/>
  <c r="AG109" i="40"/>
  <c r="AG208" i="40"/>
  <c r="AG138" i="40"/>
  <c r="AG120" i="40"/>
  <c r="AG16" i="40"/>
  <c r="AG20" i="40"/>
  <c r="AG102" i="40"/>
  <c r="AG115" i="40"/>
  <c r="AG210" i="40"/>
  <c r="AG196" i="40"/>
  <c r="AG179" i="40"/>
  <c r="AG85" i="40"/>
  <c r="AG99" i="40"/>
  <c r="AG60" i="40"/>
  <c r="AG23" i="40"/>
  <c r="AG174" i="40"/>
  <c r="AG164" i="40"/>
  <c r="AG140" i="40"/>
  <c r="AG184" i="40"/>
  <c r="AG18" i="40"/>
  <c r="AG72" i="40"/>
  <c r="AG47" i="40"/>
  <c r="AG194" i="40"/>
  <c r="AG58" i="40"/>
  <c r="O6" i="40"/>
  <c r="O15" i="40"/>
  <c r="O13" i="40"/>
  <c r="O22" i="40"/>
  <c r="O5" i="40"/>
  <c r="O14" i="40"/>
  <c r="O20" i="40"/>
  <c r="O4" i="40"/>
  <c r="O10" i="40"/>
  <c r="O8" i="40"/>
  <c r="O17" i="40"/>
  <c r="O7" i="40"/>
  <c r="O12" i="40"/>
  <c r="O9" i="40"/>
  <c r="O11" i="40"/>
  <c r="O21" i="40"/>
  <c r="O16" i="40"/>
  <c r="O19" i="40"/>
  <c r="O3" i="40"/>
  <c r="O18" i="40"/>
  <c r="T3" i="40" l="1"/>
  <c r="Y9" i="39"/>
  <c r="O11" i="39" s="1"/>
  <c r="Y10" i="39"/>
  <c r="AJ55" i="39"/>
  <c r="AJ96" i="39"/>
  <c r="AJ106" i="39"/>
  <c r="AJ68" i="39"/>
  <c r="AJ38" i="39"/>
  <c r="AJ105" i="39"/>
  <c r="AJ98" i="39"/>
  <c r="AJ33" i="39"/>
  <c r="AJ91" i="39"/>
  <c r="AJ9" i="39"/>
  <c r="AJ51" i="39"/>
  <c r="AJ93" i="39"/>
  <c r="AJ70" i="39"/>
  <c r="AJ87" i="39"/>
  <c r="AJ109" i="39"/>
  <c r="AJ37" i="39"/>
  <c r="AJ101" i="39"/>
  <c r="AJ127" i="39"/>
  <c r="AJ10" i="39"/>
  <c r="AJ61" i="39"/>
  <c r="AJ34" i="39"/>
  <c r="AJ131" i="39"/>
  <c r="AJ41" i="39"/>
  <c r="AJ123" i="39"/>
  <c r="AJ48" i="39"/>
  <c r="AJ97" i="39"/>
  <c r="AJ72" i="39"/>
  <c r="AJ99" i="39"/>
  <c r="AJ56" i="39"/>
  <c r="AJ28" i="39"/>
  <c r="AJ7" i="39"/>
  <c r="AJ31" i="39"/>
  <c r="AJ13" i="39"/>
  <c r="AJ65" i="39"/>
  <c r="N12" i="39"/>
  <c r="AJ60" i="39"/>
  <c r="AJ78" i="39"/>
  <c r="AJ112" i="39"/>
  <c r="AJ95" i="39"/>
  <c r="AJ8" i="39"/>
  <c r="AJ80" i="39"/>
  <c r="AJ52" i="39"/>
  <c r="AJ45" i="39"/>
  <c r="AJ53" i="39"/>
  <c r="AJ82" i="39"/>
  <c r="AJ115" i="39"/>
  <c r="AJ102" i="39"/>
  <c r="AJ15" i="39"/>
  <c r="AJ44" i="39"/>
  <c r="AJ6" i="39"/>
  <c r="AJ120" i="39"/>
  <c r="AJ39" i="39"/>
  <c r="AJ11" i="39"/>
  <c r="AJ121" i="39"/>
  <c r="AJ57" i="39"/>
  <c r="AJ14" i="39"/>
  <c r="AJ40" i="39"/>
  <c r="AJ125" i="39"/>
  <c r="AJ3" i="39"/>
  <c r="AJ103" i="39"/>
  <c r="AJ49" i="39"/>
  <c r="AJ43" i="39"/>
  <c r="AJ21" i="39"/>
  <c r="AJ100" i="39"/>
  <c r="AJ104" i="39"/>
  <c r="AJ124" i="39"/>
  <c r="AJ50" i="39"/>
  <c r="AJ117" i="39"/>
  <c r="AJ119" i="39"/>
  <c r="AJ59" i="39"/>
  <c r="AJ16" i="39"/>
  <c r="AJ85" i="39"/>
  <c r="AJ111" i="39"/>
  <c r="AJ83" i="39"/>
  <c r="AJ22" i="39"/>
  <c r="AJ113" i="39"/>
  <c r="AJ54" i="39"/>
  <c r="AJ77" i="39"/>
  <c r="AJ66" i="39"/>
  <c r="AJ74" i="39"/>
  <c r="AJ118" i="39"/>
  <c r="AJ110" i="39"/>
  <c r="AJ107" i="39"/>
  <c r="AJ62" i="39"/>
  <c r="AJ129" i="39"/>
  <c r="AJ84" i="39"/>
  <c r="AJ26" i="39"/>
  <c r="AJ122" i="39"/>
  <c r="AJ69" i="39"/>
  <c r="AJ47" i="39"/>
  <c r="AJ12" i="39"/>
  <c r="AJ35" i="39"/>
  <c r="AJ36" i="39"/>
  <c r="AJ89" i="39"/>
  <c r="AJ42" i="39"/>
  <c r="AJ23" i="39"/>
  <c r="AJ81" i="39"/>
  <c r="AJ67" i="39"/>
  <c r="AJ90" i="39"/>
  <c r="AJ17" i="39"/>
  <c r="AJ126" i="39"/>
  <c r="AJ29" i="39"/>
  <c r="AJ88" i="39"/>
  <c r="AJ130" i="39"/>
  <c r="AJ86" i="39"/>
  <c r="AJ73" i="39"/>
  <c r="AJ71" i="39"/>
  <c r="AJ30" i="39"/>
  <c r="AJ94" i="39"/>
  <c r="AJ19" i="39"/>
  <c r="AJ27" i="39"/>
  <c r="AJ75" i="39"/>
  <c r="AJ132" i="39"/>
  <c r="AJ46" i="39"/>
  <c r="AJ64" i="39"/>
  <c r="AJ114" i="39"/>
  <c r="AJ79" i="39"/>
  <c r="AJ18" i="39"/>
  <c r="AJ32" i="39"/>
  <c r="AJ4" i="39"/>
  <c r="AJ25" i="39"/>
  <c r="AJ5" i="39"/>
  <c r="AJ24" i="39"/>
  <c r="AJ116" i="39"/>
  <c r="AJ108" i="39"/>
  <c r="AJ20" i="39"/>
  <c r="AJ76" i="39"/>
  <c r="AJ63" i="39"/>
  <c r="AJ58" i="39"/>
  <c r="AJ128" i="39"/>
  <c r="AJ92" i="39"/>
  <c r="N20" i="39" l="1"/>
  <c r="N19" i="39"/>
  <c r="N18" i="39"/>
  <c r="N24" i="39"/>
  <c r="N15" i="39"/>
  <c r="N16" i="39"/>
  <c r="N17" i="39"/>
  <c r="N23" i="39"/>
  <c r="N21" i="39"/>
  <c r="N22" i="39"/>
  <c r="AK107" i="39"/>
  <c r="AK45" i="39"/>
  <c r="AK108" i="39"/>
  <c r="AK132" i="39"/>
  <c r="AK31" i="39"/>
  <c r="AK106" i="39"/>
  <c r="AK43" i="39"/>
  <c r="AK117" i="39"/>
  <c r="AK54" i="39"/>
  <c r="AK39" i="39"/>
  <c r="AK28" i="39"/>
  <c r="AK103" i="39"/>
  <c r="AK55" i="39"/>
  <c r="AK61" i="39"/>
  <c r="AK86" i="39"/>
  <c r="AK34" i="39"/>
  <c r="AK76" i="39"/>
  <c r="AK35" i="39"/>
  <c r="AK6" i="39"/>
  <c r="AK72" i="39"/>
  <c r="AK16" i="39"/>
  <c r="AK21" i="39"/>
  <c r="AK64" i="39"/>
  <c r="AK4" i="39"/>
  <c r="AK30" i="39"/>
  <c r="AK83" i="39"/>
  <c r="AK113" i="39"/>
  <c r="AK81" i="39"/>
  <c r="AK82" i="39"/>
  <c r="AK125" i="39"/>
  <c r="AK23" i="39"/>
  <c r="AK80" i="39"/>
  <c r="AK131" i="39"/>
  <c r="AK65" i="39"/>
  <c r="AK19" i="39"/>
  <c r="AK22" i="39"/>
  <c r="AK87" i="39"/>
  <c r="AK44" i="39"/>
  <c r="AK46" i="39"/>
  <c r="AK109" i="39"/>
  <c r="AK10" i="39"/>
  <c r="AK75" i="39"/>
  <c r="AK127" i="39"/>
  <c r="AK26" i="39"/>
  <c r="AK7" i="39"/>
  <c r="AK77" i="39"/>
  <c r="AK41" i="39"/>
  <c r="AK25" i="39"/>
  <c r="AK124" i="39"/>
  <c r="AK93" i="39"/>
  <c r="AK63" i="39"/>
  <c r="AK100" i="39"/>
  <c r="AK24" i="39"/>
  <c r="AK13" i="39"/>
  <c r="AK102" i="39"/>
  <c r="O12" i="39"/>
  <c r="AK33" i="39"/>
  <c r="AK73" i="39"/>
  <c r="AK52" i="39"/>
  <c r="AK11" i="39"/>
  <c r="AK99" i="39"/>
  <c r="AK20" i="39"/>
  <c r="AK97" i="39"/>
  <c r="AK70" i="39"/>
  <c r="AK94" i="39"/>
  <c r="AK123" i="39"/>
  <c r="AK32" i="39"/>
  <c r="AK38" i="39"/>
  <c r="AK15" i="39"/>
  <c r="AK119" i="39"/>
  <c r="AK89" i="39"/>
  <c r="AK78" i="39"/>
  <c r="AK95" i="39"/>
  <c r="AK114" i="39"/>
  <c r="AK110" i="39"/>
  <c r="AK84" i="39"/>
  <c r="AK128" i="39"/>
  <c r="AK92" i="39"/>
  <c r="AK116" i="39"/>
  <c r="AK130" i="39"/>
  <c r="AK47" i="39"/>
  <c r="AK9" i="39"/>
  <c r="AK112" i="39"/>
  <c r="AK91" i="39"/>
  <c r="AK3" i="39"/>
  <c r="AK48" i="39"/>
  <c r="AK12" i="39"/>
  <c r="AK40" i="39"/>
  <c r="AK120" i="39"/>
  <c r="AK115" i="39"/>
  <c r="AK69" i="39"/>
  <c r="AK111" i="39"/>
  <c r="AK104" i="39"/>
  <c r="AK85" i="39"/>
  <c r="AK36" i="39"/>
  <c r="AK53" i="39"/>
  <c r="AK14" i="39"/>
  <c r="AK42" i="39"/>
  <c r="AK71" i="39"/>
  <c r="AK58" i="39"/>
  <c r="AK66" i="39"/>
  <c r="AK126" i="39"/>
  <c r="AK79" i="39"/>
  <c r="AK98" i="39"/>
  <c r="AK121" i="39"/>
  <c r="AK60" i="39"/>
  <c r="AK62" i="39"/>
  <c r="AK88" i="39"/>
  <c r="AK57" i="39"/>
  <c r="AK122" i="39"/>
  <c r="AK8" i="39"/>
  <c r="AK18" i="39"/>
  <c r="AK67" i="39"/>
  <c r="AK51" i="39"/>
  <c r="AK17" i="39"/>
  <c r="AK56" i="39"/>
  <c r="AK59" i="39"/>
  <c r="AK96" i="39"/>
  <c r="AK5" i="39"/>
  <c r="AK105" i="39"/>
  <c r="AK37" i="39"/>
  <c r="AK27" i="39"/>
  <c r="AK49" i="39"/>
  <c r="AK29" i="39"/>
  <c r="AK50" i="39"/>
  <c r="AK74" i="39"/>
  <c r="AK90" i="39"/>
  <c r="AK68" i="39"/>
  <c r="AK101" i="39"/>
  <c r="AK118" i="39"/>
  <c r="AK129" i="39"/>
  <c r="O24" i="39" l="1"/>
  <c r="O19" i="39"/>
  <c r="O18" i="39"/>
  <c r="O23" i="39"/>
  <c r="O22" i="39"/>
  <c r="O15" i="39"/>
  <c r="O21" i="39"/>
  <c r="O20" i="39"/>
  <c r="O16" i="39"/>
  <c r="O17" i="39"/>
  <c r="Y3" i="39" a="1"/>
  <c r="Y5" i="39" l="1"/>
  <c r="Y3" i="39"/>
  <c r="P10" i="39" s="1"/>
  <c r="Y4" i="39"/>
  <c r="P11" i="39" s="1"/>
  <c r="AL122" i="39" l="1"/>
  <c r="AL120" i="39"/>
  <c r="AL67" i="39"/>
  <c r="AL102" i="39"/>
  <c r="AL109" i="39"/>
  <c r="AL74" i="39"/>
  <c r="AL66" i="39"/>
  <c r="AL97" i="39"/>
  <c r="AL81" i="39"/>
  <c r="AL106" i="39"/>
  <c r="AL82" i="39"/>
  <c r="AL127" i="39"/>
  <c r="AL132" i="39"/>
  <c r="AL71" i="39"/>
  <c r="AL85" i="39"/>
  <c r="AL39" i="39"/>
  <c r="AL61" i="39"/>
  <c r="AL52" i="39"/>
  <c r="AL31" i="39"/>
  <c r="AL33" i="39"/>
  <c r="AL13" i="39"/>
  <c r="AL73" i="39"/>
  <c r="AL76" i="39"/>
  <c r="AL64" i="39"/>
  <c r="AL79" i="39"/>
  <c r="AL101" i="39"/>
  <c r="AL110" i="39"/>
  <c r="AL107" i="39"/>
  <c r="AL36" i="39"/>
  <c r="AL63" i="39"/>
  <c r="AL83" i="39"/>
  <c r="AL37" i="39"/>
  <c r="AL69" i="39"/>
  <c r="AL27" i="39"/>
  <c r="AL88" i="39"/>
  <c r="AL21" i="39"/>
  <c r="AL129" i="39"/>
  <c r="AL23" i="39"/>
  <c r="AL78" i="39"/>
  <c r="AL128" i="39"/>
  <c r="AL99" i="39"/>
  <c r="AL29" i="39"/>
  <c r="AL92" i="39"/>
  <c r="AL3" i="39"/>
  <c r="AL130" i="39"/>
  <c r="AL80" i="39"/>
  <c r="AL17" i="39"/>
  <c r="AL77" i="39"/>
  <c r="AL123" i="39"/>
  <c r="AL5" i="39"/>
  <c r="AL11" i="39"/>
  <c r="AL42" i="39"/>
  <c r="AL91" i="39"/>
  <c r="AL86" i="39"/>
  <c r="AL34" i="39"/>
  <c r="AL12" i="39"/>
  <c r="AL113" i="39"/>
  <c r="AL119" i="39"/>
  <c r="AL121" i="39"/>
  <c r="AL40" i="39"/>
  <c r="AL9" i="39"/>
  <c r="AL16" i="39"/>
  <c r="AL104" i="39"/>
  <c r="AL35" i="39"/>
  <c r="AL4" i="39"/>
  <c r="AL47" i="39"/>
  <c r="AL90" i="39"/>
  <c r="AL70" i="39"/>
  <c r="AL115" i="39"/>
  <c r="AL53" i="39"/>
  <c r="AL15" i="39"/>
  <c r="AL126" i="39"/>
  <c r="AL87" i="39"/>
  <c r="AL116" i="39"/>
  <c r="AL93" i="39"/>
  <c r="AL96" i="39"/>
  <c r="AL114" i="39"/>
  <c r="AL65" i="39"/>
  <c r="AL43" i="39"/>
  <c r="AL98" i="39"/>
  <c r="AL51" i="39"/>
  <c r="AL22" i="39"/>
  <c r="AL24" i="39"/>
  <c r="AL50" i="39"/>
  <c r="AL57" i="39"/>
  <c r="AL72" i="39"/>
  <c r="AL32" i="39"/>
  <c r="AL44" i="39"/>
  <c r="AL100" i="39"/>
  <c r="AL20" i="39"/>
  <c r="AL19" i="39"/>
  <c r="AL7" i="39"/>
  <c r="AL45" i="39"/>
  <c r="AL112" i="39"/>
  <c r="AL94" i="39"/>
  <c r="AL6" i="39"/>
  <c r="AL124" i="39"/>
  <c r="AL105" i="39"/>
  <c r="AL68" i="39"/>
  <c r="AL56" i="39"/>
  <c r="AL38" i="39"/>
  <c r="AL10" i="39"/>
  <c r="AL108" i="39"/>
  <c r="AL75" i="39"/>
  <c r="P12" i="39"/>
  <c r="AL125" i="39"/>
  <c r="AL59" i="39"/>
  <c r="AL118" i="39"/>
  <c r="AL117" i="39"/>
  <c r="AL131" i="39"/>
  <c r="AL8" i="39"/>
  <c r="AL18" i="39"/>
  <c r="AL95" i="39"/>
  <c r="AL111" i="39"/>
  <c r="AL28" i="39"/>
  <c r="AL54" i="39"/>
  <c r="AL58" i="39"/>
  <c r="AL103" i="39"/>
  <c r="AL48" i="39"/>
  <c r="AL55" i="39"/>
  <c r="AL62" i="39"/>
  <c r="AL25" i="39"/>
  <c r="AL49" i="39"/>
  <c r="AL41" i="39"/>
  <c r="AL46" i="39"/>
  <c r="AL14" i="39"/>
  <c r="AL89" i="39"/>
  <c r="AL60" i="39"/>
  <c r="AL30" i="39"/>
  <c r="AL26" i="39"/>
  <c r="AL84" i="39"/>
  <c r="P20" i="39" l="1"/>
  <c r="C33" i="39" s="1"/>
  <c r="H20" i="33" s="1"/>
  <c r="L20" i="33" s="1"/>
  <c r="P19" i="39"/>
  <c r="C32" i="39" s="1"/>
  <c r="H19" i="33" s="1"/>
  <c r="L19" i="33" s="1"/>
  <c r="P24" i="39"/>
  <c r="C37" i="39" s="1"/>
  <c r="H24" i="33" s="1"/>
  <c r="L24" i="33" s="1"/>
  <c r="P21" i="39"/>
  <c r="C34" i="39" s="1"/>
  <c r="H21" i="33" s="1"/>
  <c r="L21" i="33" s="1"/>
  <c r="P22" i="39"/>
  <c r="C35" i="39" s="1"/>
  <c r="H22" i="33" s="1"/>
  <c r="L22" i="33" s="1"/>
  <c r="P16" i="39"/>
  <c r="C29" i="39" s="1"/>
  <c r="H16" i="33" s="1"/>
  <c r="L16" i="33" s="1"/>
  <c r="P23" i="39"/>
  <c r="C36" i="39" s="1"/>
  <c r="H23" i="33" s="1"/>
  <c r="L23" i="33" s="1"/>
  <c r="P18" i="39"/>
  <c r="C31" i="39" s="1"/>
  <c r="H18" i="33" s="1"/>
  <c r="L18" i="33" s="1"/>
  <c r="P17" i="39"/>
  <c r="C30" i="39" s="1"/>
  <c r="H17" i="33" s="1"/>
  <c r="L17" i="33" s="1"/>
  <c r="P15" i="39"/>
  <c r="C28" i="39" s="1"/>
  <c r="H15" i="33" s="1"/>
  <c r="L15" i="33" s="1"/>
  <c r="M20" i="33"/>
  <c r="M17" i="33"/>
  <c r="M22" i="33"/>
  <c r="M18" i="33"/>
  <c r="M19" i="33"/>
  <c r="M15" i="33"/>
  <c r="M16" i="33"/>
  <c r="M24" i="33"/>
  <c r="M23" i="33"/>
  <c r="M21" i="33"/>
  <c r="N15" i="33"/>
  <c r="AK6" i="40"/>
  <c r="AJ6" i="40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<sst xmlns="http://schemas.openxmlformats.org/spreadsheetml/2006/main" count="612" uniqueCount="175">
  <si>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</si>
  <si>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</si>
  <si>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</si>
  <si>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</si>
  <si>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</si>
  <si>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</si>
  <si>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</si>
  <si>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</si>
  <si>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</si>
  <si>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</si>
  <si>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</si>
  <si>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</si>
  <si>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</si>
  <si>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</si>
  <si>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</si>
  <si>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</si>
  <si>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</si>
  <si>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</si>
  <si>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</si>
  <si>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</si>
  <si>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</si>
  <si>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</si>
  <si>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</si>
  <si>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</si>
  <si>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</si>
  <si>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</si>
  <si>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</si>
  <si>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</si>
  <si>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</si>
  <si>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</si>
  <si>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</si>
  <si>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</si>
  <si>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</si>
  <si>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</si>
  <si>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</si>
  <si>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</si>
  <si>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</si>
  <si>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</si>
  <si>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</si>
  <si>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</si>
  <si>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</si>
  <si>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</si>
  <si>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</si>
  <si>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</si>
  <si>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</si>
  <si>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</si>
  <si>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</si>
  <si>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</si>
  <si>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</si>
  <si>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</si>
  <si>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</si>
  <si>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</si>
  <si>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</si>
  <si>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</si>
  <si>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</si>
  <si>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</si>
  <si>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</si>
  <si>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</si>
  <si>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</si>
  <si>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</si>
  <si>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</si>
  <si>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</si>
  <si>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</si>
  <si>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</si>
  <si>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</si>
  <si>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</si>
  <si>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</si>
  <si>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</si>
  <si>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</si>
  <si>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</si>
  <si>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</si>
  <si>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</si>
  <si>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</si>
  <si>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</si>
  <si>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</si>
  <si>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</si>
  <si>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</si>
  <si>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</si>
  <si>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</si>
  <si>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</si>
  <si>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</si>
  <si>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</si>
  <si>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</si>
  <si>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</si>
  <si>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</si>
  <si>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</si>
  <si>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</si>
  <si>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</si>
  <si>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</si>
  <si>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</si>
  <si>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</si>
  <si>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</si>
  <si>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</si>
  <si>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</si>
  <si>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</si>
  <si>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</si>
  <si>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</si>
  <si>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</si>
  <si>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</si>
  <si>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</si>
  <si>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</si>
  <si>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</si>
  <si>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</si>
  <si>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</si>
  <si>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</si>
  <si>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</si>
  <si>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</si>
  <si>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</si>
  <si>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</si>
  <si>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</si>
  <si>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</si>
  <si>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</si>
  <si>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</si>
  <si>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</si>
  <si>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</si>
  <si>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</si>
  <si>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</si>
  <si>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</si>
  <si>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</si>
  <si>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</si>
  <si>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</si>
  <si>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</si>
  <si>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</si>
  <si>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</si>
  <si>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</si>
  <si>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</si>
  <si>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</si>
  <si>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</si>
  <si>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</si>
  <si>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</si>
  <si>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</si>
  <si>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</si>
  <si>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</si>
  <si>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</si>
  <si>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</si>
  <si>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</si>
  <si>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</si>
  <si>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</si>
  <si>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</si>
  <si>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</si>
  <si>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</si>
  <si>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</si>
  <si>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</si>
  <si>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</si>
  <si>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</si>
  <si>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</si>
  <si>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</si>
  <si>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</si>
  <si>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</si>
  <si>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</si>
  <si>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</si>
  <si>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</si>
  <si>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</si>
  <si>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</si>
  <si>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</si>
  <si>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</si>
  <si>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</si>
  <si>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</si>
  <si>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</si>
  <si>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</si>
  <si>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</si>
  <si>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</si>
  <si>
    <t>Delta Best Fit Linear</t>
  </si>
  <si>
    <t>Delta Best Fit Quadratic</t>
  </si>
  <si>
    <t>Exact Delta</t>
  </si>
  <si>
    <t>t1</t>
  </si>
  <si>
    <t>t2</t>
  </si>
  <si>
    <t>Linear Best-fit</t>
  </si>
  <si>
    <t>Quadratic Best-fit</t>
  </si>
  <si>
    <t>quadratic best-fit</t>
  </si>
  <si>
    <t>linear best-fit</t>
  </si>
  <si>
    <t>γ</t>
  </si>
  <si>
    <t>β</t>
  </si>
  <si>
    <t>Interp Selection</t>
  </si>
  <si>
    <t>Best Fit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</si>
</sst>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  <numFmt numFmtId="182" formatCode="0.0E+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2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172" fontId="11" fillId="0" borderId="4" xfId="0" applyNumberFormat="1" applyFont="1" applyBorder="1"/>
    <xf numFmtId="0" fontId="11" fillId="3" borderId="16" xfId="14" applyFont="1" applyFill="1" applyBorder="1"/>
    <xf numFmtId="0" fontId="11" fillId="0" borderId="0" xfId="14" applyFont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6" borderId="2" xfId="11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75" fontId="11" fillId="3" borderId="10" xfId="0" applyNumberFormat="1" applyFont="1" applyFill="1" applyBorder="1" applyAlignment="1">
      <alignment horizontal="center"/>
    </xf>
    <xf numFmtId="169" fontId="11" fillId="3" borderId="11" xfId="0" applyNumberFormat="1" applyFont="1" applyFill="1" applyBorder="1" applyAlignment="1">
      <alignment horizontal="right"/>
    </xf>
    <xf numFmtId="0" fontId="11" fillId="3" borderId="8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5" applyNumberFormat="1" applyFont="1" applyFill="1" applyBorder="1" applyAlignment="1">
      <alignment horizontal="center"/>
    </xf>
    <xf numFmtId="0" fontId="11" fillId="5" borderId="4" xfId="32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172" fontId="11" fillId="5" borderId="4" xfId="14" applyNumberFormat="1" applyFont="1" applyFill="1" applyBorder="1"/>
    <xf numFmtId="171" fontId="11" fillId="5" borderId="4" xfId="14" applyNumberFormat="1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5" applyNumberFormat="1" applyFont="1" applyFill="1" applyBorder="1" applyAlignment="1">
      <alignment horizontal="center"/>
    </xf>
    <xf numFmtId="0" fontId="11" fillId="5" borderId="11" xfId="32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172" fontId="11" fillId="5" borderId="11" xfId="14" applyNumberFormat="1" applyFont="1" applyFill="1" applyBorder="1"/>
    <xf numFmtId="171" fontId="11" fillId="5" borderId="11" xfId="14" applyNumberFormat="1" applyFont="1" applyFill="1" applyBorder="1"/>
    <xf numFmtId="175" fontId="11" fillId="5" borderId="9" xfId="14" applyNumberFormat="1" applyFont="1" applyFill="1" applyBorder="1"/>
    <xf numFmtId="175" fontId="11" fillId="5" borderId="4" xfId="14" applyNumberFormat="1" applyFont="1" applyFill="1" applyBorder="1"/>
    <xf numFmtId="175" fontId="11" fillId="5" borderId="11" xfId="14" applyNumberFormat="1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5" applyNumberFormat="1" applyFont="1" applyFill="1" applyBorder="1" applyAlignment="1">
      <alignment horizontal="center"/>
    </xf>
    <xf numFmtId="0" fontId="11" fillId="5" borderId="9" xfId="32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5" borderId="2" xfId="14" applyNumberFormat="1" applyFont="1" applyFill="1" applyBorder="1" applyAlignment="1">
      <alignment horizontal="center"/>
    </xf>
    <xf numFmtId="0" fontId="11" fillId="0" borderId="15" xfId="32" applyFont="1" applyBorder="1" applyAlignment="1">
      <alignment horizontal="center" vertical="center"/>
    </xf>
    <xf numFmtId="0" fontId="11" fillId="0" borderId="14" xfId="14" applyFont="1" applyBorder="1" applyAlignment="1">
      <alignment horizontal="center" vertical="center"/>
    </xf>
    <xf numFmtId="172" fontId="11" fillId="5" borderId="4" xfId="14" applyNumberFormat="1" applyFont="1" applyFill="1" applyBorder="1" applyAlignment="1">
      <alignment horizontal="center" vertical="center"/>
    </xf>
    <xf numFmtId="172" fontId="11" fillId="5" borderId="11" xfId="14" applyNumberFormat="1" applyFont="1" applyFill="1" applyBorder="1" applyAlignment="1">
      <alignment horizontal="center" vertical="center"/>
    </xf>
    <xf numFmtId="172" fontId="11" fillId="5" borderId="9" xfId="14" applyNumberFormat="1" applyFont="1" applyFill="1" applyBorder="1"/>
    <xf numFmtId="172" fontId="11" fillId="5" borderId="9" xfId="14" applyNumberFormat="1" applyFont="1" applyFill="1" applyBorder="1" applyAlignment="1">
      <alignment horizontal="center" vertical="center"/>
    </xf>
    <xf numFmtId="171" fontId="11" fillId="5" borderId="9" xfId="14" applyNumberFormat="1" applyFont="1" applyFill="1" applyBorder="1"/>
    <xf numFmtId="0" fontId="11" fillId="0" borderId="9" xfId="8" applyFont="1" applyBorder="1"/>
    <xf numFmtId="171" fontId="11" fillId="0" borderId="9" xfId="8" applyNumberFormat="1" applyFont="1" applyBorder="1"/>
    <xf numFmtId="0" fontId="11" fillId="0" borderId="4" xfId="8" applyFont="1" applyBorder="1"/>
    <xf numFmtId="171" fontId="11" fillId="0" borderId="4" xfId="8" applyNumberFormat="1" applyFont="1" applyBorder="1"/>
    <xf numFmtId="0" fontId="11" fillId="0" borderId="11" xfId="8" applyFont="1" applyBorder="1"/>
    <xf numFmtId="171" fontId="11" fillId="0" borderId="11" xfId="8" applyNumberFormat="1" applyFont="1" applyBorder="1"/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173" fontId="11" fillId="0" borderId="4" xfId="0" applyNumberFormat="1" applyFont="1" applyBorder="1"/>
    <xf numFmtId="175" fontId="11" fillId="0" borderId="4" xfId="0" applyNumberFormat="1" applyFont="1" applyBorder="1"/>
    <xf numFmtId="173" fontId="11" fillId="0" borderId="4" xfId="14" applyNumberFormat="1" applyFont="1" applyBorder="1"/>
    <xf numFmtId="172" fontId="11" fillId="0" borderId="4" xfId="14" applyNumberFormat="1" applyFont="1" applyBorder="1"/>
    <xf numFmtId="173" fontId="11" fillId="0" borderId="9" xfId="0" applyNumberFormat="1" applyFont="1" applyBorder="1"/>
    <xf numFmtId="172" fontId="11" fillId="0" borderId="9" xfId="0" applyNumberFormat="1" applyFont="1" applyBorder="1"/>
    <xf numFmtId="175" fontId="11" fillId="0" borderId="9" xfId="0" applyNumberFormat="1" applyFont="1" applyBorder="1"/>
    <xf numFmtId="173" fontId="11" fillId="0" borderId="11" xfId="14" applyNumberFormat="1" applyFont="1" applyBorder="1"/>
    <xf numFmtId="172" fontId="11" fillId="0" borderId="11" xfId="14" applyNumberFormat="1" applyFont="1" applyBorder="1"/>
    <xf numFmtId="172" fontId="11" fillId="0" borderId="11" xfId="0" applyNumberFormat="1" applyFont="1" applyBorder="1"/>
    <xf numFmtId="175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80" fontId="11" fillId="0" borderId="9" xfId="0" applyNumberFormat="1" applyFont="1" applyBorder="1"/>
    <xf numFmtId="180" fontId="11" fillId="0" borderId="4" xfId="0" applyNumberFormat="1" applyFont="1" applyBorder="1"/>
    <xf numFmtId="180" fontId="11" fillId="0" borderId="11" xfId="0" applyNumberFormat="1" applyFont="1" applyBorder="1"/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8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80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80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80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9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2" xfId="8" applyFont="1" applyFill="1" applyBorder="1" applyAlignment="1">
      <alignment horizontal="center" vertical="center" wrapText="1"/>
    </xf>
    <xf numFmtId="0" fontId="11" fillId="8" borderId="0" xfId="8" applyFont="1" applyFill="1"/>
    <xf numFmtId="0" fontId="0" fillId="8" borderId="0" xfId="0" applyFill="1"/>
    <xf numFmtId="172" fontId="11" fillId="8" borderId="0" xfId="8" applyNumberFormat="1" applyFont="1" applyFill="1"/>
    <xf numFmtId="177" fontId="11" fillId="8" borderId="0" xfId="8" applyNumberFormat="1" applyFont="1" applyFill="1"/>
    <xf numFmtId="0" fontId="11" fillId="11" borderId="9" xfId="8" applyFont="1" applyFill="1" applyBorder="1"/>
    <xf numFmtId="171" fontId="11" fillId="11" borderId="9" xfId="8" applyNumberFormat="1" applyFont="1" applyFill="1" applyBorder="1"/>
    <xf numFmtId="172" fontId="11" fillId="11" borderId="9" xfId="11" applyNumberFormat="1" applyFont="1" applyFill="1" applyBorder="1"/>
    <xf numFmtId="172" fontId="11" fillId="11" borderId="9" xfId="8" applyNumberFormat="1" applyFont="1" applyFill="1" applyBorder="1"/>
    <xf numFmtId="0" fontId="11" fillId="11" borderId="4" xfId="8" applyFont="1" applyFill="1" applyBorder="1"/>
    <xf numFmtId="171" fontId="11" fillId="11" borderId="4" xfId="8" applyNumberFormat="1" applyFont="1" applyFill="1" applyBorder="1"/>
    <xf numFmtId="172" fontId="11" fillId="11" borderId="4" xfId="11" applyNumberFormat="1" applyFont="1" applyFill="1" applyBorder="1"/>
    <xf numFmtId="172" fontId="11" fillId="11" borderId="4" xfId="8" applyNumberFormat="1" applyFont="1" applyFill="1" applyBorder="1"/>
    <xf numFmtId="0" fontId="11" fillId="11" borderId="11" xfId="8" applyFont="1" applyFill="1" applyBorder="1"/>
    <xf numFmtId="171" fontId="11" fillId="11" borderId="11" xfId="8" applyNumberFormat="1" applyFont="1" applyFill="1" applyBorder="1"/>
    <xf numFmtId="172" fontId="11" fillId="11" borderId="11" xfId="11" applyNumberFormat="1" applyFont="1" applyFill="1" applyBorder="1"/>
    <xf numFmtId="172" fontId="11" fillId="11" borderId="11" xfId="8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5" fillId="9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1" applyNumberFormat="1" applyFont="1" applyFill="1" applyBorder="1" applyAlignment="1">
      <alignment horizontal="center" vertical="center" wrapText="1"/>
    </xf>
    <xf numFmtId="173" fontId="17" fillId="9" borderId="3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172" fontId="17" fillId="9" borderId="3" xfId="21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20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9" borderId="4" xfId="14" applyFont="1" applyFill="1" applyBorder="1" applyAlignment="1">
      <alignment horizontal="center"/>
    </xf>
    <xf numFmtId="0" fontId="5" fillId="9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1" applyNumberFormat="1" applyFont="1" applyFill="1" applyBorder="1" applyAlignment="1"/>
    <xf numFmtId="172" fontId="11" fillId="11" borderId="5" xfId="21" applyNumberFormat="1" applyFont="1" applyFill="1" applyBorder="1" applyAlignment="1"/>
    <xf numFmtId="172" fontId="11" fillId="11" borderId="7" xfId="21" applyNumberFormat="1" applyFont="1" applyFill="1" applyBorder="1" applyAlignment="1"/>
    <xf numFmtId="172" fontId="11" fillId="11" borderId="8" xfId="21" applyNumberFormat="1" applyFont="1" applyFill="1" applyBorder="1" applyAlignment="1"/>
    <xf numFmtId="172" fontId="11" fillId="11" borderId="12" xfId="21" applyNumberFormat="1" applyFont="1" applyFill="1" applyBorder="1" applyAlignment="1"/>
    <xf numFmtId="172" fontId="11" fillId="11" borderId="3" xfId="21" applyNumberFormat="1" applyFont="1" applyFill="1" applyBorder="1" applyAlignment="1"/>
    <xf numFmtId="172" fontId="11" fillId="11" borderId="14" xfId="21" applyNumberFormat="1" applyFont="1" applyFill="1" applyBorder="1" applyAlignment="1"/>
    <xf numFmtId="172" fontId="11" fillId="11" borderId="10" xfId="21" applyNumberFormat="1" applyFont="1" applyFill="1" applyBorder="1" applyAlignment="1"/>
    <xf numFmtId="172" fontId="11" fillId="11" borderId="6" xfId="11" applyNumberFormat="1" applyFont="1" applyFill="1" applyBorder="1"/>
    <xf numFmtId="172" fontId="11" fillId="11" borderId="5" xfId="11" applyNumberFormat="1" applyFont="1" applyFill="1" applyBorder="1" applyAlignment="1"/>
    <xf numFmtId="172" fontId="11" fillId="11" borderId="7" xfId="11" applyNumberFormat="1" applyFont="1" applyFill="1" applyBorder="1"/>
    <xf numFmtId="172" fontId="11" fillId="11" borderId="8" xfId="11" applyNumberFormat="1" applyFont="1" applyFill="1" applyBorder="1" applyAlignment="1"/>
    <xf numFmtId="172" fontId="11" fillId="11" borderId="4" xfId="21" applyNumberFormat="1" applyFont="1" applyFill="1" applyBorder="1" applyAlignment="1"/>
    <xf numFmtId="172" fontId="11" fillId="11" borderId="11" xfId="21" applyNumberFormat="1" applyFont="1" applyFill="1" applyBorder="1" applyAlignment="1"/>
    <xf numFmtId="172" fontId="11" fillId="11" borderId="2" xfId="21" applyNumberFormat="1" applyFont="1" applyFill="1" applyBorder="1" applyAlignment="1"/>
    <xf numFmtId="172" fontId="11" fillId="11" borderId="9" xfId="21" applyNumberFormat="1" applyFont="1" applyFill="1" applyBorder="1" applyAlignment="1"/>
    <xf numFmtId="172" fontId="11" fillId="11" borderId="4" xfId="11" applyNumberFormat="1" applyFont="1" applyFill="1" applyBorder="1" applyAlignment="1"/>
    <xf numFmtId="172" fontId="11" fillId="11" borderId="11" xfId="11" applyNumberFormat="1" applyFont="1" applyFill="1" applyBorder="1" applyAlignment="1"/>
    <xf numFmtId="0" fontId="11" fillId="11" borderId="6" xfId="21" applyNumberFormat="1" applyFont="1" applyFill="1" applyBorder="1" applyAlignment="1">
      <alignment vertical="center"/>
    </xf>
    <xf numFmtId="172" fontId="11" fillId="11" borderId="5" xfId="21" quotePrefix="1" applyNumberFormat="1" applyFont="1" applyFill="1" applyBorder="1" applyAlignment="1"/>
    <xf numFmtId="0" fontId="11" fillId="11" borderId="7" xfId="21" applyNumberFormat="1" applyFont="1" applyFill="1" applyBorder="1" applyAlignment="1">
      <alignment vertical="center"/>
    </xf>
    <xf numFmtId="0" fontId="11" fillId="11" borderId="12" xfId="21" applyNumberFormat="1" applyFont="1" applyFill="1" applyBorder="1" applyAlignment="1">
      <alignment vertical="center"/>
    </xf>
    <xf numFmtId="172" fontId="11" fillId="11" borderId="3" xfId="21" quotePrefix="1" applyNumberFormat="1" applyFont="1" applyFill="1" applyBorder="1" applyAlignment="1"/>
    <xf numFmtId="0" fontId="11" fillId="11" borderId="14" xfId="21" applyNumberFormat="1" applyFont="1" applyFill="1" applyBorder="1" applyAlignment="1"/>
    <xf numFmtId="172" fontId="11" fillId="11" borderId="10" xfId="21" quotePrefix="1" applyNumberFormat="1" applyFont="1" applyFill="1" applyBorder="1" applyAlignment="1"/>
    <xf numFmtId="0" fontId="11" fillId="11" borderId="6" xfId="21" applyNumberFormat="1" applyFont="1" applyFill="1" applyBorder="1" applyAlignment="1"/>
    <xf numFmtId="0" fontId="11" fillId="11" borderId="7" xfId="21" applyNumberFormat="1" applyFont="1" applyFill="1" applyBorder="1" applyAlignment="1"/>
    <xf numFmtId="172" fontId="11" fillId="11" borderId="8" xfId="21" quotePrefix="1" applyNumberFormat="1" applyFont="1" applyFill="1" applyBorder="1" applyAlignment="1"/>
    <xf numFmtId="0" fontId="11" fillId="11" borderId="14" xfId="21" applyNumberFormat="1" applyFont="1" applyFill="1" applyBorder="1" applyAlignment="1">
      <alignment horizontal="left"/>
    </xf>
    <xf numFmtId="0" fontId="11" fillId="11" borderId="6" xfId="21" applyNumberFormat="1" applyFont="1" applyFill="1" applyBorder="1" applyAlignment="1">
      <alignment horizontal="left"/>
    </xf>
    <xf numFmtId="0" fontId="11" fillId="11" borderId="7" xfId="21" applyNumberFormat="1" applyFont="1" applyFill="1" applyBorder="1" applyAlignment="1">
      <alignment horizontal="left"/>
    </xf>
    <xf numFmtId="0" fontId="11" fillId="11" borderId="14" xfId="19" applyFont="1" applyFill="1" applyBorder="1" applyAlignment="1">
      <alignment horizontal="left"/>
    </xf>
    <xf numFmtId="172" fontId="11" fillId="11" borderId="10" xfId="19" quotePrefix="1" applyNumberFormat="1" applyFont="1" applyFill="1" applyBorder="1"/>
    <xf numFmtId="0" fontId="11" fillId="11" borderId="6" xfId="19" applyFont="1" applyFill="1" applyBorder="1" applyAlignment="1">
      <alignment horizontal="left"/>
    </xf>
    <xf numFmtId="172" fontId="11" fillId="11" borderId="5" xfId="19" quotePrefix="1" applyNumberFormat="1" applyFont="1" applyFill="1" applyBorder="1"/>
    <xf numFmtId="0" fontId="11" fillId="11" borderId="7" xfId="19" applyFont="1" applyFill="1" applyBorder="1" applyAlignment="1">
      <alignment horizontal="left"/>
    </xf>
    <xf numFmtId="172" fontId="11" fillId="11" borderId="8" xfId="19" quotePrefix="1" applyNumberFormat="1" applyFont="1" applyFill="1" applyBorder="1"/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2" applyFont="1" applyFill="1"/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1" fontId="11" fillId="8" borderId="0" xfId="0" applyNumberFormat="1" applyFont="1" applyFill="1"/>
    <xf numFmtId="171" fontId="11" fillId="8" borderId="0" xfId="0" applyNumberFormat="1" applyFont="1" applyFill="1" applyBorder="1"/>
    <xf numFmtId="179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9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3" applyFont="1" applyFill="1" applyBorder="1"/>
    <xf numFmtId="171" fontId="23" fillId="11" borderId="4" xfId="43" applyNumberFormat="1" applyFont="1" applyFill="1" applyBorder="1"/>
    <xf numFmtId="180" fontId="11" fillId="11" borderId="4" xfId="0" applyNumberFormat="1" applyFont="1" applyFill="1" applyBorder="1"/>
    <xf numFmtId="0" fontId="23" fillId="11" borderId="11" xfId="43" applyFont="1" applyFill="1" applyBorder="1"/>
    <xf numFmtId="171" fontId="23" fillId="11" borderId="11" xfId="43" applyNumberFormat="1" applyFont="1" applyFill="1" applyBorder="1"/>
    <xf numFmtId="180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9" fontId="21" fillId="11" borderId="2" xfId="0" applyNumberFormat="1" applyFont="1" applyFill="1" applyBorder="1"/>
    <xf numFmtId="179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1" fillId="9" borderId="9" xfId="14" applyFont="1" applyFill="1" applyBorder="1" applyAlignment="1">
      <alignment horizontal="center" vertical="center" wrapText="1"/>
    </xf>
    <xf numFmtId="0" fontId="11" fillId="9" borderId="25" xfId="14" applyFont="1" applyFill="1" applyBorder="1" applyAlignment="1">
      <alignment horizontal="centerContinuous" vertical="center"/>
    </xf>
    <xf numFmtId="0" fontId="11" fillId="9" borderId="28" xfId="14" applyFont="1" applyFill="1" applyBorder="1" applyAlignment="1">
      <alignment horizontal="centerContinuous" vertical="center"/>
    </xf>
    <xf numFmtId="0" fontId="11" fillId="9" borderId="11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8" borderId="0" xfId="8" applyFont="1" applyFill="1" applyBorder="1"/>
    <xf numFmtId="171" fontId="11" fillId="8" borderId="0" xfId="8" applyNumberFormat="1" applyFont="1" applyFill="1" applyBorder="1"/>
    <xf numFmtId="172" fontId="11" fillId="8" borderId="0" xfId="11" applyNumberFormat="1" applyFont="1" applyFill="1" applyBorder="1"/>
    <xf numFmtId="172" fontId="11" fillId="8" borderId="0" xfId="8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vertical="center" wrapText="1"/>
    </xf>
    <xf numFmtId="182" fontId="21" fillId="11" borderId="2" xfId="0" applyNumberFormat="1" applyFont="1" applyFill="1" applyBorder="1"/>
    <xf numFmtId="182" fontId="11" fillId="11" borderId="4" xfId="0" applyNumberFormat="1" applyFont="1" applyFill="1" applyBorder="1"/>
    <xf numFmtId="182" fontId="11" fillId="11" borderId="11" xfId="0" applyNumberFormat="1" applyFont="1" applyFill="1" applyBorder="1"/>
    <xf numFmtId="0" fontId="11" fillId="12" borderId="2" xfId="0" applyFont="1" applyFill="1" applyBorder="1" applyAlignment="1">
      <alignment horizontal="center"/>
    </xf>
    <xf numFmtId="0" fontId="11" fillId="12" borderId="4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172" fontId="11" fillId="13" borderId="2" xfId="0" applyNumberFormat="1" applyFont="1" applyFill="1" applyBorder="1"/>
    <xf numFmtId="172" fontId="11" fillId="8" borderId="2" xfId="0" applyNumberFormat="1" applyFont="1" applyFill="1" applyBorder="1"/>
    <xf numFmtId="2" fontId="11" fillId="11" borderId="2" xfId="0" applyNumberFormat="1" applyFont="1" applyFill="1" applyBorder="1"/>
    <xf numFmtId="179" fontId="11" fillId="11" borderId="2" xfId="0" applyNumberFormat="1" applyFont="1" applyFill="1" applyBorder="1"/>
    <xf numFmtId="182" fontId="11" fillId="11" borderId="2" xfId="0" applyNumberFormat="1" applyFont="1" applyFill="1" applyBorder="1"/>
    <xf numFmtId="0" fontId="11" fillId="11" borderId="9" xfId="0" applyFont="1" applyFill="1" applyBorder="1"/>
    <xf numFmtId="0" fontId="11" fillId="7" borderId="9" xfId="0" applyFont="1" applyFill="1" applyBorder="1" applyAlignment="1">
      <alignment horizontal="center"/>
    </xf>
    <xf numFmtId="2" fontId="11" fillId="11" borderId="9" xfId="0" applyNumberFormat="1" applyFont="1" applyFill="1" applyBorder="1"/>
    <xf numFmtId="179" fontId="11" fillId="11" borderId="9" xfId="0" applyNumberFormat="1" applyFont="1" applyFill="1" applyBorder="1"/>
    <xf numFmtId="182" fontId="11" fillId="11" borderId="9" xfId="0" applyNumberFormat="1" applyFont="1" applyFill="1" applyBorder="1"/>
    <xf numFmtId="0" fontId="11" fillId="12" borderId="9" xfId="0" applyFont="1" applyFill="1" applyBorder="1" applyAlignment="1">
      <alignment horizontal="center"/>
    </xf>
    <xf numFmtId="0" fontId="11" fillId="8" borderId="14" xfId="0" applyFont="1" applyFill="1" applyBorder="1"/>
    <xf numFmtId="0" fontId="11" fillId="8" borderId="15" xfId="0" applyFont="1" applyFill="1" applyBorder="1"/>
    <xf numFmtId="0" fontId="11" fillId="8" borderId="6" xfId="0" applyFont="1" applyFill="1" applyBorder="1"/>
    <xf numFmtId="0" fontId="11" fillId="8" borderId="7" xfId="0" applyFont="1" applyFill="1" applyBorder="1"/>
    <xf numFmtId="0" fontId="11" fillId="8" borderId="24" xfId="0" applyFont="1" applyFill="1" applyBorder="1"/>
    <xf numFmtId="182" fontId="11" fillId="8" borderId="2" xfId="0" applyNumberFormat="1" applyFont="1" applyFill="1" applyBorder="1"/>
    <xf numFmtId="0" fontId="21" fillId="12" borderId="2" xfId="0" applyFont="1" applyFill="1" applyBorder="1" applyAlignment="1">
      <alignment horizontal="center"/>
    </xf>
    <xf numFmtId="0" fontId="11" fillId="8" borderId="15" xfId="0" applyFont="1" applyFill="1" applyBorder="1" applyAlignment="1"/>
    <xf numFmtId="171" fontId="11" fillId="8" borderId="15" xfId="0" applyNumberFormat="1" applyFont="1" applyFill="1" applyBorder="1" applyAlignment="1"/>
    <xf numFmtId="172" fontId="11" fillId="8" borderId="15" xfId="0" applyNumberFormat="1" applyFont="1" applyFill="1" applyBorder="1" applyAlignment="1"/>
    <xf numFmtId="173" fontId="11" fillId="8" borderId="15" xfId="0" applyNumberFormat="1" applyFont="1" applyFill="1" applyBorder="1"/>
    <xf numFmtId="172" fontId="11" fillId="8" borderId="15" xfId="17" applyNumberFormat="1" applyFont="1" applyFill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6.2003086355970967E-4</c:v>
                </c:pt>
                <c:pt idx="1">
                  <c:v>6.2003086355970967E-4</c:v>
                </c:pt>
                <c:pt idx="2">
                  <c:v>6.2003086355970967E-4</c:v>
                </c:pt>
                <c:pt idx="3">
                  <c:v>6.2003086355970967E-4</c:v>
                </c:pt>
                <c:pt idx="4">
                  <c:v>6.2003086355970967E-4</c:v>
                </c:pt>
                <c:pt idx="5">
                  <c:v>6.2003086355970967E-4</c:v>
                </c:pt>
                <c:pt idx="6">
                  <c:v>6.2003086355970967E-4</c:v>
                </c:pt>
                <c:pt idx="7">
                  <c:v>6.2003086355970967E-4</c:v>
                </c:pt>
                <c:pt idx="8">
                  <c:v>6.2003086355970967E-4</c:v>
                </c:pt>
                <c:pt idx="9">
                  <c:v>6.2003086355970967E-4</c:v>
                </c:pt>
                <c:pt idx="10">
                  <c:v>6.2003086355970967E-4</c:v>
                </c:pt>
                <c:pt idx="11">
                  <c:v>6.2003086355970967E-4</c:v>
                </c:pt>
                <c:pt idx="12">
                  <c:v>6.2003086355970967E-4</c:v>
                </c:pt>
                <c:pt idx="13">
                  <c:v>6.2003086355970967E-4</c:v>
                </c:pt>
                <c:pt idx="14">
                  <c:v>6.2003086355970967E-4</c:v>
                </c:pt>
                <c:pt idx="15">
                  <c:v>6.2003086355970967E-4</c:v>
                </c:pt>
                <c:pt idx="16">
                  <c:v>6.2003086355970967E-4</c:v>
                </c:pt>
                <c:pt idx="17">
                  <c:v>6.2003086355970967E-4</c:v>
                </c:pt>
                <c:pt idx="18">
                  <c:v>6.2003086355970967E-4</c:v>
                </c:pt>
                <c:pt idx="19">
                  <c:v>6.2003086355970967E-4</c:v>
                </c:pt>
                <c:pt idx="20">
                  <c:v>6.2003086355970967E-4</c:v>
                </c:pt>
                <c:pt idx="21">
                  <c:v>6.2003086355970967E-4</c:v>
                </c:pt>
                <c:pt idx="22">
                  <c:v>6.2003086355970967E-4</c:v>
                </c:pt>
                <c:pt idx="23">
                  <c:v>6.2003086355970967E-4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6.0331573818955407E-4</c:v>
                </c:pt>
                <c:pt idx="1">
                  <c:v>6.043604335251888E-4</c:v>
                </c:pt>
                <c:pt idx="2">
                  <c:v>6.07494519532093E-4</c:v>
                </c:pt>
                <c:pt idx="3">
                  <c:v>6.0853921486772773E-4</c:v>
                </c:pt>
                <c:pt idx="4">
                  <c:v>6.0958391020336246E-4</c:v>
                </c:pt>
                <c:pt idx="5">
                  <c:v>6.106286055389972E-4</c:v>
                </c:pt>
                <c:pt idx="6">
                  <c:v>6.1167330087463193E-4</c:v>
                </c:pt>
                <c:pt idx="7">
                  <c:v>6.1480738688153612E-4</c:v>
                </c:pt>
                <c:pt idx="8">
                  <c:v>6.1585208221717075E-4</c:v>
                </c:pt>
                <c:pt idx="9">
                  <c:v>6.1689677755280548E-4</c:v>
                </c:pt>
                <c:pt idx="10">
                  <c:v>6.1794147288844021E-4</c:v>
                </c:pt>
                <c:pt idx="11">
                  <c:v>6.2212025423097914E-4</c:v>
                </c:pt>
                <c:pt idx="12">
                  <c:v>6.2316494956661387E-4</c:v>
                </c:pt>
                <c:pt idx="13">
                  <c:v>6.242096449022486E-4</c:v>
                </c:pt>
                <c:pt idx="14">
                  <c:v>6.2525434023788333E-4</c:v>
                </c:pt>
                <c:pt idx="15">
                  <c:v>6.2629903557351806E-4</c:v>
                </c:pt>
                <c:pt idx="16">
                  <c:v>6.2943312158042226E-4</c:v>
                </c:pt>
                <c:pt idx="17">
                  <c:v>6.3047781691605699E-4</c:v>
                </c:pt>
                <c:pt idx="18">
                  <c:v>6.3152251225169172E-4</c:v>
                </c:pt>
                <c:pt idx="19">
                  <c:v>6.3256720758732646E-4</c:v>
                </c:pt>
                <c:pt idx="20">
                  <c:v>6.3361190292296119E-4</c:v>
                </c:pt>
                <c:pt idx="21">
                  <c:v>6.3674598892986538E-4</c:v>
                </c:pt>
                <c:pt idx="22">
                  <c:v>6.3779068426550001E-4</c:v>
                </c:pt>
                <c:pt idx="23">
                  <c:v>6.3883537960113474E-4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6.4049758925365332E-4</c:v>
                </c:pt>
                <c:pt idx="1">
                  <c:v>6.3809337280903674E-4</c:v>
                </c:pt>
                <c:pt idx="2">
                  <c:v>6.3154468510133184E-4</c:v>
                </c:pt>
                <c:pt idx="3">
                  <c:v>6.2958310974081167E-4</c:v>
                </c:pt>
                <c:pt idx="4">
                  <c:v>6.2773219465131578E-4</c:v>
                </c:pt>
                <c:pt idx="5">
                  <c:v>6.2599193983284382E-4</c:v>
                </c:pt>
                <c:pt idx="6">
                  <c:v>6.2436234528539603E-4</c:v>
                </c:pt>
                <c:pt idx="7">
                  <c:v>6.2013752326919728E-4</c:v>
                </c:pt>
                <c:pt idx="8">
                  <c:v>6.189505698058459E-4</c:v>
                </c:pt>
                <c:pt idx="9">
                  <c:v>6.1787427661351868E-4</c:v>
                </c:pt>
                <c:pt idx="10">
                  <c:v>6.1690864369221552E-4</c:v>
                </c:pt>
                <c:pt idx="11">
                  <c:v>6.141527147172438E-4</c:v>
                </c:pt>
                <c:pt idx="12">
                  <c:v>6.1374038315106121E-4</c:v>
                </c:pt>
                <c:pt idx="13">
                  <c:v>6.1343871185590257E-4</c:v>
                </c:pt>
                <c:pt idx="14">
                  <c:v>6.1324770083176819E-4</c:v>
                </c:pt>
                <c:pt idx="15">
                  <c:v>6.1316735007865787E-4</c:v>
                </c:pt>
                <c:pt idx="16">
                  <c:v>6.1359025944547152E-4</c:v>
                </c:pt>
                <c:pt idx="17">
                  <c:v>6.1395254977645751E-4</c:v>
                </c:pt>
                <c:pt idx="18">
                  <c:v>6.1442550037846776E-4</c:v>
                </c:pt>
                <c:pt idx="19">
                  <c:v>6.1500911125150206E-4</c:v>
                </c:pt>
                <c:pt idx="20">
                  <c:v>6.1570338239556053E-4</c:v>
                </c:pt>
                <c:pt idx="21">
                  <c:v>6.1845015745388022E-4</c:v>
                </c:pt>
                <c:pt idx="22">
                  <c:v>6.195870696820351E-4</c:v>
                </c:pt>
                <c:pt idx="23">
                  <c:v>6.2083464218121403E-4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079360"/>
        <c:axId val="600089344"/>
      </c:lineChart>
      <c:dateAx>
        <c:axId val="6000793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0089344"/>
        <c:crosses val="autoZero"/>
        <c:auto val="1"/>
        <c:lblOffset val="100"/>
        <c:baseTimeUnit val="days"/>
      </c:dateAx>
      <c:valAx>
        <c:axId val="600089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0079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1.1818599907215124E-3</c:v>
                </c:pt>
                <c:pt idx="1">
                  <c:v>1.1818599907215124E-3</c:v>
                </c:pt>
                <c:pt idx="2">
                  <c:v>1.1818599907215124E-3</c:v>
                </c:pt>
                <c:pt idx="3">
                  <c:v>1.1818599907215124E-3</c:v>
                </c:pt>
                <c:pt idx="4">
                  <c:v>1.1818599907215124E-3</c:v>
                </c:pt>
                <c:pt idx="5">
                  <c:v>1.1818599907215124E-3</c:v>
                </c:pt>
                <c:pt idx="6">
                  <c:v>1.1818599907215124E-3</c:v>
                </c:pt>
                <c:pt idx="7">
                  <c:v>1.1818599907215124E-3</c:v>
                </c:pt>
                <c:pt idx="8">
                  <c:v>1.1818599907215124E-3</c:v>
                </c:pt>
                <c:pt idx="9">
                  <c:v>1.1818599907215124E-3</c:v>
                </c:pt>
                <c:pt idx="10">
                  <c:v>1.1818599907215124E-3</c:v>
                </c:pt>
                <c:pt idx="11">
                  <c:v>1.1818599907215124E-3</c:v>
                </c:pt>
                <c:pt idx="12">
                  <c:v>1.1818599907215124E-3</c:v>
                </c:pt>
                <c:pt idx="13">
                  <c:v>1.1818599907215124E-3</c:v>
                </c:pt>
                <c:pt idx="14">
                  <c:v>1.1818599907215124E-3</c:v>
                </c:pt>
                <c:pt idx="15">
                  <c:v>1.1818599907215124E-3</c:v>
                </c:pt>
                <c:pt idx="16">
                  <c:v>1.1818599907215124E-3</c:v>
                </c:pt>
                <c:pt idx="17">
                  <c:v>1.1818599907215124E-3</c:v>
                </c:pt>
                <c:pt idx="18">
                  <c:v>1.1818599907215124E-3</c:v>
                </c:pt>
                <c:pt idx="19">
                  <c:v>1.1818599907215124E-3</c:v>
                </c:pt>
                <c:pt idx="20">
                  <c:v>1.1818599907215124E-3</c:v>
                </c:pt>
                <c:pt idx="21">
                  <c:v>1.1818599907215124E-3</c:v>
                </c:pt>
                <c:pt idx="22">
                  <c:v>1.1818599907215124E-3</c:v>
                </c:pt>
                <c:pt idx="23">
                  <c:v>1.1818599907215124E-3</c:v>
                </c:pt>
                <c:pt idx="24">
                  <c:v>1.1818599907215124E-3</c:v>
                </c:pt>
                <c:pt idx="25">
                  <c:v>1.1818599907215124E-3</c:v>
                </c:pt>
                <c:pt idx="26">
                  <c:v>1.1818599907215124E-3</c:v>
                </c:pt>
                <c:pt idx="27">
                  <c:v>1.1818599907215124E-3</c:v>
                </c:pt>
                <c:pt idx="28">
                  <c:v>1.1818599907215124E-3</c:v>
                </c:pt>
                <c:pt idx="29">
                  <c:v>1.1818599907215124E-3</c:v>
                </c:pt>
                <c:pt idx="30">
                  <c:v>1.1818599907215124E-3</c:v>
                </c:pt>
                <c:pt idx="31">
                  <c:v>1.1818599907215124E-3</c:v>
                </c:pt>
                <c:pt idx="32">
                  <c:v>1.1818599907215124E-3</c:v>
                </c:pt>
                <c:pt idx="33">
                  <c:v>1.1818599907215124E-3</c:v>
                </c:pt>
                <c:pt idx="34">
                  <c:v>1.1818599907215124E-3</c:v>
                </c:pt>
                <c:pt idx="35">
                  <c:v>1.1818599907215124E-3</c:v>
                </c:pt>
                <c:pt idx="36">
                  <c:v>1.1818599907215124E-3</c:v>
                </c:pt>
                <c:pt idx="37">
                  <c:v>1.1818599907215124E-3</c:v>
                </c:pt>
                <c:pt idx="38">
                  <c:v>1.1818599907215124E-3</c:v>
                </c:pt>
                <c:pt idx="39">
                  <c:v>1.1818599907215124E-3</c:v>
                </c:pt>
                <c:pt idx="40">
                  <c:v>1.1818599907215124E-3</c:v>
                </c:pt>
                <c:pt idx="41">
                  <c:v>1.1818599907215124E-3</c:v>
                </c:pt>
                <c:pt idx="42">
                  <c:v>1.1818599907215124E-3</c:v>
                </c:pt>
                <c:pt idx="43">
                  <c:v>1.1818599907215124E-3</c:v>
                </c:pt>
                <c:pt idx="44">
                  <c:v>1.1818599907215124E-3</c:v>
                </c:pt>
                <c:pt idx="45">
                  <c:v>1.1818599907215124E-3</c:v>
                </c:pt>
                <c:pt idx="46">
                  <c:v>1.1818599907215124E-3</c:v>
                </c:pt>
                <c:pt idx="47">
                  <c:v>1.1818599907215124E-3</c:v>
                </c:pt>
                <c:pt idx="48">
                  <c:v>1.1818599907215124E-3</c:v>
                </c:pt>
                <c:pt idx="49">
                  <c:v>1.1818599907215124E-3</c:v>
                </c:pt>
                <c:pt idx="50">
                  <c:v>1.1818599907215124E-3</c:v>
                </c:pt>
                <c:pt idx="51">
                  <c:v>1.1818599907215124E-3</c:v>
                </c:pt>
                <c:pt idx="52">
                  <c:v>1.1818599907215124E-3</c:v>
                </c:pt>
                <c:pt idx="53">
                  <c:v>1.1818599907215124E-3</c:v>
                </c:pt>
                <c:pt idx="54">
                  <c:v>1.1818599907215124E-3</c:v>
                </c:pt>
                <c:pt idx="55">
                  <c:v>1.1818599907215124E-3</c:v>
                </c:pt>
                <c:pt idx="56">
                  <c:v>1.1818599907215124E-3</c:v>
                </c:pt>
                <c:pt idx="57">
                  <c:v>1.1818599907215124E-3</c:v>
                </c:pt>
                <c:pt idx="58">
                  <c:v>1.1818599907215124E-3</c:v>
                </c:pt>
                <c:pt idx="59">
                  <c:v>1.1818599907215124E-3</c:v>
                </c:pt>
                <c:pt idx="60">
                  <c:v>1.1818599907215124E-3</c:v>
                </c:pt>
                <c:pt idx="61">
                  <c:v>1.1818599907215124E-3</c:v>
                </c:pt>
                <c:pt idx="62">
                  <c:v>1.1818599907215124E-3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1.0603983628181747E-3</c:v>
                </c:pt>
                <c:pt idx="1">
                  <c:v>1.0630678491457205E-3</c:v>
                </c:pt>
                <c:pt idx="2">
                  <c:v>1.0710763081283583E-3</c:v>
                </c:pt>
                <c:pt idx="3">
                  <c:v>1.0737457944559041E-3</c:v>
                </c:pt>
                <c:pt idx="4">
                  <c:v>1.0764152807834499E-3</c:v>
                </c:pt>
                <c:pt idx="5">
                  <c:v>1.0790847671109959E-3</c:v>
                </c:pt>
                <c:pt idx="6">
                  <c:v>1.0817542534385417E-3</c:v>
                </c:pt>
                <c:pt idx="7">
                  <c:v>1.0897627124211793E-3</c:v>
                </c:pt>
                <c:pt idx="8">
                  <c:v>1.0924321987487253E-3</c:v>
                </c:pt>
                <c:pt idx="9">
                  <c:v>1.0951016850762711E-3</c:v>
                </c:pt>
                <c:pt idx="10">
                  <c:v>1.0977711714038169E-3</c:v>
                </c:pt>
                <c:pt idx="11">
                  <c:v>1.1084491167140005E-3</c:v>
                </c:pt>
                <c:pt idx="12">
                  <c:v>1.1111186030415463E-3</c:v>
                </c:pt>
                <c:pt idx="13">
                  <c:v>1.1137880893690923E-3</c:v>
                </c:pt>
                <c:pt idx="14">
                  <c:v>1.1164575756966381E-3</c:v>
                </c:pt>
                <c:pt idx="15">
                  <c:v>1.1191270620241839E-3</c:v>
                </c:pt>
                <c:pt idx="16">
                  <c:v>1.1271355210068215E-3</c:v>
                </c:pt>
                <c:pt idx="17">
                  <c:v>1.1298050073343675E-3</c:v>
                </c:pt>
                <c:pt idx="18">
                  <c:v>1.1324744936619133E-3</c:v>
                </c:pt>
                <c:pt idx="19">
                  <c:v>1.1351439799894593E-3</c:v>
                </c:pt>
                <c:pt idx="20">
                  <c:v>1.1378134663170051E-3</c:v>
                </c:pt>
                <c:pt idx="21">
                  <c:v>1.1458219252996427E-3</c:v>
                </c:pt>
                <c:pt idx="22">
                  <c:v>1.1484914116271885E-3</c:v>
                </c:pt>
                <c:pt idx="23">
                  <c:v>1.1511608979547345E-3</c:v>
                </c:pt>
                <c:pt idx="24">
                  <c:v>1.1538303842822803E-3</c:v>
                </c:pt>
                <c:pt idx="25">
                  <c:v>1.1564998706098263E-3</c:v>
                </c:pt>
                <c:pt idx="26">
                  <c:v>1.1645083295924639E-3</c:v>
                </c:pt>
                <c:pt idx="27">
                  <c:v>1.1671778159200097E-3</c:v>
                </c:pt>
                <c:pt idx="28">
                  <c:v>1.1698473022475554E-3</c:v>
                </c:pt>
                <c:pt idx="29">
                  <c:v>1.1725167885751015E-3</c:v>
                </c:pt>
                <c:pt idx="30">
                  <c:v>1.1751862749026472E-3</c:v>
                </c:pt>
                <c:pt idx="31">
                  <c:v>1.1831947338852848E-3</c:v>
                </c:pt>
                <c:pt idx="32">
                  <c:v>1.1858642202128308E-3</c:v>
                </c:pt>
                <c:pt idx="33">
                  <c:v>1.1885337065403766E-3</c:v>
                </c:pt>
                <c:pt idx="34">
                  <c:v>1.1912031928679226E-3</c:v>
                </c:pt>
                <c:pt idx="35">
                  <c:v>1.1938726791954684E-3</c:v>
                </c:pt>
                <c:pt idx="36">
                  <c:v>1.201881138178106E-3</c:v>
                </c:pt>
                <c:pt idx="37">
                  <c:v>1.2045506245056518E-3</c:v>
                </c:pt>
                <c:pt idx="38">
                  <c:v>1.2072201108331978E-3</c:v>
                </c:pt>
                <c:pt idx="39">
                  <c:v>1.2098895971607436E-3</c:v>
                </c:pt>
                <c:pt idx="40">
                  <c:v>1.2125590834882894E-3</c:v>
                </c:pt>
                <c:pt idx="41">
                  <c:v>1.2205675424709272E-3</c:v>
                </c:pt>
                <c:pt idx="42">
                  <c:v>1.223237028798473E-3</c:v>
                </c:pt>
                <c:pt idx="43">
                  <c:v>1.2259065151260188E-3</c:v>
                </c:pt>
                <c:pt idx="44">
                  <c:v>1.2285760014535648E-3</c:v>
                </c:pt>
                <c:pt idx="45">
                  <c:v>1.2312454877811106E-3</c:v>
                </c:pt>
                <c:pt idx="46">
                  <c:v>1.2392539467637482E-3</c:v>
                </c:pt>
                <c:pt idx="47">
                  <c:v>1.2419234330912942E-3</c:v>
                </c:pt>
                <c:pt idx="48">
                  <c:v>1.24459291941884E-3</c:v>
                </c:pt>
                <c:pt idx="49">
                  <c:v>1.247262405746386E-3</c:v>
                </c:pt>
                <c:pt idx="50">
                  <c:v>1.2499318920739318E-3</c:v>
                </c:pt>
                <c:pt idx="51">
                  <c:v>1.2579403510565694E-3</c:v>
                </c:pt>
                <c:pt idx="52">
                  <c:v>1.2606098373841152E-3</c:v>
                </c:pt>
                <c:pt idx="53">
                  <c:v>1.2632793237116612E-3</c:v>
                </c:pt>
                <c:pt idx="54">
                  <c:v>1.265948810039207E-3</c:v>
                </c:pt>
                <c:pt idx="55">
                  <c:v>1.2686182963667528E-3</c:v>
                </c:pt>
                <c:pt idx="56">
                  <c:v>1.2766267553493906E-3</c:v>
                </c:pt>
                <c:pt idx="57">
                  <c:v>1.2792962416769364E-3</c:v>
                </c:pt>
                <c:pt idx="58">
                  <c:v>1.2819657280044821E-3</c:v>
                </c:pt>
                <c:pt idx="59">
                  <c:v>1.2846352143320282E-3</c:v>
                </c:pt>
                <c:pt idx="60">
                  <c:v>1.2873047006595739E-3</c:v>
                </c:pt>
                <c:pt idx="61">
                  <c:v>1.2953131596422115E-3</c:v>
                </c:pt>
                <c:pt idx="62">
                  <c:v>1.2979826459697575E-3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1.0722472422351843E-3</c:v>
                </c:pt>
                <c:pt idx="1">
                  <c:v>1.0744182744928238E-3</c:v>
                </c:pt>
                <c:pt idx="2">
                  <c:v>1.0809792450587924E-3</c:v>
                </c:pt>
                <c:pt idx="3">
                  <c:v>1.0831821931784652E-3</c:v>
                </c:pt>
                <c:pt idx="4">
                  <c:v>1.0853931202636463E-3</c:v>
                </c:pt>
                <c:pt idx="5">
                  <c:v>1.0876120263143359E-3</c:v>
                </c:pt>
                <c:pt idx="6">
                  <c:v>1.0898389113305335E-3</c:v>
                </c:pt>
                <c:pt idx="7">
                  <c:v>1.0965674401721764E-3</c:v>
                </c:pt>
                <c:pt idx="8">
                  <c:v>1.0988262410504071E-3</c:v>
                </c:pt>
                <c:pt idx="9">
                  <c:v>1.1010930208941463E-3</c:v>
                </c:pt>
                <c:pt idx="10">
                  <c:v>1.1033677797033937E-3</c:v>
                </c:pt>
                <c:pt idx="11">
                  <c:v>1.1125466045954666E-3</c:v>
                </c:pt>
                <c:pt idx="12">
                  <c:v>1.1148612582322559E-3</c:v>
                </c:pt>
                <c:pt idx="13">
                  <c:v>1.1171838908345532E-3</c:v>
                </c:pt>
                <c:pt idx="14">
                  <c:v>1.1195145024023587E-3</c:v>
                </c:pt>
                <c:pt idx="15">
                  <c:v>1.1218530929356725E-3</c:v>
                </c:pt>
                <c:pt idx="16">
                  <c:v>1.128916738328664E-3</c:v>
                </c:pt>
                <c:pt idx="17">
                  <c:v>1.1312872447240109E-3</c:v>
                </c:pt>
                <c:pt idx="18">
                  <c:v>1.1336657300848665E-3</c:v>
                </c:pt>
                <c:pt idx="19">
                  <c:v>1.1360521944112302E-3</c:v>
                </c:pt>
                <c:pt idx="20">
                  <c:v>1.1384466377031021E-3</c:v>
                </c:pt>
                <c:pt idx="21">
                  <c:v>1.1456778413717679E-3</c:v>
                </c:pt>
                <c:pt idx="22">
                  <c:v>1.1481042005256732E-3</c:v>
                </c:pt>
                <c:pt idx="23">
                  <c:v>1.1505385386450866E-3</c:v>
                </c:pt>
                <c:pt idx="24">
                  <c:v>1.1529808557300086E-3</c:v>
                </c:pt>
                <c:pt idx="25">
                  <c:v>1.1554311517804386E-3</c:v>
                </c:pt>
                <c:pt idx="26">
                  <c:v>1.1628299137247788E-3</c:v>
                </c:pt>
                <c:pt idx="27">
                  <c:v>1.1653121256372421E-3</c:v>
                </c:pt>
                <c:pt idx="28">
                  <c:v>1.1678023165152135E-3</c:v>
                </c:pt>
                <c:pt idx="29">
                  <c:v>1.1703004863586933E-3</c:v>
                </c:pt>
                <c:pt idx="30">
                  <c:v>1.1728066351676817E-3</c:v>
                </c:pt>
                <c:pt idx="31">
                  <c:v>1.1803729553876961E-3</c:v>
                </c:pt>
                <c:pt idx="32">
                  <c:v>1.1829110200587173E-3</c:v>
                </c:pt>
                <c:pt idx="33">
                  <c:v>1.1854570636952472E-3</c:v>
                </c:pt>
                <c:pt idx="34">
                  <c:v>1.1880110862972852E-3</c:v>
                </c:pt>
                <c:pt idx="35">
                  <c:v>1.1905730878648314E-3</c:v>
                </c:pt>
                <c:pt idx="36">
                  <c:v>1.1983069663605201E-3</c:v>
                </c:pt>
                <c:pt idx="37">
                  <c:v>1.2009008837900997E-3</c:v>
                </c:pt>
                <c:pt idx="38">
                  <c:v>1.2035027801851875E-3</c:v>
                </c:pt>
                <c:pt idx="39">
                  <c:v>1.2061126555457837E-3</c:v>
                </c:pt>
                <c:pt idx="40">
                  <c:v>1.2087305098718881E-3</c:v>
                </c:pt>
                <c:pt idx="41">
                  <c:v>1.2166319466432511E-3</c:v>
                </c:pt>
                <c:pt idx="42">
                  <c:v>1.2192817168313885E-3</c:v>
                </c:pt>
                <c:pt idx="43">
                  <c:v>1.2219394659850344E-3</c:v>
                </c:pt>
                <c:pt idx="44">
                  <c:v>1.2246051941041886E-3</c:v>
                </c:pt>
                <c:pt idx="45">
                  <c:v>1.2272789011888512E-3</c:v>
                </c:pt>
                <c:pt idx="46">
                  <c:v>1.2353478962358884E-3</c:v>
                </c:pt>
                <c:pt idx="47">
                  <c:v>1.2380535191825843E-3</c:v>
                </c:pt>
                <c:pt idx="48">
                  <c:v>1.2407671210947883E-3</c:v>
                </c:pt>
                <c:pt idx="49">
                  <c:v>1.2434887019725006E-3</c:v>
                </c:pt>
                <c:pt idx="50">
                  <c:v>1.2462182618157211E-3</c:v>
                </c:pt>
                <c:pt idx="51">
                  <c:v>1.2544548151384328E-3</c:v>
                </c:pt>
                <c:pt idx="52">
                  <c:v>1.2572162908436866E-3</c:v>
                </c:pt>
                <c:pt idx="53">
                  <c:v>1.2599857455144489E-3</c:v>
                </c:pt>
                <c:pt idx="54">
                  <c:v>1.2627631791507193E-3</c:v>
                </c:pt>
                <c:pt idx="55">
                  <c:v>1.2655485917524979E-3</c:v>
                </c:pt>
                <c:pt idx="56">
                  <c:v>1.2739527033508839E-3</c:v>
                </c:pt>
                <c:pt idx="57">
                  <c:v>1.2767700318146956E-3</c:v>
                </c:pt>
                <c:pt idx="58">
                  <c:v>1.2795953392440158E-3</c:v>
                </c:pt>
                <c:pt idx="59">
                  <c:v>1.2824286256388443E-3</c:v>
                </c:pt>
                <c:pt idx="60">
                  <c:v>1.2852698909991812E-3</c:v>
                </c:pt>
                <c:pt idx="61">
                  <c:v>1.2938415608732415E-3</c:v>
                </c:pt>
                <c:pt idx="62">
                  <c:v>1.2967147420956115E-3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935616"/>
        <c:axId val="599941504"/>
      </c:lineChart>
      <c:dateAx>
        <c:axId val="599935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9941504"/>
        <c:crosses val="autoZero"/>
        <c:auto val="1"/>
        <c:lblOffset val="100"/>
        <c:baseTimeUnit val="days"/>
      </c:dateAx>
      <c:valAx>
        <c:axId val="599941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9935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'6MSynthDepo'!$AJ$2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2.0477974016661158E-3</c:v>
                </c:pt>
                <c:pt idx="1">
                  <c:v>2.0477974016661158E-3</c:v>
                </c:pt>
                <c:pt idx="2">
                  <c:v>2.0477974016661158E-3</c:v>
                </c:pt>
                <c:pt idx="3">
                  <c:v>2.0477974016661158E-3</c:v>
                </c:pt>
                <c:pt idx="4">
                  <c:v>2.0477974016661158E-3</c:v>
                </c:pt>
                <c:pt idx="5">
                  <c:v>2.0477974016661158E-3</c:v>
                </c:pt>
                <c:pt idx="6">
                  <c:v>2.0477974016661158E-3</c:v>
                </c:pt>
                <c:pt idx="7">
                  <c:v>2.0477974016661158E-3</c:v>
                </c:pt>
                <c:pt idx="8">
                  <c:v>2.0477974016661158E-3</c:v>
                </c:pt>
                <c:pt idx="9">
                  <c:v>2.0477974016661158E-3</c:v>
                </c:pt>
                <c:pt idx="10">
                  <c:v>2.0477974016661158E-3</c:v>
                </c:pt>
                <c:pt idx="11">
                  <c:v>2.0477974016661158E-3</c:v>
                </c:pt>
                <c:pt idx="12">
                  <c:v>2.0477974016661158E-3</c:v>
                </c:pt>
                <c:pt idx="13">
                  <c:v>2.0477974016661158E-3</c:v>
                </c:pt>
                <c:pt idx="14">
                  <c:v>2.0477974016661158E-3</c:v>
                </c:pt>
                <c:pt idx="15">
                  <c:v>2.0477974016661158E-3</c:v>
                </c:pt>
                <c:pt idx="16">
                  <c:v>2.0477974016661158E-3</c:v>
                </c:pt>
                <c:pt idx="17">
                  <c:v>2.0477974016661158E-3</c:v>
                </c:pt>
                <c:pt idx="18">
                  <c:v>2.0477974016661158E-3</c:v>
                </c:pt>
                <c:pt idx="19">
                  <c:v>2.0477974016661158E-3</c:v>
                </c:pt>
                <c:pt idx="20">
                  <c:v>2.0477974016661158E-3</c:v>
                </c:pt>
                <c:pt idx="21">
                  <c:v>2.0477974016661158E-3</c:v>
                </c:pt>
                <c:pt idx="22">
                  <c:v>2.0477974016661158E-3</c:v>
                </c:pt>
                <c:pt idx="23">
                  <c:v>2.0477974016661158E-3</c:v>
                </c:pt>
                <c:pt idx="24">
                  <c:v>2.0477974016661158E-3</c:v>
                </c:pt>
                <c:pt idx="25">
                  <c:v>2.0477974016661158E-3</c:v>
                </c:pt>
                <c:pt idx="26">
                  <c:v>2.0477974016661158E-3</c:v>
                </c:pt>
                <c:pt idx="27">
                  <c:v>2.0477974016661158E-3</c:v>
                </c:pt>
                <c:pt idx="28">
                  <c:v>2.0477974016661158E-3</c:v>
                </c:pt>
                <c:pt idx="29">
                  <c:v>2.0477974016661158E-3</c:v>
                </c:pt>
                <c:pt idx="30">
                  <c:v>2.0477974016661158E-3</c:v>
                </c:pt>
                <c:pt idx="31">
                  <c:v>2.0477974016661158E-3</c:v>
                </c:pt>
                <c:pt idx="32">
                  <c:v>2.0477974016661158E-3</c:v>
                </c:pt>
                <c:pt idx="33">
                  <c:v>2.0477974016661158E-3</c:v>
                </c:pt>
                <c:pt idx="34">
                  <c:v>2.0477974016661158E-3</c:v>
                </c:pt>
                <c:pt idx="35">
                  <c:v>2.0477974016661158E-3</c:v>
                </c:pt>
                <c:pt idx="36">
                  <c:v>2.0477974016661158E-3</c:v>
                </c:pt>
                <c:pt idx="37">
                  <c:v>2.0477974016661158E-3</c:v>
                </c:pt>
                <c:pt idx="38">
                  <c:v>2.0477974016661158E-3</c:v>
                </c:pt>
                <c:pt idx="39">
                  <c:v>2.0477974016661158E-3</c:v>
                </c:pt>
                <c:pt idx="40">
                  <c:v>2.0477974016661158E-3</c:v>
                </c:pt>
                <c:pt idx="41">
                  <c:v>2.0477974016661158E-3</c:v>
                </c:pt>
                <c:pt idx="42">
                  <c:v>2.0477974016661158E-3</c:v>
                </c:pt>
                <c:pt idx="43">
                  <c:v>2.0477974016661158E-3</c:v>
                </c:pt>
                <c:pt idx="44">
                  <c:v>2.0477974016661158E-3</c:v>
                </c:pt>
                <c:pt idx="45">
                  <c:v>2.0477974016661158E-3</c:v>
                </c:pt>
                <c:pt idx="46">
                  <c:v>2.0477974016661158E-3</c:v>
                </c:pt>
                <c:pt idx="47">
                  <c:v>2.0477974016661158E-3</c:v>
                </c:pt>
                <c:pt idx="48">
                  <c:v>2.0477974016661158E-3</c:v>
                </c:pt>
                <c:pt idx="49">
                  <c:v>2.0477974016661158E-3</c:v>
                </c:pt>
                <c:pt idx="50">
                  <c:v>2.0477974016661158E-3</c:v>
                </c:pt>
                <c:pt idx="51">
                  <c:v>2.0477974016661158E-3</c:v>
                </c:pt>
                <c:pt idx="52">
                  <c:v>2.0477974016661158E-3</c:v>
                </c:pt>
                <c:pt idx="53">
                  <c:v>2.0477974016661158E-3</c:v>
                </c:pt>
                <c:pt idx="54">
                  <c:v>2.0477974016661158E-3</c:v>
                </c:pt>
                <c:pt idx="55">
                  <c:v>2.0477974016661158E-3</c:v>
                </c:pt>
                <c:pt idx="56">
                  <c:v>2.0477974016661158E-3</c:v>
                </c:pt>
                <c:pt idx="57">
                  <c:v>2.0477974016661158E-3</c:v>
                </c:pt>
                <c:pt idx="58">
                  <c:v>2.0477974016661158E-3</c:v>
                </c:pt>
                <c:pt idx="59">
                  <c:v>2.0477974016661158E-3</c:v>
                </c:pt>
                <c:pt idx="60">
                  <c:v>2.0477974016661158E-3</c:v>
                </c:pt>
                <c:pt idx="61">
                  <c:v>2.0477974016661158E-3</c:v>
                </c:pt>
                <c:pt idx="62">
                  <c:v>2.0477974016661158E-3</c:v>
                </c:pt>
                <c:pt idx="63">
                  <c:v>2.0477974016661158E-3</c:v>
                </c:pt>
                <c:pt idx="64">
                  <c:v>2.0477974016661158E-3</c:v>
                </c:pt>
                <c:pt idx="65">
                  <c:v>2.0477974016661158E-3</c:v>
                </c:pt>
                <c:pt idx="66">
                  <c:v>2.0477974016661158E-3</c:v>
                </c:pt>
                <c:pt idx="67">
                  <c:v>2.0477974016661158E-3</c:v>
                </c:pt>
                <c:pt idx="68">
                  <c:v>2.0477974016661158E-3</c:v>
                </c:pt>
                <c:pt idx="69">
                  <c:v>2.0477974016661158E-3</c:v>
                </c:pt>
                <c:pt idx="70">
                  <c:v>2.0477974016661158E-3</c:v>
                </c:pt>
                <c:pt idx="71">
                  <c:v>2.0477974016661158E-3</c:v>
                </c:pt>
                <c:pt idx="72">
                  <c:v>2.0477974016661158E-3</c:v>
                </c:pt>
                <c:pt idx="73">
                  <c:v>2.0477974016661158E-3</c:v>
                </c:pt>
                <c:pt idx="74">
                  <c:v>2.0477974016661158E-3</c:v>
                </c:pt>
                <c:pt idx="75">
                  <c:v>2.0477974016661158E-3</c:v>
                </c:pt>
                <c:pt idx="76">
                  <c:v>2.0477974016661158E-3</c:v>
                </c:pt>
                <c:pt idx="77">
                  <c:v>2.0477974016661158E-3</c:v>
                </c:pt>
                <c:pt idx="78">
                  <c:v>2.0477974016661158E-3</c:v>
                </c:pt>
                <c:pt idx="79">
                  <c:v>2.0477974016661158E-3</c:v>
                </c:pt>
                <c:pt idx="80">
                  <c:v>2.0477974016661158E-3</c:v>
                </c:pt>
                <c:pt idx="81">
                  <c:v>2.0477974016661158E-3</c:v>
                </c:pt>
                <c:pt idx="82">
                  <c:v>2.0477974016661158E-3</c:v>
                </c:pt>
                <c:pt idx="83">
                  <c:v>2.0477974016661158E-3</c:v>
                </c:pt>
                <c:pt idx="84">
                  <c:v>2.0477974016661158E-3</c:v>
                </c:pt>
                <c:pt idx="85">
                  <c:v>2.0477974016661158E-3</c:v>
                </c:pt>
                <c:pt idx="86">
                  <c:v>2.0477974016661158E-3</c:v>
                </c:pt>
                <c:pt idx="87">
                  <c:v>2.0477974016661158E-3</c:v>
                </c:pt>
                <c:pt idx="88">
                  <c:v>2.0477974016661158E-3</c:v>
                </c:pt>
                <c:pt idx="89">
                  <c:v>2.0477974016661158E-3</c:v>
                </c:pt>
                <c:pt idx="90">
                  <c:v>2.0477974016661158E-3</c:v>
                </c:pt>
                <c:pt idx="91">
                  <c:v>2.0477974016661158E-3</c:v>
                </c:pt>
                <c:pt idx="92">
                  <c:v>2.0477974016661158E-3</c:v>
                </c:pt>
                <c:pt idx="93">
                  <c:v>2.0477974016661158E-3</c:v>
                </c:pt>
                <c:pt idx="94">
                  <c:v>2.0477974016661158E-3</c:v>
                </c:pt>
                <c:pt idx="95">
                  <c:v>2.0477974016661158E-3</c:v>
                </c:pt>
                <c:pt idx="96">
                  <c:v>2.0477974016661158E-3</c:v>
                </c:pt>
                <c:pt idx="97">
                  <c:v>2.0477974016661158E-3</c:v>
                </c:pt>
                <c:pt idx="98">
                  <c:v>2.0477974016661158E-3</c:v>
                </c:pt>
                <c:pt idx="99">
                  <c:v>2.0477974016661158E-3</c:v>
                </c:pt>
                <c:pt idx="100">
                  <c:v>2.0477974016661158E-3</c:v>
                </c:pt>
                <c:pt idx="101">
                  <c:v>2.0477974016661158E-3</c:v>
                </c:pt>
                <c:pt idx="102">
                  <c:v>2.0477974016661158E-3</c:v>
                </c:pt>
                <c:pt idx="103">
                  <c:v>2.0477974016661158E-3</c:v>
                </c:pt>
                <c:pt idx="104">
                  <c:v>2.0477974016661158E-3</c:v>
                </c:pt>
                <c:pt idx="105">
                  <c:v>2.0477974016661158E-3</c:v>
                </c:pt>
                <c:pt idx="106">
                  <c:v>2.0477974016661158E-3</c:v>
                </c:pt>
                <c:pt idx="107">
                  <c:v>2.0477974016661158E-3</c:v>
                </c:pt>
                <c:pt idx="108">
                  <c:v>2.0477974016661158E-3</c:v>
                </c:pt>
                <c:pt idx="109">
                  <c:v>2.0477974016661158E-3</c:v>
                </c:pt>
                <c:pt idx="110">
                  <c:v>2.0477974016661158E-3</c:v>
                </c:pt>
                <c:pt idx="111">
                  <c:v>2.0477974016661158E-3</c:v>
                </c:pt>
                <c:pt idx="112">
                  <c:v>2.0477974016661158E-3</c:v>
                </c:pt>
                <c:pt idx="113">
                  <c:v>2.0477974016661158E-3</c:v>
                </c:pt>
                <c:pt idx="114">
                  <c:v>2.0477974016661158E-3</c:v>
                </c:pt>
                <c:pt idx="115">
                  <c:v>2.0477974016661158E-3</c:v>
                </c:pt>
                <c:pt idx="116">
                  <c:v>2.0477974016661158E-3</c:v>
                </c:pt>
                <c:pt idx="117">
                  <c:v>2.0477974016661158E-3</c:v>
                </c:pt>
                <c:pt idx="118">
                  <c:v>2.0477974016661158E-3</c:v>
                </c:pt>
                <c:pt idx="119">
                  <c:v>2.0477974016661158E-3</c:v>
                </c:pt>
                <c:pt idx="120">
                  <c:v>2.0477974016661158E-3</c:v>
                </c:pt>
                <c:pt idx="121">
                  <c:v>2.0477974016661158E-3</c:v>
                </c:pt>
                <c:pt idx="122">
                  <c:v>2.0477974016661158E-3</c:v>
                </c:pt>
                <c:pt idx="123">
                  <c:v>2.0477974016661158E-3</c:v>
                </c:pt>
                <c:pt idx="124">
                  <c:v>2.0477974016661158E-3</c:v>
                </c:pt>
                <c:pt idx="125">
                  <c:v>2.0477974016661158E-3</c:v>
                </c:pt>
                <c:pt idx="126">
                  <c:v>2.0477974016661158E-3</c:v>
                </c:pt>
                <c:pt idx="127">
                  <c:v>2.0477974016661158E-3</c:v>
                </c:pt>
                <c:pt idx="128">
                  <c:v>2.0477974016661158E-3</c:v>
                </c:pt>
                <c:pt idx="129">
                  <c:v>2.0477974016661158E-3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'6MSynthDepo'!$AK$2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</c:numCache>
            </c:numRef>
          </c:cat>
          <c:val>
            <c:numRef>
              <c:f>'6MSynthDepo'!$AK$3:$AK$132</c:f>
              <c:numCache>
                <c:formatCode>0.0000%</c:formatCode>
                <c:ptCount val="130"/>
                <c:pt idx="0">
                  <c:v>1.8040073610751575E-3</c:v>
                </c:pt>
                <c:pt idx="1">
                  <c:v>1.8059734097896007E-3</c:v>
                </c:pt>
                <c:pt idx="2">
                  <c:v>1.8118715559329304E-3</c:v>
                </c:pt>
                <c:pt idx="3">
                  <c:v>1.8138376046473736E-3</c:v>
                </c:pt>
                <c:pt idx="4">
                  <c:v>1.8158036533618169E-3</c:v>
                </c:pt>
                <c:pt idx="5">
                  <c:v>1.8177697020762601E-3</c:v>
                </c:pt>
                <c:pt idx="6">
                  <c:v>1.8197357507907031E-3</c:v>
                </c:pt>
                <c:pt idx="7">
                  <c:v>1.8256338969340328E-3</c:v>
                </c:pt>
                <c:pt idx="8">
                  <c:v>1.827599945648476E-3</c:v>
                </c:pt>
                <c:pt idx="9">
                  <c:v>1.8295659943629193E-3</c:v>
                </c:pt>
                <c:pt idx="10">
                  <c:v>1.8315320430773625E-3</c:v>
                </c:pt>
                <c:pt idx="11">
                  <c:v>1.8393962379351354E-3</c:v>
                </c:pt>
                <c:pt idx="12">
                  <c:v>1.8413622866495787E-3</c:v>
                </c:pt>
                <c:pt idx="13">
                  <c:v>1.8433283353640219E-3</c:v>
                </c:pt>
                <c:pt idx="14">
                  <c:v>1.8452943840784651E-3</c:v>
                </c:pt>
                <c:pt idx="15">
                  <c:v>1.8472604327929084E-3</c:v>
                </c:pt>
                <c:pt idx="16">
                  <c:v>1.8531585789362379E-3</c:v>
                </c:pt>
                <c:pt idx="17">
                  <c:v>1.8551246276506811E-3</c:v>
                </c:pt>
                <c:pt idx="18">
                  <c:v>1.8570906763651243E-3</c:v>
                </c:pt>
                <c:pt idx="19">
                  <c:v>1.8590567250795676E-3</c:v>
                </c:pt>
                <c:pt idx="20">
                  <c:v>1.8610227737940108E-3</c:v>
                </c:pt>
                <c:pt idx="21">
                  <c:v>1.8669209199373405E-3</c:v>
                </c:pt>
                <c:pt idx="22">
                  <c:v>1.8688869686517837E-3</c:v>
                </c:pt>
                <c:pt idx="23">
                  <c:v>1.870853017366227E-3</c:v>
                </c:pt>
                <c:pt idx="24">
                  <c:v>1.8728190660806702E-3</c:v>
                </c:pt>
                <c:pt idx="25">
                  <c:v>1.8747851147951134E-3</c:v>
                </c:pt>
                <c:pt idx="26">
                  <c:v>1.8806832609384429E-3</c:v>
                </c:pt>
                <c:pt idx="27">
                  <c:v>1.8826493096528861E-3</c:v>
                </c:pt>
                <c:pt idx="28">
                  <c:v>1.8846153583673294E-3</c:v>
                </c:pt>
                <c:pt idx="29">
                  <c:v>1.8865814070817726E-3</c:v>
                </c:pt>
                <c:pt idx="30">
                  <c:v>1.8885474557962158E-3</c:v>
                </c:pt>
                <c:pt idx="31">
                  <c:v>1.8944456019395455E-3</c:v>
                </c:pt>
                <c:pt idx="32">
                  <c:v>1.8964116506539888E-3</c:v>
                </c:pt>
                <c:pt idx="33">
                  <c:v>1.898377699368432E-3</c:v>
                </c:pt>
                <c:pt idx="34">
                  <c:v>1.9003437480828752E-3</c:v>
                </c:pt>
                <c:pt idx="35">
                  <c:v>1.9023097967973185E-3</c:v>
                </c:pt>
                <c:pt idx="36">
                  <c:v>1.9082079429406482E-3</c:v>
                </c:pt>
                <c:pt idx="37">
                  <c:v>1.9101739916550912E-3</c:v>
                </c:pt>
                <c:pt idx="38">
                  <c:v>1.9121400403695344E-3</c:v>
                </c:pt>
                <c:pt idx="39">
                  <c:v>1.9141060890839777E-3</c:v>
                </c:pt>
                <c:pt idx="40">
                  <c:v>1.9160721377984209E-3</c:v>
                </c:pt>
                <c:pt idx="41">
                  <c:v>1.9219702839417506E-3</c:v>
                </c:pt>
                <c:pt idx="42">
                  <c:v>1.9239363326561938E-3</c:v>
                </c:pt>
                <c:pt idx="43">
                  <c:v>1.9259023813706371E-3</c:v>
                </c:pt>
                <c:pt idx="44">
                  <c:v>1.9278684300850803E-3</c:v>
                </c:pt>
                <c:pt idx="45">
                  <c:v>1.9298344787995235E-3</c:v>
                </c:pt>
                <c:pt idx="46">
                  <c:v>1.935732624942853E-3</c:v>
                </c:pt>
                <c:pt idx="47">
                  <c:v>1.9376986736572965E-3</c:v>
                </c:pt>
                <c:pt idx="48">
                  <c:v>1.9396647223717395E-3</c:v>
                </c:pt>
                <c:pt idx="49">
                  <c:v>1.9416307710861827E-3</c:v>
                </c:pt>
                <c:pt idx="50">
                  <c:v>1.9435968198006259E-3</c:v>
                </c:pt>
                <c:pt idx="51">
                  <c:v>1.9494949659439556E-3</c:v>
                </c:pt>
                <c:pt idx="52">
                  <c:v>1.9514610146583989E-3</c:v>
                </c:pt>
                <c:pt idx="53">
                  <c:v>1.9534270633728419E-3</c:v>
                </c:pt>
                <c:pt idx="54">
                  <c:v>1.9553931120872853E-3</c:v>
                </c:pt>
                <c:pt idx="55">
                  <c:v>1.9573591608017284E-3</c:v>
                </c:pt>
                <c:pt idx="56">
                  <c:v>1.9632573069450583E-3</c:v>
                </c:pt>
                <c:pt idx="57">
                  <c:v>1.9652233556595013E-3</c:v>
                </c:pt>
                <c:pt idx="58">
                  <c:v>1.9671894043739447E-3</c:v>
                </c:pt>
                <c:pt idx="59">
                  <c:v>1.9691554530883878E-3</c:v>
                </c:pt>
                <c:pt idx="60">
                  <c:v>1.9711215018028312E-3</c:v>
                </c:pt>
                <c:pt idx="61">
                  <c:v>1.9770196479461607E-3</c:v>
                </c:pt>
                <c:pt idx="62">
                  <c:v>1.9789856966606042E-3</c:v>
                </c:pt>
                <c:pt idx="63">
                  <c:v>1.9809517453750472E-3</c:v>
                </c:pt>
                <c:pt idx="64">
                  <c:v>1.9829177940894902E-3</c:v>
                </c:pt>
                <c:pt idx="65">
                  <c:v>1.9848838428039336E-3</c:v>
                </c:pt>
                <c:pt idx="66">
                  <c:v>1.9907819889472631E-3</c:v>
                </c:pt>
                <c:pt idx="67">
                  <c:v>1.9927480376617066E-3</c:v>
                </c:pt>
                <c:pt idx="68">
                  <c:v>1.9947140863761496E-3</c:v>
                </c:pt>
                <c:pt idx="69">
                  <c:v>1.996680135090593E-3</c:v>
                </c:pt>
                <c:pt idx="70">
                  <c:v>1.9986461838050361E-3</c:v>
                </c:pt>
                <c:pt idx="71">
                  <c:v>2.004544329948366E-3</c:v>
                </c:pt>
                <c:pt idx="72">
                  <c:v>2.006510378662809E-3</c:v>
                </c:pt>
                <c:pt idx="73">
                  <c:v>2.008476427377252E-3</c:v>
                </c:pt>
                <c:pt idx="74">
                  <c:v>2.0104424760916955E-3</c:v>
                </c:pt>
                <c:pt idx="75">
                  <c:v>2.0124085248061389E-3</c:v>
                </c:pt>
                <c:pt idx="76">
                  <c:v>2.0183066709494684E-3</c:v>
                </c:pt>
                <c:pt idx="77">
                  <c:v>2.0202727196639114E-3</c:v>
                </c:pt>
                <c:pt idx="78">
                  <c:v>2.0222387683783549E-3</c:v>
                </c:pt>
                <c:pt idx="79">
                  <c:v>2.0242048170927979E-3</c:v>
                </c:pt>
                <c:pt idx="80">
                  <c:v>2.0261708658072413E-3</c:v>
                </c:pt>
                <c:pt idx="81">
                  <c:v>2.0320690119505708E-3</c:v>
                </c:pt>
                <c:pt idx="82">
                  <c:v>2.0340350606650143E-3</c:v>
                </c:pt>
                <c:pt idx="83">
                  <c:v>2.0360011093794573E-3</c:v>
                </c:pt>
                <c:pt idx="84">
                  <c:v>2.0379671580939007E-3</c:v>
                </c:pt>
                <c:pt idx="85">
                  <c:v>2.0399332068083437E-3</c:v>
                </c:pt>
                <c:pt idx="86">
                  <c:v>2.0458313529516732E-3</c:v>
                </c:pt>
                <c:pt idx="87">
                  <c:v>2.0477974016661167E-3</c:v>
                </c:pt>
                <c:pt idx="88">
                  <c:v>2.0497634503805597E-3</c:v>
                </c:pt>
                <c:pt idx="89">
                  <c:v>2.0517294990950031E-3</c:v>
                </c:pt>
                <c:pt idx="90">
                  <c:v>2.0536955478094462E-3</c:v>
                </c:pt>
                <c:pt idx="91">
                  <c:v>2.0595936939527761E-3</c:v>
                </c:pt>
                <c:pt idx="92">
                  <c:v>2.0615597426672191E-3</c:v>
                </c:pt>
                <c:pt idx="93">
                  <c:v>2.0635257913816625E-3</c:v>
                </c:pt>
                <c:pt idx="94">
                  <c:v>2.0654918400961056E-3</c:v>
                </c:pt>
                <c:pt idx="95">
                  <c:v>2.0674578888105486E-3</c:v>
                </c:pt>
                <c:pt idx="96">
                  <c:v>2.0733560349538785E-3</c:v>
                </c:pt>
                <c:pt idx="97">
                  <c:v>2.0753220836683215E-3</c:v>
                </c:pt>
                <c:pt idx="98">
                  <c:v>2.077288132382765E-3</c:v>
                </c:pt>
                <c:pt idx="99">
                  <c:v>2.079254181097208E-3</c:v>
                </c:pt>
                <c:pt idx="100">
                  <c:v>2.0812202298116514E-3</c:v>
                </c:pt>
                <c:pt idx="101">
                  <c:v>2.0871183759549809E-3</c:v>
                </c:pt>
                <c:pt idx="102">
                  <c:v>2.0890844246694244E-3</c:v>
                </c:pt>
                <c:pt idx="103">
                  <c:v>2.0910504733838674E-3</c:v>
                </c:pt>
                <c:pt idx="104">
                  <c:v>2.0930165220983108E-3</c:v>
                </c:pt>
                <c:pt idx="105">
                  <c:v>2.0949825708127538E-3</c:v>
                </c:pt>
                <c:pt idx="106">
                  <c:v>2.1008807169560833E-3</c:v>
                </c:pt>
                <c:pt idx="107">
                  <c:v>2.1028467656705268E-3</c:v>
                </c:pt>
                <c:pt idx="108">
                  <c:v>2.1048128143849698E-3</c:v>
                </c:pt>
                <c:pt idx="109">
                  <c:v>2.1067788630994132E-3</c:v>
                </c:pt>
                <c:pt idx="110">
                  <c:v>2.1087449118138563E-3</c:v>
                </c:pt>
                <c:pt idx="111">
                  <c:v>2.1146430579571862E-3</c:v>
                </c:pt>
                <c:pt idx="112">
                  <c:v>2.1166091066716292E-3</c:v>
                </c:pt>
                <c:pt idx="113">
                  <c:v>2.1185751553860726E-3</c:v>
                </c:pt>
                <c:pt idx="114">
                  <c:v>2.1205412041005157E-3</c:v>
                </c:pt>
                <c:pt idx="115">
                  <c:v>2.1225072528149591E-3</c:v>
                </c:pt>
                <c:pt idx="116">
                  <c:v>2.1284053989582886E-3</c:v>
                </c:pt>
                <c:pt idx="117">
                  <c:v>2.130371447672732E-3</c:v>
                </c:pt>
                <c:pt idx="118">
                  <c:v>2.1323374963871751E-3</c:v>
                </c:pt>
                <c:pt idx="119">
                  <c:v>2.1343035451016181E-3</c:v>
                </c:pt>
                <c:pt idx="120">
                  <c:v>2.1362695938160615E-3</c:v>
                </c:pt>
                <c:pt idx="121">
                  <c:v>2.142167739959391E-3</c:v>
                </c:pt>
                <c:pt idx="122">
                  <c:v>2.1441337886738345E-3</c:v>
                </c:pt>
                <c:pt idx="123">
                  <c:v>2.1460998373882775E-3</c:v>
                </c:pt>
                <c:pt idx="124">
                  <c:v>2.1480658861027209E-3</c:v>
                </c:pt>
                <c:pt idx="125">
                  <c:v>2.1500319348171639E-3</c:v>
                </c:pt>
                <c:pt idx="126">
                  <c:v>2.1559300809604939E-3</c:v>
                </c:pt>
                <c:pt idx="127">
                  <c:v>2.1578961296749369E-3</c:v>
                </c:pt>
                <c:pt idx="128">
                  <c:v>2.1598621783893799E-3</c:v>
                </c:pt>
                <c:pt idx="129">
                  <c:v>2.1618282271038233E-3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'6MSynthDepo'!$AL$2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'6MSynthDepo'!$AH$3:$AH$132</c:f>
              <c:numCache>
                <c:formatCode>ddd\,\ dd\-mmm\-yyyy</c:formatCode>
                <c:ptCount val="13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</c:numCache>
            </c:numRef>
          </c:cat>
          <c:val>
            <c:numRef>
              <c:f>'6MSynthDepo'!$AL$3:$AL$132</c:f>
              <c:numCache>
                <c:formatCode>0.0000%</c:formatCode>
                <c:ptCount val="130"/>
                <c:pt idx="0">
                  <c:v>1.2051104266218929E-3</c:v>
                </c:pt>
                <c:pt idx="1">
                  <c:v>1.2173771475389864E-3</c:v>
                </c:pt>
                <c:pt idx="2">
                  <c:v>1.2537268877326805E-3</c:v>
                </c:pt>
                <c:pt idx="3">
                  <c:v>1.2656933269447166E-3</c:v>
                </c:pt>
                <c:pt idx="4">
                  <c:v>1.2775846957304882E-3</c:v>
                </c:pt>
                <c:pt idx="5">
                  <c:v>1.2894009940899957E-3</c:v>
                </c:pt>
                <c:pt idx="6">
                  <c:v>1.3011422220232387E-3</c:v>
                </c:pt>
                <c:pt idx="7">
                  <c:v>1.3359154832653819E-3</c:v>
                </c:pt>
                <c:pt idx="8">
                  <c:v>1.3473564294935677E-3</c:v>
                </c:pt>
                <c:pt idx="9">
                  <c:v>1.3587223052954891E-3</c:v>
                </c:pt>
                <c:pt idx="10">
                  <c:v>1.3700131106711463E-3</c:v>
                </c:pt>
                <c:pt idx="11">
                  <c:v>1.414425627911131E-3</c:v>
                </c:pt>
                <c:pt idx="12">
                  <c:v>1.4253410811554664E-3</c:v>
                </c:pt>
                <c:pt idx="13">
                  <c:v>1.4361814639735375E-3</c:v>
                </c:pt>
                <c:pt idx="14">
                  <c:v>1.4469467763653444E-3</c:v>
                </c:pt>
                <c:pt idx="15">
                  <c:v>1.4576370183308864E-3</c:v>
                </c:pt>
                <c:pt idx="16">
                  <c:v>1.4892573216699278E-3</c:v>
                </c:pt>
                <c:pt idx="17">
                  <c:v>1.4996472819304128E-3</c:v>
                </c:pt>
                <c:pt idx="18">
                  <c:v>1.5099621717646334E-3</c:v>
                </c:pt>
                <c:pt idx="19">
                  <c:v>1.5202019911725899E-3</c:v>
                </c:pt>
                <c:pt idx="20">
                  <c:v>1.5303667401542821E-3</c:v>
                </c:pt>
                <c:pt idx="21">
                  <c:v>1.560410564541772E-3</c:v>
                </c:pt>
                <c:pt idx="22">
                  <c:v>1.5702750318184069E-3</c:v>
                </c:pt>
                <c:pt idx="23">
                  <c:v>1.5800644286687773E-3</c:v>
                </c:pt>
                <c:pt idx="24">
                  <c:v>1.5897787550928832E-3</c:v>
                </c:pt>
                <c:pt idx="25">
                  <c:v>1.5994180110907249E-3</c:v>
                </c:pt>
                <c:pt idx="26">
                  <c:v>1.6278853565266642E-3</c:v>
                </c:pt>
                <c:pt idx="27">
                  <c:v>1.6372243308194485E-3</c:v>
                </c:pt>
                <c:pt idx="28">
                  <c:v>1.6464882346859686E-3</c:v>
                </c:pt>
                <c:pt idx="29">
                  <c:v>1.6556770681262242E-3</c:v>
                </c:pt>
                <c:pt idx="30">
                  <c:v>1.6647908311402154E-3</c:v>
                </c:pt>
                <c:pt idx="31">
                  <c:v>1.6916816976246035E-3</c:v>
                </c:pt>
                <c:pt idx="32">
                  <c:v>1.7004951789335377E-3</c:v>
                </c:pt>
                <c:pt idx="33">
                  <c:v>1.7092335898162073E-3</c:v>
                </c:pt>
                <c:pt idx="34">
                  <c:v>1.7178969302726129E-3</c:v>
                </c:pt>
                <c:pt idx="35">
                  <c:v>1.7264852003027538E-3</c:v>
                </c:pt>
                <c:pt idx="36">
                  <c:v>1.7517995878355908E-3</c:v>
                </c:pt>
                <c:pt idx="37">
                  <c:v>1.7600875761606743E-3</c:v>
                </c:pt>
                <c:pt idx="38">
                  <c:v>1.768300494059494E-3</c:v>
                </c:pt>
                <c:pt idx="39">
                  <c:v>1.7764383415320489E-3</c:v>
                </c:pt>
                <c:pt idx="40">
                  <c:v>1.7845011185783396E-3</c:v>
                </c:pt>
                <c:pt idx="41">
                  <c:v>1.8082390271596256E-3</c:v>
                </c:pt>
                <c:pt idx="42">
                  <c:v>1.816001522500859E-3</c:v>
                </c:pt>
                <c:pt idx="43">
                  <c:v>1.8236889474158283E-3</c:v>
                </c:pt>
                <c:pt idx="44">
                  <c:v>1.8313013019045329E-3</c:v>
                </c:pt>
                <c:pt idx="45">
                  <c:v>1.8388385859669731E-3</c:v>
                </c:pt>
                <c:pt idx="46">
                  <c:v>1.861000015596708E-3</c:v>
                </c:pt>
                <c:pt idx="47">
                  <c:v>1.8682370179540914E-3</c:v>
                </c:pt>
                <c:pt idx="48">
                  <c:v>1.8753989498852099E-3</c:v>
                </c:pt>
                <c:pt idx="49">
                  <c:v>1.882485811390064E-3</c:v>
                </c:pt>
                <c:pt idx="50">
                  <c:v>1.8894976024686544E-3</c:v>
                </c:pt>
                <c:pt idx="51">
                  <c:v>1.9100825531468382E-3</c:v>
                </c:pt>
                <c:pt idx="52">
                  <c:v>1.9167940625203711E-3</c:v>
                </c:pt>
                <c:pt idx="53">
                  <c:v>1.9234305014676394E-3</c:v>
                </c:pt>
                <c:pt idx="54">
                  <c:v>1.9299918699886432E-3</c:v>
                </c:pt>
                <c:pt idx="55">
                  <c:v>1.9364781680833831E-3</c:v>
                </c:pt>
                <c:pt idx="56">
                  <c:v>1.9554866398100159E-3</c:v>
                </c:pt>
                <c:pt idx="57">
                  <c:v>1.9616726561996981E-3</c:v>
                </c:pt>
                <c:pt idx="58">
                  <c:v>1.9677836021631161E-3</c:v>
                </c:pt>
                <c:pt idx="59">
                  <c:v>1.9738194777002699E-3</c:v>
                </c:pt>
                <c:pt idx="60">
                  <c:v>1.979780282811159E-3</c:v>
                </c:pt>
                <c:pt idx="61">
                  <c:v>1.9972122755862413E-3</c:v>
                </c:pt>
                <c:pt idx="62">
                  <c:v>2.0028727989920727E-3</c:v>
                </c:pt>
                <c:pt idx="63">
                  <c:v>2.0084582519716409E-3</c:v>
                </c:pt>
                <c:pt idx="64">
                  <c:v>2.0139686345249444E-3</c:v>
                </c:pt>
                <c:pt idx="65">
                  <c:v>2.0194039466519828E-3</c:v>
                </c:pt>
                <c:pt idx="66">
                  <c:v>2.0352594604755143E-3</c:v>
                </c:pt>
                <c:pt idx="67">
                  <c:v>2.0403944908974959E-3</c:v>
                </c:pt>
                <c:pt idx="68">
                  <c:v>2.0454544508932133E-3</c:v>
                </c:pt>
                <c:pt idx="69">
                  <c:v>2.0504393404626661E-3</c:v>
                </c:pt>
                <c:pt idx="70">
                  <c:v>2.0553491596058547E-3</c:v>
                </c:pt>
                <c:pt idx="71">
                  <c:v>2.0696281944778344E-3</c:v>
                </c:pt>
                <c:pt idx="72">
                  <c:v>2.0742377319159662E-3</c:v>
                </c:pt>
                <c:pt idx="73">
                  <c:v>2.078772198927833E-3</c:v>
                </c:pt>
                <c:pt idx="74">
                  <c:v>2.0832315955134359E-3</c:v>
                </c:pt>
                <c:pt idx="75">
                  <c:v>2.0876159216727738E-3</c:v>
                </c:pt>
                <c:pt idx="76">
                  <c:v>2.1003184775932032E-3</c:v>
                </c:pt>
                <c:pt idx="77">
                  <c:v>2.1044025220474842E-3</c:v>
                </c:pt>
                <c:pt idx="78">
                  <c:v>2.1084114960755007E-3</c:v>
                </c:pt>
                <c:pt idx="79">
                  <c:v>2.1123453996772529E-3</c:v>
                </c:pt>
                <c:pt idx="80">
                  <c:v>2.116204232852741E-3</c:v>
                </c:pt>
                <c:pt idx="81">
                  <c:v>2.1273303098216186E-3</c:v>
                </c:pt>
                <c:pt idx="82">
                  <c:v>2.1308888612920499E-3</c:v>
                </c:pt>
                <c:pt idx="83">
                  <c:v>2.1343723423362156E-3</c:v>
                </c:pt>
                <c:pt idx="84">
                  <c:v>2.1377807529541176E-3</c:v>
                </c:pt>
                <c:pt idx="85">
                  <c:v>2.1411140931457554E-3</c:v>
                </c:pt>
                <c:pt idx="86">
                  <c:v>2.1506636911630822E-3</c:v>
                </c:pt>
                <c:pt idx="87">
                  <c:v>2.1536967496496627E-3</c:v>
                </c:pt>
                <c:pt idx="88">
                  <c:v>2.1566547377099782E-3</c:v>
                </c:pt>
                <c:pt idx="89">
                  <c:v>2.1595376553440303E-3</c:v>
                </c:pt>
                <c:pt idx="90">
                  <c:v>2.1623455025518174E-3</c:v>
                </c:pt>
                <c:pt idx="91">
                  <c:v>2.1703186216175934E-3</c:v>
                </c:pt>
                <c:pt idx="92">
                  <c:v>2.1728261871203232E-3</c:v>
                </c:pt>
                <c:pt idx="93">
                  <c:v>2.1752586821967889E-3</c:v>
                </c:pt>
                <c:pt idx="94">
                  <c:v>2.1776161068469903E-3</c:v>
                </c:pt>
                <c:pt idx="95">
                  <c:v>2.1798984610709267E-3</c:v>
                </c:pt>
                <c:pt idx="96">
                  <c:v>2.1862951011851518E-3</c:v>
                </c:pt>
                <c:pt idx="97">
                  <c:v>2.1882771737040314E-3</c:v>
                </c:pt>
                <c:pt idx="98">
                  <c:v>2.1901841757966472E-3</c:v>
                </c:pt>
                <c:pt idx="99">
                  <c:v>2.1920161074629979E-3</c:v>
                </c:pt>
                <c:pt idx="100">
                  <c:v>2.1937729687030844E-3</c:v>
                </c:pt>
                <c:pt idx="101">
                  <c:v>2.1985931298657579E-3</c:v>
                </c:pt>
                <c:pt idx="102">
                  <c:v>2.2000497094007876E-3</c:v>
                </c:pt>
                <c:pt idx="103">
                  <c:v>2.2014312185095523E-3</c:v>
                </c:pt>
                <c:pt idx="104">
                  <c:v>2.2027376571920527E-3</c:v>
                </c:pt>
                <c:pt idx="105">
                  <c:v>2.2039690254482894E-3</c:v>
                </c:pt>
                <c:pt idx="106">
                  <c:v>2.207212707659412E-3</c:v>
                </c:pt>
                <c:pt idx="107">
                  <c:v>2.2081437942105915E-3</c:v>
                </c:pt>
                <c:pt idx="108">
                  <c:v>2.2089998103355054E-3</c:v>
                </c:pt>
                <c:pt idx="109">
                  <c:v>2.209780756034156E-3</c:v>
                </c:pt>
                <c:pt idx="110">
                  <c:v>2.210486631306542E-3</c:v>
                </c:pt>
                <c:pt idx="111">
                  <c:v>2.2121538345661138E-3</c:v>
                </c:pt>
                <c:pt idx="112">
                  <c:v>2.2125594281334421E-3</c:v>
                </c:pt>
                <c:pt idx="113">
                  <c:v>2.2128899512745062E-3</c:v>
                </c:pt>
                <c:pt idx="114">
                  <c:v>2.2131454039893065E-3</c:v>
                </c:pt>
                <c:pt idx="115">
                  <c:v>2.2133257862778418E-3</c:v>
                </c:pt>
                <c:pt idx="116">
                  <c:v>2.2134165105858628E-3</c:v>
                </c:pt>
                <c:pt idx="117">
                  <c:v>2.2132966111693408E-3</c:v>
                </c:pt>
                <c:pt idx="118">
                  <c:v>2.2131016413265547E-3</c:v>
                </c:pt>
                <c:pt idx="119">
                  <c:v>2.2128316010575047E-3</c:v>
                </c:pt>
                <c:pt idx="120">
                  <c:v>2.2124864903621897E-3</c:v>
                </c:pt>
                <c:pt idx="121">
                  <c:v>2.2110007357186599E-3</c:v>
                </c:pt>
                <c:pt idx="122">
                  <c:v>2.2103553433182876E-3</c:v>
                </c:pt>
                <c:pt idx="123">
                  <c:v>2.2096348804916512E-3</c:v>
                </c:pt>
                <c:pt idx="124">
                  <c:v>2.2088393472387505E-3</c:v>
                </c:pt>
                <c:pt idx="125">
                  <c:v>2.2079687435595853E-3</c:v>
                </c:pt>
                <c:pt idx="126">
                  <c:v>2.2049065099645042E-3</c:v>
                </c:pt>
                <c:pt idx="127">
                  <c:v>2.2037356245802817E-3</c:v>
                </c:pt>
                <c:pt idx="128">
                  <c:v>2.2024896687697949E-3</c:v>
                </c:pt>
                <c:pt idx="129">
                  <c:v>2.201168642533044E-3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'6MSynthDepo'!$AM$2</c:f>
              <c:strCache>
                <c:ptCount val="1"/>
                <c:pt idx="0">
                  <c:v>Linear Best-fit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val>
            <c:numRef>
              <c:f>'6MSynthDepo'!$AM$3:$AM$132</c:f>
              <c:numCache>
                <c:formatCode>0.0000%</c:formatCode>
                <c:ptCount val="130"/>
                <c:pt idx="0">
                  <c:v>2.0227637567495726E-3</c:v>
                </c:pt>
                <c:pt idx="1">
                  <c:v>2.0231192942064503E-3</c:v>
                </c:pt>
                <c:pt idx="2">
                  <c:v>2.0241859065770833E-3</c:v>
                </c:pt>
                <c:pt idx="3">
                  <c:v>2.0245414440339606E-3</c:v>
                </c:pt>
                <c:pt idx="4">
                  <c:v>2.0248969814908382E-3</c:v>
                </c:pt>
                <c:pt idx="5">
                  <c:v>2.0252525189477159E-3</c:v>
                </c:pt>
                <c:pt idx="6">
                  <c:v>2.0256080564045936E-3</c:v>
                </c:pt>
                <c:pt idx="7">
                  <c:v>2.0266746687752266E-3</c:v>
                </c:pt>
                <c:pt idx="8">
                  <c:v>2.0270302062321043E-3</c:v>
                </c:pt>
                <c:pt idx="9">
                  <c:v>2.0273857436889815E-3</c:v>
                </c:pt>
                <c:pt idx="10">
                  <c:v>2.0277412811458592E-3</c:v>
                </c:pt>
                <c:pt idx="11">
                  <c:v>2.0291634309733699E-3</c:v>
                </c:pt>
                <c:pt idx="12">
                  <c:v>2.0295189684302476E-3</c:v>
                </c:pt>
                <c:pt idx="13">
                  <c:v>2.0298745058871252E-3</c:v>
                </c:pt>
                <c:pt idx="14">
                  <c:v>2.0302300433440029E-3</c:v>
                </c:pt>
                <c:pt idx="15">
                  <c:v>2.0305855808008802E-3</c:v>
                </c:pt>
                <c:pt idx="16">
                  <c:v>2.0316521931715132E-3</c:v>
                </c:pt>
                <c:pt idx="17">
                  <c:v>2.0320077306283909E-3</c:v>
                </c:pt>
                <c:pt idx="18">
                  <c:v>2.0323632680852685E-3</c:v>
                </c:pt>
                <c:pt idx="19">
                  <c:v>2.0327188055421462E-3</c:v>
                </c:pt>
                <c:pt idx="20">
                  <c:v>2.0330743429990239E-3</c:v>
                </c:pt>
                <c:pt idx="21">
                  <c:v>2.0341409553696565E-3</c:v>
                </c:pt>
                <c:pt idx="22">
                  <c:v>2.0344964928265341E-3</c:v>
                </c:pt>
                <c:pt idx="23">
                  <c:v>2.0348520302834118E-3</c:v>
                </c:pt>
                <c:pt idx="24">
                  <c:v>2.0352075677402895E-3</c:v>
                </c:pt>
                <c:pt idx="25">
                  <c:v>2.0355631051971672E-3</c:v>
                </c:pt>
                <c:pt idx="26">
                  <c:v>2.0366297175677998E-3</c:v>
                </c:pt>
                <c:pt idx="27">
                  <c:v>2.0369852550246774E-3</c:v>
                </c:pt>
                <c:pt idx="28">
                  <c:v>2.0373407924815551E-3</c:v>
                </c:pt>
                <c:pt idx="29">
                  <c:v>2.0376963299384328E-3</c:v>
                </c:pt>
                <c:pt idx="30">
                  <c:v>2.0380518673953105E-3</c:v>
                </c:pt>
                <c:pt idx="31">
                  <c:v>2.0391184797659435E-3</c:v>
                </c:pt>
                <c:pt idx="32">
                  <c:v>2.0394740172228211E-3</c:v>
                </c:pt>
                <c:pt idx="33">
                  <c:v>2.0398295546796984E-3</c:v>
                </c:pt>
                <c:pt idx="34">
                  <c:v>2.0401850921365761E-3</c:v>
                </c:pt>
                <c:pt idx="35">
                  <c:v>2.0405406295934537E-3</c:v>
                </c:pt>
                <c:pt idx="36">
                  <c:v>2.0416072419640868E-3</c:v>
                </c:pt>
                <c:pt idx="37">
                  <c:v>2.0419627794209644E-3</c:v>
                </c:pt>
                <c:pt idx="38">
                  <c:v>2.0423183168778421E-3</c:v>
                </c:pt>
                <c:pt idx="39">
                  <c:v>2.0426738543347193E-3</c:v>
                </c:pt>
                <c:pt idx="40">
                  <c:v>2.043029391791597E-3</c:v>
                </c:pt>
                <c:pt idx="41">
                  <c:v>2.04409600416223E-3</c:v>
                </c:pt>
                <c:pt idx="42">
                  <c:v>2.0444515416191077E-3</c:v>
                </c:pt>
                <c:pt idx="43">
                  <c:v>2.0448070790759854E-3</c:v>
                </c:pt>
                <c:pt idx="44">
                  <c:v>2.0451626165328631E-3</c:v>
                </c:pt>
                <c:pt idx="45">
                  <c:v>2.0455181539897407E-3</c:v>
                </c:pt>
                <c:pt idx="46">
                  <c:v>2.0465847663603733E-3</c:v>
                </c:pt>
                <c:pt idx="47">
                  <c:v>2.046940303817251E-3</c:v>
                </c:pt>
                <c:pt idx="48">
                  <c:v>2.0472958412741287E-3</c:v>
                </c:pt>
                <c:pt idx="49">
                  <c:v>2.0476513787310064E-3</c:v>
                </c:pt>
                <c:pt idx="50">
                  <c:v>2.048006916187884E-3</c:v>
                </c:pt>
                <c:pt idx="51">
                  <c:v>2.0490735285585166E-3</c:v>
                </c:pt>
                <c:pt idx="52">
                  <c:v>2.0494290660153943E-3</c:v>
                </c:pt>
                <c:pt idx="53">
                  <c:v>2.049784603472272E-3</c:v>
                </c:pt>
                <c:pt idx="54">
                  <c:v>2.0501401409291496E-3</c:v>
                </c:pt>
                <c:pt idx="55">
                  <c:v>2.0504956783860273E-3</c:v>
                </c:pt>
                <c:pt idx="56">
                  <c:v>2.0515622907566603E-3</c:v>
                </c:pt>
                <c:pt idx="57">
                  <c:v>2.0519178282135376E-3</c:v>
                </c:pt>
                <c:pt idx="58">
                  <c:v>2.0522733656704152E-3</c:v>
                </c:pt>
                <c:pt idx="59">
                  <c:v>2.0526289031272929E-3</c:v>
                </c:pt>
                <c:pt idx="60">
                  <c:v>2.0529844405841706E-3</c:v>
                </c:pt>
                <c:pt idx="61">
                  <c:v>2.0540510529548036E-3</c:v>
                </c:pt>
                <c:pt idx="62">
                  <c:v>2.0544065904116813E-3</c:v>
                </c:pt>
                <c:pt idx="63">
                  <c:v>2.0547621278685585E-3</c:v>
                </c:pt>
                <c:pt idx="64">
                  <c:v>2.0551176653254362E-3</c:v>
                </c:pt>
                <c:pt idx="65">
                  <c:v>2.0554732027823139E-3</c:v>
                </c:pt>
                <c:pt idx="66">
                  <c:v>2.0565398151529469E-3</c:v>
                </c:pt>
                <c:pt idx="67">
                  <c:v>2.0568953526098246E-3</c:v>
                </c:pt>
                <c:pt idx="68">
                  <c:v>2.0572508900667023E-3</c:v>
                </c:pt>
                <c:pt idx="69">
                  <c:v>2.0576064275235799E-3</c:v>
                </c:pt>
                <c:pt idx="70">
                  <c:v>2.0579619649804572E-3</c:v>
                </c:pt>
                <c:pt idx="71">
                  <c:v>2.0590285773510902E-3</c:v>
                </c:pt>
                <c:pt idx="72">
                  <c:v>2.0593841148079679E-3</c:v>
                </c:pt>
                <c:pt idx="73">
                  <c:v>2.0597396522648455E-3</c:v>
                </c:pt>
                <c:pt idx="74">
                  <c:v>2.0600951897217232E-3</c:v>
                </c:pt>
                <c:pt idx="75">
                  <c:v>2.0604507271786009E-3</c:v>
                </c:pt>
                <c:pt idx="76">
                  <c:v>2.0615173395492335E-3</c:v>
                </c:pt>
                <c:pt idx="77">
                  <c:v>2.0618728770061111E-3</c:v>
                </c:pt>
                <c:pt idx="78">
                  <c:v>2.0622284144629888E-3</c:v>
                </c:pt>
                <c:pt idx="79">
                  <c:v>2.0625839519198665E-3</c:v>
                </c:pt>
                <c:pt idx="80">
                  <c:v>2.0629394893767442E-3</c:v>
                </c:pt>
                <c:pt idx="81">
                  <c:v>2.0640061017473768E-3</c:v>
                </c:pt>
                <c:pt idx="82">
                  <c:v>2.0643616392042544E-3</c:v>
                </c:pt>
                <c:pt idx="83">
                  <c:v>2.0647171766611321E-3</c:v>
                </c:pt>
                <c:pt idx="84">
                  <c:v>2.0650727141180098E-3</c:v>
                </c:pt>
                <c:pt idx="85">
                  <c:v>2.0654282515748875E-3</c:v>
                </c:pt>
                <c:pt idx="86">
                  <c:v>2.0664948639455205E-3</c:v>
                </c:pt>
                <c:pt idx="87">
                  <c:v>2.0668504014023981E-3</c:v>
                </c:pt>
                <c:pt idx="88">
                  <c:v>2.0672059388592754E-3</c:v>
                </c:pt>
                <c:pt idx="89">
                  <c:v>2.0675614763161531E-3</c:v>
                </c:pt>
                <c:pt idx="90">
                  <c:v>2.0679170137730307E-3</c:v>
                </c:pt>
                <c:pt idx="91">
                  <c:v>2.0689836261436638E-3</c:v>
                </c:pt>
                <c:pt idx="92">
                  <c:v>2.0693391636005414E-3</c:v>
                </c:pt>
                <c:pt idx="93">
                  <c:v>2.0696947010574191E-3</c:v>
                </c:pt>
                <c:pt idx="94">
                  <c:v>2.0700502385142963E-3</c:v>
                </c:pt>
                <c:pt idx="95">
                  <c:v>2.070405775971174E-3</c:v>
                </c:pt>
                <c:pt idx="96">
                  <c:v>2.071472388341807E-3</c:v>
                </c:pt>
                <c:pt idx="97">
                  <c:v>2.0718279257986847E-3</c:v>
                </c:pt>
                <c:pt idx="98">
                  <c:v>2.0721834632555624E-3</c:v>
                </c:pt>
                <c:pt idx="99">
                  <c:v>2.0725390007124401E-3</c:v>
                </c:pt>
                <c:pt idx="100">
                  <c:v>2.0728945381693177E-3</c:v>
                </c:pt>
                <c:pt idx="101">
                  <c:v>2.0739611505399503E-3</c:v>
                </c:pt>
                <c:pt idx="102">
                  <c:v>2.074316687996828E-3</c:v>
                </c:pt>
                <c:pt idx="103">
                  <c:v>2.0746722254537057E-3</c:v>
                </c:pt>
                <c:pt idx="104">
                  <c:v>2.0750277629105834E-3</c:v>
                </c:pt>
                <c:pt idx="105">
                  <c:v>2.075383300367461E-3</c:v>
                </c:pt>
                <c:pt idx="106">
                  <c:v>2.0764499127380936E-3</c:v>
                </c:pt>
                <c:pt idx="107">
                  <c:v>2.0768054501949713E-3</c:v>
                </c:pt>
                <c:pt idx="108">
                  <c:v>2.077160987651849E-3</c:v>
                </c:pt>
                <c:pt idx="109">
                  <c:v>2.0775165251087266E-3</c:v>
                </c:pt>
                <c:pt idx="110">
                  <c:v>2.0778720625656043E-3</c:v>
                </c:pt>
                <c:pt idx="111">
                  <c:v>2.0789386749362373E-3</c:v>
                </c:pt>
                <c:pt idx="112">
                  <c:v>2.0792942123931146E-3</c:v>
                </c:pt>
                <c:pt idx="113">
                  <c:v>2.0796497498499922E-3</c:v>
                </c:pt>
                <c:pt idx="114">
                  <c:v>2.0800052873068699E-3</c:v>
                </c:pt>
                <c:pt idx="115">
                  <c:v>2.0803608247637476E-3</c:v>
                </c:pt>
                <c:pt idx="116">
                  <c:v>2.0814274371343806E-3</c:v>
                </c:pt>
                <c:pt idx="117">
                  <c:v>2.0817829745912583E-3</c:v>
                </c:pt>
                <c:pt idx="118">
                  <c:v>2.082138512048136E-3</c:v>
                </c:pt>
                <c:pt idx="119">
                  <c:v>2.0824940495050132E-3</c:v>
                </c:pt>
                <c:pt idx="120">
                  <c:v>2.0828495869618909E-3</c:v>
                </c:pt>
                <c:pt idx="121">
                  <c:v>2.0839161993325239E-3</c:v>
                </c:pt>
                <c:pt idx="122">
                  <c:v>2.0842717367894016E-3</c:v>
                </c:pt>
                <c:pt idx="123">
                  <c:v>2.0846272742462793E-3</c:v>
                </c:pt>
                <c:pt idx="124">
                  <c:v>2.0849828117031569E-3</c:v>
                </c:pt>
                <c:pt idx="125">
                  <c:v>2.0853383491600342E-3</c:v>
                </c:pt>
                <c:pt idx="126">
                  <c:v>2.0864049615306672E-3</c:v>
                </c:pt>
                <c:pt idx="127">
                  <c:v>2.0867604989875449E-3</c:v>
                </c:pt>
                <c:pt idx="128">
                  <c:v>2.0871160364444225E-3</c:v>
                </c:pt>
                <c:pt idx="129">
                  <c:v>2.0874715739013002E-3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'6MSynthDepo'!$AN$2</c:f>
              <c:strCache>
                <c:ptCount val="1"/>
                <c:pt idx="0">
                  <c:v>Quadratic Best-fit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val>
            <c:numRef>
              <c:f>'6MSynthDepo'!$AN$3:$AN$132</c:f>
              <c:numCache>
                <c:formatCode>0.0000%</c:formatCode>
                <c:ptCount val="130"/>
                <c:pt idx="0">
                  <c:v>1.9657297137733371E-3</c:v>
                </c:pt>
                <c:pt idx="1">
                  <c:v>1.9665771111155579E-3</c:v>
                </c:pt>
                <c:pt idx="2">
                  <c:v>1.9691107833168364E-3</c:v>
                </c:pt>
                <c:pt idx="3">
                  <c:v>1.9699525007754685E-3</c:v>
                </c:pt>
                <c:pt idx="4">
                  <c:v>1.9707927982632032E-3</c:v>
                </c:pt>
                <c:pt idx="5">
                  <c:v>1.9716316757800406E-3</c:v>
                </c:pt>
                <c:pt idx="6">
                  <c:v>1.972469133325981E-3</c:v>
                </c:pt>
                <c:pt idx="7">
                  <c:v>1.9749729861384189E-3</c:v>
                </c:pt>
                <c:pt idx="8">
                  <c:v>1.9758047638007703E-3</c:v>
                </c:pt>
                <c:pt idx="9">
                  <c:v>1.9766351214922247E-3</c:v>
                </c:pt>
                <c:pt idx="10">
                  <c:v>1.9774640592127822E-3</c:v>
                </c:pt>
                <c:pt idx="11">
                  <c:v>1.9807656103860388E-3</c:v>
                </c:pt>
                <c:pt idx="12">
                  <c:v>1.9815874482521103E-3</c:v>
                </c:pt>
                <c:pt idx="13">
                  <c:v>1.9824078661472844E-3</c:v>
                </c:pt>
                <c:pt idx="14">
                  <c:v>1.9832268640715611E-3</c:v>
                </c:pt>
                <c:pt idx="15">
                  <c:v>1.9840444420249409E-3</c:v>
                </c:pt>
                <c:pt idx="16">
                  <c:v>1.9864886560596968E-3</c:v>
                </c:pt>
                <c:pt idx="17">
                  <c:v>1.987300554129488E-3</c:v>
                </c:pt>
                <c:pt idx="18">
                  <c:v>1.9881110322283817E-3</c:v>
                </c:pt>
                <c:pt idx="19">
                  <c:v>1.9889200903563781E-3</c:v>
                </c:pt>
                <c:pt idx="20">
                  <c:v>1.9897277285134776E-3</c:v>
                </c:pt>
                <c:pt idx="21">
                  <c:v>1.9921421231593925E-3</c:v>
                </c:pt>
                <c:pt idx="22">
                  <c:v>1.9929440814329034E-3</c:v>
                </c:pt>
                <c:pt idx="23">
                  <c:v>1.9937446197355168E-3</c:v>
                </c:pt>
                <c:pt idx="24">
                  <c:v>1.9945437380672329E-3</c:v>
                </c:pt>
                <c:pt idx="25">
                  <c:v>1.995341436428052E-3</c:v>
                </c:pt>
                <c:pt idx="26">
                  <c:v>1.9977260116851264E-3</c:v>
                </c:pt>
                <c:pt idx="27">
                  <c:v>1.9985180301623565E-3</c:v>
                </c:pt>
                <c:pt idx="28">
                  <c:v>1.9993086286686896E-3</c:v>
                </c:pt>
                <c:pt idx="29">
                  <c:v>2.0000978072041257E-3</c:v>
                </c:pt>
                <c:pt idx="30">
                  <c:v>2.0008855657686645E-3</c:v>
                </c:pt>
                <c:pt idx="31">
                  <c:v>2.0032403216368976E-3</c:v>
                </c:pt>
                <c:pt idx="32">
                  <c:v>2.0040224003178477E-3</c:v>
                </c:pt>
                <c:pt idx="33">
                  <c:v>2.0048030590279009E-3</c:v>
                </c:pt>
                <c:pt idx="34">
                  <c:v>2.0055822977670563E-3</c:v>
                </c:pt>
                <c:pt idx="35">
                  <c:v>2.0063601165353153E-3</c:v>
                </c:pt>
                <c:pt idx="36">
                  <c:v>2.0086850530147073E-3</c:v>
                </c:pt>
                <c:pt idx="37">
                  <c:v>2.0094571918993771E-3</c:v>
                </c:pt>
                <c:pt idx="38">
                  <c:v>2.0102279108131496E-3</c:v>
                </c:pt>
                <c:pt idx="39">
                  <c:v>2.0109972097560251E-3</c:v>
                </c:pt>
                <c:pt idx="40">
                  <c:v>2.0117650887280032E-3</c:v>
                </c:pt>
                <c:pt idx="41">
                  <c:v>2.0140602058185543E-3</c:v>
                </c:pt>
                <c:pt idx="42">
                  <c:v>2.0148224049069438E-3</c:v>
                </c:pt>
                <c:pt idx="43">
                  <c:v>2.0155831840244359E-3</c:v>
                </c:pt>
                <c:pt idx="44">
                  <c:v>2.0163425431710311E-3</c:v>
                </c:pt>
                <c:pt idx="45">
                  <c:v>2.0171004823467289E-3</c:v>
                </c:pt>
                <c:pt idx="46">
                  <c:v>2.0193657800484394E-3</c:v>
                </c:pt>
                <c:pt idx="47">
                  <c:v>2.0201180393405486E-3</c:v>
                </c:pt>
                <c:pt idx="48">
                  <c:v>2.0208688786617604E-3</c:v>
                </c:pt>
                <c:pt idx="49">
                  <c:v>2.0216182980120753E-3</c:v>
                </c:pt>
                <c:pt idx="50">
                  <c:v>2.0223662973914928E-3</c:v>
                </c:pt>
                <c:pt idx="51">
                  <c:v>2.0246017757043623E-3</c:v>
                </c:pt>
                <c:pt idx="52">
                  <c:v>2.0253440952001911E-3</c:v>
                </c:pt>
                <c:pt idx="53">
                  <c:v>2.0260849947251226E-3</c:v>
                </c:pt>
                <c:pt idx="54">
                  <c:v>2.0268244742791572E-3</c:v>
                </c:pt>
                <c:pt idx="55">
                  <c:v>2.0275625338622943E-3</c:v>
                </c:pt>
                <c:pt idx="56">
                  <c:v>2.0297681927863229E-3</c:v>
                </c:pt>
                <c:pt idx="57">
                  <c:v>2.0305005724858714E-3</c:v>
                </c:pt>
                <c:pt idx="58">
                  <c:v>2.0312315322145225E-3</c:v>
                </c:pt>
                <c:pt idx="59">
                  <c:v>2.0319610719722768E-3</c:v>
                </c:pt>
                <c:pt idx="60">
                  <c:v>2.0326891917591336E-3</c:v>
                </c:pt>
                <c:pt idx="61">
                  <c:v>2.0348650312943212E-3</c:v>
                </c:pt>
                <c:pt idx="62">
                  <c:v>2.0355874711975894E-3</c:v>
                </c:pt>
                <c:pt idx="63">
                  <c:v>2.0363084911299602E-3</c:v>
                </c:pt>
                <c:pt idx="64">
                  <c:v>2.0370280910914341E-3</c:v>
                </c:pt>
                <c:pt idx="65">
                  <c:v>2.0377462710820106E-3</c:v>
                </c:pt>
                <c:pt idx="66">
                  <c:v>2.0398922912283576E-3</c:v>
                </c:pt>
                <c:pt idx="67">
                  <c:v>2.0406047913353455E-3</c:v>
                </c:pt>
                <c:pt idx="68">
                  <c:v>2.041315871471436E-3</c:v>
                </c:pt>
                <c:pt idx="69">
                  <c:v>2.0420255316366295E-3</c:v>
                </c:pt>
                <c:pt idx="70">
                  <c:v>2.0427337718309257E-3</c:v>
                </c:pt>
                <c:pt idx="71">
                  <c:v>2.0448499725884313E-3</c:v>
                </c:pt>
                <c:pt idx="72">
                  <c:v>2.0455525328991388E-3</c:v>
                </c:pt>
                <c:pt idx="73">
                  <c:v>2.0462536732389494E-3</c:v>
                </c:pt>
                <c:pt idx="74">
                  <c:v>2.0469533936078627E-3</c:v>
                </c:pt>
                <c:pt idx="75">
                  <c:v>2.0476516940058785E-3</c:v>
                </c:pt>
                <c:pt idx="76">
                  <c:v>2.0497380753745436E-3</c:v>
                </c:pt>
                <c:pt idx="77">
                  <c:v>2.0504306958889708E-3</c:v>
                </c:pt>
                <c:pt idx="78">
                  <c:v>2.0511218964325006E-3</c:v>
                </c:pt>
                <c:pt idx="79">
                  <c:v>2.0518116770051336E-3</c:v>
                </c:pt>
                <c:pt idx="80">
                  <c:v>2.0525000376068691E-3</c:v>
                </c:pt>
                <c:pt idx="81">
                  <c:v>2.0545565995866931E-3</c:v>
                </c:pt>
                <c:pt idx="82">
                  <c:v>2.05523928030484E-3</c:v>
                </c:pt>
                <c:pt idx="83">
                  <c:v>2.05592054105209E-3</c:v>
                </c:pt>
                <c:pt idx="84">
                  <c:v>2.0566003818284421E-3</c:v>
                </c:pt>
                <c:pt idx="85">
                  <c:v>2.0572788026338978E-3</c:v>
                </c:pt>
                <c:pt idx="86">
                  <c:v>2.0593055452248809E-3</c:v>
                </c:pt>
                <c:pt idx="87">
                  <c:v>2.0599782861467474E-3</c:v>
                </c:pt>
                <c:pt idx="88">
                  <c:v>2.0606496070977166E-3</c:v>
                </c:pt>
                <c:pt idx="89">
                  <c:v>2.0613195080777889E-3</c:v>
                </c:pt>
                <c:pt idx="90">
                  <c:v>2.0619879890869642E-3</c:v>
                </c:pt>
                <c:pt idx="91">
                  <c:v>2.0639849122891063E-3</c:v>
                </c:pt>
                <c:pt idx="92">
                  <c:v>2.0646477134146925E-3</c:v>
                </c:pt>
                <c:pt idx="93">
                  <c:v>2.0653090945693814E-3</c:v>
                </c:pt>
                <c:pt idx="94">
                  <c:v>2.0659690557531733E-3</c:v>
                </c:pt>
                <c:pt idx="95">
                  <c:v>2.0666275969660683E-3</c:v>
                </c:pt>
                <c:pt idx="96">
                  <c:v>2.0685947007793694E-3</c:v>
                </c:pt>
                <c:pt idx="97">
                  <c:v>2.0692475621086753E-3</c:v>
                </c:pt>
                <c:pt idx="98">
                  <c:v>2.0698990034670843E-3</c:v>
                </c:pt>
                <c:pt idx="99">
                  <c:v>2.0705490248545959E-3</c:v>
                </c:pt>
                <c:pt idx="100">
                  <c:v>2.0711976262712101E-3</c:v>
                </c:pt>
                <c:pt idx="101">
                  <c:v>2.0731349106956703E-3</c:v>
                </c:pt>
                <c:pt idx="102">
                  <c:v>2.0737778322286963E-3</c:v>
                </c:pt>
                <c:pt idx="103">
                  <c:v>2.0744193337908245E-3</c:v>
                </c:pt>
                <c:pt idx="104">
                  <c:v>2.0750594153820562E-3</c:v>
                </c:pt>
                <c:pt idx="105">
                  <c:v>2.0756980770023901E-3</c:v>
                </c:pt>
                <c:pt idx="106">
                  <c:v>2.0776055420380097E-3</c:v>
                </c:pt>
                <c:pt idx="107">
                  <c:v>2.078238523774755E-3</c:v>
                </c:pt>
                <c:pt idx="108">
                  <c:v>2.0788700855406033E-3</c:v>
                </c:pt>
                <c:pt idx="109">
                  <c:v>2.0795002273355542E-3</c:v>
                </c:pt>
                <c:pt idx="110">
                  <c:v>2.0801289491596082E-3</c:v>
                </c:pt>
                <c:pt idx="111">
                  <c:v>2.0820065948063864E-3</c:v>
                </c:pt>
                <c:pt idx="112">
                  <c:v>2.0826296367468513E-3</c:v>
                </c:pt>
                <c:pt idx="113">
                  <c:v>2.0832512587164193E-3</c:v>
                </c:pt>
                <c:pt idx="114">
                  <c:v>2.0838714607150899E-3</c:v>
                </c:pt>
                <c:pt idx="115">
                  <c:v>2.0844902427428636E-3</c:v>
                </c:pt>
                <c:pt idx="116">
                  <c:v>2.0863380690008008E-3</c:v>
                </c:pt>
                <c:pt idx="117">
                  <c:v>2.0869511711449859E-3</c:v>
                </c:pt>
                <c:pt idx="118">
                  <c:v>2.0875628533182731E-3</c:v>
                </c:pt>
                <c:pt idx="119">
                  <c:v>2.0881731155206638E-3</c:v>
                </c:pt>
                <c:pt idx="120">
                  <c:v>2.0887819577521567E-3</c:v>
                </c:pt>
                <c:pt idx="121">
                  <c:v>2.0905999646212534E-3</c:v>
                </c:pt>
                <c:pt idx="122">
                  <c:v>2.0912031269691577E-3</c:v>
                </c:pt>
                <c:pt idx="123">
                  <c:v>2.091804869346165E-3</c:v>
                </c:pt>
                <c:pt idx="124">
                  <c:v>2.092405191752275E-3</c:v>
                </c:pt>
                <c:pt idx="125">
                  <c:v>2.093004094187488E-3</c:v>
                </c:pt>
                <c:pt idx="126">
                  <c:v>2.0947922816677437E-3</c:v>
                </c:pt>
                <c:pt idx="127">
                  <c:v>2.0953855042193676E-3</c:v>
                </c:pt>
                <c:pt idx="128">
                  <c:v>2.0959773068000946E-3</c:v>
                </c:pt>
                <c:pt idx="129">
                  <c:v>2.0965676894099242E-3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102400"/>
        <c:axId val="600103936"/>
      </c:lineChart>
      <c:dateAx>
        <c:axId val="6001024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0103936"/>
        <c:crosses val="autoZero"/>
        <c:auto val="1"/>
        <c:lblOffset val="100"/>
        <c:baseTimeUnit val="days"/>
      </c:dateAx>
      <c:valAx>
        <c:axId val="600103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0102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22061570594144719"/>
          <c:h val="0.28432246711175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3.2718337541706487E-3</c:v>
                </c:pt>
                <c:pt idx="1">
                  <c:v>3.2718337541706487E-3</c:v>
                </c:pt>
                <c:pt idx="2">
                  <c:v>3.2718337541706487E-3</c:v>
                </c:pt>
                <c:pt idx="3">
                  <c:v>3.2718337541706487E-3</c:v>
                </c:pt>
                <c:pt idx="4">
                  <c:v>3.2718337541706487E-3</c:v>
                </c:pt>
                <c:pt idx="5">
                  <c:v>3.2718337541706487E-3</c:v>
                </c:pt>
                <c:pt idx="6">
                  <c:v>3.2718337541706487E-3</c:v>
                </c:pt>
                <c:pt idx="7">
                  <c:v>3.2718337541706487E-3</c:v>
                </c:pt>
                <c:pt idx="8">
                  <c:v>3.2718337541706487E-3</c:v>
                </c:pt>
                <c:pt idx="9">
                  <c:v>3.2718337541706487E-3</c:v>
                </c:pt>
                <c:pt idx="10">
                  <c:v>3.2718337541706487E-3</c:v>
                </c:pt>
                <c:pt idx="11">
                  <c:v>3.2718337541706487E-3</c:v>
                </c:pt>
                <c:pt idx="12">
                  <c:v>3.2718337541706487E-3</c:v>
                </c:pt>
                <c:pt idx="13">
                  <c:v>3.2718337541706487E-3</c:v>
                </c:pt>
                <c:pt idx="14">
                  <c:v>3.2718337541706487E-3</c:v>
                </c:pt>
                <c:pt idx="15">
                  <c:v>3.2718337541706487E-3</c:v>
                </c:pt>
                <c:pt idx="16">
                  <c:v>3.2718337541706487E-3</c:v>
                </c:pt>
                <c:pt idx="17">
                  <c:v>3.2718337541706487E-3</c:v>
                </c:pt>
                <c:pt idx="18">
                  <c:v>3.2718337541706487E-3</c:v>
                </c:pt>
                <c:pt idx="19">
                  <c:v>3.2718337541706487E-3</c:v>
                </c:pt>
                <c:pt idx="20">
                  <c:v>3.2718337541706487E-3</c:v>
                </c:pt>
                <c:pt idx="21">
                  <c:v>3.2718337541706487E-3</c:v>
                </c:pt>
                <c:pt idx="22">
                  <c:v>3.2718337541706487E-3</c:v>
                </c:pt>
                <c:pt idx="23">
                  <c:v>3.2718337541706487E-3</c:v>
                </c:pt>
                <c:pt idx="24">
                  <c:v>3.2718337541706487E-3</c:v>
                </c:pt>
                <c:pt idx="25">
                  <c:v>3.2718337541706487E-3</c:v>
                </c:pt>
                <c:pt idx="26">
                  <c:v>3.2718337541706487E-3</c:v>
                </c:pt>
                <c:pt idx="27">
                  <c:v>3.2718337541706487E-3</c:v>
                </c:pt>
                <c:pt idx="28">
                  <c:v>3.2718337541706487E-3</c:v>
                </c:pt>
                <c:pt idx="29">
                  <c:v>3.2718337541706487E-3</c:v>
                </c:pt>
                <c:pt idx="30">
                  <c:v>3.2718337541706487E-3</c:v>
                </c:pt>
                <c:pt idx="31">
                  <c:v>3.2718337541706487E-3</c:v>
                </c:pt>
                <c:pt idx="32">
                  <c:v>3.2718337541706487E-3</c:v>
                </c:pt>
                <c:pt idx="33">
                  <c:v>3.2718337541706487E-3</c:v>
                </c:pt>
                <c:pt idx="34">
                  <c:v>3.2718337541706487E-3</c:v>
                </c:pt>
                <c:pt idx="35">
                  <c:v>3.2718337541706487E-3</c:v>
                </c:pt>
                <c:pt idx="36">
                  <c:v>3.2718337541706487E-3</c:v>
                </c:pt>
                <c:pt idx="37">
                  <c:v>3.2718337541706487E-3</c:v>
                </c:pt>
                <c:pt idx="38">
                  <c:v>3.2718337541706487E-3</c:v>
                </c:pt>
                <c:pt idx="39">
                  <c:v>3.2718337541706487E-3</c:v>
                </c:pt>
                <c:pt idx="40">
                  <c:v>3.2718337541706487E-3</c:v>
                </c:pt>
                <c:pt idx="41">
                  <c:v>3.2718337541706487E-3</c:v>
                </c:pt>
                <c:pt idx="42">
                  <c:v>3.2718337541706487E-3</c:v>
                </c:pt>
                <c:pt idx="43">
                  <c:v>3.2718337541706487E-3</c:v>
                </c:pt>
                <c:pt idx="44">
                  <c:v>3.2718337541706487E-3</c:v>
                </c:pt>
                <c:pt idx="45">
                  <c:v>3.2718337541706487E-3</c:v>
                </c:pt>
                <c:pt idx="46">
                  <c:v>3.2718337541706487E-3</c:v>
                </c:pt>
                <c:pt idx="47">
                  <c:v>3.2718337541706487E-3</c:v>
                </c:pt>
                <c:pt idx="48">
                  <c:v>3.2718337541706487E-3</c:v>
                </c:pt>
                <c:pt idx="49">
                  <c:v>3.2718337541706487E-3</c:v>
                </c:pt>
                <c:pt idx="50">
                  <c:v>3.2718337541706487E-3</c:v>
                </c:pt>
                <c:pt idx="51">
                  <c:v>3.2718337541706487E-3</c:v>
                </c:pt>
                <c:pt idx="52">
                  <c:v>3.2718337541706487E-3</c:v>
                </c:pt>
                <c:pt idx="53">
                  <c:v>3.2718337541706487E-3</c:v>
                </c:pt>
                <c:pt idx="54">
                  <c:v>3.2718337541706487E-3</c:v>
                </c:pt>
                <c:pt idx="55">
                  <c:v>3.2718337541706487E-3</c:v>
                </c:pt>
                <c:pt idx="56">
                  <c:v>3.2718337541706487E-3</c:v>
                </c:pt>
                <c:pt idx="57">
                  <c:v>3.2718337541706487E-3</c:v>
                </c:pt>
                <c:pt idx="58">
                  <c:v>3.2718337541706487E-3</c:v>
                </c:pt>
                <c:pt idx="59">
                  <c:v>3.2718337541706487E-3</c:v>
                </c:pt>
                <c:pt idx="60">
                  <c:v>3.2718337541706487E-3</c:v>
                </c:pt>
                <c:pt idx="61">
                  <c:v>3.2718337541706487E-3</c:v>
                </c:pt>
                <c:pt idx="62">
                  <c:v>3.2718337541706487E-3</c:v>
                </c:pt>
                <c:pt idx="63">
                  <c:v>3.2718337541706487E-3</c:v>
                </c:pt>
                <c:pt idx="64">
                  <c:v>3.2718337541706487E-3</c:v>
                </c:pt>
                <c:pt idx="65">
                  <c:v>3.2718337541706487E-3</c:v>
                </c:pt>
                <c:pt idx="66">
                  <c:v>3.2718337541706487E-3</c:v>
                </c:pt>
                <c:pt idx="67">
                  <c:v>3.2718337541706487E-3</c:v>
                </c:pt>
                <c:pt idx="68">
                  <c:v>3.2718337541706487E-3</c:v>
                </c:pt>
                <c:pt idx="69">
                  <c:v>3.2718337541706487E-3</c:v>
                </c:pt>
                <c:pt idx="70">
                  <c:v>3.2718337541706487E-3</c:v>
                </c:pt>
                <c:pt idx="71">
                  <c:v>3.2718337541706487E-3</c:v>
                </c:pt>
                <c:pt idx="72">
                  <c:v>3.2718337541706487E-3</c:v>
                </c:pt>
                <c:pt idx="73">
                  <c:v>3.2718337541706487E-3</c:v>
                </c:pt>
                <c:pt idx="74">
                  <c:v>3.2718337541706487E-3</c:v>
                </c:pt>
                <c:pt idx="75">
                  <c:v>3.2718337541706487E-3</c:v>
                </c:pt>
                <c:pt idx="76">
                  <c:v>3.2718337541706487E-3</c:v>
                </c:pt>
                <c:pt idx="77">
                  <c:v>3.2718337541706487E-3</c:v>
                </c:pt>
                <c:pt idx="78">
                  <c:v>3.2718337541706487E-3</c:v>
                </c:pt>
                <c:pt idx="79">
                  <c:v>3.2718337541706487E-3</c:v>
                </c:pt>
                <c:pt idx="80">
                  <c:v>3.2718337541706487E-3</c:v>
                </c:pt>
                <c:pt idx="81">
                  <c:v>3.2718337541706487E-3</c:v>
                </c:pt>
                <c:pt idx="82">
                  <c:v>3.2718337541706487E-3</c:v>
                </c:pt>
                <c:pt idx="83">
                  <c:v>3.2718337541706487E-3</c:v>
                </c:pt>
                <c:pt idx="84">
                  <c:v>3.2718337541706487E-3</c:v>
                </c:pt>
                <c:pt idx="85">
                  <c:v>3.2718337541706487E-3</c:v>
                </c:pt>
                <c:pt idx="86">
                  <c:v>3.2718337541706487E-3</c:v>
                </c:pt>
                <c:pt idx="87">
                  <c:v>3.2718337541706487E-3</c:v>
                </c:pt>
                <c:pt idx="88">
                  <c:v>3.2718337541706487E-3</c:v>
                </c:pt>
                <c:pt idx="89">
                  <c:v>3.2718337541706487E-3</c:v>
                </c:pt>
                <c:pt idx="90">
                  <c:v>3.2718337541706487E-3</c:v>
                </c:pt>
                <c:pt idx="91">
                  <c:v>3.2718337541706487E-3</c:v>
                </c:pt>
                <c:pt idx="92">
                  <c:v>3.2718337541706487E-3</c:v>
                </c:pt>
                <c:pt idx="93">
                  <c:v>3.2718337541706487E-3</c:v>
                </c:pt>
                <c:pt idx="94">
                  <c:v>3.2718337541706487E-3</c:v>
                </c:pt>
                <c:pt idx="95">
                  <c:v>3.2718337541706487E-3</c:v>
                </c:pt>
                <c:pt idx="96">
                  <c:v>3.2718337541706487E-3</c:v>
                </c:pt>
                <c:pt idx="97">
                  <c:v>3.2718337541706487E-3</c:v>
                </c:pt>
                <c:pt idx="98">
                  <c:v>3.2718337541706487E-3</c:v>
                </c:pt>
                <c:pt idx="99">
                  <c:v>3.2718337541706487E-3</c:v>
                </c:pt>
                <c:pt idx="100">
                  <c:v>3.2718337541706487E-3</c:v>
                </c:pt>
                <c:pt idx="101">
                  <c:v>3.2718337541706487E-3</c:v>
                </c:pt>
                <c:pt idx="102">
                  <c:v>3.2718337541706487E-3</c:v>
                </c:pt>
                <c:pt idx="103">
                  <c:v>3.2718337541706487E-3</c:v>
                </c:pt>
                <c:pt idx="104">
                  <c:v>3.2718337541706487E-3</c:v>
                </c:pt>
                <c:pt idx="105">
                  <c:v>3.2718337541706487E-3</c:v>
                </c:pt>
                <c:pt idx="106">
                  <c:v>3.2718337541706487E-3</c:v>
                </c:pt>
                <c:pt idx="107">
                  <c:v>3.2718337541706487E-3</c:v>
                </c:pt>
                <c:pt idx="108">
                  <c:v>3.2718337541706487E-3</c:v>
                </c:pt>
                <c:pt idx="109">
                  <c:v>3.2718337541706487E-3</c:v>
                </c:pt>
                <c:pt idx="110">
                  <c:v>3.2718337541706487E-3</c:v>
                </c:pt>
                <c:pt idx="111">
                  <c:v>3.2718337541706487E-3</c:v>
                </c:pt>
                <c:pt idx="112">
                  <c:v>3.2718337541706487E-3</c:v>
                </c:pt>
                <c:pt idx="113">
                  <c:v>3.2718337541706487E-3</c:v>
                </c:pt>
                <c:pt idx="114">
                  <c:v>3.2718337541706487E-3</c:v>
                </c:pt>
                <c:pt idx="115">
                  <c:v>3.2718337541706487E-3</c:v>
                </c:pt>
                <c:pt idx="116">
                  <c:v>3.2718337541706487E-3</c:v>
                </c:pt>
                <c:pt idx="117">
                  <c:v>3.2718337541706487E-3</c:v>
                </c:pt>
                <c:pt idx="118">
                  <c:v>3.2718337541706487E-3</c:v>
                </c:pt>
                <c:pt idx="119">
                  <c:v>3.2718337541706487E-3</c:v>
                </c:pt>
                <c:pt idx="120">
                  <c:v>3.2718337541706487E-3</c:v>
                </c:pt>
                <c:pt idx="121">
                  <c:v>3.2718337541706487E-3</c:v>
                </c:pt>
                <c:pt idx="122">
                  <c:v>3.2718337541706487E-3</c:v>
                </c:pt>
                <c:pt idx="123">
                  <c:v>3.2718337541706487E-3</c:v>
                </c:pt>
                <c:pt idx="124">
                  <c:v>3.2718337541706487E-3</c:v>
                </c:pt>
                <c:pt idx="125">
                  <c:v>3.2718337541706487E-3</c:v>
                </c:pt>
                <c:pt idx="126">
                  <c:v>3.2718337541706487E-3</c:v>
                </c:pt>
                <c:pt idx="127">
                  <c:v>3.2718337541706487E-3</c:v>
                </c:pt>
                <c:pt idx="128">
                  <c:v>3.2718337541706487E-3</c:v>
                </c:pt>
                <c:pt idx="129">
                  <c:v>3.2718337541706487E-3</c:v>
                </c:pt>
                <c:pt idx="130">
                  <c:v>3.2718337541706487E-3</c:v>
                </c:pt>
                <c:pt idx="131">
                  <c:v>3.2718337541706487E-3</c:v>
                </c:pt>
                <c:pt idx="132">
                  <c:v>3.2718337541706487E-3</c:v>
                </c:pt>
                <c:pt idx="133">
                  <c:v>3.2718337541706487E-3</c:v>
                </c:pt>
                <c:pt idx="134">
                  <c:v>3.2718337541706487E-3</c:v>
                </c:pt>
                <c:pt idx="135">
                  <c:v>3.2718337541706487E-3</c:v>
                </c:pt>
                <c:pt idx="136">
                  <c:v>3.2718337541706487E-3</c:v>
                </c:pt>
                <c:pt idx="137">
                  <c:v>3.2718337541706487E-3</c:v>
                </c:pt>
                <c:pt idx="138">
                  <c:v>3.2718337541706487E-3</c:v>
                </c:pt>
                <c:pt idx="139">
                  <c:v>3.2718337541706487E-3</c:v>
                </c:pt>
                <c:pt idx="140">
                  <c:v>3.2718337541706487E-3</c:v>
                </c:pt>
                <c:pt idx="141">
                  <c:v>3.2718337541706487E-3</c:v>
                </c:pt>
                <c:pt idx="142">
                  <c:v>3.2718337541706487E-3</c:v>
                </c:pt>
                <c:pt idx="143">
                  <c:v>3.2718337541706487E-3</c:v>
                </c:pt>
                <c:pt idx="144">
                  <c:v>3.2718337541706487E-3</c:v>
                </c:pt>
                <c:pt idx="145">
                  <c:v>3.2718337541706487E-3</c:v>
                </c:pt>
                <c:pt idx="146">
                  <c:v>3.2718337541706487E-3</c:v>
                </c:pt>
                <c:pt idx="147">
                  <c:v>3.2718337541706487E-3</c:v>
                </c:pt>
                <c:pt idx="148">
                  <c:v>3.2718337541706487E-3</c:v>
                </c:pt>
                <c:pt idx="149">
                  <c:v>3.2718337541706487E-3</c:v>
                </c:pt>
                <c:pt idx="150">
                  <c:v>3.2718337541706487E-3</c:v>
                </c:pt>
                <c:pt idx="151">
                  <c:v>3.2718337541706487E-3</c:v>
                </c:pt>
                <c:pt idx="152">
                  <c:v>3.2718337541706487E-3</c:v>
                </c:pt>
                <c:pt idx="153">
                  <c:v>3.2718337541706487E-3</c:v>
                </c:pt>
                <c:pt idx="154">
                  <c:v>3.2718337541706487E-3</c:v>
                </c:pt>
                <c:pt idx="155">
                  <c:v>3.2718337541706487E-3</c:v>
                </c:pt>
                <c:pt idx="156">
                  <c:v>3.2718337541706487E-3</c:v>
                </c:pt>
                <c:pt idx="157">
                  <c:v>3.2718337541706487E-3</c:v>
                </c:pt>
                <c:pt idx="158">
                  <c:v>3.2718337541706487E-3</c:v>
                </c:pt>
                <c:pt idx="159">
                  <c:v>3.2718337541706487E-3</c:v>
                </c:pt>
                <c:pt idx="160">
                  <c:v>3.2718337541706487E-3</c:v>
                </c:pt>
                <c:pt idx="161">
                  <c:v>3.2718337541706487E-3</c:v>
                </c:pt>
                <c:pt idx="162">
                  <c:v>3.2718337541706487E-3</c:v>
                </c:pt>
                <c:pt idx="163">
                  <c:v>3.2718337541706487E-3</c:v>
                </c:pt>
                <c:pt idx="164">
                  <c:v>3.2718337541706487E-3</c:v>
                </c:pt>
                <c:pt idx="165">
                  <c:v>3.2718337541706487E-3</c:v>
                </c:pt>
                <c:pt idx="166">
                  <c:v>3.2718337541706487E-3</c:v>
                </c:pt>
                <c:pt idx="167">
                  <c:v>3.2718337541706487E-3</c:v>
                </c:pt>
                <c:pt idx="168">
                  <c:v>3.2718337541706487E-3</c:v>
                </c:pt>
                <c:pt idx="169">
                  <c:v>3.2718337541706487E-3</c:v>
                </c:pt>
                <c:pt idx="170">
                  <c:v>3.2718337541706487E-3</c:v>
                </c:pt>
                <c:pt idx="171">
                  <c:v>3.2718337541706487E-3</c:v>
                </c:pt>
                <c:pt idx="172">
                  <c:v>3.2718337541706487E-3</c:v>
                </c:pt>
                <c:pt idx="173">
                  <c:v>3.2718337541706487E-3</c:v>
                </c:pt>
                <c:pt idx="174">
                  <c:v>3.2718337541706487E-3</c:v>
                </c:pt>
                <c:pt idx="175">
                  <c:v>3.2718337541706487E-3</c:v>
                </c:pt>
                <c:pt idx="176">
                  <c:v>3.2718337541706487E-3</c:v>
                </c:pt>
                <c:pt idx="177">
                  <c:v>3.2718337541706487E-3</c:v>
                </c:pt>
                <c:pt idx="178">
                  <c:v>3.2718337541706487E-3</c:v>
                </c:pt>
                <c:pt idx="179">
                  <c:v>3.2718337541706487E-3</c:v>
                </c:pt>
                <c:pt idx="180">
                  <c:v>3.2718337541706487E-3</c:v>
                </c:pt>
                <c:pt idx="181">
                  <c:v>3.2718337541706487E-3</c:v>
                </c:pt>
                <c:pt idx="182">
                  <c:v>3.2718337541706487E-3</c:v>
                </c:pt>
                <c:pt idx="183">
                  <c:v>3.2718337541706487E-3</c:v>
                </c:pt>
                <c:pt idx="184">
                  <c:v>3.2718337541706487E-3</c:v>
                </c:pt>
                <c:pt idx="185">
                  <c:v>3.2718337541706487E-3</c:v>
                </c:pt>
                <c:pt idx="186">
                  <c:v>3.2718337541706487E-3</c:v>
                </c:pt>
                <c:pt idx="187">
                  <c:v>3.2718337541706487E-3</c:v>
                </c:pt>
                <c:pt idx="188">
                  <c:v>3.2718337541706487E-3</c:v>
                </c:pt>
                <c:pt idx="189">
                  <c:v>3.2718337541706487E-3</c:v>
                </c:pt>
                <c:pt idx="190">
                  <c:v>3.2718337541706487E-3</c:v>
                </c:pt>
                <c:pt idx="191">
                  <c:v>3.2718337541706487E-3</c:v>
                </c:pt>
                <c:pt idx="192">
                  <c:v>3.2718337541706487E-3</c:v>
                </c:pt>
                <c:pt idx="193">
                  <c:v>3.2718337541706487E-3</c:v>
                </c:pt>
                <c:pt idx="194">
                  <c:v>3.2718337541706487E-3</c:v>
                </c:pt>
                <c:pt idx="195">
                  <c:v>3.2718337541706487E-3</c:v>
                </c:pt>
                <c:pt idx="196">
                  <c:v>3.2718337541706487E-3</c:v>
                </c:pt>
                <c:pt idx="197">
                  <c:v>3.2718337541706487E-3</c:v>
                </c:pt>
                <c:pt idx="198">
                  <c:v>3.2718337541706487E-3</c:v>
                </c:pt>
                <c:pt idx="199">
                  <c:v>3.2718337541706487E-3</c:v>
                </c:pt>
                <c:pt idx="200">
                  <c:v>3.2718337541706487E-3</c:v>
                </c:pt>
                <c:pt idx="201">
                  <c:v>3.2718337541706487E-3</c:v>
                </c:pt>
                <c:pt idx="202">
                  <c:v>3.2718337541706487E-3</c:v>
                </c:pt>
                <c:pt idx="203">
                  <c:v>3.2718337541706487E-3</c:v>
                </c:pt>
                <c:pt idx="204">
                  <c:v>3.2718337541706487E-3</c:v>
                </c:pt>
                <c:pt idx="205">
                  <c:v>3.2718337541706487E-3</c:v>
                </c:pt>
                <c:pt idx="206">
                  <c:v>3.2718337541706487E-3</c:v>
                </c:pt>
                <c:pt idx="207">
                  <c:v>3.2718337541706487E-3</c:v>
                </c:pt>
                <c:pt idx="208">
                  <c:v>3.2718337541706487E-3</c:v>
                </c:pt>
                <c:pt idx="209">
                  <c:v>3.2718337541706487E-3</c:v>
                </c:pt>
                <c:pt idx="210">
                  <c:v>3.2718337541706487E-3</c:v>
                </c:pt>
                <c:pt idx="211">
                  <c:v>3.2718337541706487E-3</c:v>
                </c:pt>
                <c:pt idx="212">
                  <c:v>3.2718337541706487E-3</c:v>
                </c:pt>
                <c:pt idx="213">
                  <c:v>3.2718337541706487E-3</c:v>
                </c:pt>
                <c:pt idx="214">
                  <c:v>3.2718337541706487E-3</c:v>
                </c:pt>
                <c:pt idx="215">
                  <c:v>3.2718337541706487E-3</c:v>
                </c:pt>
                <c:pt idx="216">
                  <c:v>3.2718337541706487E-3</c:v>
                </c:pt>
                <c:pt idx="217">
                  <c:v>3.2718337541706487E-3</c:v>
                </c:pt>
                <c:pt idx="218">
                  <c:v>3.2718337541706487E-3</c:v>
                </c:pt>
                <c:pt idx="219">
                  <c:v>3.2718337541706487E-3</c:v>
                </c:pt>
                <c:pt idx="220">
                  <c:v>3.2718337541706487E-3</c:v>
                </c:pt>
                <c:pt idx="221">
                  <c:v>3.2718337541706487E-3</c:v>
                </c:pt>
                <c:pt idx="222">
                  <c:v>3.2718337541706487E-3</c:v>
                </c:pt>
                <c:pt idx="223">
                  <c:v>3.2718337541706487E-3</c:v>
                </c:pt>
                <c:pt idx="224">
                  <c:v>3.2718337541706487E-3</c:v>
                </c:pt>
                <c:pt idx="225">
                  <c:v>3.2718337541706487E-3</c:v>
                </c:pt>
                <c:pt idx="226">
                  <c:v>3.2718337541706487E-3</c:v>
                </c:pt>
                <c:pt idx="227">
                  <c:v>3.2718337541706487E-3</c:v>
                </c:pt>
                <c:pt idx="228">
                  <c:v>3.2718337541706487E-3</c:v>
                </c:pt>
                <c:pt idx="229">
                  <c:v>3.2718337541706487E-3</c:v>
                </c:pt>
                <c:pt idx="230">
                  <c:v>3.2718337541706487E-3</c:v>
                </c:pt>
                <c:pt idx="231">
                  <c:v>3.2718337541706487E-3</c:v>
                </c:pt>
                <c:pt idx="232">
                  <c:v>3.2718337541706487E-3</c:v>
                </c:pt>
                <c:pt idx="233">
                  <c:v>3.2718337541706487E-3</c:v>
                </c:pt>
                <c:pt idx="234">
                  <c:v>3.2718337541706487E-3</c:v>
                </c:pt>
                <c:pt idx="235">
                  <c:v>3.2718337541706487E-3</c:v>
                </c:pt>
                <c:pt idx="236">
                  <c:v>3.2718337541706487E-3</c:v>
                </c:pt>
                <c:pt idx="237">
                  <c:v>3.2718337541706487E-3</c:v>
                </c:pt>
                <c:pt idx="238">
                  <c:v>3.2718337541706487E-3</c:v>
                </c:pt>
                <c:pt idx="239">
                  <c:v>3.2718337541706487E-3</c:v>
                </c:pt>
                <c:pt idx="240">
                  <c:v>3.2718337541706487E-3</c:v>
                </c:pt>
                <c:pt idx="241">
                  <c:v>3.2718337541706487E-3</c:v>
                </c:pt>
                <c:pt idx="242">
                  <c:v>3.2718337541706487E-3</c:v>
                </c:pt>
                <c:pt idx="243">
                  <c:v>3.2718337541706487E-3</c:v>
                </c:pt>
                <c:pt idx="244">
                  <c:v>3.2718337541706487E-3</c:v>
                </c:pt>
                <c:pt idx="245">
                  <c:v>3.2718337541706487E-3</c:v>
                </c:pt>
                <c:pt idx="246">
                  <c:v>3.2718337541706487E-3</c:v>
                </c:pt>
                <c:pt idx="247">
                  <c:v>3.2718337541706487E-3</c:v>
                </c:pt>
                <c:pt idx="248">
                  <c:v>3.2718337541706487E-3</c:v>
                </c:pt>
                <c:pt idx="249">
                  <c:v>3.2718337541706487E-3</c:v>
                </c:pt>
                <c:pt idx="250">
                  <c:v>3.2718337541706487E-3</c:v>
                </c:pt>
                <c:pt idx="251">
                  <c:v>3.2718337541706487E-3</c:v>
                </c:pt>
                <c:pt idx="252">
                  <c:v>3.2718337541706487E-3</c:v>
                </c:pt>
                <c:pt idx="253">
                  <c:v>3.2718337541706487E-3</c:v>
                </c:pt>
                <c:pt idx="254">
                  <c:v>3.2718337541706487E-3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3.4324917116261081E-3</c:v>
                </c:pt>
                <c:pt idx="1">
                  <c:v>3.4316185705529807E-3</c:v>
                </c:pt>
                <c:pt idx="2">
                  <c:v>3.4289991473335979E-3</c:v>
                </c:pt>
                <c:pt idx="3">
                  <c:v>3.4281260062604705E-3</c:v>
                </c:pt>
                <c:pt idx="4">
                  <c:v>3.4272528651873432E-3</c:v>
                </c:pt>
                <c:pt idx="5">
                  <c:v>3.4263797241142154E-3</c:v>
                </c:pt>
                <c:pt idx="6">
                  <c:v>3.4255065830410881E-3</c:v>
                </c:pt>
                <c:pt idx="7">
                  <c:v>3.4228871598217057E-3</c:v>
                </c:pt>
                <c:pt idx="8">
                  <c:v>3.4220140187485779E-3</c:v>
                </c:pt>
                <c:pt idx="9">
                  <c:v>3.4211408776754506E-3</c:v>
                </c:pt>
                <c:pt idx="10">
                  <c:v>3.4202677366023232E-3</c:v>
                </c:pt>
                <c:pt idx="11">
                  <c:v>3.4167751723098131E-3</c:v>
                </c:pt>
                <c:pt idx="12">
                  <c:v>3.4159020312366857E-3</c:v>
                </c:pt>
                <c:pt idx="13">
                  <c:v>3.415028890163558E-3</c:v>
                </c:pt>
                <c:pt idx="14">
                  <c:v>3.4141557490904306E-3</c:v>
                </c:pt>
                <c:pt idx="15">
                  <c:v>3.4132826080173033E-3</c:v>
                </c:pt>
                <c:pt idx="16">
                  <c:v>3.4106631847979209E-3</c:v>
                </c:pt>
                <c:pt idx="17">
                  <c:v>3.4097900437247931E-3</c:v>
                </c:pt>
                <c:pt idx="18">
                  <c:v>3.4089169026516658E-3</c:v>
                </c:pt>
                <c:pt idx="19">
                  <c:v>3.408043761578538E-3</c:v>
                </c:pt>
                <c:pt idx="20">
                  <c:v>3.4071706205054107E-3</c:v>
                </c:pt>
                <c:pt idx="21">
                  <c:v>3.4045511972860282E-3</c:v>
                </c:pt>
                <c:pt idx="22">
                  <c:v>3.4036780562129009E-3</c:v>
                </c:pt>
                <c:pt idx="23">
                  <c:v>3.4028049151397731E-3</c:v>
                </c:pt>
                <c:pt idx="24">
                  <c:v>3.4019317740666458E-3</c:v>
                </c:pt>
                <c:pt idx="25">
                  <c:v>3.4010586329935181E-3</c:v>
                </c:pt>
                <c:pt idx="26">
                  <c:v>3.3984392097741356E-3</c:v>
                </c:pt>
                <c:pt idx="27">
                  <c:v>3.3975660687010083E-3</c:v>
                </c:pt>
                <c:pt idx="28">
                  <c:v>3.396692927627881E-3</c:v>
                </c:pt>
                <c:pt idx="29">
                  <c:v>3.3958197865547532E-3</c:v>
                </c:pt>
                <c:pt idx="30">
                  <c:v>3.3949466454816259E-3</c:v>
                </c:pt>
                <c:pt idx="31">
                  <c:v>3.3923272222622434E-3</c:v>
                </c:pt>
                <c:pt idx="32">
                  <c:v>3.3914540811891157E-3</c:v>
                </c:pt>
                <c:pt idx="33">
                  <c:v>3.3905809401159883E-3</c:v>
                </c:pt>
                <c:pt idx="34">
                  <c:v>3.389707799042861E-3</c:v>
                </c:pt>
                <c:pt idx="35">
                  <c:v>3.3888346579697332E-3</c:v>
                </c:pt>
                <c:pt idx="36">
                  <c:v>3.3862152347503508E-3</c:v>
                </c:pt>
                <c:pt idx="37">
                  <c:v>3.3853420936772235E-3</c:v>
                </c:pt>
                <c:pt idx="38">
                  <c:v>3.3844689526040957E-3</c:v>
                </c:pt>
                <c:pt idx="39">
                  <c:v>3.3835958115309684E-3</c:v>
                </c:pt>
                <c:pt idx="40">
                  <c:v>3.3827226704578406E-3</c:v>
                </c:pt>
                <c:pt idx="41">
                  <c:v>3.3801032472384582E-3</c:v>
                </c:pt>
                <c:pt idx="42">
                  <c:v>3.3792301061653309E-3</c:v>
                </c:pt>
                <c:pt idx="43">
                  <c:v>3.3783569650922035E-3</c:v>
                </c:pt>
                <c:pt idx="44">
                  <c:v>3.3774838240190758E-3</c:v>
                </c:pt>
                <c:pt idx="45">
                  <c:v>3.3766106829459484E-3</c:v>
                </c:pt>
                <c:pt idx="46">
                  <c:v>3.373991259726566E-3</c:v>
                </c:pt>
                <c:pt idx="47">
                  <c:v>3.3731181186534382E-3</c:v>
                </c:pt>
                <c:pt idx="48">
                  <c:v>3.3722449775803109E-3</c:v>
                </c:pt>
                <c:pt idx="49">
                  <c:v>3.3713718365071836E-3</c:v>
                </c:pt>
                <c:pt idx="50">
                  <c:v>3.3704986954340558E-3</c:v>
                </c:pt>
                <c:pt idx="51">
                  <c:v>3.3678792722146734E-3</c:v>
                </c:pt>
                <c:pt idx="52">
                  <c:v>3.3670061311415461E-3</c:v>
                </c:pt>
                <c:pt idx="53">
                  <c:v>3.3661329900684183E-3</c:v>
                </c:pt>
                <c:pt idx="54">
                  <c:v>3.365259848995291E-3</c:v>
                </c:pt>
                <c:pt idx="55">
                  <c:v>3.3643867079221636E-3</c:v>
                </c:pt>
                <c:pt idx="56">
                  <c:v>3.3617672847027808E-3</c:v>
                </c:pt>
                <c:pt idx="57">
                  <c:v>3.3608941436296534E-3</c:v>
                </c:pt>
                <c:pt idx="58">
                  <c:v>3.3600210025565261E-3</c:v>
                </c:pt>
                <c:pt idx="59">
                  <c:v>3.3591478614833983E-3</c:v>
                </c:pt>
                <c:pt idx="60">
                  <c:v>3.358274720410271E-3</c:v>
                </c:pt>
                <c:pt idx="61">
                  <c:v>3.3556552971908886E-3</c:v>
                </c:pt>
                <c:pt idx="62">
                  <c:v>3.3547821561177608E-3</c:v>
                </c:pt>
                <c:pt idx="63">
                  <c:v>3.3539090150446335E-3</c:v>
                </c:pt>
                <c:pt idx="64">
                  <c:v>3.3530358739715061E-3</c:v>
                </c:pt>
                <c:pt idx="65">
                  <c:v>3.3521627328983784E-3</c:v>
                </c:pt>
                <c:pt idx="66">
                  <c:v>3.349543309678996E-3</c:v>
                </c:pt>
                <c:pt idx="67">
                  <c:v>3.3486701686058686E-3</c:v>
                </c:pt>
                <c:pt idx="68">
                  <c:v>3.3477970275327409E-3</c:v>
                </c:pt>
                <c:pt idx="69">
                  <c:v>3.3469238864596135E-3</c:v>
                </c:pt>
                <c:pt idx="70">
                  <c:v>3.3460507453864862E-3</c:v>
                </c:pt>
                <c:pt idx="71">
                  <c:v>3.3434313221671033E-3</c:v>
                </c:pt>
                <c:pt idx="72">
                  <c:v>3.342558181093976E-3</c:v>
                </c:pt>
                <c:pt idx="73">
                  <c:v>3.3416850400208487E-3</c:v>
                </c:pt>
                <c:pt idx="74">
                  <c:v>3.3408118989477209E-3</c:v>
                </c:pt>
                <c:pt idx="75">
                  <c:v>3.3399387578745936E-3</c:v>
                </c:pt>
                <c:pt idx="76">
                  <c:v>3.3373193346552111E-3</c:v>
                </c:pt>
                <c:pt idx="77">
                  <c:v>3.3364461935820834E-3</c:v>
                </c:pt>
                <c:pt idx="78">
                  <c:v>3.335573052508956E-3</c:v>
                </c:pt>
                <c:pt idx="79">
                  <c:v>3.3346999114358287E-3</c:v>
                </c:pt>
                <c:pt idx="80">
                  <c:v>3.333826770362701E-3</c:v>
                </c:pt>
                <c:pt idx="81">
                  <c:v>3.3312073471433185E-3</c:v>
                </c:pt>
                <c:pt idx="82">
                  <c:v>3.3303342060701912E-3</c:v>
                </c:pt>
                <c:pt idx="83">
                  <c:v>3.3294610649970634E-3</c:v>
                </c:pt>
                <c:pt idx="84">
                  <c:v>3.3285879239239361E-3</c:v>
                </c:pt>
                <c:pt idx="85">
                  <c:v>3.3277147828508088E-3</c:v>
                </c:pt>
                <c:pt idx="86">
                  <c:v>3.3250953596314263E-3</c:v>
                </c:pt>
                <c:pt idx="87">
                  <c:v>3.3242222185582986E-3</c:v>
                </c:pt>
                <c:pt idx="88">
                  <c:v>3.3233490774851712E-3</c:v>
                </c:pt>
                <c:pt idx="89">
                  <c:v>3.3224759364120435E-3</c:v>
                </c:pt>
                <c:pt idx="90">
                  <c:v>3.3216027953389161E-3</c:v>
                </c:pt>
                <c:pt idx="91">
                  <c:v>3.3189833721195337E-3</c:v>
                </c:pt>
                <c:pt idx="92">
                  <c:v>3.3181102310464064E-3</c:v>
                </c:pt>
                <c:pt idx="93">
                  <c:v>3.3172370899732786E-3</c:v>
                </c:pt>
                <c:pt idx="94">
                  <c:v>3.3163639489001513E-3</c:v>
                </c:pt>
                <c:pt idx="95">
                  <c:v>3.3154908078270235E-3</c:v>
                </c:pt>
                <c:pt idx="96">
                  <c:v>3.3128713846076411E-3</c:v>
                </c:pt>
                <c:pt idx="97">
                  <c:v>3.3119982435345138E-3</c:v>
                </c:pt>
                <c:pt idx="98">
                  <c:v>3.311125102461386E-3</c:v>
                </c:pt>
                <c:pt idx="99">
                  <c:v>3.3102519613882587E-3</c:v>
                </c:pt>
                <c:pt idx="100">
                  <c:v>3.3093788203151313E-3</c:v>
                </c:pt>
                <c:pt idx="101">
                  <c:v>3.3067593970957489E-3</c:v>
                </c:pt>
                <c:pt idx="102">
                  <c:v>3.3058862560226211E-3</c:v>
                </c:pt>
                <c:pt idx="103">
                  <c:v>3.3050131149494938E-3</c:v>
                </c:pt>
                <c:pt idx="104">
                  <c:v>3.304139973876366E-3</c:v>
                </c:pt>
                <c:pt idx="105">
                  <c:v>3.3032668328032387E-3</c:v>
                </c:pt>
                <c:pt idx="106">
                  <c:v>3.3006474095838563E-3</c:v>
                </c:pt>
                <c:pt idx="107">
                  <c:v>3.299774268510729E-3</c:v>
                </c:pt>
                <c:pt idx="108">
                  <c:v>3.2989011274376012E-3</c:v>
                </c:pt>
                <c:pt idx="109">
                  <c:v>3.2980279863644739E-3</c:v>
                </c:pt>
                <c:pt idx="110">
                  <c:v>3.2971548452913461E-3</c:v>
                </c:pt>
                <c:pt idx="111">
                  <c:v>3.2945354220719637E-3</c:v>
                </c:pt>
                <c:pt idx="112">
                  <c:v>3.2936622809988363E-3</c:v>
                </c:pt>
                <c:pt idx="113">
                  <c:v>3.292789139925709E-3</c:v>
                </c:pt>
                <c:pt idx="114">
                  <c:v>3.2919159988525812E-3</c:v>
                </c:pt>
                <c:pt idx="115">
                  <c:v>3.2910428577794539E-3</c:v>
                </c:pt>
                <c:pt idx="116">
                  <c:v>3.2884234345600715E-3</c:v>
                </c:pt>
                <c:pt idx="117">
                  <c:v>3.2875502934869437E-3</c:v>
                </c:pt>
                <c:pt idx="118">
                  <c:v>3.2866771524138164E-3</c:v>
                </c:pt>
                <c:pt idx="119">
                  <c:v>3.2858040113406886E-3</c:v>
                </c:pt>
                <c:pt idx="120">
                  <c:v>3.2849308702675613E-3</c:v>
                </c:pt>
                <c:pt idx="121">
                  <c:v>3.2823114470481789E-3</c:v>
                </c:pt>
                <c:pt idx="122">
                  <c:v>3.2814383059750515E-3</c:v>
                </c:pt>
                <c:pt idx="123">
                  <c:v>3.2805651649019238E-3</c:v>
                </c:pt>
                <c:pt idx="124">
                  <c:v>3.2796920238287964E-3</c:v>
                </c:pt>
                <c:pt idx="125">
                  <c:v>3.2788188827556691E-3</c:v>
                </c:pt>
                <c:pt idx="126">
                  <c:v>3.2761994595362862E-3</c:v>
                </c:pt>
                <c:pt idx="127">
                  <c:v>3.2753263184631589E-3</c:v>
                </c:pt>
                <c:pt idx="128">
                  <c:v>3.2744531773900316E-3</c:v>
                </c:pt>
                <c:pt idx="129">
                  <c:v>3.2735800363169038E-3</c:v>
                </c:pt>
                <c:pt idx="130">
                  <c:v>3.2727068952437765E-3</c:v>
                </c:pt>
                <c:pt idx="131">
                  <c:v>3.270087472024394E-3</c:v>
                </c:pt>
                <c:pt idx="132">
                  <c:v>3.2692143309512663E-3</c:v>
                </c:pt>
                <c:pt idx="133">
                  <c:v>3.2683411898781389E-3</c:v>
                </c:pt>
                <c:pt idx="134">
                  <c:v>3.2674680488050116E-3</c:v>
                </c:pt>
                <c:pt idx="135">
                  <c:v>3.2665949077318839E-3</c:v>
                </c:pt>
                <c:pt idx="136">
                  <c:v>3.2639754845125014E-3</c:v>
                </c:pt>
                <c:pt idx="137">
                  <c:v>3.2631023434393741E-3</c:v>
                </c:pt>
                <c:pt idx="138">
                  <c:v>3.2622292023662463E-3</c:v>
                </c:pt>
                <c:pt idx="139">
                  <c:v>3.261356061293119E-3</c:v>
                </c:pt>
                <c:pt idx="140">
                  <c:v>3.2604829202199917E-3</c:v>
                </c:pt>
                <c:pt idx="141">
                  <c:v>3.2578634970006088E-3</c:v>
                </c:pt>
                <c:pt idx="142">
                  <c:v>3.2569903559274815E-3</c:v>
                </c:pt>
                <c:pt idx="143">
                  <c:v>3.2561172148543541E-3</c:v>
                </c:pt>
                <c:pt idx="144">
                  <c:v>3.2552440737812264E-3</c:v>
                </c:pt>
                <c:pt idx="145">
                  <c:v>3.254370932708099E-3</c:v>
                </c:pt>
                <c:pt idx="146">
                  <c:v>3.2517515094887166E-3</c:v>
                </c:pt>
                <c:pt idx="147">
                  <c:v>3.2508783684155888E-3</c:v>
                </c:pt>
                <c:pt idx="148">
                  <c:v>3.2500052273424615E-3</c:v>
                </c:pt>
                <c:pt idx="149">
                  <c:v>3.2491320862693342E-3</c:v>
                </c:pt>
                <c:pt idx="150">
                  <c:v>3.2482589451962064E-3</c:v>
                </c:pt>
                <c:pt idx="151">
                  <c:v>3.245639521976824E-3</c:v>
                </c:pt>
                <c:pt idx="152">
                  <c:v>3.2447663809036967E-3</c:v>
                </c:pt>
                <c:pt idx="153">
                  <c:v>3.2438932398305689E-3</c:v>
                </c:pt>
                <c:pt idx="154">
                  <c:v>3.2430200987574416E-3</c:v>
                </c:pt>
                <c:pt idx="155">
                  <c:v>3.2421469576843142E-3</c:v>
                </c:pt>
                <c:pt idx="156">
                  <c:v>3.2395275344649314E-3</c:v>
                </c:pt>
                <c:pt idx="157">
                  <c:v>3.238654393391804E-3</c:v>
                </c:pt>
                <c:pt idx="158">
                  <c:v>3.2377812523186767E-3</c:v>
                </c:pt>
                <c:pt idx="159">
                  <c:v>3.2369081112455489E-3</c:v>
                </c:pt>
                <c:pt idx="160">
                  <c:v>3.2360349701724216E-3</c:v>
                </c:pt>
                <c:pt idx="161">
                  <c:v>3.2334155469530392E-3</c:v>
                </c:pt>
                <c:pt idx="162">
                  <c:v>3.2325424058799119E-3</c:v>
                </c:pt>
                <c:pt idx="163">
                  <c:v>3.2316692648067841E-3</c:v>
                </c:pt>
                <c:pt idx="164">
                  <c:v>3.2307961237336568E-3</c:v>
                </c:pt>
                <c:pt idx="165">
                  <c:v>3.229922982660529E-3</c:v>
                </c:pt>
                <c:pt idx="166">
                  <c:v>3.2273035594411466E-3</c:v>
                </c:pt>
                <c:pt idx="167">
                  <c:v>3.2264304183680192E-3</c:v>
                </c:pt>
                <c:pt idx="168">
                  <c:v>3.2255572772948915E-3</c:v>
                </c:pt>
                <c:pt idx="169">
                  <c:v>3.2246841362217641E-3</c:v>
                </c:pt>
                <c:pt idx="170">
                  <c:v>3.2238109951486368E-3</c:v>
                </c:pt>
                <c:pt idx="171">
                  <c:v>3.2211915719292544E-3</c:v>
                </c:pt>
                <c:pt idx="172">
                  <c:v>3.2203184308561266E-3</c:v>
                </c:pt>
                <c:pt idx="173">
                  <c:v>3.2194452897829993E-3</c:v>
                </c:pt>
                <c:pt idx="174">
                  <c:v>3.2185721487098715E-3</c:v>
                </c:pt>
                <c:pt idx="175">
                  <c:v>3.2176990076367442E-3</c:v>
                </c:pt>
                <c:pt idx="176">
                  <c:v>3.2150795844173618E-3</c:v>
                </c:pt>
                <c:pt idx="177">
                  <c:v>3.2142064433442344E-3</c:v>
                </c:pt>
                <c:pt idx="178">
                  <c:v>3.2133333022711067E-3</c:v>
                </c:pt>
                <c:pt idx="179">
                  <c:v>3.2124601611979793E-3</c:v>
                </c:pt>
                <c:pt idx="180">
                  <c:v>3.2089675969054691E-3</c:v>
                </c:pt>
                <c:pt idx="181">
                  <c:v>3.2080944558323418E-3</c:v>
                </c:pt>
                <c:pt idx="182">
                  <c:v>3.207221314759214E-3</c:v>
                </c:pt>
                <c:pt idx="183">
                  <c:v>3.2063481736860867E-3</c:v>
                </c:pt>
                <c:pt idx="184">
                  <c:v>3.2028556093935769E-3</c:v>
                </c:pt>
                <c:pt idx="185">
                  <c:v>3.2019824683204492E-3</c:v>
                </c:pt>
                <c:pt idx="186">
                  <c:v>3.2011093272473218E-3</c:v>
                </c:pt>
                <c:pt idx="187">
                  <c:v>3.2002361861741945E-3</c:v>
                </c:pt>
                <c:pt idx="188">
                  <c:v>3.1993630451010668E-3</c:v>
                </c:pt>
                <c:pt idx="189">
                  <c:v>3.1967436218816843E-3</c:v>
                </c:pt>
                <c:pt idx="190">
                  <c:v>3.195870480808557E-3</c:v>
                </c:pt>
                <c:pt idx="191">
                  <c:v>3.1949973397354292E-3</c:v>
                </c:pt>
                <c:pt idx="192">
                  <c:v>3.1941241986623019E-3</c:v>
                </c:pt>
                <c:pt idx="193">
                  <c:v>3.1932510575891741E-3</c:v>
                </c:pt>
                <c:pt idx="194">
                  <c:v>3.1906316343697917E-3</c:v>
                </c:pt>
                <c:pt idx="195">
                  <c:v>3.1897584932966644E-3</c:v>
                </c:pt>
                <c:pt idx="196">
                  <c:v>3.188885352223537E-3</c:v>
                </c:pt>
                <c:pt idx="197">
                  <c:v>3.1880122111504093E-3</c:v>
                </c:pt>
                <c:pt idx="198">
                  <c:v>3.1871390700772819E-3</c:v>
                </c:pt>
                <c:pt idx="199">
                  <c:v>3.1845196468578995E-3</c:v>
                </c:pt>
                <c:pt idx="200">
                  <c:v>3.1836465057847717E-3</c:v>
                </c:pt>
                <c:pt idx="201">
                  <c:v>3.1827733647116444E-3</c:v>
                </c:pt>
                <c:pt idx="202">
                  <c:v>3.1819002236385171E-3</c:v>
                </c:pt>
                <c:pt idx="203">
                  <c:v>3.1810270825653893E-3</c:v>
                </c:pt>
                <c:pt idx="204">
                  <c:v>3.1784076593460069E-3</c:v>
                </c:pt>
                <c:pt idx="205">
                  <c:v>3.1775345182728796E-3</c:v>
                </c:pt>
                <c:pt idx="206">
                  <c:v>3.1766613771997518E-3</c:v>
                </c:pt>
                <c:pt idx="207">
                  <c:v>3.1757882361266245E-3</c:v>
                </c:pt>
                <c:pt idx="208">
                  <c:v>3.1749150950534971E-3</c:v>
                </c:pt>
                <c:pt idx="209">
                  <c:v>3.1722956718341147E-3</c:v>
                </c:pt>
                <c:pt idx="210">
                  <c:v>3.1714225307609869E-3</c:v>
                </c:pt>
                <c:pt idx="211">
                  <c:v>3.1705493896878596E-3</c:v>
                </c:pt>
                <c:pt idx="212">
                  <c:v>3.1696762486147318E-3</c:v>
                </c:pt>
                <c:pt idx="213">
                  <c:v>3.1688031075416045E-3</c:v>
                </c:pt>
                <c:pt idx="214">
                  <c:v>3.1661836843222221E-3</c:v>
                </c:pt>
                <c:pt idx="215">
                  <c:v>3.1653105432490943E-3</c:v>
                </c:pt>
                <c:pt idx="216">
                  <c:v>3.164437402175967E-3</c:v>
                </c:pt>
                <c:pt idx="217">
                  <c:v>3.1635642611028397E-3</c:v>
                </c:pt>
                <c:pt idx="218">
                  <c:v>3.1626911200297119E-3</c:v>
                </c:pt>
                <c:pt idx="219">
                  <c:v>3.1600716968103295E-3</c:v>
                </c:pt>
                <c:pt idx="220">
                  <c:v>3.1591985557372021E-3</c:v>
                </c:pt>
                <c:pt idx="221">
                  <c:v>3.1583254146640744E-3</c:v>
                </c:pt>
                <c:pt idx="222">
                  <c:v>3.157452273590947E-3</c:v>
                </c:pt>
                <c:pt idx="223">
                  <c:v>3.1565791325178197E-3</c:v>
                </c:pt>
                <c:pt idx="224">
                  <c:v>3.1539597092984373E-3</c:v>
                </c:pt>
                <c:pt idx="225">
                  <c:v>3.1530865682253095E-3</c:v>
                </c:pt>
                <c:pt idx="226">
                  <c:v>3.1522134271521822E-3</c:v>
                </c:pt>
                <c:pt idx="227">
                  <c:v>3.1513402860790544E-3</c:v>
                </c:pt>
                <c:pt idx="228">
                  <c:v>3.1504671450059271E-3</c:v>
                </c:pt>
                <c:pt idx="229">
                  <c:v>3.1478477217865447E-3</c:v>
                </c:pt>
                <c:pt idx="230">
                  <c:v>3.1469745807134169E-3</c:v>
                </c:pt>
                <c:pt idx="231">
                  <c:v>3.1461014396402896E-3</c:v>
                </c:pt>
                <c:pt idx="232">
                  <c:v>3.1452282985671622E-3</c:v>
                </c:pt>
                <c:pt idx="233">
                  <c:v>3.1443551574940345E-3</c:v>
                </c:pt>
                <c:pt idx="234">
                  <c:v>3.141735734274652E-3</c:v>
                </c:pt>
                <c:pt idx="235">
                  <c:v>3.1408625932015247E-3</c:v>
                </c:pt>
                <c:pt idx="236">
                  <c:v>3.1399894521283969E-3</c:v>
                </c:pt>
                <c:pt idx="237">
                  <c:v>3.1391163110552696E-3</c:v>
                </c:pt>
                <c:pt idx="238">
                  <c:v>3.1382431699821423E-3</c:v>
                </c:pt>
                <c:pt idx="239">
                  <c:v>3.1356237467627598E-3</c:v>
                </c:pt>
                <c:pt idx="240">
                  <c:v>3.1347506056896321E-3</c:v>
                </c:pt>
                <c:pt idx="241">
                  <c:v>3.1338774646165047E-3</c:v>
                </c:pt>
                <c:pt idx="242">
                  <c:v>3.133004323543377E-3</c:v>
                </c:pt>
                <c:pt idx="243">
                  <c:v>3.1286386181777395E-3</c:v>
                </c:pt>
                <c:pt idx="244">
                  <c:v>3.1277654771046121E-3</c:v>
                </c:pt>
                <c:pt idx="245">
                  <c:v>3.1268923360314848E-3</c:v>
                </c:pt>
                <c:pt idx="246">
                  <c:v>3.126019194958357E-3</c:v>
                </c:pt>
                <c:pt idx="247">
                  <c:v>3.1233997717389746E-3</c:v>
                </c:pt>
                <c:pt idx="248">
                  <c:v>3.1225266306658473E-3</c:v>
                </c:pt>
                <c:pt idx="249">
                  <c:v>3.1216534895927199E-3</c:v>
                </c:pt>
                <c:pt idx="250">
                  <c:v>3.1207803485195922E-3</c:v>
                </c:pt>
                <c:pt idx="251">
                  <c:v>3.1199072074464648E-3</c:v>
                </c:pt>
                <c:pt idx="252">
                  <c:v>3.1172877842270824E-3</c:v>
                </c:pt>
                <c:pt idx="253">
                  <c:v>3.1164146431539546E-3</c:v>
                </c:pt>
                <c:pt idx="254">
                  <c:v>3.1155415020808273E-3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4.3151563787304347E-3</c:v>
                </c:pt>
                <c:pt idx="1">
                  <c:v>4.3040005505125484E-3</c:v>
                </c:pt>
                <c:pt idx="2">
                  <c:v>4.2708024812425976E-3</c:v>
                </c:pt>
                <c:pt idx="3">
                  <c:v>4.2598262632805159E-3</c:v>
                </c:pt>
                <c:pt idx="4">
                  <c:v>4.248894947882385E-3</c:v>
                </c:pt>
                <c:pt idx="5">
                  <c:v>4.2380085350482042E-3</c:v>
                </c:pt>
                <c:pt idx="6">
                  <c:v>4.2271670247779761E-3</c:v>
                </c:pt>
                <c:pt idx="7">
                  <c:v>4.1949119093509938E-3</c:v>
                </c:pt>
                <c:pt idx="8">
                  <c:v>4.1842500093365676E-3</c:v>
                </c:pt>
                <c:pt idx="9">
                  <c:v>4.1736330118860932E-3</c:v>
                </c:pt>
                <c:pt idx="10">
                  <c:v>4.1630609169995697E-3</c:v>
                </c:pt>
                <c:pt idx="11">
                  <c:v>4.1212215630929833E-3</c:v>
                </c:pt>
                <c:pt idx="12">
                  <c:v>4.1108739810262144E-3</c:v>
                </c:pt>
                <c:pt idx="13">
                  <c:v>4.1005713015233956E-3</c:v>
                </c:pt>
                <c:pt idx="14">
                  <c:v>4.0903135245845285E-3</c:v>
                </c:pt>
                <c:pt idx="15">
                  <c:v>4.0801006502096124E-3</c:v>
                </c:pt>
                <c:pt idx="16">
                  <c:v>4.0497314424685679E-3</c:v>
                </c:pt>
                <c:pt idx="17">
                  <c:v>4.0396981783494545E-3</c:v>
                </c:pt>
                <c:pt idx="18">
                  <c:v>4.0297098167942939E-3</c:v>
                </c:pt>
                <c:pt idx="19">
                  <c:v>4.0197663578030824E-3</c:v>
                </c:pt>
                <c:pt idx="20">
                  <c:v>4.0098678013758219E-3</c:v>
                </c:pt>
                <c:pt idx="21">
                  <c:v>3.9804415474777467E-3</c:v>
                </c:pt>
                <c:pt idx="22">
                  <c:v>3.9707226013062907E-3</c:v>
                </c:pt>
                <c:pt idx="23">
                  <c:v>3.9610485576987847E-3</c:v>
                </c:pt>
                <c:pt idx="24">
                  <c:v>3.9514194166552297E-3</c:v>
                </c:pt>
                <c:pt idx="25">
                  <c:v>3.9418351781756265E-3</c:v>
                </c:pt>
                <c:pt idx="26">
                  <c:v>3.9133518781205206E-3</c:v>
                </c:pt>
                <c:pt idx="27">
                  <c:v>3.9039472498967201E-3</c:v>
                </c:pt>
                <c:pt idx="28">
                  <c:v>3.8945875242368711E-3</c:v>
                </c:pt>
                <c:pt idx="29">
                  <c:v>3.8852727011409729E-3</c:v>
                </c:pt>
                <c:pt idx="30">
                  <c:v>3.8760027806090253E-3</c:v>
                </c:pt>
                <c:pt idx="31">
                  <c:v>3.8484624343968887E-3</c:v>
                </c:pt>
                <c:pt idx="32">
                  <c:v>3.8393721241207447E-3</c:v>
                </c:pt>
                <c:pt idx="33">
                  <c:v>3.8303267164085521E-3</c:v>
                </c:pt>
                <c:pt idx="34">
                  <c:v>3.8213262112603104E-3</c:v>
                </c:pt>
                <c:pt idx="35">
                  <c:v>3.8123706086760191E-3</c:v>
                </c:pt>
                <c:pt idx="36">
                  <c:v>3.7857732163068514E-3</c:v>
                </c:pt>
                <c:pt idx="37">
                  <c:v>3.7769972239783639E-3</c:v>
                </c:pt>
                <c:pt idx="38">
                  <c:v>3.7682661342138273E-3</c:v>
                </c:pt>
                <c:pt idx="39">
                  <c:v>3.759579947013242E-3</c:v>
                </c:pt>
                <c:pt idx="40">
                  <c:v>3.7509386623766068E-3</c:v>
                </c:pt>
                <c:pt idx="41">
                  <c:v>3.7252842238504088E-3</c:v>
                </c:pt>
                <c:pt idx="42">
                  <c:v>3.7168225494695773E-3</c:v>
                </c:pt>
                <c:pt idx="43">
                  <c:v>3.7084057776526971E-3</c:v>
                </c:pt>
                <c:pt idx="44">
                  <c:v>3.7000339083997683E-3</c:v>
                </c:pt>
                <c:pt idx="45">
                  <c:v>3.69170694171079E-3</c:v>
                </c:pt>
                <c:pt idx="46">
                  <c:v>3.6669954570275605E-3</c:v>
                </c:pt>
                <c:pt idx="47">
                  <c:v>3.6588481005943854E-3</c:v>
                </c:pt>
                <c:pt idx="48">
                  <c:v>3.6507456467251616E-3</c:v>
                </c:pt>
                <c:pt idx="49">
                  <c:v>3.6426880954198888E-3</c:v>
                </c:pt>
                <c:pt idx="50">
                  <c:v>3.6346754466785665E-3</c:v>
                </c:pt>
                <c:pt idx="51">
                  <c:v>3.6109069158383063E-3</c:v>
                </c:pt>
                <c:pt idx="52">
                  <c:v>3.6030738773527877E-3</c:v>
                </c:pt>
                <c:pt idx="53">
                  <c:v>3.5952857414312204E-3</c:v>
                </c:pt>
                <c:pt idx="54">
                  <c:v>3.587542508073604E-3</c:v>
                </c:pt>
                <c:pt idx="55">
                  <c:v>3.5798441772799386E-3</c:v>
                </c:pt>
                <c:pt idx="56">
                  <c:v>3.5570186002826473E-3</c:v>
                </c:pt>
                <c:pt idx="57">
                  <c:v>3.5494998797447851E-3</c:v>
                </c:pt>
                <c:pt idx="58">
                  <c:v>3.5420260617708738E-3</c:v>
                </c:pt>
                <c:pt idx="59">
                  <c:v>3.5345971463609138E-3</c:v>
                </c:pt>
                <c:pt idx="60">
                  <c:v>3.5272131335149044E-3</c:v>
                </c:pt>
                <c:pt idx="61">
                  <c:v>3.505330510360582E-3</c:v>
                </c:pt>
                <c:pt idx="62">
                  <c:v>3.4981261077703762E-3</c:v>
                </c:pt>
                <c:pt idx="63">
                  <c:v>3.4909666077441218E-3</c:v>
                </c:pt>
                <c:pt idx="64">
                  <c:v>3.4838520102818179E-3</c:v>
                </c:pt>
                <c:pt idx="65">
                  <c:v>3.4767823153834653E-3</c:v>
                </c:pt>
                <c:pt idx="66">
                  <c:v>3.4558426460721122E-3</c:v>
                </c:pt>
                <c:pt idx="67">
                  <c:v>3.4489525614295625E-3</c:v>
                </c:pt>
                <c:pt idx="68">
                  <c:v>3.4421073793509641E-3</c:v>
                </c:pt>
                <c:pt idx="69">
                  <c:v>3.435307099836317E-3</c:v>
                </c:pt>
                <c:pt idx="70">
                  <c:v>3.42855172288562E-3</c:v>
                </c:pt>
                <c:pt idx="71">
                  <c:v>3.4085550074172358E-3</c:v>
                </c:pt>
                <c:pt idx="72">
                  <c:v>3.4019792407223434E-3</c:v>
                </c:pt>
                <c:pt idx="73">
                  <c:v>3.395448376591401E-3</c:v>
                </c:pt>
                <c:pt idx="74">
                  <c:v>3.3889624150244099E-3</c:v>
                </c:pt>
                <c:pt idx="75">
                  <c:v>3.3825213560213702E-3</c:v>
                </c:pt>
                <c:pt idx="76">
                  <c:v>3.363467594395955E-3</c:v>
                </c:pt>
                <c:pt idx="77">
                  <c:v>3.3572061456487181E-3</c:v>
                </c:pt>
                <c:pt idx="78">
                  <c:v>3.3509895994654326E-3</c:v>
                </c:pt>
                <c:pt idx="79">
                  <c:v>3.3448179558460979E-3</c:v>
                </c:pt>
                <c:pt idx="80">
                  <c:v>3.3386912147907138E-3</c:v>
                </c:pt>
                <c:pt idx="81">
                  <c:v>3.3205804070082679E-3</c:v>
                </c:pt>
                <c:pt idx="82">
                  <c:v>3.3146332762086879E-3</c:v>
                </c:pt>
                <c:pt idx="83">
                  <c:v>3.3087310479730588E-3</c:v>
                </c:pt>
                <c:pt idx="84">
                  <c:v>3.3028737223013797E-3</c:v>
                </c:pt>
                <c:pt idx="85">
                  <c:v>3.2970612991936529E-3</c:v>
                </c:pt>
                <c:pt idx="86">
                  <c:v>3.2798934452541758E-3</c:v>
                </c:pt>
                <c:pt idx="87">
                  <c:v>3.2742606324022519E-3</c:v>
                </c:pt>
                <c:pt idx="88">
                  <c:v>3.2686727221142792E-3</c:v>
                </c:pt>
                <c:pt idx="89">
                  <c:v>3.263129714390257E-3</c:v>
                </c:pt>
                <c:pt idx="90">
                  <c:v>3.2576316092301858E-3</c:v>
                </c:pt>
                <c:pt idx="91">
                  <c:v>3.2414067091336776E-3</c:v>
                </c:pt>
                <c:pt idx="92">
                  <c:v>3.2360882142294109E-3</c:v>
                </c:pt>
                <c:pt idx="93">
                  <c:v>3.2308146218890939E-3</c:v>
                </c:pt>
                <c:pt idx="94">
                  <c:v>3.2255859321127281E-3</c:v>
                </c:pt>
                <c:pt idx="95">
                  <c:v>3.2204021449003133E-3</c:v>
                </c:pt>
                <c:pt idx="96">
                  <c:v>3.2051201986467749E-3</c:v>
                </c:pt>
                <c:pt idx="97">
                  <c:v>3.2001160216901638E-3</c:v>
                </c:pt>
                <c:pt idx="98">
                  <c:v>3.1951567472975032E-3</c:v>
                </c:pt>
                <c:pt idx="99">
                  <c:v>3.1902423754687943E-3</c:v>
                </c:pt>
                <c:pt idx="100">
                  <c:v>3.185372906204036E-3</c:v>
                </c:pt>
                <c:pt idx="101">
                  <c:v>3.171033913793466E-3</c:v>
                </c:pt>
                <c:pt idx="102">
                  <c:v>3.1663440547845113E-3</c:v>
                </c:pt>
                <c:pt idx="103">
                  <c:v>3.1616990983395076E-3</c:v>
                </c:pt>
                <c:pt idx="104">
                  <c:v>3.1570990444584543E-3</c:v>
                </c:pt>
                <c:pt idx="105">
                  <c:v>3.1525438931413528E-3</c:v>
                </c:pt>
                <c:pt idx="106">
                  <c:v>3.1391478545737522E-3</c:v>
                </c:pt>
                <c:pt idx="107">
                  <c:v>3.1347723135124535E-3</c:v>
                </c:pt>
                <c:pt idx="108">
                  <c:v>3.1304416750151062E-3</c:v>
                </c:pt>
                <c:pt idx="109">
                  <c:v>3.1261559390817098E-3</c:v>
                </c:pt>
                <c:pt idx="110">
                  <c:v>3.1219151057122639E-3</c:v>
                </c:pt>
                <c:pt idx="111">
                  <c:v>3.1094620209876321E-3</c:v>
                </c:pt>
                <c:pt idx="112">
                  <c:v>3.1054007978739903E-3</c:v>
                </c:pt>
                <c:pt idx="113">
                  <c:v>3.1013844773242994E-3</c:v>
                </c:pt>
                <c:pt idx="114">
                  <c:v>3.0974130593385586E-3</c:v>
                </c:pt>
                <c:pt idx="115">
                  <c:v>3.0934865439167696E-3</c:v>
                </c:pt>
                <c:pt idx="116">
                  <c:v>3.0819764130351071E-3</c:v>
                </c:pt>
                <c:pt idx="117">
                  <c:v>3.0782295078691214E-3</c:v>
                </c:pt>
                <c:pt idx="118">
                  <c:v>3.0745275052670865E-3</c:v>
                </c:pt>
                <c:pt idx="119">
                  <c:v>3.070870405229003E-3</c:v>
                </c:pt>
                <c:pt idx="120">
                  <c:v>3.06725820775487E-3</c:v>
                </c:pt>
                <c:pt idx="121">
                  <c:v>3.0566910307161764E-3</c:v>
                </c:pt>
                <c:pt idx="122">
                  <c:v>3.0532584434978475E-3</c:v>
                </c:pt>
                <c:pt idx="123">
                  <c:v>3.0498707588434686E-3</c:v>
                </c:pt>
                <c:pt idx="124">
                  <c:v>3.0465279767530416E-3</c:v>
                </c:pt>
                <c:pt idx="125">
                  <c:v>3.0432300972265645E-3</c:v>
                </c:pt>
                <c:pt idx="126">
                  <c:v>3.0336058740308403E-3</c:v>
                </c:pt>
                <c:pt idx="127">
                  <c:v>3.0304876047601674E-3</c:v>
                </c:pt>
                <c:pt idx="128">
                  <c:v>3.0274142380534454E-3</c:v>
                </c:pt>
                <c:pt idx="129">
                  <c:v>3.0243857739106744E-3</c:v>
                </c:pt>
                <c:pt idx="130">
                  <c:v>3.0214022123318538E-3</c:v>
                </c:pt>
                <c:pt idx="131">
                  <c:v>3.0127209429790989E-3</c:v>
                </c:pt>
                <c:pt idx="132">
                  <c:v>3.0099169916560824E-3</c:v>
                </c:pt>
                <c:pt idx="133">
                  <c:v>3.0071579428970164E-3</c:v>
                </c:pt>
                <c:pt idx="134">
                  <c:v>3.0044437967019014E-3</c:v>
                </c:pt>
                <c:pt idx="135">
                  <c:v>3.0017745530707377E-3</c:v>
                </c:pt>
                <c:pt idx="136">
                  <c:v>2.9940362375609512E-3</c:v>
                </c:pt>
                <c:pt idx="137">
                  <c:v>2.9915466041855912E-3</c:v>
                </c:pt>
                <c:pt idx="138">
                  <c:v>2.9891018733741821E-3</c:v>
                </c:pt>
                <c:pt idx="139">
                  <c:v>2.9867020451267239E-3</c:v>
                </c:pt>
                <c:pt idx="140">
                  <c:v>2.9843471194432162E-3</c:v>
                </c:pt>
                <c:pt idx="141">
                  <c:v>2.9775517577763991E-3</c:v>
                </c:pt>
                <c:pt idx="142">
                  <c:v>2.9753764423486951E-3</c:v>
                </c:pt>
                <c:pt idx="143">
                  <c:v>2.9732460294849424E-3</c:v>
                </c:pt>
                <c:pt idx="144">
                  <c:v>2.9711605191851398E-3</c:v>
                </c:pt>
                <c:pt idx="145">
                  <c:v>2.969119911449289E-3</c:v>
                </c:pt>
                <c:pt idx="146">
                  <c:v>2.9632675036254412E-3</c:v>
                </c:pt>
                <c:pt idx="147">
                  <c:v>2.9614065061453936E-3</c:v>
                </c:pt>
                <c:pt idx="148">
                  <c:v>2.9595904112292969E-3</c:v>
                </c:pt>
                <c:pt idx="149">
                  <c:v>2.9578192188771512E-3</c:v>
                </c:pt>
                <c:pt idx="150">
                  <c:v>2.9560929290889564E-3</c:v>
                </c:pt>
                <c:pt idx="151">
                  <c:v>2.9511834751080775E-3</c:v>
                </c:pt>
                <c:pt idx="152">
                  <c:v>2.9496367955756863E-3</c:v>
                </c:pt>
                <c:pt idx="153">
                  <c:v>2.9481350186072461E-3</c:v>
                </c:pt>
                <c:pt idx="154">
                  <c:v>2.9466781442027568E-3</c:v>
                </c:pt>
                <c:pt idx="155">
                  <c:v>2.945266172362218E-3</c:v>
                </c:pt>
                <c:pt idx="156">
                  <c:v>2.9412996722243084E-3</c:v>
                </c:pt>
                <c:pt idx="157">
                  <c:v>2.9400673106395737E-3</c:v>
                </c:pt>
                <c:pt idx="158">
                  <c:v>2.9388798516187895E-3</c:v>
                </c:pt>
                <c:pt idx="159">
                  <c:v>2.9377372951619567E-3</c:v>
                </c:pt>
                <c:pt idx="160">
                  <c:v>2.9366396412690747E-3</c:v>
                </c:pt>
                <c:pt idx="161">
                  <c:v>2.9336160949741336E-3</c:v>
                </c:pt>
                <c:pt idx="162">
                  <c:v>2.9326980513370553E-3</c:v>
                </c:pt>
                <c:pt idx="163">
                  <c:v>2.931824910263928E-3</c:v>
                </c:pt>
                <c:pt idx="164">
                  <c:v>2.9309966717547516E-3</c:v>
                </c:pt>
                <c:pt idx="165">
                  <c:v>2.9302133358095257E-3</c:v>
                </c:pt>
                <c:pt idx="166">
                  <c:v>2.9281327433575539E-3</c:v>
                </c:pt>
                <c:pt idx="167">
                  <c:v>2.9275290176681316E-3</c:v>
                </c:pt>
                <c:pt idx="168">
                  <c:v>2.9269701945426607E-3</c:v>
                </c:pt>
                <c:pt idx="169">
                  <c:v>2.9264562739811403E-3</c:v>
                </c:pt>
                <c:pt idx="170">
                  <c:v>2.9259872559835708E-3</c:v>
                </c:pt>
                <c:pt idx="171">
                  <c:v>2.9248496173745683E-3</c:v>
                </c:pt>
                <c:pt idx="172">
                  <c:v>2.9245602096328025E-3</c:v>
                </c:pt>
                <c:pt idx="173">
                  <c:v>2.9243157044549876E-3</c:v>
                </c:pt>
                <c:pt idx="174">
                  <c:v>2.9241161018411241E-3</c:v>
                </c:pt>
                <c:pt idx="175">
                  <c:v>2.9239614017912106E-3</c:v>
                </c:pt>
                <c:pt idx="176">
                  <c:v>2.9237667170251775E-3</c:v>
                </c:pt>
                <c:pt idx="177">
                  <c:v>2.9237916272310681E-3</c:v>
                </c:pt>
                <c:pt idx="178">
                  <c:v>2.9238614400009097E-3</c:v>
                </c:pt>
                <c:pt idx="179">
                  <c:v>2.9239761553347021E-3</c:v>
                </c:pt>
                <c:pt idx="180">
                  <c:v>2.9248840423093808E-3</c:v>
                </c:pt>
                <c:pt idx="181">
                  <c:v>2.9252232704629283E-3</c:v>
                </c:pt>
                <c:pt idx="182">
                  <c:v>2.9256074011804259E-3</c:v>
                </c:pt>
                <c:pt idx="183">
                  <c:v>2.9260364344618744E-3</c:v>
                </c:pt>
                <c:pt idx="184">
                  <c:v>2.9282015932271784E-3</c:v>
                </c:pt>
                <c:pt idx="185">
                  <c:v>2.9288551393283823E-3</c:v>
                </c:pt>
                <c:pt idx="186">
                  <c:v>2.9295535879935368E-3</c:v>
                </c:pt>
                <c:pt idx="187">
                  <c:v>2.9302969392226421E-3</c:v>
                </c:pt>
                <c:pt idx="188">
                  <c:v>2.931085193015698E-3</c:v>
                </c:pt>
                <c:pt idx="189">
                  <c:v>2.9337193697785715E-3</c:v>
                </c:pt>
                <c:pt idx="190">
                  <c:v>2.9346872338274314E-3</c:v>
                </c:pt>
                <c:pt idx="191">
                  <c:v>2.9357000004402419E-3</c:v>
                </c:pt>
                <c:pt idx="192">
                  <c:v>2.9367576696170032E-3</c:v>
                </c:pt>
                <c:pt idx="193">
                  <c:v>2.9378602413577155E-3</c:v>
                </c:pt>
                <c:pt idx="194">
                  <c:v>2.9414373719635588E-3</c:v>
                </c:pt>
                <c:pt idx="195">
                  <c:v>2.9427195539600743E-3</c:v>
                </c:pt>
                <c:pt idx="196">
                  <c:v>2.9440466385205416E-3</c:v>
                </c:pt>
                <c:pt idx="197">
                  <c:v>2.9454186256449594E-3</c:v>
                </c:pt>
                <c:pt idx="198">
                  <c:v>2.9468355153333282E-3</c:v>
                </c:pt>
                <c:pt idx="199">
                  <c:v>2.9513555997821399E-3</c:v>
                </c:pt>
                <c:pt idx="200">
                  <c:v>2.9529520997263123E-3</c:v>
                </c:pt>
                <c:pt idx="201">
                  <c:v>2.954593502234436E-3</c:v>
                </c:pt>
                <c:pt idx="202">
                  <c:v>2.9562798073065103E-3</c:v>
                </c:pt>
                <c:pt idx="203">
                  <c:v>2.958011014942535E-3</c:v>
                </c:pt>
                <c:pt idx="204">
                  <c:v>2.9634740532343161E-3</c:v>
                </c:pt>
                <c:pt idx="205">
                  <c:v>2.9653848711261453E-3</c:v>
                </c:pt>
                <c:pt idx="206">
                  <c:v>2.9673405915819247E-3</c:v>
                </c:pt>
                <c:pt idx="207">
                  <c:v>2.9693412146016554E-3</c:v>
                </c:pt>
                <c:pt idx="208">
                  <c:v>2.9713867401853365E-3</c:v>
                </c:pt>
                <c:pt idx="209">
                  <c:v>2.9777927323200865E-3</c:v>
                </c:pt>
                <c:pt idx="210">
                  <c:v>2.9800178681595722E-3</c:v>
                </c:pt>
                <c:pt idx="211">
                  <c:v>2.982287906563008E-3</c:v>
                </c:pt>
                <c:pt idx="212">
                  <c:v>2.9846028475303951E-3</c:v>
                </c:pt>
                <c:pt idx="213">
                  <c:v>2.9869626910617331E-3</c:v>
                </c:pt>
                <c:pt idx="214">
                  <c:v>2.9943116370394519E-3</c:v>
                </c:pt>
                <c:pt idx="215">
                  <c:v>2.9968510908265932E-3</c:v>
                </c:pt>
                <c:pt idx="216">
                  <c:v>2.9994354471776859E-3</c:v>
                </c:pt>
                <c:pt idx="217">
                  <c:v>3.002064706092729E-3</c:v>
                </c:pt>
                <c:pt idx="218">
                  <c:v>3.0047388675717235E-3</c:v>
                </c:pt>
                <c:pt idx="219">
                  <c:v>3.0130307673924116E-3</c:v>
                </c:pt>
                <c:pt idx="220">
                  <c:v>3.0158845391272094E-3</c:v>
                </c:pt>
                <c:pt idx="221">
                  <c:v>3.0187832134259585E-3</c:v>
                </c:pt>
                <c:pt idx="222">
                  <c:v>3.0217267902886581E-3</c:v>
                </c:pt>
                <c:pt idx="223">
                  <c:v>3.0247152697153086E-3</c:v>
                </c:pt>
                <c:pt idx="224">
                  <c:v>3.0339501233789656E-3</c:v>
                </c:pt>
                <c:pt idx="225">
                  <c:v>3.0371182130614202E-3</c:v>
                </c:pt>
                <c:pt idx="226">
                  <c:v>3.0403312053078253E-3</c:v>
                </c:pt>
                <c:pt idx="227">
                  <c:v>3.0435891001181813E-3</c:v>
                </c:pt>
                <c:pt idx="228">
                  <c:v>3.0468918974924882E-3</c:v>
                </c:pt>
                <c:pt idx="229">
                  <c:v>3.0570697049991146E-3</c:v>
                </c:pt>
                <c:pt idx="230">
                  <c:v>3.0605521126292252E-3</c:v>
                </c:pt>
                <c:pt idx="231">
                  <c:v>3.0640794228232863E-3</c:v>
                </c:pt>
                <c:pt idx="232">
                  <c:v>3.0676516355812988E-3</c:v>
                </c:pt>
                <c:pt idx="233">
                  <c:v>3.0712687509032621E-3</c:v>
                </c:pt>
                <c:pt idx="234">
                  <c:v>3.0823895122528574E-3</c:v>
                </c:pt>
                <c:pt idx="235">
                  <c:v>3.0861862378306244E-3</c:v>
                </c:pt>
                <c:pt idx="236">
                  <c:v>3.0900278659723424E-3</c:v>
                </c:pt>
                <c:pt idx="237">
                  <c:v>3.0939143966780113E-3</c:v>
                </c:pt>
                <c:pt idx="238">
                  <c:v>3.0978458299476311E-3</c:v>
                </c:pt>
                <c:pt idx="239">
                  <c:v>3.1099095451401952E-3</c:v>
                </c:pt>
                <c:pt idx="240">
                  <c:v>3.1140205886656188E-3</c:v>
                </c:pt>
                <c:pt idx="241">
                  <c:v>3.1181765347549932E-3</c:v>
                </c:pt>
                <c:pt idx="242">
                  <c:v>3.1223773834083176E-3</c:v>
                </c:pt>
                <c:pt idx="243">
                  <c:v>3.1440551651342069E-3</c:v>
                </c:pt>
                <c:pt idx="244">
                  <c:v>3.1485254291712377E-3</c:v>
                </c:pt>
                <c:pt idx="245">
                  <c:v>3.1530405957722195E-3</c:v>
                </c:pt>
                <c:pt idx="246">
                  <c:v>3.1576006649371518E-3</c:v>
                </c:pt>
                <c:pt idx="247">
                  <c:v>3.1715502878156541E-3</c:v>
                </c:pt>
                <c:pt idx="248">
                  <c:v>3.1762899672363905E-3</c:v>
                </c:pt>
                <c:pt idx="249">
                  <c:v>3.1810745492210769E-3</c:v>
                </c:pt>
                <c:pt idx="250">
                  <c:v>3.1859040337697151E-3</c:v>
                </c:pt>
                <c:pt idx="251">
                  <c:v>3.1907784208823034E-3</c:v>
                </c:pt>
                <c:pt idx="252">
                  <c:v>3.2056709976037755E-3</c:v>
                </c:pt>
                <c:pt idx="253">
                  <c:v>3.2107249949721679E-3</c:v>
                </c:pt>
                <c:pt idx="254">
                  <c:v>3.2158238949045108E-3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035520"/>
        <c:axId val="601037056"/>
      </c:lineChart>
      <c:dateAx>
        <c:axId val="6010355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1037056"/>
        <c:crosses val="autoZero"/>
        <c:auto val="1"/>
        <c:lblOffset val="100"/>
        <c:baseTimeUnit val="days"/>
      </c:dateAx>
      <c:valAx>
        <c:axId val="6010370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103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42110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2.9413859664955788E-4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42142</c:v>
                </c:pt>
                <c:pt idx="1">
                  <c:v>42171</c:v>
                </c:pt>
                <c:pt idx="2">
                  <c:v>42201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3.2457935218020494E-4</c:v>
                </c:pt>
                <c:pt idx="1">
                  <c:v>3.5217043962318151E-4</c:v>
                </c:pt>
                <c:pt idx="2">
                  <c:v>3.5358536249257893E-4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3.2556685763891595E-4</c:v>
                </c:pt>
                <c:pt idx="1">
                  <c:v>3.4644008211710218E-4</c:v>
                </c:pt>
                <c:pt idx="2">
                  <c:v>3.4762036554884682E-4</c:v>
                </c:pt>
                <c:pt idx="3">
                  <c:v>3.7079037825204825E-4</c:v>
                </c:pt>
                <c:pt idx="4">
                  <c:v>3.7929344925824779E-4</c:v>
                </c:pt>
                <c:pt idx="5">
                  <c:v>3.7643810323703913E-4</c:v>
                </c:pt>
                <c:pt idx="6">
                  <c:v>3.9502493885128258E-4</c:v>
                </c:pt>
                <c:pt idx="7">
                  <c:v>3.857684881167137E-4</c:v>
                </c:pt>
                <c:pt idx="8">
                  <c:v>3.9480675625412322E-4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  <c:pt idx="255">
                  <c:v>42474</c:v>
                </c:pt>
                <c:pt idx="256">
                  <c:v>42475</c:v>
                </c:pt>
                <c:pt idx="257">
                  <c:v>42478</c:v>
                </c:pt>
                <c:pt idx="258">
                  <c:v>42479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2.9874794209904892E-4</c:v>
                </c:pt>
                <c:pt idx="1">
                  <c:v>2.9911908379882848E-4</c:v>
                </c:pt>
                <c:pt idx="2">
                  <c:v>3.0039757671074865E-4</c:v>
                </c:pt>
                <c:pt idx="3">
                  <c:v>3.0087591765229284E-4</c:v>
                </c:pt>
                <c:pt idx="4">
                  <c:v>3.0137892385980603E-4</c:v>
                </c:pt>
                <c:pt idx="5">
                  <c:v>3.0190574149838048E-4</c:v>
                </c:pt>
                <c:pt idx="6">
                  <c:v>3.0245551787923497E-4</c:v>
                </c:pt>
                <c:pt idx="7">
                  <c:v>3.042341172461921E-4</c:v>
                </c:pt>
                <c:pt idx="8">
                  <c:v>3.0486724845414935E-4</c:v>
                </c:pt>
                <c:pt idx="9">
                  <c:v>3.0551909942625008E-4</c:v>
                </c:pt>
                <c:pt idx="10">
                  <c:v>3.0618882262955501E-4</c:v>
                </c:pt>
                <c:pt idx="11">
                  <c:v>3.1242851974086949E-4</c:v>
                </c:pt>
                <c:pt idx="12">
                  <c:v>3.1318303963306498E-4</c:v>
                </c:pt>
                <c:pt idx="13">
                  <c:v>3.1395045743053043E-4</c:v>
                </c:pt>
                <c:pt idx="14">
                  <c:v>3.1472991023917638E-4</c:v>
                </c:pt>
                <c:pt idx="15">
                  <c:v>3.2238117976142162E-4</c:v>
                </c:pt>
                <c:pt idx="16">
                  <c:v>3.1795085675708569E-4</c:v>
                </c:pt>
                <c:pt idx="17">
                  <c:v>3.1877758241179068E-4</c:v>
                </c:pt>
                <c:pt idx="18">
                  <c:v>3.1961118607471041E-4</c:v>
                </c:pt>
                <c:pt idx="19">
                  <c:v>3.2045080896970113E-4</c:v>
                </c:pt>
                <c:pt idx="20">
                  <c:v>3.2828179488991234E-4</c:v>
                </c:pt>
                <c:pt idx="21">
                  <c:v>3.2385231785829845E-4</c:v>
                </c:pt>
                <c:pt idx="22">
                  <c:v>3.2470915541926503E-4</c:v>
                </c:pt>
                <c:pt idx="23">
                  <c:v>3.2556685763891595E-4</c:v>
                </c:pt>
                <c:pt idx="24">
                  <c:v>3.2642456359387721E-4</c:v>
                </c:pt>
                <c:pt idx="25" formatCode="0.00000">
                  <c:v>3.3439775554798025E-4</c:v>
                </c:pt>
                <c:pt idx="26" formatCode="0.00000">
                  <c:v>3.2983820603254031E-4</c:v>
                </c:pt>
                <c:pt idx="27" formatCode="0.00000">
                  <c:v>3.3068301654359838E-4</c:v>
                </c:pt>
                <c:pt idx="28" formatCode="0.00000">
                  <c:v>3.3152266508626742E-4</c:v>
                </c:pt>
                <c:pt idx="29" formatCode="0.00000">
                  <c:v>3.3235629068270362E-4</c:v>
                </c:pt>
                <c:pt idx="30">
                  <c:v>3.4042768563882645E-4</c:v>
                </c:pt>
                <c:pt idx="31">
                  <c:v>3.3561529002257398E-4</c:v>
                </c:pt>
                <c:pt idx="32">
                  <c:v>3.3640589053920072E-4</c:v>
                </c:pt>
                <c:pt idx="33">
                  <c:v>3.3718530202219647E-4</c:v>
                </c:pt>
                <c:pt idx="34">
                  <c:v>3.3795266343866764E-4</c:v>
                </c:pt>
                <c:pt idx="35">
                  <c:v>3.4607186948018212E-4</c:v>
                </c:pt>
                <c:pt idx="36">
                  <c:v>3.4088438758162083E-4</c:v>
                </c:pt>
                <c:pt idx="37">
                  <c:v>3.4157858297508231E-4</c:v>
                </c:pt>
                <c:pt idx="38">
                  <c:v>3.4225556198914795E-4</c:v>
                </c:pt>
                <c:pt idx="39">
                  <c:v>3.4291446371232021E-4</c:v>
                </c:pt>
                <c:pt idx="40">
                  <c:v>3.5102457319904478E-4</c:v>
                </c:pt>
                <c:pt idx="41">
                  <c:v>3.4535209409818096E-4</c:v>
                </c:pt>
                <c:pt idx="42">
                  <c:v>3.4590770710914707E-4</c:v>
                </c:pt>
                <c:pt idx="43">
                  <c:v>3.4644008211710218E-4</c:v>
                </c:pt>
                <c:pt idx="44">
                  <c:v>3.46948592032824E-4</c:v>
                </c:pt>
                <c:pt idx="45">
                  <c:v>3.5498802768577624E-4</c:v>
                </c:pt>
                <c:pt idx="46">
                  <c:v>3.4875240814781635E-4</c:v>
                </c:pt>
                <c:pt idx="47">
                  <c:v>3.4914849563923731E-4</c:v>
                </c:pt>
                <c:pt idx="48">
                  <c:v>3.4952371226830051E-4</c:v>
                </c:pt>
                <c:pt idx="49">
                  <c:v>3.4987859591633356E-4</c:v>
                </c:pt>
                <c:pt idx="50">
                  <c:v>3.5782861927858504E-4</c:v>
                </c:pt>
                <c:pt idx="51">
                  <c:v>3.5110555843784511E-4</c:v>
                </c:pt>
                <c:pt idx="52">
                  <c:v>3.5136684550680545E-4</c:v>
                </c:pt>
                <c:pt idx="53">
                  <c:v>3.5160955043535237E-4</c:v>
                </c:pt>
                <c:pt idx="54">
                  <c:v>3.5183716318004416E-4</c:v>
                </c:pt>
                <c:pt idx="55">
                  <c:v>3.5970358367957208E-4</c:v>
                </c:pt>
                <c:pt idx="56">
                  <c:v>3.5259269550121439E-4</c:v>
                </c:pt>
                <c:pt idx="57">
                  <c:v>3.5274553842924966E-4</c:v>
                </c:pt>
                <c:pt idx="58">
                  <c:v>3.5288504110614333E-4</c:v>
                </c:pt>
                <c:pt idx="59">
                  <c:v>3.5301174143868684E-4</c:v>
                </c:pt>
                <c:pt idx="60">
                  <c:v>3.6080444660003202E-4</c:v>
                </c:pt>
                <c:pt idx="61">
                  <c:v>3.5340127749638041E-4</c:v>
                </c:pt>
                <c:pt idx="62">
                  <c:v>3.5347203474269892E-4</c:v>
                </c:pt>
                <c:pt idx="63">
                  <c:v>3.5353321710395716E-4</c:v>
                </c:pt>
                <c:pt idx="64">
                  <c:v>3.5358536249257893E-4</c:v>
                </c:pt>
                <c:pt idx="65">
                  <c:v>3.6131817447423287E-4</c:v>
                </c:pt>
                <c:pt idx="66">
                  <c:v>3.5371161180719685E-4</c:v>
                </c:pt>
                <c:pt idx="67">
                  <c:v>3.5372404779364326E-4</c:v>
                </c:pt>
                <c:pt idx="68">
                  <c:v>3.5372939892604828E-4</c:v>
                </c:pt>
                <c:pt idx="69">
                  <c:v>3.5372794799618673E-4</c:v>
                </c:pt>
                <c:pt idx="70">
                  <c:v>3.6141117243864557E-4</c:v>
                </c:pt>
                <c:pt idx="71">
                  <c:v>3.5365977499797821E-4</c:v>
                </c:pt>
                <c:pt idx="72">
                  <c:v>3.5362855214069101E-4</c:v>
                </c:pt>
                <c:pt idx="73">
                  <c:v>3.5359222254310006E-4</c:v>
                </c:pt>
                <c:pt idx="74">
                  <c:v>3.5355106883587842E-4</c:v>
                </c:pt>
                <c:pt idx="75">
                  <c:v>3.4966213165752672E-4</c:v>
                </c:pt>
                <c:pt idx="76">
                  <c:v>3.5334298268595071E-4</c:v>
                </c:pt>
                <c:pt idx="77">
                  <c:v>3.5328194831676913E-4</c:v>
                </c:pt>
                <c:pt idx="78">
                  <c:v>3.5321778573974352E-4</c:v>
                </c:pt>
                <c:pt idx="79">
                  <c:v>3.5315077760314989E-4</c:v>
                </c:pt>
                <c:pt idx="80">
                  <c:v>3.6075854310661662E-4</c:v>
                </c:pt>
                <c:pt idx="81">
                  <c:v>3.5285994243916525E-4</c:v>
                </c:pt>
                <c:pt idx="82">
                  <c:v>3.5278294623907619E-4</c:v>
                </c:pt>
                <c:pt idx="83">
                  <c:v>3.5270480037391104E-4</c:v>
                </c:pt>
                <c:pt idx="84">
                  <c:v>3.526257874935366E-4</c:v>
                </c:pt>
                <c:pt idx="85">
                  <c:v>3.6021192474217572E-4</c:v>
                </c:pt>
                <c:pt idx="86">
                  <c:v>3.5230671881790481E-4</c:v>
                </c:pt>
                <c:pt idx="87">
                  <c:v>3.5222761061256815E-4</c:v>
                </c:pt>
                <c:pt idx="88">
                  <c:v>3.5214933129397116E-4</c:v>
                </c:pt>
                <c:pt idx="89">
                  <c:v>3.5207216351371102E-4</c:v>
                </c:pt>
                <c:pt idx="90">
                  <c:v>3.5965021113731254E-4</c:v>
                </c:pt>
                <c:pt idx="91">
                  <c:v>3.5178026081084812E-4</c:v>
                </c:pt>
                <c:pt idx="92">
                  <c:v>3.5171289050191939E-4</c:v>
                </c:pt>
                <c:pt idx="93">
                  <c:v>3.5164832764585465E-4</c:v>
                </c:pt>
                <c:pt idx="94">
                  <c:v>3.5158685489606917E-4</c:v>
                </c:pt>
                <c:pt idx="95">
                  <c:v>3.5917245926803419E-4</c:v>
                </c:pt>
                <c:pt idx="96">
                  <c:v>3.4755733238201267E-4</c:v>
                </c:pt>
                <c:pt idx="97">
                  <c:v>3.4751572221916502E-4</c:v>
                </c:pt>
                <c:pt idx="98">
                  <c:v>3.4747912396381191E-4</c:v>
                </c:pt>
                <c:pt idx="99">
                  <c:v>3.4744753920312721E-4</c:v>
                </c:pt>
                <c:pt idx="100">
                  <c:v>3.4742124752204669E-4</c:v>
                </c:pt>
                <c:pt idx="101">
                  <c:v>3.4737692681712846E-4</c:v>
                </c:pt>
                <c:pt idx="102">
                  <c:v>3.4737460331831486E-4</c:v>
                </c:pt>
                <c:pt idx="103">
                  <c:v>3.4737897083445695E-4</c:v>
                </c:pt>
                <c:pt idx="104">
                  <c:v>3.4739030892019286E-4</c:v>
                </c:pt>
                <c:pt idx="105">
                  <c:v>3.4740889699149828E-4</c:v>
                </c:pt>
                <c:pt idx="106">
                  <c:v>3.4751095494933373E-4</c:v>
                </c:pt>
                <c:pt idx="107">
                  <c:v>3.475613367963525E-4</c:v>
                </c:pt>
                <c:pt idx="108">
                  <c:v>3.4762036554884682E-4</c:v>
                </c:pt>
                <c:pt idx="109">
                  <c:v>3.476891904631125E-4</c:v>
                </c:pt>
                <c:pt idx="110">
                  <c:v>3.4776862883573721E-4</c:v>
                </c:pt>
                <c:pt idx="111">
                  <c:v>3.4806843916246479E-4</c:v>
                </c:pt>
                <c:pt idx="112">
                  <c:v>3.4818814582606323E-4</c:v>
                </c:pt>
                <c:pt idx="113">
                  <c:v>3.4831737317570492E-4</c:v>
                </c:pt>
                <c:pt idx="114">
                  <c:v>3.4845590265541923E-4</c:v>
                </c:pt>
                <c:pt idx="115">
                  <c:v>3.6009894250543757E-4</c:v>
                </c:pt>
                <c:pt idx="116">
                  <c:v>3.4909867075568076E-4</c:v>
                </c:pt>
                <c:pt idx="117">
                  <c:v>3.4928043254145832E-4</c:v>
                </c:pt>
                <c:pt idx="118">
                  <c:v>3.4947018511651348E-4</c:v>
                </c:pt>
                <c:pt idx="119">
                  <c:v>3.6503727332287824E-4</c:v>
                </c:pt>
                <c:pt idx="120">
                  <c:v>3.6140559791778855E-4</c:v>
                </c:pt>
                <c:pt idx="121">
                  <c:v>3.5437972427154404E-4</c:v>
                </c:pt>
                <c:pt idx="122">
                  <c:v>3.5461539244618803E-4</c:v>
                </c:pt>
                <c:pt idx="123">
                  <c:v>3.5485759229481615E-4</c:v>
                </c:pt>
                <c:pt idx="124">
                  <c:v>3.5510610285552531E-4</c:v>
                </c:pt>
                <c:pt idx="125">
                  <c:v>3.63088002221203E-4</c:v>
                </c:pt>
                <c:pt idx="126">
                  <c:v>3.5615883295017766E-4</c:v>
                </c:pt>
                <c:pt idx="127">
                  <c:v>3.5643558261443852E-4</c:v>
                </c:pt>
                <c:pt idx="128">
                  <c:v>3.5671731720300198E-4</c:v>
                </c:pt>
                <c:pt idx="129">
                  <c:v>3.5700381574936779E-4</c:v>
                </c:pt>
                <c:pt idx="130">
                  <c:v>3.650642172732639E-4</c:v>
                </c:pt>
                <c:pt idx="131">
                  <c:v>3.5819303014307801E-4</c:v>
                </c:pt>
                <c:pt idx="132">
                  <c:v>3.5850003394553403E-4</c:v>
                </c:pt>
                <c:pt idx="133">
                  <c:v>3.5881047588789261E-4</c:v>
                </c:pt>
                <c:pt idx="134">
                  <c:v>3.5912413499758651E-4</c:v>
                </c:pt>
                <c:pt idx="135">
                  <c:v>3.6725680363076322E-4</c:v>
                </c:pt>
                <c:pt idx="136">
                  <c:v>3.6040652364110668E-4</c:v>
                </c:pt>
                <c:pt idx="137">
                  <c:v>3.6073295400110495E-4</c:v>
                </c:pt>
                <c:pt idx="138">
                  <c:v>3.610612758122652E-4</c:v>
                </c:pt>
                <c:pt idx="139">
                  <c:v>3.6139126821328862E-4</c:v>
                </c:pt>
                <c:pt idx="140">
                  <c:v>3.5778993514089702E-4</c:v>
                </c:pt>
                <c:pt idx="141">
                  <c:v>3.6272443147994501E-4</c:v>
                </c:pt>
                <c:pt idx="142">
                  <c:v>3.6305946345680938E-4</c:v>
                </c:pt>
                <c:pt idx="143">
                  <c:v>3.6339484031796578E-4</c:v>
                </c:pt>
                <c:pt idx="144">
                  <c:v>3.6373034110737167E-4</c:v>
                </c:pt>
                <c:pt idx="145">
                  <c:v>3.7198228975287033E-4</c:v>
                </c:pt>
                <c:pt idx="146">
                  <c:v>3.6506916439594882E-4</c:v>
                </c:pt>
                <c:pt idx="147">
                  <c:v>3.654019704590399E-4</c:v>
                </c:pt>
                <c:pt idx="148">
                  <c:v>3.6573357469969108E-4</c:v>
                </c:pt>
                <c:pt idx="149">
                  <c:v>3.6606375615814713E-4</c:v>
                </c:pt>
                <c:pt idx="150">
                  <c:v>3.7435941187341124E-4</c:v>
                </c:pt>
                <c:pt idx="151">
                  <c:v>3.673658349504563E-4</c:v>
                </c:pt>
                <c:pt idx="152">
                  <c:v>3.67685588080203E-4</c:v>
                </c:pt>
                <c:pt idx="153">
                  <c:v>3.6800259265778697E-4</c:v>
                </c:pt>
                <c:pt idx="154">
                  <c:v>3.683166277207077E-4</c:v>
                </c:pt>
                <c:pt idx="155">
                  <c:v>3.7664317813164135E-4</c:v>
                </c:pt>
                <c:pt idx="156">
                  <c:v>3.6953865355402881E-4</c:v>
                </c:pt>
                <c:pt idx="157">
                  <c:v>3.6983452658829867E-4</c:v>
                </c:pt>
                <c:pt idx="158">
                  <c:v>3.7012610432396377E-4</c:v>
                </c:pt>
                <c:pt idx="159">
                  <c:v>3.7041316579657893E-4</c:v>
                </c:pt>
                <c:pt idx="160">
                  <c:v>3.7875615072846904E-4</c:v>
                </c:pt>
                <c:pt idx="161">
                  <c:v>3.6747265894962949E-4</c:v>
                </c:pt>
                <c:pt idx="162">
                  <c:v>3.6773128010293921E-4</c:v>
                </c:pt>
                <c:pt idx="163">
                  <c:v>3.6798382876512749E-4</c:v>
                </c:pt>
                <c:pt idx="164">
                  <c:v>3.6823038029696291E-4</c:v>
                </c:pt>
                <c:pt idx="165">
                  <c:v>3.6847071613455538E-4</c:v>
                </c:pt>
                <c:pt idx="166">
                  <c:v>3.691522438481173E-4</c:v>
                </c:pt>
                <c:pt idx="167">
                  <c:v>3.6936553127489379E-4</c:v>
                </c:pt>
                <c:pt idx="168">
                  <c:v>3.6957151019114407E-4</c:v>
                </c:pt>
                <c:pt idx="169">
                  <c:v>3.6976996207218585E-4</c:v>
                </c:pt>
                <c:pt idx="170">
                  <c:v>3.6996066854716355E-4</c:v>
                </c:pt>
                <c:pt idx="171">
                  <c:v>3.7048413222465893E-4</c:v>
                </c:pt>
                <c:pt idx="172">
                  <c:v>3.7064167376678342E-4</c:v>
                </c:pt>
                <c:pt idx="173">
                  <c:v>3.7079037825204825E-4</c:v>
                </c:pt>
                <c:pt idx="174">
                  <c:v>3.7093301089352078E-4</c:v>
                </c:pt>
                <c:pt idx="175">
                  <c:v>3.7107250574409874E-4</c:v>
                </c:pt>
                <c:pt idx="176">
                  <c:v>3.7147251287125656E-4</c:v>
                </c:pt>
                <c:pt idx="177">
                  <c:v>3.7159980588014275E-4</c:v>
                </c:pt>
                <c:pt idx="178">
                  <c:v>3.7172413576050959E-4</c:v>
                </c:pt>
                <c:pt idx="179">
                  <c:v>3.7184553744585029E-4</c:v>
                </c:pt>
                <c:pt idx="180">
                  <c:v>3.7639480676557552E-4</c:v>
                </c:pt>
                <c:pt idx="181">
                  <c:v>3.724098456349035E-4</c:v>
                </c:pt>
                <c:pt idx="182">
                  <c:v>3.7251441176665203E-4</c:v>
                </c:pt>
                <c:pt idx="183">
                  <c:v>3.7261629424422912E-4</c:v>
                </c:pt>
                <c:pt idx="184">
                  <c:v>3.730039143310152E-4</c:v>
                </c:pt>
                <c:pt idx="185">
                  <c:v>3.7309290405992664E-4</c:v>
                </c:pt>
                <c:pt idx="186">
                  <c:v>3.7317941970860328E-4</c:v>
                </c:pt>
                <c:pt idx="187">
                  <c:v>3.7326349621446495E-4</c:v>
                </c:pt>
                <c:pt idx="188">
                  <c:v>3.7334516851467988E-4</c:v>
                </c:pt>
                <c:pt idx="189">
                  <c:v>3.7357610955491644E-4</c:v>
                </c:pt>
                <c:pt idx="190">
                  <c:v>3.7364851440676737E-4</c:v>
                </c:pt>
                <c:pt idx="191">
                  <c:v>3.7371868974083659E-4</c:v>
                </c:pt>
                <c:pt idx="192">
                  <c:v>3.7378667049479687E-4</c:v>
                </c:pt>
                <c:pt idx="193">
                  <c:v>3.7385249160718469E-4</c:v>
                </c:pt>
                <c:pt idx="194">
                  <c:v>3.740373464732743E-4</c:v>
                </c:pt>
                <c:pt idx="195">
                  <c:v>3.7409487839939874E-4</c:v>
                </c:pt>
                <c:pt idx="196">
                  <c:v>3.7415042537430031E-4</c:v>
                </c:pt>
                <c:pt idx="197">
                  <c:v>3.7420402233727433E-4</c:v>
                </c:pt>
                <c:pt idx="198">
                  <c:v>3.7425570422582136E-4</c:v>
                </c:pt>
                <c:pt idx="199">
                  <c:v>3.7439960883295218E-4</c:v>
                </c:pt>
                <c:pt idx="200">
                  <c:v>3.7444397981086934E-4</c:v>
                </c:pt>
                <c:pt idx="201">
                  <c:v>3.7448661038450888E-4</c:v>
                </c:pt>
                <c:pt idx="202">
                  <c:v>3.7452753538939063E-4</c:v>
                </c:pt>
                <c:pt idx="203">
                  <c:v>3.7456678968499172E-4</c:v>
                </c:pt>
                <c:pt idx="204">
                  <c:v>3.7467487702898104E-4</c:v>
                </c:pt>
                <c:pt idx="205">
                  <c:v>3.7058914639940714E-4</c:v>
                </c:pt>
                <c:pt idx="206">
                  <c:v>3.706202247317452E-4</c:v>
                </c:pt>
                <c:pt idx="207">
                  <c:v>3.7064985757746208E-4</c:v>
                </c:pt>
                <c:pt idx="208">
                  <c:v>3.7067807942452456E-4</c:v>
                </c:pt>
                <c:pt idx="209">
                  <c:v>3.7487511530431611E-4</c:v>
                </c:pt>
                <c:pt idx="210">
                  <c:v>3.7077754658456269E-4</c:v>
                </c:pt>
                <c:pt idx="211">
                  <c:v>3.707992307564137E-4</c:v>
                </c:pt>
                <c:pt idx="212">
                  <c:v>3.7081971085699646E-4</c:v>
                </c:pt>
                <c:pt idx="213">
                  <c:v>3.7083902137355189E-4</c:v>
                </c:pt>
                <c:pt idx="214">
                  <c:v>3.7501228438649025E-4</c:v>
                </c:pt>
                <c:pt idx="215">
                  <c:v>3.7090525735673763E-4</c:v>
                </c:pt>
                <c:pt idx="216">
                  <c:v>3.7091923727019968E-4</c:v>
                </c:pt>
                <c:pt idx="217">
                  <c:v>3.7093225452583469E-4</c:v>
                </c:pt>
                <c:pt idx="218">
                  <c:v>3.7094434361128749E-4</c:v>
                </c:pt>
                <c:pt idx="219">
                  <c:v>3.7509834501640491E-4</c:v>
                </c:pt>
                <c:pt idx="220">
                  <c:v>3.7098410800358333E-4</c:v>
                </c:pt>
                <c:pt idx="221">
                  <c:v>3.7099207355176836E-4</c:v>
                </c:pt>
                <c:pt idx="222">
                  <c:v>3.7099931785511577E-4</c:v>
                </c:pt>
                <c:pt idx="223">
                  <c:v>3.710058754008024E-4</c:v>
                </c:pt>
                <c:pt idx="224">
                  <c:v>3.7514525787658409E-4</c:v>
                </c:pt>
                <c:pt idx="225">
                  <c:v>3.7927301955307841E-4</c:v>
                </c:pt>
                <c:pt idx="226">
                  <c:v>3.7927674568629738E-4</c:v>
                </c:pt>
                <c:pt idx="227">
                  <c:v>3.7927998145791965E-4</c:v>
                </c:pt>
                <c:pt idx="228">
                  <c:v>3.8753017832740376E-4</c:v>
                </c:pt>
                <c:pt idx="229">
                  <c:v>3.7928872599928253E-4</c:v>
                </c:pt>
                <c:pt idx="230">
                  <c:v>3.792900387674316E-4</c:v>
                </c:pt>
                <c:pt idx="231">
                  <c:v>3.7929107266741616E-4</c:v>
                </c:pt>
                <c:pt idx="232">
                  <c:v>3.7929186280893337E-4</c:v>
                </c:pt>
                <c:pt idx="233">
                  <c:v>3.8754010545114957E-4</c:v>
                </c:pt>
                <c:pt idx="234">
                  <c:v>3.7929328740716507E-4</c:v>
                </c:pt>
                <c:pt idx="235">
                  <c:v>3.7929338496919341E-4</c:v>
                </c:pt>
                <c:pt idx="236">
                  <c:v>3.7929344925824779E-4</c:v>
                </c:pt>
                <c:pt idx="237">
                  <c:v>3.7929145691660646E-4</c:v>
                </c:pt>
                <c:pt idx="238">
                  <c:v>3.8753297140191735E-4</c:v>
                </c:pt>
                <c:pt idx="239">
                  <c:v>3.7924434909202296E-4</c:v>
                </c:pt>
                <c:pt idx="240">
                  <c:v>3.7922335610957725E-4</c:v>
                </c:pt>
                <c:pt idx="241">
                  <c:v>3.7919890415119534E-4</c:v>
                </c:pt>
                <c:pt idx="242">
                  <c:v>3.7917110693516323E-4</c:v>
                </c:pt>
                <c:pt idx="243">
                  <c:v>3.7898592210297956E-4</c:v>
                </c:pt>
                <c:pt idx="244">
                  <c:v>3.7894044141099725E-4</c:v>
                </c:pt>
                <c:pt idx="245">
                  <c:v>3.7477294247721058E-4</c:v>
                </c:pt>
                <c:pt idx="246">
                  <c:v>3.7472302546612377E-4</c:v>
                </c:pt>
                <c:pt idx="247">
                  <c:v>3.7455994564083083E-4</c:v>
                </c:pt>
                <c:pt idx="248">
                  <c:v>3.7450151770966638E-4</c:v>
                </c:pt>
                <c:pt idx="249">
                  <c:v>3.7444124325535958E-4</c:v>
                </c:pt>
                <c:pt idx="250">
                  <c:v>3.7437923476055772E-4</c:v>
                </c:pt>
                <c:pt idx="251">
                  <c:v>3.7431560470837052E-4</c:v>
                </c:pt>
                <c:pt idx="252">
                  <c:v>3.7411611004157283E-4</c:v>
                </c:pt>
                <c:pt idx="253">
                  <c:v>3.7404711859514718E-4</c:v>
                </c:pt>
                <c:pt idx="254">
                  <c:v>3.7397706800966496E-4</c:v>
                </c:pt>
                <c:pt idx="255">
                  <c:v>3.7390607076949169E-4</c:v>
                </c:pt>
                <c:pt idx="256">
                  <c:v>3.7383423935946581E-4</c:v>
                </c:pt>
                <c:pt idx="257">
                  <c:v>3.7361486495667207E-4</c:v>
                </c:pt>
                <c:pt idx="258">
                  <c:v>3.7354082173931809E-4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30432"/>
        <c:axId val="628944896"/>
      </c:scatterChart>
      <c:valAx>
        <c:axId val="6289304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8944896"/>
        <c:crosses val="autoZero"/>
        <c:crossBetween val="midCat"/>
      </c:valAx>
      <c:valAx>
        <c:axId val="62894489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289304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42110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1.1634776283750328E-3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42142</c:v>
                </c:pt>
                <c:pt idx="1">
                  <c:v>42171</c:v>
                </c:pt>
                <c:pt idx="2">
                  <c:v>42201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1.2698805259923794E-3</c:v>
                </c:pt>
                <c:pt idx="1">
                  <c:v>1.3777980093761443E-3</c:v>
                </c:pt>
                <c:pt idx="2">
                  <c:v>1.3833255694858191E-3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1.2737417745456254E-3</c:v>
                </c:pt>
                <c:pt idx="1">
                  <c:v>1.3553743293771329E-3</c:v>
                </c:pt>
                <c:pt idx="2">
                  <c:v>1.3749190048125339E-3</c:v>
                </c:pt>
                <c:pt idx="3">
                  <c:v>1.4665262428148473E-3</c:v>
                </c:pt>
                <c:pt idx="4">
                  <c:v>1.4838249966014471E-3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  <c:pt idx="255">
                  <c:v>42474</c:v>
                </c:pt>
                <c:pt idx="256">
                  <c:v>42475</c:v>
                </c:pt>
                <c:pt idx="257">
                  <c:v>42478</c:v>
                </c:pt>
                <c:pt idx="258">
                  <c:v>42479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1.181712812355811E-3</c:v>
                </c:pt>
                <c:pt idx="1">
                  <c:v>1.1831790435626432E-3</c:v>
                </c:pt>
                <c:pt idx="2">
                  <c:v>1.1882308106626323E-3</c:v>
                </c:pt>
                <c:pt idx="3">
                  <c:v>1.1901212029953204E-3</c:v>
                </c:pt>
                <c:pt idx="4">
                  <c:v>1.192109219714118E-3</c:v>
                </c:pt>
                <c:pt idx="5">
                  <c:v>1.1941914944608837E-3</c:v>
                </c:pt>
                <c:pt idx="6">
                  <c:v>1.1963646608774755E-3</c:v>
                </c:pt>
                <c:pt idx="7">
                  <c:v>1.2033958465647917E-3</c:v>
                </c:pt>
                <c:pt idx="8">
                  <c:v>1.2058989160792714E-3</c:v>
                </c:pt>
                <c:pt idx="9">
                  <c:v>1.2084760454728687E-3</c:v>
                </c:pt>
                <c:pt idx="10">
                  <c:v>1.2111238683874422E-3</c:v>
                </c:pt>
                <c:pt idx="11">
                  <c:v>1.2223547680926612E-3</c:v>
                </c:pt>
                <c:pt idx="12">
                  <c:v>1.2253055632399888E-3</c:v>
                </c:pt>
                <c:pt idx="13">
                  <c:v>1.228306853759442E-3</c:v>
                </c:pt>
                <c:pt idx="14">
                  <c:v>1.2313552732928792E-3</c:v>
                </c:pt>
                <c:pt idx="15">
                  <c:v>1.2344474554821586E-3</c:v>
                </c:pt>
                <c:pt idx="16">
                  <c:v>1.2439529144036335E-3</c:v>
                </c:pt>
                <c:pt idx="17">
                  <c:v>1.247186483634865E-3</c:v>
                </c:pt>
                <c:pt idx="18">
                  <c:v>1.25044698373123E-3</c:v>
                </c:pt>
                <c:pt idx="19">
                  <c:v>1.2537310483345871E-3</c:v>
                </c:pt>
                <c:pt idx="20">
                  <c:v>1.2570353110867944E-3</c:v>
                </c:pt>
                <c:pt idx="21">
                  <c:v>1.267035624655101E-3</c:v>
                </c:pt>
                <c:pt idx="22">
                  <c:v>1.2703870164212925E-3</c:v>
                </c:pt>
                <c:pt idx="23">
                  <c:v>1.2737417745456254E-3</c:v>
                </c:pt>
                <c:pt idx="24">
                  <c:v>1.2770965326699584E-3</c:v>
                </c:pt>
                <c:pt idx="25">
                  <c:v>1.2804479244361499E-3</c:v>
                </c:pt>
                <c:pt idx="26">
                  <c:v>1.2904482380044565E-3</c:v>
                </c:pt>
                <c:pt idx="27">
                  <c:v>1.2937525007566638E-3</c:v>
                </c:pt>
                <c:pt idx="28">
                  <c:v>1.2970365653600208E-3</c:v>
                </c:pt>
                <c:pt idx="29">
                  <c:v>1.3002970654563859E-3</c:v>
                </c:pt>
                <c:pt idx="30">
                  <c:v>1.3035306346876174E-3</c:v>
                </c:pt>
                <c:pt idx="31">
                  <c:v>1.3130360936090923E-3</c:v>
                </c:pt>
                <c:pt idx="32">
                  <c:v>1.3161282757983717E-3</c:v>
                </c:pt>
                <c:pt idx="33">
                  <c:v>1.3191766953318089E-3</c:v>
                </c:pt>
                <c:pt idx="34">
                  <c:v>1.3221779858512621E-3</c:v>
                </c:pt>
                <c:pt idx="35">
                  <c:v>1.3251287809985897E-3</c:v>
                </c:pt>
                <c:pt idx="36">
                  <c:v>1.333644530626401E-3</c:v>
                </c:pt>
                <c:pt idx="37">
                  <c:v>1.3363596807038087E-3</c:v>
                </c:pt>
                <c:pt idx="38">
                  <c:v>1.3390075036183822E-3</c:v>
                </c:pt>
                <c:pt idx="39">
                  <c:v>1.3415846330119795E-3</c:v>
                </c:pt>
                <c:pt idx="40">
                  <c:v>1.3440877025264592E-3</c:v>
                </c:pt>
                <c:pt idx="41">
                  <c:v>1.3511188882137754E-3</c:v>
                </c:pt>
                <c:pt idx="42">
                  <c:v>1.3532920546303672E-3</c:v>
                </c:pt>
                <c:pt idx="43">
                  <c:v>1.3553743293771329E-3</c:v>
                </c:pt>
                <c:pt idx="44">
                  <c:v>1.3573632577745019E-3</c:v>
                </c:pt>
                <c:pt idx="45">
                  <c:v>1.3592600318571885E-3</c:v>
                </c:pt>
                <c:pt idx="46">
                  <c:v>1.3644184653500123E-3</c:v>
                </c:pt>
                <c:pt idx="47">
                  <c:v>1.3659676593068271E-3</c:v>
                </c:pt>
                <c:pt idx="48">
                  <c:v>1.3674352175153883E-3</c:v>
                </c:pt>
                <c:pt idx="49">
                  <c:v>1.3688232436889812E-3</c:v>
                </c:pt>
                <c:pt idx="50">
                  <c:v>1.370133841540892E-3</c:v>
                </c:pt>
                <c:pt idx="51">
                  <c:v>1.3736221022993878E-3</c:v>
                </c:pt>
                <c:pt idx="52">
                  <c:v>1.3746440239974266E-3</c:v>
                </c:pt>
                <c:pt idx="53">
                  <c:v>1.3755990359402117E-3</c:v>
                </c:pt>
                <c:pt idx="54">
                  <c:v>1.3764892418410286E-3</c:v>
                </c:pt>
                <c:pt idx="55">
                  <c:v>1.3773167454131632E-3</c:v>
                </c:pt>
                <c:pt idx="56">
                  <c:v>1.3794440792903304E-3</c:v>
                </c:pt>
                <c:pt idx="57">
                  <c:v>1.3800418106805928E-3</c:v>
                </c:pt>
                <c:pt idx="58">
                  <c:v>1.3805873583086015E-3</c:v>
                </c:pt>
                <c:pt idx="59">
                  <c:v>1.381082825887642E-3</c:v>
                </c:pt>
                <c:pt idx="60">
                  <c:v>1.3815303171310002E-3</c:v>
                </c:pt>
                <c:pt idx="61">
                  <c:v>1.3826059699798376E-3</c:v>
                </c:pt>
                <c:pt idx="62">
                  <c:v>1.3828825930133233E-3</c:v>
                </c:pt>
                <c:pt idx="63">
                  <c:v>1.3831217582775553E-3</c:v>
                </c:pt>
                <c:pt idx="64">
                  <c:v>1.3833255694858191E-3</c:v>
                </c:pt>
                <c:pt idx="65">
                  <c:v>1.3834959640029287E-3</c:v>
                </c:pt>
                <c:pt idx="66">
                  <c:v>1.3838187017227045E-3</c:v>
                </c:pt>
                <c:pt idx="67">
                  <c:v>1.3838671510936263E-3</c:v>
                </c:pt>
                <c:pt idx="68">
                  <c:v>1.3838878782341366E-3</c:v>
                </c:pt>
                <c:pt idx="69">
                  <c:v>1.3838819887666896E-3</c:v>
                </c:pt>
                <c:pt idx="70">
                  <c:v>1.3838505883137396E-3</c:v>
                </c:pt>
                <c:pt idx="71">
                  <c:v>1.383614377266413E-3</c:v>
                </c:pt>
                <c:pt idx="72">
                  <c:v>1.3834919890959925E-3</c:v>
                </c:pt>
                <c:pt idx="73">
                  <c:v>1.3833496180523399E-3</c:v>
                </c:pt>
                <c:pt idx="74">
                  <c:v>1.3831883697579094E-3</c:v>
                </c:pt>
                <c:pt idx="75">
                  <c:v>1.3830093498351551E-3</c:v>
                </c:pt>
                <c:pt idx="76">
                  <c:v>1.3823767165214919E-3</c:v>
                </c:pt>
                <c:pt idx="77">
                  <c:v>1.3821376663099847E-3</c:v>
                </c:pt>
                <c:pt idx="78">
                  <c:v>1.3818863725824245E-3</c:v>
                </c:pt>
                <c:pt idx="79">
                  <c:v>1.3816239409612659E-3</c:v>
                </c:pt>
                <c:pt idx="80">
                  <c:v>1.3813514770689627E-3</c:v>
                </c:pt>
                <c:pt idx="81">
                  <c:v>1.380484947989729E-3</c:v>
                </c:pt>
                <c:pt idx="82">
                  <c:v>1.3801834112373902E-3</c:v>
                </c:pt>
                <c:pt idx="83">
                  <c:v>1.3798773703261778E-3</c:v>
                </c:pt>
                <c:pt idx="84">
                  <c:v>1.3795679308785463E-3</c:v>
                </c:pt>
                <c:pt idx="85">
                  <c:v>1.3792561985169498E-3</c:v>
                </c:pt>
                <c:pt idx="86">
                  <c:v>1.3783183001729114E-3</c:v>
                </c:pt>
                <c:pt idx="87">
                  <c:v>1.3780084523799963E-3</c:v>
                </c:pt>
                <c:pt idx="88">
                  <c:v>1.3777018397853873E-3</c:v>
                </c:pt>
                <c:pt idx="89">
                  <c:v>1.3773995680115383E-3</c:v>
                </c:pt>
                <c:pt idx="90">
                  <c:v>1.3771027426809034E-3</c:v>
                </c:pt>
                <c:pt idx="91">
                  <c:v>1.3762560015728265E-3</c:v>
                </c:pt>
                <c:pt idx="92">
                  <c:v>1.3759920182395908E-3</c:v>
                </c:pt>
                <c:pt idx="93">
                  <c:v>1.3757390094618401E-3</c:v>
                </c:pt>
                <c:pt idx="94">
                  <c:v>1.3754980808620291E-3</c:v>
                </c:pt>
                <c:pt idx="95">
                  <c:v>1.3752703380626114E-3</c:v>
                </c:pt>
                <c:pt idx="96">
                  <c:v>1.374677280691262E-3</c:v>
                </c:pt>
                <c:pt idx="97">
                  <c:v>1.3745133373179606E-3</c:v>
                </c:pt>
                <c:pt idx="98">
                  <c:v>1.3743681078573239E-3</c:v>
                </c:pt>
                <c:pt idx="99">
                  <c:v>1.374242697931806E-3</c:v>
                </c:pt>
                <c:pt idx="100">
                  <c:v>1.3741382131638609E-3</c:v>
                </c:pt>
                <c:pt idx="101">
                  <c:v>1.3739613660300051E-3</c:v>
                </c:pt>
                <c:pt idx="102">
                  <c:v>1.3739516381168937E-3</c:v>
                </c:pt>
                <c:pt idx="103">
                  <c:v>1.3739683634736261E-3</c:v>
                </c:pt>
                <c:pt idx="104">
                  <c:v>1.3740126477226565E-3</c:v>
                </c:pt>
                <c:pt idx="105">
                  <c:v>1.3740855964864394E-3</c:v>
                </c:pt>
                <c:pt idx="106">
                  <c:v>1.3744874860908431E-3</c:v>
                </c:pt>
                <c:pt idx="107">
                  <c:v>1.374686149138177E-3</c:v>
                </c:pt>
                <c:pt idx="108">
                  <c:v>1.3749190048125339E-3</c:v>
                </c:pt>
                <c:pt idx="109">
                  <c:v>1.3751905998708245E-3</c:v>
                </c:pt>
                <c:pt idx="110">
                  <c:v>1.3755041678565638E-3</c:v>
                </c:pt>
                <c:pt idx="111">
                  <c:v>1.3766880674020807E-3</c:v>
                </c:pt>
                <c:pt idx="112">
                  <c:v>1.3771608851212219E-3</c:v>
                </c:pt>
                <c:pt idx="113">
                  <c:v>1.3776713547796152E-3</c:v>
                </c:pt>
                <c:pt idx="114">
                  <c:v>1.3782186121796217E-3</c:v>
                </c:pt>
                <c:pt idx="115">
                  <c:v>1.3788017931236022E-3</c:v>
                </c:pt>
                <c:pt idx="116">
                  <c:v>1.3807582352429941E-3</c:v>
                </c:pt>
                <c:pt idx="117">
                  <c:v>1.3814764683864774E-3</c:v>
                </c:pt>
                <c:pt idx="118">
                  <c:v>1.3822263040857382E-3</c:v>
                </c:pt>
                <c:pt idx="119">
                  <c:v>1.3830068781431374E-3</c:v>
                </c:pt>
                <c:pt idx="120">
                  <c:v>1.3838173263610359E-3</c:v>
                </c:pt>
                <c:pt idx="121">
                  <c:v>1.3864192740013332E-3</c:v>
                </c:pt>
                <c:pt idx="122">
                  <c:v>1.3873405768848354E-3</c:v>
                </c:pt>
                <c:pt idx="123">
                  <c:v>1.3882874329406406E-3</c:v>
                </c:pt>
                <c:pt idx="124">
                  <c:v>1.3892589779711095E-3</c:v>
                </c:pt>
                <c:pt idx="125">
                  <c:v>1.3902543477786026E-3</c:v>
                </c:pt>
                <c:pt idx="126">
                  <c:v>1.3933747638868357E-3</c:v>
                </c:pt>
                <c:pt idx="127">
                  <c:v>1.3944567908260339E-3</c:v>
                </c:pt>
                <c:pt idx="128">
                  <c:v>1.3955583215540602E-3</c:v>
                </c:pt>
                <c:pt idx="129">
                  <c:v>1.3966784918732753E-3</c:v>
                </c:pt>
                <c:pt idx="130">
                  <c:v>1.3978164375860402E-3</c:v>
                </c:pt>
                <c:pt idx="131">
                  <c:v>1.4013282851092397E-3</c:v>
                </c:pt>
                <c:pt idx="132">
                  <c:v>1.4025286904198106E-3</c:v>
                </c:pt>
                <c:pt idx="133">
                  <c:v>1.4037425501357349E-3</c:v>
                </c:pt>
                <c:pt idx="134">
                  <c:v>1.4049690000593731E-3</c:v>
                </c:pt>
                <c:pt idx="135">
                  <c:v>1.4062071759930862E-3</c:v>
                </c:pt>
                <c:pt idx="136">
                  <c:v>1.4099834178782828E-3</c:v>
                </c:pt>
                <c:pt idx="137">
                  <c:v>1.4112598558759031E-3</c:v>
                </c:pt>
                <c:pt idx="138">
                  <c:v>1.4125436988954021E-3</c:v>
                </c:pt>
                <c:pt idx="139">
                  <c:v>1.4138340827391405E-3</c:v>
                </c:pt>
                <c:pt idx="140">
                  <c:v>1.4151301432094791E-3</c:v>
                </c:pt>
                <c:pt idx="141">
                  <c:v>1.419043742403703E-3</c:v>
                </c:pt>
                <c:pt idx="142">
                  <c:v>1.4203538674040497E-3</c:v>
                </c:pt>
                <c:pt idx="143">
                  <c:v>1.4216653480428002E-3</c:v>
                </c:pt>
                <c:pt idx="144">
                  <c:v>1.4229773201223153E-3</c:v>
                </c:pt>
                <c:pt idx="145">
                  <c:v>1.4242889194449561E-3</c:v>
                </c:pt>
                <c:pt idx="146">
                  <c:v>1.4282128388952379E-3</c:v>
                </c:pt>
                <c:pt idx="147">
                  <c:v>1.4295143052139875E-3</c:v>
                </c:pt>
                <c:pt idx="148">
                  <c:v>1.4308110777876664E-3</c:v>
                </c:pt>
                <c:pt idx="149">
                  <c:v>1.4321022924186355E-3</c:v>
                </c:pt>
                <c:pt idx="150">
                  <c:v>1.4333870849092549E-3</c:v>
                </c:pt>
                <c:pt idx="151">
                  <c:v>1.4371942875626251E-3</c:v>
                </c:pt>
                <c:pt idx="152">
                  <c:v>1.438444749515455E-3</c:v>
                </c:pt>
                <c:pt idx="153">
                  <c:v>1.4396844683397391E-3</c:v>
                </c:pt>
                <c:pt idx="154">
                  <c:v>1.4409125798378385E-3</c:v>
                </c:pt>
                <c:pt idx="155">
                  <c:v>1.4421282198121138E-3</c:v>
                </c:pt>
                <c:pt idx="156">
                  <c:v>1.4456916686156028E-3</c:v>
                </c:pt>
                <c:pt idx="157">
                  <c:v>1.4468487805181895E-3</c:v>
                </c:pt>
                <c:pt idx="158">
                  <c:v>1.4479890999087558E-3</c:v>
                </c:pt>
                <c:pt idx="159">
                  <c:v>1.4491117625896623E-3</c:v>
                </c:pt>
                <c:pt idx="160">
                  <c:v>1.4502159043632704E-3</c:v>
                </c:pt>
                <c:pt idx="161">
                  <c:v>1.4534085622639086E-3</c:v>
                </c:pt>
                <c:pt idx="162">
                  <c:v>1.4544299784319289E-3</c:v>
                </c:pt>
                <c:pt idx="163">
                  <c:v>1.455428552704454E-3</c:v>
                </c:pt>
                <c:pt idx="164">
                  <c:v>1.4564034208838449E-3</c:v>
                </c:pt>
                <c:pt idx="165">
                  <c:v>1.4573537187724623E-3</c:v>
                </c:pt>
                <c:pt idx="166">
                  <c:v>1.4600485487172804E-3</c:v>
                </c:pt>
                <c:pt idx="167">
                  <c:v>1.4608919234664112E-3</c:v>
                </c:pt>
                <c:pt idx="168">
                  <c:v>1.461706406936572E-3</c:v>
                </c:pt>
                <c:pt idx="169">
                  <c:v>1.4624911349301237E-3</c:v>
                </c:pt>
                <c:pt idx="170">
                  <c:v>1.4632452432494275E-3</c:v>
                </c:pt>
                <c:pt idx="171">
                  <c:v>1.4653152081854559E-3</c:v>
                </c:pt>
                <c:pt idx="172">
                  <c:v>1.4659381958313739E-3</c:v>
                </c:pt>
                <c:pt idx="173">
                  <c:v>1.4665262428148473E-3</c:v>
                </c:pt>
                <c:pt idx="174">
                  <c:v>1.4670902874493815E-3</c:v>
                </c:pt>
                <c:pt idx="175">
                  <c:v>1.4676419360030624E-3</c:v>
                </c:pt>
                <c:pt idx="176">
                  <c:v>1.4692238825213015E-3</c:v>
                </c:pt>
                <c:pt idx="177">
                  <c:v>1.4697273240938857E-3</c:v>
                </c:pt>
                <c:pt idx="178">
                  <c:v>1.4702190582567751E-3</c:v>
                </c:pt>
                <c:pt idx="179">
                  <c:v>1.4706992227442013E-3</c:v>
                </c:pt>
                <c:pt idx="180">
                  <c:v>1.472506938623909E-3</c:v>
                </c:pt>
                <c:pt idx="181">
                  <c:v>1.472931320747495E-3</c:v>
                </c:pt>
                <c:pt idx="182">
                  <c:v>1.4733449596010082E-3</c:v>
                </c:pt>
                <c:pt idx="183">
                  <c:v>1.4737479929186801E-3</c:v>
                </c:pt>
                <c:pt idx="184">
                  <c:v>1.4752568255155896E-3</c:v>
                </c:pt>
                <c:pt idx="185">
                  <c:v>1.4756088971675308E-3</c:v>
                </c:pt>
                <c:pt idx="186">
                  <c:v>1.4759511896890211E-3</c:v>
                </c:pt>
                <c:pt idx="187">
                  <c:v>1.4762838408142922E-3</c:v>
                </c:pt>
                <c:pt idx="188">
                  <c:v>1.4766069882775755E-3</c:v>
                </c:pt>
                <c:pt idx="189">
                  <c:v>1.4775207860378175E-3</c:v>
                </c:pt>
                <c:pt idx="190">
                  <c:v>1.4778072961954675E-3</c:v>
                </c:pt>
                <c:pt idx="191">
                  <c:v>1.4780849913622887E-3</c:v>
                </c:pt>
                <c:pt idx="192">
                  <c:v>1.4783540092725123E-3</c:v>
                </c:pt>
                <c:pt idx="193">
                  <c:v>1.4786144876603703E-3</c:v>
                </c:pt>
                <c:pt idx="194">
                  <c:v>1.4793460630320673E-3</c:v>
                </c:pt>
                <c:pt idx="195">
                  <c:v>1.4795737606727798E-3</c:v>
                </c:pt>
                <c:pt idx="196">
                  <c:v>1.479793607462285E-3</c:v>
                </c:pt>
                <c:pt idx="197">
                  <c:v>1.4800057411348149E-3</c:v>
                </c:pt>
                <c:pt idx="198">
                  <c:v>1.480210299424601E-3</c:v>
                </c:pt>
                <c:pt idx="199">
                  <c:v>1.4807798993398138E-3</c:v>
                </c:pt>
                <c:pt idx="200">
                  <c:v>1.480955533440942E-3</c:v>
                </c:pt>
                <c:pt idx="201">
                  <c:v>1.4811242808304851E-3</c:v>
                </c:pt>
                <c:pt idx="202">
                  <c:v>1.4812862792426744E-3</c:v>
                </c:pt>
                <c:pt idx="203">
                  <c:v>1.4814416664117422E-3</c:v>
                </c:pt>
                <c:pt idx="204">
                  <c:v>1.4818695378025315E-3</c:v>
                </c:pt>
                <c:pt idx="205">
                  <c:v>1.4819998573414289E-3</c:v>
                </c:pt>
                <c:pt idx="206">
                  <c:v>1.482124254308363E-3</c:v>
                </c:pt>
                <c:pt idx="207">
                  <c:v>1.4822428664375657E-3</c:v>
                </c:pt>
                <c:pt idx="208">
                  <c:v>1.4823558314632685E-3</c:v>
                </c:pt>
                <c:pt idx="209">
                  <c:v>1.4826622212616946E-3</c:v>
                </c:pt>
                <c:pt idx="210">
                  <c:v>1.4827539752157149E-3</c:v>
                </c:pt>
                <c:pt idx="211">
                  <c:v>1.4828407707373939E-3</c:v>
                </c:pt>
                <c:pt idx="212">
                  <c:v>1.4829227455609632E-3</c:v>
                </c:pt>
                <c:pt idx="213">
                  <c:v>1.4830000374206546E-3</c:v>
                </c:pt>
                <c:pt idx="214">
                  <c:v>1.483205192558778E-3</c:v>
                </c:pt>
                <c:pt idx="215">
                  <c:v>1.4832651299052746E-3</c:v>
                </c:pt>
                <c:pt idx="216">
                  <c:v>1.4833210729590519E-3</c:v>
                </c:pt>
                <c:pt idx="217">
                  <c:v>1.4833731594543413E-3</c:v>
                </c:pt>
                <c:pt idx="218">
                  <c:v>1.4834215271253748E-3</c:v>
                </c:pt>
                <c:pt idx="219">
                  <c:v>1.4835456945352561E-3</c:v>
                </c:pt>
                <c:pt idx="220">
                  <c:v>1.4835805642515827E-3</c:v>
                </c:pt>
                <c:pt idx="221">
                  <c:v>1.4836124038148117E-3</c:v>
                </c:pt>
                <c:pt idx="222">
                  <c:v>1.4836413509591749E-3</c:v>
                </c:pt>
                <c:pt idx="223">
                  <c:v>1.4836675434189038E-3</c:v>
                </c:pt>
                <c:pt idx="224">
                  <c:v>1.4837309700326037E-3</c:v>
                </c:pt>
                <c:pt idx="225">
                  <c:v>1.4837475210961134E-3</c:v>
                </c:pt>
                <c:pt idx="226">
                  <c:v>1.4837620061461476E-3</c:v>
                </c:pt>
                <c:pt idx="227">
                  <c:v>1.4837745629169381E-3</c:v>
                </c:pt>
                <c:pt idx="228">
                  <c:v>1.4837853291427162E-3</c:v>
                </c:pt>
                <c:pt idx="229">
                  <c:v>1.483808261892295E-3</c:v>
                </c:pt>
                <c:pt idx="230">
                  <c:v>1.4838132432803417E-3</c:v>
                </c:pt>
                <c:pt idx="231">
                  <c:v>1.4838171227945346E-3</c:v>
                </c:pt>
                <c:pt idx="232">
                  <c:v>1.4838200381691057E-3</c:v>
                </c:pt>
                <c:pt idx="233">
                  <c:v>1.4838221271382865E-3</c:v>
                </c:pt>
                <c:pt idx="234">
                  <c:v>1.4838248129558048E-3</c:v>
                </c:pt>
                <c:pt idx="235">
                  <c:v>1.4838249736457418E-3</c:v>
                </c:pt>
                <c:pt idx="236">
                  <c:v>1.4838249966014471E-3</c:v>
                </c:pt>
                <c:pt idx="237">
                  <c:v>1.483816965250655E-3</c:v>
                </c:pt>
                <c:pt idx="238">
                  <c:v>1.4837931681058866E-3</c:v>
                </c:pt>
                <c:pt idx="239">
                  <c:v>1.4836316355218409E-3</c:v>
                </c:pt>
                <c:pt idx="240">
                  <c:v>1.4835492288152849E-3</c:v>
                </c:pt>
                <c:pt idx="241">
                  <c:v>1.4834532831218112E-3</c:v>
                </c:pt>
                <c:pt idx="242">
                  <c:v>1.4833442438028318E-3</c:v>
                </c:pt>
                <c:pt idx="243">
                  <c:v>1.4826182304747597E-3</c:v>
                </c:pt>
                <c:pt idx="244">
                  <c:v>1.4824399819923927E-3</c:v>
                </c:pt>
                <c:pt idx="245">
                  <c:v>1.4822517574144022E-3</c:v>
                </c:pt>
                <c:pt idx="246">
                  <c:v>1.4820540021022002E-3</c:v>
                </c:pt>
                <c:pt idx="247">
                  <c:v>1.4814080053744412E-3</c:v>
                </c:pt>
                <c:pt idx="248">
                  <c:v>1.4811765807395099E-3</c:v>
                </c:pt>
                <c:pt idx="249">
                  <c:v>1.4809378521774257E-3</c:v>
                </c:pt>
                <c:pt idx="250">
                  <c:v>1.4806922650496004E-3</c:v>
                </c:pt>
                <c:pt idx="251">
                  <c:v>1.4804402647174458E-3</c:v>
                </c:pt>
                <c:pt idx="252">
                  <c:v>1.4796502381091235E-3</c:v>
                </c:pt>
                <c:pt idx="253">
                  <c:v>1.479377038573769E-3</c:v>
                </c:pt>
                <c:pt idx="254">
                  <c:v>1.479099652641144E-3</c:v>
                </c:pt>
                <c:pt idx="255">
                  <c:v>1.4788185256726601E-3</c:v>
                </c:pt>
                <c:pt idx="256">
                  <c:v>1.4785341030297294E-3</c:v>
                </c:pt>
                <c:pt idx="257">
                  <c:v>1.4776655146683726E-3</c:v>
                </c:pt>
                <c:pt idx="258">
                  <c:v>1.4773723629417711E-3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196800"/>
        <c:axId val="601214976"/>
      </c:scatterChart>
      <c:valAx>
        <c:axId val="6011968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1214976"/>
        <c:crosses val="autoZero"/>
        <c:crossBetween val="midCat"/>
      </c:valAx>
      <c:valAx>
        <c:axId val="601214976"/>
        <c:scaling>
          <c:orientation val="minMax"/>
          <c:max val="1.6000000000000005E-3"/>
          <c:min val="1.0000000000000002E-3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0119680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42110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1.0316497161093098E-3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42142</c:v>
                </c:pt>
                <c:pt idx="1">
                  <c:v>42171</c:v>
                </c:pt>
                <c:pt idx="2">
                  <c:v>42201</c:v>
                </c:pt>
                <c:pt idx="3">
                  <c:v>42233</c:v>
                </c:pt>
                <c:pt idx="4">
                  <c:v>42263</c:v>
                </c:pt>
                <c:pt idx="5">
                  <c:v>42293</c:v>
                </c:pt>
                <c:pt idx="6">
                  <c:v>42324</c:v>
                </c:pt>
                <c:pt idx="7">
                  <c:v>42354</c:v>
                </c:pt>
                <c:pt idx="8">
                  <c:v>42387</c:v>
                </c:pt>
                <c:pt idx="9">
                  <c:v>42416</c:v>
                </c:pt>
                <c:pt idx="10">
                  <c:v>42445</c:v>
                </c:pt>
                <c:pt idx="11">
                  <c:v>42478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1.0466520052960146E-3</c:v>
                </c:pt>
                <c:pt idx="1">
                  <c:v>1.0694468099307715E-3</c:v>
                </c:pt>
                <c:pt idx="2">
                  <c:v>1.0798784689823755E-3</c:v>
                </c:pt>
                <c:pt idx="3">
                  <c:v>1.0702604355903459E-3</c:v>
                </c:pt>
                <c:pt idx="4">
                  <c:v>1.0672082970632295E-3</c:v>
                </c:pt>
                <c:pt idx="5">
                  <c:v>1.0871424717334335E-3</c:v>
                </c:pt>
                <c:pt idx="6">
                  <c:v>1.0772495425609263E-3</c:v>
                </c:pt>
                <c:pt idx="7">
                  <c:v>1.0856285688359384E-3</c:v>
                </c:pt>
                <c:pt idx="8">
                  <c:v>1.0973187628051575E-3</c:v>
                </c:pt>
                <c:pt idx="9">
                  <c:v>1.0992945533512893E-3</c:v>
                </c:pt>
                <c:pt idx="10">
                  <c:v>1.1083146851050365E-3</c:v>
                </c:pt>
                <c:pt idx="11">
                  <c:v>1.1122417361815206E-3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'!$AG$2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'!$Z$3:$Z$262</c:f>
              <c:numCache>
                <c:formatCode>ddd\,\ dd\-mmm\-yyyy</c:formatCode>
                <c:ptCount val="26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  <c:pt idx="255">
                  <c:v>42474</c:v>
                </c:pt>
                <c:pt idx="256">
                  <c:v>42475</c:v>
                </c:pt>
                <c:pt idx="257">
                  <c:v>42478</c:v>
                </c:pt>
                <c:pt idx="258">
                  <c:v>42479</c:v>
                </c:pt>
                <c:pt idx="259">
                  <c:v>42480</c:v>
                </c:pt>
              </c:numCache>
            </c:numRef>
          </c:xVal>
          <c:yVal>
            <c:numRef>
              <c:f>'Delta 6M '!$AG$3:$AG$262</c:f>
              <c:numCache>
                <c:formatCode>General</c:formatCode>
                <c:ptCount val="260"/>
                <c:pt idx="0">
                  <c:v>1.0117555636249994E-3</c:v>
                </c:pt>
                <c:pt idx="1">
                  <c:v>1.0229873425454082E-3</c:v>
                </c:pt>
                <c:pt idx="2">
                  <c:v>1.0128495533246601E-3</c:v>
                </c:pt>
                <c:pt idx="3">
                  <c:v>1.01328853716396E-3</c:v>
                </c:pt>
                <c:pt idx="4">
                  <c:v>1.0137891309685066E-3</c:v>
                </c:pt>
                <c:pt idx="5">
                  <c:v>1.0143490423427776E-3</c:v>
                </c:pt>
                <c:pt idx="6">
                  <c:v>1.026061387374471E-3</c:v>
                </c:pt>
                <c:pt idx="7">
                  <c:v>1.0171362303948751E-3</c:v>
                </c:pt>
                <c:pt idx="8">
                  <c:v>1.0179585485973592E-3</c:v>
                </c:pt>
                <c:pt idx="9">
                  <c:v>1.0188265309242796E-3</c:v>
                </c:pt>
                <c:pt idx="10">
                  <c:v>1.0197379054614289E-3</c:v>
                </c:pt>
                <c:pt idx="11">
                  <c:v>1.0293729559606737E-3</c:v>
                </c:pt>
                <c:pt idx="12">
                  <c:v>1.0304730015176361E-3</c:v>
                </c:pt>
                <c:pt idx="13">
                  <c:v>1.0316028727321586E-3</c:v>
                </c:pt>
                <c:pt idx="14">
                  <c:v>1.0439888645157687E-3</c:v>
                </c:pt>
                <c:pt idx="15">
                  <c:v>1.0395635975553518E-3</c:v>
                </c:pt>
                <c:pt idx="16">
                  <c:v>1.0376191122078943E-3</c:v>
                </c:pt>
                <c:pt idx="17">
                  <c:v>1.0388796869747851E-3</c:v>
                </c:pt>
                <c:pt idx="18">
                  <c:v>1.0401540256134985E-3</c:v>
                </c:pt>
                <c:pt idx="19">
                  <c:v>1.0527628399165782E-3</c:v>
                </c:pt>
                <c:pt idx="20">
                  <c:v>1.0484033648537978E-3</c:v>
                </c:pt>
                <c:pt idx="21">
                  <c:v>1.0466520052960146E-3</c:v>
                </c:pt>
                <c:pt idx="22">
                  <c:v>1.0479608233805963E-3</c:v>
                </c:pt>
                <c:pt idx="23">
                  <c:v>1.0492673641952668E-3</c:v>
                </c:pt>
                <c:pt idx="24">
                  <c:v>1.0619916559919244E-3</c:v>
                </c:pt>
                <c:pt idx="25">
                  <c:v>1.057582619325984E-3</c:v>
                </c:pt>
                <c:pt idx="26">
                  <c:v>1.0556854899556457E-3</c:v>
                </c:pt>
                <c:pt idx="27">
                  <c:v>1.0569301154447653E-3</c:v>
                </c:pt>
                <c:pt idx="28">
                  <c:v>1.0581563796607345E-3</c:v>
                </c:pt>
                <c:pt idx="29">
                  <c:v>1.0708800056383274E-3</c:v>
                </c:pt>
                <c:pt idx="30">
                  <c:v>1.0663100665736804E-3</c:v>
                </c:pt>
                <c:pt idx="31">
                  <c:v>1.0581533034717319E-3</c:v>
                </c:pt>
                <c:pt idx="32">
                  <c:v>1.0592153374957697E-3</c:v>
                </c:pt>
                <c:pt idx="33">
                  <c:v>1.0602431123338471E-3</c:v>
                </c:pt>
                <c:pt idx="34">
                  <c:v>1.061234342614224E-3</c:v>
                </c:pt>
                <c:pt idx="35">
                  <c:v>1.0737986951471325E-3</c:v>
                </c:pt>
                <c:pt idx="36">
                  <c:v>1.0647881102913911E-3</c:v>
                </c:pt>
                <c:pt idx="37">
                  <c:v>1.065562336775817E-3</c:v>
                </c:pt>
                <c:pt idx="38">
                  <c:v>1.0662863061047341E-3</c:v>
                </c:pt>
                <c:pt idx="39">
                  <c:v>1.0669577327739499E-3</c:v>
                </c:pt>
                <c:pt idx="40">
                  <c:v>1.0792453510248894E-3</c:v>
                </c:pt>
                <c:pt idx="41">
                  <c:v>1.0690723457160716E-3</c:v>
                </c:pt>
                <c:pt idx="42">
                  <c:v>1.0694468099307715E-3</c:v>
                </c:pt>
                <c:pt idx="43">
                  <c:v>1.0697558788253074E-3</c:v>
                </c:pt>
                <c:pt idx="44">
                  <c:v>1.0700015020299936E-3</c:v>
                </c:pt>
                <c:pt idx="45">
                  <c:v>1.081886206174873E-3</c:v>
                </c:pt>
                <c:pt idx="46">
                  <c:v>1.0704054618372062E-3</c:v>
                </c:pt>
                <c:pt idx="47">
                  <c:v>1.0703757995725151E-3</c:v>
                </c:pt>
                <c:pt idx="48">
                  <c:v>1.0702994688652932E-3</c:v>
                </c:pt>
                <c:pt idx="49">
                  <c:v>1.0877289659041681E-3</c:v>
                </c:pt>
                <c:pt idx="50">
                  <c:v>1.0817160128473089E-3</c:v>
                </c:pt>
                <c:pt idx="51">
                  <c:v>1.0693156574320881E-3</c:v>
                </c:pt>
                <c:pt idx="52">
                  <c:v>1.0690180374747537E-3</c:v>
                </c:pt>
                <c:pt idx="53">
                  <c:v>1.0920424607045827E-3</c:v>
                </c:pt>
                <c:pt idx="54">
                  <c:v>1.0858459675996701E-3</c:v>
                </c:pt>
                <c:pt idx="55">
                  <c:v>1.0796315659779966E-3</c:v>
                </c:pt>
                <c:pt idx="56">
                  <c:v>1.0725745752467404E-3</c:v>
                </c:pt>
                <c:pt idx="57">
                  <c:v>1.0721436874904485E-3</c:v>
                </c:pt>
                <c:pt idx="58">
                  <c:v>1.071705238430242E-3</c:v>
                </c:pt>
                <c:pt idx="59">
                  <c:v>1.0829102314373672E-3</c:v>
                </c:pt>
                <c:pt idx="60">
                  <c:v>1.0766385709966052E-3</c:v>
                </c:pt>
                <c:pt idx="61">
                  <c:v>1.0694979817866726E-3</c:v>
                </c:pt>
                <c:pt idx="62">
                  <c:v>1.0690732100232343E-3</c:v>
                </c:pt>
                <c:pt idx="63">
                  <c:v>1.0686605587861098E-3</c:v>
                </c:pt>
                <c:pt idx="64">
                  <c:v>1.0798784689823755E-3</c:v>
                </c:pt>
                <c:pt idx="65">
                  <c:v>1.0736880992686466E-3</c:v>
                </c:pt>
                <c:pt idx="66">
                  <c:v>1.0668453750655594E-3</c:v>
                </c:pt>
                <c:pt idx="67">
                  <c:v>1.0665338539804028E-3</c:v>
                </c:pt>
                <c:pt idx="68">
                  <c:v>1.0662390669395783E-3</c:v>
                </c:pt>
                <c:pt idx="69">
                  <c:v>1.0775514197845669E-3</c:v>
                </c:pt>
                <c:pt idx="70">
                  <c:v>1.0714927548123865E-3</c:v>
                </c:pt>
                <c:pt idx="71">
                  <c:v>1.0650090534918431E-3</c:v>
                </c:pt>
                <c:pt idx="72">
                  <c:v>1.0648104153630992E-3</c:v>
                </c:pt>
                <c:pt idx="73">
                  <c:v>1.0646270925921577E-3</c:v>
                </c:pt>
                <c:pt idx="74">
                  <c:v>1.0586717837438228E-3</c:v>
                </c:pt>
                <c:pt idx="75">
                  <c:v>1.0527330750258654E-3</c:v>
                </c:pt>
                <c:pt idx="76">
                  <c:v>1.063933120667476E-3</c:v>
                </c:pt>
                <c:pt idx="77">
                  <c:v>1.0638374369573195E-3</c:v>
                </c:pt>
                <c:pt idx="78">
                  <c:v>1.0637556508941663E-3</c:v>
                </c:pt>
                <c:pt idx="79">
                  <c:v>1.0752534082681267E-3</c:v>
                </c:pt>
                <c:pt idx="80">
                  <c:v>1.0694155773632533E-3</c:v>
                </c:pt>
                <c:pt idx="81">
                  <c:v>1.063548096454339E-3</c:v>
                </c:pt>
                <c:pt idx="82">
                  <c:v>1.0635454429563523E-3</c:v>
                </c:pt>
                <c:pt idx="83">
                  <c:v>1.0635552693202073E-3</c:v>
                </c:pt>
                <c:pt idx="84">
                  <c:v>1.0751420014443432E-3</c:v>
                </c:pt>
                <c:pt idx="85">
                  <c:v>1.0693940399000164E-3</c:v>
                </c:pt>
                <c:pt idx="86">
                  <c:v>1.0637845099099705E-3</c:v>
                </c:pt>
                <c:pt idx="87">
                  <c:v>1.0638649619347854E-3</c:v>
                </c:pt>
                <c:pt idx="88">
                  <c:v>1.0639564759741854E-3</c:v>
                </c:pt>
                <c:pt idx="89">
                  <c:v>1.075628691877689E-3</c:v>
                </c:pt>
                <c:pt idx="90">
                  <c:v>1.0699574039651659E-3</c:v>
                </c:pt>
                <c:pt idx="91">
                  <c:v>1.0645728869657272E-3</c:v>
                </c:pt>
                <c:pt idx="92">
                  <c:v>1.0647265194246105E-3</c:v>
                </c:pt>
                <c:pt idx="93">
                  <c:v>1.0648897960000103E-3</c:v>
                </c:pt>
                <c:pt idx="94">
                  <c:v>1.0766432492803459E-3</c:v>
                </c:pt>
                <c:pt idx="95">
                  <c:v>1.0710358164279746E-3</c:v>
                </c:pt>
                <c:pt idx="96">
                  <c:v>1.0542546144168823E-3</c:v>
                </c:pt>
                <c:pt idx="97">
                  <c:v>1.0544691464354412E-3</c:v>
                </c:pt>
                <c:pt idx="98">
                  <c:v>1.0546918151559056E-3</c:v>
                </c:pt>
                <c:pt idx="99">
                  <c:v>1.0549224202140877E-3</c:v>
                </c:pt>
                <c:pt idx="100">
                  <c:v>1.0551607612449044E-3</c:v>
                </c:pt>
                <c:pt idx="101">
                  <c:v>1.0559201965185626E-3</c:v>
                </c:pt>
                <c:pt idx="102">
                  <c:v>1.0561874777812801E-3</c:v>
                </c:pt>
                <c:pt idx="103">
                  <c:v>1.0564614931847687E-3</c:v>
                </c:pt>
                <c:pt idx="104">
                  <c:v>1.0567420423644391E-3</c:v>
                </c:pt>
                <c:pt idx="105">
                  <c:v>1.0570289249717663E-3</c:v>
                </c:pt>
                <c:pt idx="106">
                  <c:v>1.0579255699014068E-3</c:v>
                </c:pt>
                <c:pt idx="107">
                  <c:v>1.0582357827601718E-3</c:v>
                </c:pt>
                <c:pt idx="108">
                  <c:v>1.0585513273155779E-3</c:v>
                </c:pt>
                <c:pt idx="109">
                  <c:v>1.0588720032114925E-3</c:v>
                </c:pt>
                <c:pt idx="110">
                  <c:v>1.0591976100580223E-3</c:v>
                </c:pt>
                <c:pt idx="111">
                  <c:v>1.0602020123027429E-3</c:v>
                </c:pt>
                <c:pt idx="112">
                  <c:v>1.0605453389524139E-3</c:v>
                </c:pt>
                <c:pt idx="113">
                  <c:v>1.0608925945520902E-3</c:v>
                </c:pt>
                <c:pt idx="114">
                  <c:v>1.0612435787004887E-3</c:v>
                </c:pt>
                <c:pt idx="115">
                  <c:v>1.0849377687555076E-3</c:v>
                </c:pt>
                <c:pt idx="116">
                  <c:v>1.0685216277345449E-3</c:v>
                </c:pt>
                <c:pt idx="117">
                  <c:v>1.0630474136159736E-3</c:v>
                </c:pt>
                <c:pt idx="118">
                  <c:v>1.0634165606185188E-3</c:v>
                </c:pt>
                <c:pt idx="119">
                  <c:v>1.0696394397968839E-3</c:v>
                </c:pt>
                <c:pt idx="120">
                  <c:v>1.0817131388599316E-3</c:v>
                </c:pt>
                <c:pt idx="121">
                  <c:v>1.0711528529943886E-3</c:v>
                </c:pt>
                <c:pt idx="122">
                  <c:v>1.0715350375078039E-3</c:v>
                </c:pt>
                <c:pt idx="123">
                  <c:v>1.071918351495296E-3</c:v>
                </c:pt>
                <c:pt idx="124">
                  <c:v>1.0723025934506714E-3</c:v>
                </c:pt>
                <c:pt idx="125">
                  <c:v>1.084414804021628E-3</c:v>
                </c:pt>
                <c:pt idx="126">
                  <c:v>1.0738448108234965E-3</c:v>
                </c:pt>
                <c:pt idx="127">
                  <c:v>1.0742306700210953E-3</c:v>
                </c:pt>
                <c:pt idx="128">
                  <c:v>1.0746162481465886E-3</c:v>
                </c:pt>
                <c:pt idx="129">
                  <c:v>1.0750013436928458E-3</c:v>
                </c:pt>
                <c:pt idx="130">
                  <c:v>1.0871424717334335E-3</c:v>
                </c:pt>
                <c:pt idx="131">
                  <c:v>1.0765336391346139E-3</c:v>
                </c:pt>
                <c:pt idx="132">
                  <c:v>1.0769143532608433E-3</c:v>
                </c:pt>
                <c:pt idx="133">
                  <c:v>1.0772940594960031E-3</c:v>
                </c:pt>
                <c:pt idx="134">
                  <c:v>1.0776727272653608E-3</c:v>
                </c:pt>
                <c:pt idx="135">
                  <c:v>1.0898361483295958E-3</c:v>
                </c:pt>
                <c:pt idx="136">
                  <c:v>1.0791764022038311E-3</c:v>
                </c:pt>
                <c:pt idx="137">
                  <c:v>1.0795494190317925E-3</c:v>
                </c:pt>
                <c:pt idx="138">
                  <c:v>1.0799212139821638E-3</c:v>
                </c:pt>
                <c:pt idx="139">
                  <c:v>1.0802917565971768E-3</c:v>
                </c:pt>
                <c:pt idx="140">
                  <c:v>1.0747538765253481E-3</c:v>
                </c:pt>
                <c:pt idx="141">
                  <c:v>1.0758503302754757E-3</c:v>
                </c:pt>
                <c:pt idx="142">
                  <c:v>1.0762121638791321E-3</c:v>
                </c:pt>
                <c:pt idx="143">
                  <c:v>1.076572568688353E-3</c:v>
                </c:pt>
                <c:pt idx="144">
                  <c:v>1.0769315141764689E-3</c:v>
                </c:pt>
                <c:pt idx="145">
                  <c:v>1.0772889698155161E-3</c:v>
                </c:pt>
                <c:pt idx="146">
                  <c:v>1.0783520923611655E-3</c:v>
                </c:pt>
                <c:pt idx="147">
                  <c:v>1.0787032833257074E-3</c:v>
                </c:pt>
                <c:pt idx="148">
                  <c:v>1.0790528318010244E-3</c:v>
                </c:pt>
                <c:pt idx="149">
                  <c:v>1.0794007072589251E-3</c:v>
                </c:pt>
                <c:pt idx="150">
                  <c:v>1.0797468791703653E-3</c:v>
                </c:pt>
                <c:pt idx="151">
                  <c:v>1.0807748683388633E-3</c:v>
                </c:pt>
                <c:pt idx="152">
                  <c:v>1.0811139207760128E-3</c:v>
                </c:pt>
                <c:pt idx="153">
                  <c:v>1.0814511170215305E-3</c:v>
                </c:pt>
                <c:pt idx="154">
                  <c:v>1.0817864265463438E-3</c:v>
                </c:pt>
                <c:pt idx="155">
                  <c:v>1.0821198188203018E-3</c:v>
                </c:pt>
                <c:pt idx="156">
                  <c:v>1.083108186841081E-3</c:v>
                </c:pt>
                <c:pt idx="157">
                  <c:v>1.0834336048144669E-3</c:v>
                </c:pt>
                <c:pt idx="158">
                  <c:v>1.0837569528871218E-3</c:v>
                </c:pt>
                <c:pt idx="159">
                  <c:v>1.08407820052973E-3</c:v>
                </c:pt>
                <c:pt idx="160">
                  <c:v>1.0843973172110055E-3</c:v>
                </c:pt>
                <c:pt idx="161">
                  <c:v>1.0853415761836723E-3</c:v>
                </c:pt>
                <c:pt idx="162">
                  <c:v>1.0916198335501118E-3</c:v>
                </c:pt>
                <c:pt idx="163">
                  <c:v>1.091929535744166E-3</c:v>
                </c:pt>
                <c:pt idx="164">
                  <c:v>1.0922369112755081E-3</c:v>
                </c:pt>
                <c:pt idx="165">
                  <c:v>1.1044863314894336E-3</c:v>
                </c:pt>
                <c:pt idx="166">
                  <c:v>1.0934425327989925E-3</c:v>
                </c:pt>
                <c:pt idx="167">
                  <c:v>1.0937378145355445E-3</c:v>
                </c:pt>
                <c:pt idx="168">
                  <c:v>1.0940305853333651E-3</c:v>
                </c:pt>
                <c:pt idx="169">
                  <c:v>1.094320814191211E-3</c:v>
                </c:pt>
                <c:pt idx="170">
                  <c:v>1.1065755512477621E-3</c:v>
                </c:pt>
                <c:pt idx="171">
                  <c:v>1.0954556987414609E-3</c:v>
                </c:pt>
                <c:pt idx="172">
                  <c:v>1.0957327595733132E-3</c:v>
                </c:pt>
                <c:pt idx="173">
                  <c:v>1.0960070952489784E-3</c:v>
                </c:pt>
                <c:pt idx="174">
                  <c:v>1.0962786752523911E-3</c:v>
                </c:pt>
                <c:pt idx="175">
                  <c:v>1.1085358097465533E-3</c:v>
                </c:pt>
                <c:pt idx="176">
                  <c:v>1.0973368282110214E-3</c:v>
                </c:pt>
                <c:pt idx="177">
                  <c:v>1.0975941721069811E-3</c:v>
                </c:pt>
                <c:pt idx="178">
                  <c:v>1.097848577233377E-3</c:v>
                </c:pt>
                <c:pt idx="179">
                  <c:v>1.0981000130753083E-3</c:v>
                </c:pt>
                <c:pt idx="180">
                  <c:v>1.0990754532871946E-3</c:v>
                </c:pt>
                <c:pt idx="181">
                  <c:v>1.099311584975648E-3</c:v>
                </c:pt>
                <c:pt idx="182">
                  <c:v>1.0995445642891825E-3</c:v>
                </c:pt>
                <c:pt idx="183">
                  <c:v>1.0937625678999808E-3</c:v>
                </c:pt>
                <c:pt idx="184">
                  <c:v>1.0946627407203537E-3</c:v>
                </c:pt>
                <c:pt idx="185">
                  <c:v>1.0948750032853088E-3</c:v>
                </c:pt>
                <c:pt idx="186">
                  <c:v>1.0950839185148301E-3</c:v>
                </c:pt>
                <c:pt idx="187">
                  <c:v>1.0952894560612462E-3</c:v>
                </c:pt>
                <c:pt idx="188">
                  <c:v>1.0954915855779855E-3</c:v>
                </c:pt>
                <c:pt idx="189">
                  <c:v>1.0960772224776151E-3</c:v>
                </c:pt>
                <c:pt idx="190">
                  <c:v>1.0962654164048344E-3</c:v>
                </c:pt>
                <c:pt idx="191">
                  <c:v>1.0964500505680154E-3</c:v>
                </c:pt>
                <c:pt idx="192">
                  <c:v>1.0966310946211762E-3</c:v>
                </c:pt>
                <c:pt idx="193">
                  <c:v>1.0968085182174302E-3</c:v>
                </c:pt>
                <c:pt idx="194">
                  <c:v>1.0973187628051575E-3</c:v>
                </c:pt>
                <c:pt idx="195">
                  <c:v>1.0974814186499049E-3</c:v>
                </c:pt>
                <c:pt idx="196">
                  <c:v>1.097640407524093E-3</c:v>
                </c:pt>
                <c:pt idx="197">
                  <c:v>1.0977958042975044E-3</c:v>
                </c:pt>
                <c:pt idx="198">
                  <c:v>1.0979476838409445E-3</c:v>
                </c:pt>
                <c:pt idx="199">
                  <c:v>1.0983829678007009E-3</c:v>
                </c:pt>
                <c:pt idx="200">
                  <c:v>1.0985215271349011E-3</c:v>
                </c:pt>
                <c:pt idx="201">
                  <c:v>1.0986569435285272E-3</c:v>
                </c:pt>
                <c:pt idx="202">
                  <c:v>1.098789291516117E-3</c:v>
                </c:pt>
                <c:pt idx="203">
                  <c:v>1.0989186455658225E-3</c:v>
                </c:pt>
                <c:pt idx="204">
                  <c:v>1.0992894887632966E-3</c:v>
                </c:pt>
                <c:pt idx="205">
                  <c:v>1.0994076117377054E-3</c:v>
                </c:pt>
                <c:pt idx="206">
                  <c:v>1.0995231131122696E-3</c:v>
                </c:pt>
                <c:pt idx="207">
                  <c:v>1.099636067355221E-3</c:v>
                </c:pt>
                <c:pt idx="208">
                  <c:v>1.0997465489340731E-3</c:v>
                </c:pt>
                <c:pt idx="209">
                  <c:v>1.100063902363727E-3</c:v>
                </c:pt>
                <c:pt idx="210">
                  <c:v>1.100165237963634E-3</c:v>
                </c:pt>
                <c:pt idx="211">
                  <c:v>1.1002644732387081E-3</c:v>
                </c:pt>
                <c:pt idx="212">
                  <c:v>1.100361682656179E-3</c:v>
                </c:pt>
                <c:pt idx="213">
                  <c:v>1.1004569406838998E-3</c:v>
                </c:pt>
                <c:pt idx="214">
                  <c:v>1.1007317511082773E-3</c:v>
                </c:pt>
                <c:pt idx="215">
                  <c:v>1.10081994825586E-3</c:v>
                </c:pt>
                <c:pt idx="216">
                  <c:v>1.100906566352829E-3</c:v>
                </c:pt>
                <c:pt idx="217">
                  <c:v>1.100991679867483E-3</c:v>
                </c:pt>
                <c:pt idx="218">
                  <c:v>1.101075363266979E-3</c:v>
                </c:pt>
                <c:pt idx="219">
                  <c:v>1.1013185774564956E-3</c:v>
                </c:pt>
                <c:pt idx="220">
                  <c:v>1.1013972850756357E-3</c:v>
                </c:pt>
                <c:pt idx="221">
                  <c:v>1.1014749349198337E-3</c:v>
                </c:pt>
                <c:pt idx="222">
                  <c:v>1.101551601456073E-3</c:v>
                </c:pt>
                <c:pt idx="223">
                  <c:v>1.101627359153308E-3</c:v>
                </c:pt>
                <c:pt idx="224">
                  <c:v>1.101849923886625E-3</c:v>
                </c:pt>
                <c:pt idx="225">
                  <c:v>1.1140357859328307E-3</c:v>
                </c:pt>
                <c:pt idx="226">
                  <c:v>1.1141089120640236E-3</c:v>
                </c:pt>
                <c:pt idx="227">
                  <c:v>1.1262962418117145E-3</c:v>
                </c:pt>
                <c:pt idx="228">
                  <c:v>1.1203115566158284E-3</c:v>
                </c:pt>
                <c:pt idx="229">
                  <c:v>1.1144690454046083E-3</c:v>
                </c:pt>
                <c:pt idx="230">
                  <c:v>1.1145404996134142E-3</c:v>
                </c:pt>
                <c:pt idx="231">
                  <c:v>1.1146119386701368E-3</c:v>
                </c:pt>
                <c:pt idx="232">
                  <c:v>1.1268035807278142E-3</c:v>
                </c:pt>
                <c:pt idx="233">
                  <c:v>1.1208155232087403E-3</c:v>
                </c:pt>
                <c:pt idx="234">
                  <c:v>1.1149715416975117E-3</c:v>
                </c:pt>
                <c:pt idx="235">
                  <c:v>1.1150444708565264E-3</c:v>
                </c:pt>
                <c:pt idx="236">
                  <c:v>1.1151179118681109E-3</c:v>
                </c:pt>
                <c:pt idx="237">
                  <c:v>1.1273176392232833E-3</c:v>
                </c:pt>
                <c:pt idx="238">
                  <c:v>1.1213298765157149E-3</c:v>
                </c:pt>
                <c:pt idx="239">
                  <c:v>1.1154954308748202E-3</c:v>
                </c:pt>
                <c:pt idx="240">
                  <c:v>1.1155735248421551E-3</c:v>
                </c:pt>
                <c:pt idx="241">
                  <c:v>1.1156526579933982E-3</c:v>
                </c:pt>
                <c:pt idx="242">
                  <c:v>1.1278645258327887E-3</c:v>
                </c:pt>
                <c:pt idx="243">
                  <c:v>1.1161534988679222E-3</c:v>
                </c:pt>
                <c:pt idx="244">
                  <c:v>1.1162420158596176E-3</c:v>
                </c:pt>
                <c:pt idx="245">
                  <c:v>1.1102631210561167E-3</c:v>
                </c:pt>
                <c:pt idx="246">
                  <c:v>1.1224936344474813E-3</c:v>
                </c:pt>
                <c:pt idx="247">
                  <c:v>1.1106396085862479E-3</c:v>
                </c:pt>
                <c:pt idx="248">
                  <c:v>1.1107385619747035E-3</c:v>
                </c:pt>
                <c:pt idx="249">
                  <c:v>1.1108395978311244E-3</c:v>
                </c:pt>
                <c:pt idx="250">
                  <c:v>1.110942791087802E-3</c:v>
                </c:pt>
                <c:pt idx="251">
                  <c:v>1.1231950028569085E-3</c:v>
                </c:pt>
                <c:pt idx="252">
                  <c:v>1.1113786367779573E-3</c:v>
                </c:pt>
                <c:pt idx="253">
                  <c:v>1.1114937410324291E-3</c:v>
                </c:pt>
                <c:pt idx="254">
                  <c:v>1.1116114522861232E-3</c:v>
                </c:pt>
                <c:pt idx="255">
                  <c:v>1.1117318454732011E-3</c:v>
                </c:pt>
                <c:pt idx="256">
                  <c:v>1.1240106745277244E-3</c:v>
                </c:pt>
                <c:pt idx="257">
                  <c:v>1.1122417361815206E-3</c:v>
                </c:pt>
                <c:pt idx="258">
                  <c:v>1.1123766474346243E-3</c:v>
                </c:pt>
                <c:pt idx="259">
                  <c:v>1.112514598068079E-3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741632"/>
        <c:axId val="628743552"/>
      </c:scatterChart>
      <c:valAx>
        <c:axId val="6287416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8743552"/>
        <c:crosses val="autoZero"/>
        <c:crossBetween val="midCat"/>
      </c:valAx>
      <c:valAx>
        <c:axId val="62874355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287416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42110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2.0292120071766133E-3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42142</c:v>
                </c:pt>
                <c:pt idx="1">
                  <c:v>42171</c:v>
                </c:pt>
                <c:pt idx="2">
                  <c:v>42201</c:v>
                </c:pt>
                <c:pt idx="3">
                  <c:v>42233</c:v>
                </c:pt>
                <c:pt idx="4">
                  <c:v>42263</c:v>
                </c:pt>
                <c:pt idx="5">
                  <c:v>42293</c:v>
                </c:pt>
                <c:pt idx="6">
                  <c:v>42324</c:v>
                </c:pt>
                <c:pt idx="7">
                  <c:v>42354</c:v>
                </c:pt>
                <c:pt idx="8">
                  <c:v>42387</c:v>
                </c:pt>
                <c:pt idx="9">
                  <c:v>42416</c:v>
                </c:pt>
                <c:pt idx="10">
                  <c:v>42445</c:v>
                </c:pt>
                <c:pt idx="11">
                  <c:v>42478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2.0474269998125281E-3</c:v>
                </c:pt>
                <c:pt idx="1">
                  <c:v>2.1033893040220061E-3</c:v>
                </c:pt>
                <c:pt idx="2">
                  <c:v>2.0896068226296024E-3</c:v>
                </c:pt>
                <c:pt idx="3">
                  <c:v>2.0934666774971408E-3</c:v>
                </c:pt>
                <c:pt idx="4">
                  <c:v>2.1104114346008145E-3</c:v>
                </c:pt>
                <c:pt idx="5">
                  <c:v>2.1149142419254604E-3</c:v>
                </c:pt>
                <c:pt idx="6">
                  <c:v>2.1301927701851383E-3</c:v>
                </c:pt>
                <c:pt idx="7">
                  <c:v>2.1350030276758134E-3</c:v>
                </c:pt>
                <c:pt idx="8">
                  <c:v>2.1698237113071499E-3</c:v>
                </c:pt>
                <c:pt idx="9">
                  <c:v>2.1737284665623293E-3</c:v>
                </c:pt>
                <c:pt idx="10">
                  <c:v>2.1677279494109344E-3</c:v>
                </c:pt>
                <c:pt idx="11">
                  <c:v>2.1873004100823996E-3</c:v>
                </c:pt>
                <c:pt idx="12">
                  <c:v>2.2130398310383614E-3</c:v>
                </c:pt>
                <c:pt idx="13">
                  <c:v>2.2255838134892666E-3</c:v>
                </c:pt>
                <c:pt idx="14">
                  <c:v>2.256530923286669E-3</c:v>
                </c:pt>
                <c:pt idx="15">
                  <c:v>2.2731167295002631E-3</c:v>
                </c:pt>
                <c:pt idx="16">
                  <c:v>2.2785359289019271E-3</c:v>
                </c:pt>
                <c:pt idx="17">
                  <c:v>2.3012365566516951E-3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'!$Z$3:$Z$262</c:f>
              <c:numCache>
                <c:formatCode>ddd\,\ dd\-mmm\-yyyy</c:formatCode>
                <c:ptCount val="260"/>
                <c:pt idx="0">
                  <c:v>42110</c:v>
                </c:pt>
                <c:pt idx="1">
                  <c:v>42111</c:v>
                </c:pt>
                <c:pt idx="2">
                  <c:v>42114</c:v>
                </c:pt>
                <c:pt idx="3">
                  <c:v>42115</c:v>
                </c:pt>
                <c:pt idx="4">
                  <c:v>42116</c:v>
                </c:pt>
                <c:pt idx="5">
                  <c:v>42117</c:v>
                </c:pt>
                <c:pt idx="6">
                  <c:v>42118</c:v>
                </c:pt>
                <c:pt idx="7">
                  <c:v>42121</c:v>
                </c:pt>
                <c:pt idx="8">
                  <c:v>42122</c:v>
                </c:pt>
                <c:pt idx="9">
                  <c:v>42123</c:v>
                </c:pt>
                <c:pt idx="10">
                  <c:v>42124</c:v>
                </c:pt>
                <c:pt idx="11">
                  <c:v>42128</c:v>
                </c:pt>
                <c:pt idx="12">
                  <c:v>42129</c:v>
                </c:pt>
                <c:pt idx="13">
                  <c:v>42130</c:v>
                </c:pt>
                <c:pt idx="14">
                  <c:v>42131</c:v>
                </c:pt>
                <c:pt idx="15">
                  <c:v>42132</c:v>
                </c:pt>
                <c:pt idx="16">
                  <c:v>42135</c:v>
                </c:pt>
                <c:pt idx="17">
                  <c:v>42136</c:v>
                </c:pt>
                <c:pt idx="18">
                  <c:v>42137</c:v>
                </c:pt>
                <c:pt idx="19">
                  <c:v>42138</c:v>
                </c:pt>
                <c:pt idx="20">
                  <c:v>42139</c:v>
                </c:pt>
                <c:pt idx="21">
                  <c:v>42142</c:v>
                </c:pt>
                <c:pt idx="22">
                  <c:v>42143</c:v>
                </c:pt>
                <c:pt idx="23">
                  <c:v>42144</c:v>
                </c:pt>
                <c:pt idx="24">
                  <c:v>42145</c:v>
                </c:pt>
                <c:pt idx="25">
                  <c:v>42146</c:v>
                </c:pt>
                <c:pt idx="26">
                  <c:v>42149</c:v>
                </c:pt>
                <c:pt idx="27">
                  <c:v>42150</c:v>
                </c:pt>
                <c:pt idx="28">
                  <c:v>42151</c:v>
                </c:pt>
                <c:pt idx="29">
                  <c:v>42152</c:v>
                </c:pt>
                <c:pt idx="30">
                  <c:v>42153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42163</c:v>
                </c:pt>
                <c:pt idx="37">
                  <c:v>42164</c:v>
                </c:pt>
                <c:pt idx="38">
                  <c:v>42165</c:v>
                </c:pt>
                <c:pt idx="39">
                  <c:v>42166</c:v>
                </c:pt>
                <c:pt idx="40">
                  <c:v>42167</c:v>
                </c:pt>
                <c:pt idx="41">
                  <c:v>42170</c:v>
                </c:pt>
                <c:pt idx="42">
                  <c:v>42171</c:v>
                </c:pt>
                <c:pt idx="43">
                  <c:v>42172</c:v>
                </c:pt>
                <c:pt idx="44">
                  <c:v>42173</c:v>
                </c:pt>
                <c:pt idx="45">
                  <c:v>42174</c:v>
                </c:pt>
                <c:pt idx="46">
                  <c:v>42177</c:v>
                </c:pt>
                <c:pt idx="47">
                  <c:v>42178</c:v>
                </c:pt>
                <c:pt idx="48">
                  <c:v>42179</c:v>
                </c:pt>
                <c:pt idx="49">
                  <c:v>42180</c:v>
                </c:pt>
                <c:pt idx="50">
                  <c:v>42181</c:v>
                </c:pt>
                <c:pt idx="51">
                  <c:v>42184</c:v>
                </c:pt>
                <c:pt idx="52">
                  <c:v>42185</c:v>
                </c:pt>
                <c:pt idx="53">
                  <c:v>42186</c:v>
                </c:pt>
                <c:pt idx="54">
                  <c:v>42187</c:v>
                </c:pt>
                <c:pt idx="55">
                  <c:v>42188</c:v>
                </c:pt>
                <c:pt idx="56">
                  <c:v>42191</c:v>
                </c:pt>
                <c:pt idx="57">
                  <c:v>42192</c:v>
                </c:pt>
                <c:pt idx="58">
                  <c:v>42193</c:v>
                </c:pt>
                <c:pt idx="59">
                  <c:v>42194</c:v>
                </c:pt>
                <c:pt idx="60">
                  <c:v>42195</c:v>
                </c:pt>
                <c:pt idx="61">
                  <c:v>42198</c:v>
                </c:pt>
                <c:pt idx="62">
                  <c:v>42199</c:v>
                </c:pt>
                <c:pt idx="63">
                  <c:v>42200</c:v>
                </c:pt>
                <c:pt idx="64">
                  <c:v>42201</c:v>
                </c:pt>
                <c:pt idx="65">
                  <c:v>42202</c:v>
                </c:pt>
                <c:pt idx="66">
                  <c:v>42205</c:v>
                </c:pt>
                <c:pt idx="67">
                  <c:v>42206</c:v>
                </c:pt>
                <c:pt idx="68">
                  <c:v>42207</c:v>
                </c:pt>
                <c:pt idx="69">
                  <c:v>42208</c:v>
                </c:pt>
                <c:pt idx="70">
                  <c:v>42209</c:v>
                </c:pt>
                <c:pt idx="71">
                  <c:v>42212</c:v>
                </c:pt>
                <c:pt idx="72">
                  <c:v>42213</c:v>
                </c:pt>
                <c:pt idx="73">
                  <c:v>42214</c:v>
                </c:pt>
                <c:pt idx="74">
                  <c:v>42215</c:v>
                </c:pt>
                <c:pt idx="75">
                  <c:v>42216</c:v>
                </c:pt>
                <c:pt idx="76">
                  <c:v>42219</c:v>
                </c:pt>
                <c:pt idx="77">
                  <c:v>42220</c:v>
                </c:pt>
                <c:pt idx="78">
                  <c:v>42221</c:v>
                </c:pt>
                <c:pt idx="79">
                  <c:v>42222</c:v>
                </c:pt>
                <c:pt idx="80">
                  <c:v>42223</c:v>
                </c:pt>
                <c:pt idx="81">
                  <c:v>42226</c:v>
                </c:pt>
                <c:pt idx="82">
                  <c:v>42227</c:v>
                </c:pt>
                <c:pt idx="83">
                  <c:v>42228</c:v>
                </c:pt>
                <c:pt idx="84">
                  <c:v>42229</c:v>
                </c:pt>
                <c:pt idx="85">
                  <c:v>42230</c:v>
                </c:pt>
                <c:pt idx="86">
                  <c:v>42233</c:v>
                </c:pt>
                <c:pt idx="87">
                  <c:v>42234</c:v>
                </c:pt>
                <c:pt idx="88">
                  <c:v>42235</c:v>
                </c:pt>
                <c:pt idx="89">
                  <c:v>42236</c:v>
                </c:pt>
                <c:pt idx="90">
                  <c:v>42237</c:v>
                </c:pt>
                <c:pt idx="91">
                  <c:v>42240</c:v>
                </c:pt>
                <c:pt idx="92">
                  <c:v>42241</c:v>
                </c:pt>
                <c:pt idx="93">
                  <c:v>42242</c:v>
                </c:pt>
                <c:pt idx="94">
                  <c:v>42243</c:v>
                </c:pt>
                <c:pt idx="95">
                  <c:v>42244</c:v>
                </c:pt>
                <c:pt idx="96">
                  <c:v>42247</c:v>
                </c:pt>
                <c:pt idx="97">
                  <c:v>42248</c:v>
                </c:pt>
                <c:pt idx="98">
                  <c:v>42249</c:v>
                </c:pt>
                <c:pt idx="99">
                  <c:v>42250</c:v>
                </c:pt>
                <c:pt idx="100">
                  <c:v>42251</c:v>
                </c:pt>
                <c:pt idx="101">
                  <c:v>42254</c:v>
                </c:pt>
                <c:pt idx="102">
                  <c:v>42255</c:v>
                </c:pt>
                <c:pt idx="103">
                  <c:v>42256</c:v>
                </c:pt>
                <c:pt idx="104">
                  <c:v>42257</c:v>
                </c:pt>
                <c:pt idx="105">
                  <c:v>42258</c:v>
                </c:pt>
                <c:pt idx="106">
                  <c:v>42261</c:v>
                </c:pt>
                <c:pt idx="107">
                  <c:v>42262</c:v>
                </c:pt>
                <c:pt idx="108">
                  <c:v>42263</c:v>
                </c:pt>
                <c:pt idx="109">
                  <c:v>42264</c:v>
                </c:pt>
                <c:pt idx="110">
                  <c:v>42265</c:v>
                </c:pt>
                <c:pt idx="111">
                  <c:v>42268</c:v>
                </c:pt>
                <c:pt idx="112">
                  <c:v>42269</c:v>
                </c:pt>
                <c:pt idx="113">
                  <c:v>42270</c:v>
                </c:pt>
                <c:pt idx="114">
                  <c:v>42271</c:v>
                </c:pt>
                <c:pt idx="115">
                  <c:v>42272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42282</c:v>
                </c:pt>
                <c:pt idx="122">
                  <c:v>42283</c:v>
                </c:pt>
                <c:pt idx="123">
                  <c:v>42284</c:v>
                </c:pt>
                <c:pt idx="124">
                  <c:v>42285</c:v>
                </c:pt>
                <c:pt idx="125">
                  <c:v>42286</c:v>
                </c:pt>
                <c:pt idx="126">
                  <c:v>42289</c:v>
                </c:pt>
                <c:pt idx="127">
                  <c:v>42290</c:v>
                </c:pt>
                <c:pt idx="128">
                  <c:v>42291</c:v>
                </c:pt>
                <c:pt idx="129">
                  <c:v>42292</c:v>
                </c:pt>
                <c:pt idx="130">
                  <c:v>42293</c:v>
                </c:pt>
                <c:pt idx="131">
                  <c:v>42296</c:v>
                </c:pt>
                <c:pt idx="132">
                  <c:v>42297</c:v>
                </c:pt>
                <c:pt idx="133">
                  <c:v>42298</c:v>
                </c:pt>
                <c:pt idx="134">
                  <c:v>42299</c:v>
                </c:pt>
                <c:pt idx="135">
                  <c:v>42300</c:v>
                </c:pt>
                <c:pt idx="136">
                  <c:v>42303</c:v>
                </c:pt>
                <c:pt idx="137">
                  <c:v>42304</c:v>
                </c:pt>
                <c:pt idx="138">
                  <c:v>42305</c:v>
                </c:pt>
                <c:pt idx="139">
                  <c:v>42306</c:v>
                </c:pt>
                <c:pt idx="140">
                  <c:v>42307</c:v>
                </c:pt>
                <c:pt idx="141">
                  <c:v>42310</c:v>
                </c:pt>
                <c:pt idx="142">
                  <c:v>42311</c:v>
                </c:pt>
                <c:pt idx="143">
                  <c:v>42312</c:v>
                </c:pt>
                <c:pt idx="144">
                  <c:v>42313</c:v>
                </c:pt>
                <c:pt idx="145">
                  <c:v>42314</c:v>
                </c:pt>
                <c:pt idx="146">
                  <c:v>42317</c:v>
                </c:pt>
                <c:pt idx="147">
                  <c:v>42318</c:v>
                </c:pt>
                <c:pt idx="148">
                  <c:v>42319</c:v>
                </c:pt>
                <c:pt idx="149">
                  <c:v>42320</c:v>
                </c:pt>
                <c:pt idx="150">
                  <c:v>42321</c:v>
                </c:pt>
                <c:pt idx="151">
                  <c:v>42324</c:v>
                </c:pt>
                <c:pt idx="152">
                  <c:v>42325</c:v>
                </c:pt>
                <c:pt idx="153">
                  <c:v>42326</c:v>
                </c:pt>
                <c:pt idx="154">
                  <c:v>42327</c:v>
                </c:pt>
                <c:pt idx="155">
                  <c:v>42328</c:v>
                </c:pt>
                <c:pt idx="156">
                  <c:v>42331</c:v>
                </c:pt>
                <c:pt idx="157">
                  <c:v>42332</c:v>
                </c:pt>
                <c:pt idx="158">
                  <c:v>42333</c:v>
                </c:pt>
                <c:pt idx="159">
                  <c:v>42334</c:v>
                </c:pt>
                <c:pt idx="160">
                  <c:v>42335</c:v>
                </c:pt>
                <c:pt idx="161">
                  <c:v>42338</c:v>
                </c:pt>
                <c:pt idx="162">
                  <c:v>42339</c:v>
                </c:pt>
                <c:pt idx="163">
                  <c:v>42340</c:v>
                </c:pt>
                <c:pt idx="164">
                  <c:v>42341</c:v>
                </c:pt>
                <c:pt idx="165">
                  <c:v>42342</c:v>
                </c:pt>
                <c:pt idx="166">
                  <c:v>42345</c:v>
                </c:pt>
                <c:pt idx="167">
                  <c:v>42346</c:v>
                </c:pt>
                <c:pt idx="168">
                  <c:v>42347</c:v>
                </c:pt>
                <c:pt idx="169">
                  <c:v>42348</c:v>
                </c:pt>
                <c:pt idx="170">
                  <c:v>42349</c:v>
                </c:pt>
                <c:pt idx="171">
                  <c:v>42352</c:v>
                </c:pt>
                <c:pt idx="172">
                  <c:v>42353</c:v>
                </c:pt>
                <c:pt idx="173">
                  <c:v>42354</c:v>
                </c:pt>
                <c:pt idx="174">
                  <c:v>42355</c:v>
                </c:pt>
                <c:pt idx="175">
                  <c:v>42356</c:v>
                </c:pt>
                <c:pt idx="176">
                  <c:v>42359</c:v>
                </c:pt>
                <c:pt idx="177">
                  <c:v>42360</c:v>
                </c:pt>
                <c:pt idx="178">
                  <c:v>42361</c:v>
                </c:pt>
                <c:pt idx="179">
                  <c:v>42362</c:v>
                </c:pt>
                <c:pt idx="180">
                  <c:v>42366</c:v>
                </c:pt>
                <c:pt idx="181">
                  <c:v>42367</c:v>
                </c:pt>
                <c:pt idx="182">
                  <c:v>42368</c:v>
                </c:pt>
                <c:pt idx="183">
                  <c:v>42369</c:v>
                </c:pt>
                <c:pt idx="184">
                  <c:v>42373</c:v>
                </c:pt>
                <c:pt idx="185">
                  <c:v>42374</c:v>
                </c:pt>
                <c:pt idx="186">
                  <c:v>42375</c:v>
                </c:pt>
                <c:pt idx="187">
                  <c:v>42376</c:v>
                </c:pt>
                <c:pt idx="188">
                  <c:v>42377</c:v>
                </c:pt>
                <c:pt idx="189">
                  <c:v>42380</c:v>
                </c:pt>
                <c:pt idx="190">
                  <c:v>42381</c:v>
                </c:pt>
                <c:pt idx="191">
                  <c:v>42382</c:v>
                </c:pt>
                <c:pt idx="192">
                  <c:v>42383</c:v>
                </c:pt>
                <c:pt idx="193">
                  <c:v>42384</c:v>
                </c:pt>
                <c:pt idx="194">
                  <c:v>42387</c:v>
                </c:pt>
                <c:pt idx="195">
                  <c:v>42388</c:v>
                </c:pt>
                <c:pt idx="196">
                  <c:v>42389</c:v>
                </c:pt>
                <c:pt idx="197">
                  <c:v>42390</c:v>
                </c:pt>
                <c:pt idx="198">
                  <c:v>42391</c:v>
                </c:pt>
                <c:pt idx="199">
                  <c:v>42394</c:v>
                </c:pt>
                <c:pt idx="200">
                  <c:v>42395</c:v>
                </c:pt>
                <c:pt idx="201">
                  <c:v>42396</c:v>
                </c:pt>
                <c:pt idx="202">
                  <c:v>42397</c:v>
                </c:pt>
                <c:pt idx="203">
                  <c:v>42398</c:v>
                </c:pt>
                <c:pt idx="204">
                  <c:v>42401</c:v>
                </c:pt>
                <c:pt idx="205">
                  <c:v>42402</c:v>
                </c:pt>
                <c:pt idx="206">
                  <c:v>42403</c:v>
                </c:pt>
                <c:pt idx="207">
                  <c:v>42404</c:v>
                </c:pt>
                <c:pt idx="208">
                  <c:v>42405</c:v>
                </c:pt>
                <c:pt idx="209">
                  <c:v>42408</c:v>
                </c:pt>
                <c:pt idx="210">
                  <c:v>42409</c:v>
                </c:pt>
                <c:pt idx="211">
                  <c:v>42410</c:v>
                </c:pt>
                <c:pt idx="212">
                  <c:v>42411</c:v>
                </c:pt>
                <c:pt idx="213">
                  <c:v>42412</c:v>
                </c:pt>
                <c:pt idx="214">
                  <c:v>42415</c:v>
                </c:pt>
                <c:pt idx="215">
                  <c:v>42416</c:v>
                </c:pt>
                <c:pt idx="216">
                  <c:v>42417</c:v>
                </c:pt>
                <c:pt idx="217">
                  <c:v>42418</c:v>
                </c:pt>
                <c:pt idx="218">
                  <c:v>42419</c:v>
                </c:pt>
                <c:pt idx="219">
                  <c:v>42422</c:v>
                </c:pt>
                <c:pt idx="220">
                  <c:v>42423</c:v>
                </c:pt>
                <c:pt idx="221">
                  <c:v>42424</c:v>
                </c:pt>
                <c:pt idx="222">
                  <c:v>42425</c:v>
                </c:pt>
                <c:pt idx="223">
                  <c:v>42426</c:v>
                </c:pt>
                <c:pt idx="224">
                  <c:v>42429</c:v>
                </c:pt>
                <c:pt idx="225">
                  <c:v>42430</c:v>
                </c:pt>
                <c:pt idx="226">
                  <c:v>42431</c:v>
                </c:pt>
                <c:pt idx="227">
                  <c:v>42432</c:v>
                </c:pt>
                <c:pt idx="228">
                  <c:v>42433</c:v>
                </c:pt>
                <c:pt idx="229">
                  <c:v>42436</c:v>
                </c:pt>
                <c:pt idx="230">
                  <c:v>42437</c:v>
                </c:pt>
                <c:pt idx="231">
                  <c:v>42438</c:v>
                </c:pt>
                <c:pt idx="232">
                  <c:v>42439</c:v>
                </c:pt>
                <c:pt idx="233">
                  <c:v>42440</c:v>
                </c:pt>
                <c:pt idx="234">
                  <c:v>42443</c:v>
                </c:pt>
                <c:pt idx="235">
                  <c:v>42444</c:v>
                </c:pt>
                <c:pt idx="236">
                  <c:v>42445</c:v>
                </c:pt>
                <c:pt idx="237">
                  <c:v>42446</c:v>
                </c:pt>
                <c:pt idx="238">
                  <c:v>42447</c:v>
                </c:pt>
                <c:pt idx="239">
                  <c:v>42450</c:v>
                </c:pt>
                <c:pt idx="240">
                  <c:v>42451</c:v>
                </c:pt>
                <c:pt idx="241">
                  <c:v>42452</c:v>
                </c:pt>
                <c:pt idx="242">
                  <c:v>42453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42464</c:v>
                </c:pt>
                <c:pt idx="248">
                  <c:v>42465</c:v>
                </c:pt>
                <c:pt idx="249">
                  <c:v>42466</c:v>
                </c:pt>
                <c:pt idx="250">
                  <c:v>42467</c:v>
                </c:pt>
                <c:pt idx="251">
                  <c:v>42468</c:v>
                </c:pt>
                <c:pt idx="252">
                  <c:v>42471</c:v>
                </c:pt>
                <c:pt idx="253">
                  <c:v>42472</c:v>
                </c:pt>
                <c:pt idx="254">
                  <c:v>42473</c:v>
                </c:pt>
                <c:pt idx="255">
                  <c:v>42474</c:v>
                </c:pt>
                <c:pt idx="256">
                  <c:v>42475</c:v>
                </c:pt>
                <c:pt idx="257">
                  <c:v>42478</c:v>
                </c:pt>
                <c:pt idx="258">
                  <c:v>42479</c:v>
                </c:pt>
                <c:pt idx="259">
                  <c:v>42480</c:v>
                </c:pt>
              </c:numCache>
            </c:numRef>
          </c:xVal>
          <c:yVal>
            <c:numRef>
              <c:f>'Delta 6M '!$AC$3:$AC$262</c:f>
              <c:numCache>
                <c:formatCode>General</c:formatCode>
                <c:ptCount val="260"/>
                <c:pt idx="0">
                  <c:v>1.9900612393838014E-3</c:v>
                </c:pt>
                <c:pt idx="1">
                  <c:v>1.9903912545767158E-3</c:v>
                </c:pt>
                <c:pt idx="2">
                  <c:v>1.9921991342486327E-3</c:v>
                </c:pt>
                <c:pt idx="3">
                  <c:v>1.9930593935239345E-3</c:v>
                </c:pt>
                <c:pt idx="4">
                  <c:v>1.9940409798350363E-3</c:v>
                </c:pt>
                <c:pt idx="5">
                  <c:v>1.9951393995880206E-3</c:v>
                </c:pt>
                <c:pt idx="6">
                  <c:v>1.9963501591889676E-3</c:v>
                </c:pt>
                <c:pt idx="7">
                  <c:v>2.0006115411404049E-3</c:v>
                </c:pt>
                <c:pt idx="8">
                  <c:v>2.0022267241940205E-3</c:v>
                </c:pt>
                <c:pt idx="9">
                  <c:v>2.0039317791260068E-3</c:v>
                </c:pt>
                <c:pt idx="10">
                  <c:v>2.005722212342445E-3</c:v>
                </c:pt>
                <c:pt idx="11">
                  <c:v>2.0136478561743501E-3</c:v>
                </c:pt>
                <c:pt idx="12">
                  <c:v>2.0157977769042711E-3</c:v>
                </c:pt>
                <c:pt idx="13">
                  <c:v>2.0180061143551336E-3</c:v>
                </c:pt>
                <c:pt idx="14">
                  <c:v>2.0202683749330182E-3</c:v>
                </c:pt>
                <c:pt idx="15">
                  <c:v>2.0225800650440066E-3</c:v>
                </c:pt>
                <c:pt idx="16">
                  <c:v>2.0297667766364103E-3</c:v>
                </c:pt>
                <c:pt idx="17">
                  <c:v>2.0322312489406288E-3</c:v>
                </c:pt>
                <c:pt idx="18">
                  <c:v>2.034722682808359E-3</c:v>
                </c:pt>
                <c:pt idx="19">
                  <c:v>2.0372365846456817E-3</c:v>
                </c:pt>
                <c:pt idx="20">
                  <c:v>2.0397684608586784E-3</c:v>
                </c:pt>
                <c:pt idx="21">
                  <c:v>2.0474269998125281E-3</c:v>
                </c:pt>
                <c:pt idx="22">
                  <c:v>2.0499858375890362E-3</c:v>
                </c:pt>
                <c:pt idx="23">
                  <c:v>2.0525401817716254E-3</c:v>
                </c:pt>
                <c:pt idx="24">
                  <c:v>2.0550855387663778E-3</c:v>
                </c:pt>
                <c:pt idx="25">
                  <c:v>2.0576174149793745E-3</c:v>
                </c:pt>
                <c:pt idx="26">
                  <c:v>2.0650872229886459E-3</c:v>
                </c:pt>
                <c:pt idx="27">
                  <c:v>2.0675202401354352E-3</c:v>
                </c:pt>
                <c:pt idx="28">
                  <c:v>2.0699173085308759E-3</c:v>
                </c:pt>
                <c:pt idx="29">
                  <c:v>2.0722739345810496E-3</c:v>
                </c:pt>
                <c:pt idx="30">
                  <c:v>2.074585624692038E-3</c:v>
                </c:pt>
                <c:pt idx="31">
                  <c:v>2.0812061434507061E-3</c:v>
                </c:pt>
                <c:pt idx="32">
                  <c:v>2.0832931538657682E-3</c:v>
                </c:pt>
                <c:pt idx="33">
                  <c:v>2.085312760372052E-3</c:v>
                </c:pt>
                <c:pt idx="34">
                  <c:v>2.0872604693756391E-3</c:v>
                </c:pt>
                <c:pt idx="35">
                  <c:v>2.0891317872826112E-3</c:v>
                </c:pt>
                <c:pt idx="36">
                  <c:v>2.0942424584846514E-3</c:v>
                </c:pt>
                <c:pt idx="37">
                  <c:v>2.0957632760659779E-3</c:v>
                </c:pt>
                <c:pt idx="38">
                  <c:v>2.0971852345810964E-3</c:v>
                </c:pt>
                <c:pt idx="39">
                  <c:v>2.0985038404360886E-3</c:v>
                </c:pt>
                <c:pt idx="40">
                  <c:v>2.0997146000370356E-3</c:v>
                </c:pt>
                <c:pt idx="41">
                  <c:v>2.1026548653764235E-3</c:v>
                </c:pt>
                <c:pt idx="42">
                  <c:v>2.1033893040220061E-3</c:v>
                </c:pt>
                <c:pt idx="43">
                  <c:v>2.1039950943394291E-3</c:v>
                </c:pt>
                <c:pt idx="44">
                  <c:v>2.1044760722121613E-3</c:v>
                </c:pt>
                <c:pt idx="45">
                  <c:v>2.1048377394191501E-3</c:v>
                </c:pt>
                <c:pt idx="46">
                  <c:v>2.1052618948351281E-3</c:v>
                </c:pt>
                <c:pt idx="47">
                  <c:v>2.1052013371686148E-3</c:v>
                </c:pt>
                <c:pt idx="48">
                  <c:v>2.105048977731094E-3</c:v>
                </c:pt>
                <c:pt idx="49">
                  <c:v>2.1048103183015122E-3</c:v>
                </c:pt>
                <c:pt idx="50">
                  <c:v>2.1044908606588169E-3</c:v>
                </c:pt>
                <c:pt idx="51">
                  <c:v>2.1031027162415209E-3</c:v>
                </c:pt>
                <c:pt idx="52">
                  <c:v>2.102515083535842E-3</c:v>
                </c:pt>
                <c:pt idx="53">
                  <c:v>2.1018741615117858E-3</c:v>
                </c:pt>
                <c:pt idx="54">
                  <c:v>2.101185451948298E-3</c:v>
                </c:pt>
                <c:pt idx="55">
                  <c:v>2.1004544566243268E-3</c:v>
                </c:pt>
                <c:pt idx="56">
                  <c:v>2.0980627738789808E-3</c:v>
                </c:pt>
                <c:pt idx="57">
                  <c:v>2.0972176533025451E-3</c:v>
                </c:pt>
                <c:pt idx="58">
                  <c:v>2.0963577558603609E-3</c:v>
                </c:pt>
                <c:pt idx="59">
                  <c:v>2.0954885833313758E-3</c:v>
                </c:pt>
                <c:pt idx="60">
                  <c:v>2.0946156374945365E-3</c:v>
                </c:pt>
                <c:pt idx="61">
                  <c:v>2.0920291779263651E-3</c:v>
                </c:pt>
                <c:pt idx="62">
                  <c:v>2.0911961566475804E-3</c:v>
                </c:pt>
                <c:pt idx="63">
                  <c:v>2.090386870955677E-3</c:v>
                </c:pt>
                <c:pt idx="64">
                  <c:v>2.0896068226296024E-3</c:v>
                </c:pt>
                <c:pt idx="65">
                  <c:v>2.088860530402407E-3</c:v>
                </c:pt>
                <c:pt idx="66">
                  <c:v>2.0868261236251674E-3</c:v>
                </c:pt>
                <c:pt idx="67">
                  <c:v>2.0862148230127667E-3</c:v>
                </c:pt>
                <c:pt idx="68">
                  <c:v>2.0856362790629885E-3</c:v>
                </c:pt>
                <c:pt idx="69">
                  <c:v>2.0850900952794011E-3</c:v>
                </c:pt>
                <c:pt idx="70">
                  <c:v>2.0845758751655741E-3</c:v>
                </c:pt>
                <c:pt idx="71">
                  <c:v>2.0832210318783477E-3</c:v>
                </c:pt>
                <c:pt idx="72">
                  <c:v>2.0828307014792548E-3</c:v>
                </c:pt>
                <c:pt idx="73">
                  <c:v>2.0824703522677682E-3</c:v>
                </c:pt>
                <c:pt idx="74">
                  <c:v>2.0821395877474577E-3</c:v>
                </c:pt>
                <c:pt idx="75">
                  <c:v>2.081838011421892E-3</c:v>
                </c:pt>
                <c:pt idx="76">
                  <c:v>2.0811044466493588E-3</c:v>
                </c:pt>
                <c:pt idx="77">
                  <c:v>2.0809156581384665E-3</c:v>
                </c:pt>
                <c:pt idx="78">
                  <c:v>2.0807540753401653E-3</c:v>
                </c:pt>
                <c:pt idx="79">
                  <c:v>2.0806193017580245E-3</c:v>
                </c:pt>
                <c:pt idx="80">
                  <c:v>2.0805109408956139E-3</c:v>
                </c:pt>
                <c:pt idx="81">
                  <c:v>2.080340369662453E-3</c:v>
                </c:pt>
                <c:pt idx="82">
                  <c:v>2.080333694714654E-3</c:v>
                </c:pt>
                <c:pt idx="83">
                  <c:v>2.0803514500044311E-3</c:v>
                </c:pt>
                <c:pt idx="84">
                  <c:v>2.0803932390353534E-3</c:v>
                </c:pt>
                <c:pt idx="85">
                  <c:v>2.0804586653109906E-3</c:v>
                </c:pt>
                <c:pt idx="86">
                  <c:v>2.0807928026418819E-3</c:v>
                </c:pt>
                <c:pt idx="87">
                  <c:v>2.0809488129320697E-3</c:v>
                </c:pt>
                <c:pt idx="88">
                  <c:v>2.0811264779848184E-3</c:v>
                </c:pt>
                <c:pt idx="89">
                  <c:v>2.0813254013036971E-3</c:v>
                </c:pt>
                <c:pt idx="90">
                  <c:v>2.0815451863922751E-3</c:v>
                </c:pt>
                <c:pt idx="91">
                  <c:v>2.0823257473118976E-3</c:v>
                </c:pt>
                <c:pt idx="92">
                  <c:v>2.082625014514965E-3</c:v>
                </c:pt>
                <c:pt idx="93">
                  <c:v>2.0829431610055785E-3</c:v>
                </c:pt>
                <c:pt idx="94">
                  <c:v>2.0832797902873065E-3</c:v>
                </c:pt>
                <c:pt idx="95">
                  <c:v>2.0836345058637185E-3</c:v>
                </c:pt>
                <c:pt idx="96">
                  <c:v>2.0848032053967518E-3</c:v>
                </c:pt>
                <c:pt idx="97">
                  <c:v>2.0852263011875926E-3</c:v>
                </c:pt>
                <c:pt idx="98">
                  <c:v>2.0856655007909638E-3</c:v>
                </c:pt>
                <c:pt idx="99">
                  <c:v>2.0861204077104343E-3</c:v>
                </c:pt>
                <c:pt idx="100">
                  <c:v>2.0865906254495738E-3</c:v>
                </c:pt>
                <c:pt idx="101">
                  <c:v>2.0880891786206972E-3</c:v>
                </c:pt>
                <c:pt idx="102">
                  <c:v>2.0886166746742043E-3</c:v>
                </c:pt>
                <c:pt idx="103">
                  <c:v>2.0891574990652266E-3</c:v>
                </c:pt>
                <c:pt idx="104">
                  <c:v>2.0897112552973329E-3</c:v>
                </c:pt>
                <c:pt idx="105">
                  <c:v>2.0902775468740926E-3</c:v>
                </c:pt>
                <c:pt idx="106">
                  <c:v>2.0920476687079858E-3</c:v>
                </c:pt>
                <c:pt idx="107">
                  <c:v>2.0926601366990523E-3</c:v>
                </c:pt>
                <c:pt idx="108">
                  <c:v>2.0932831575526186E-3</c:v>
                </c:pt>
                <c:pt idx="109">
                  <c:v>2.0939163347722537E-3</c:v>
                </c:pt>
                <c:pt idx="110">
                  <c:v>2.094559271861527E-3</c:v>
                </c:pt>
                <c:pt idx="111">
                  <c:v>2.0965426773828693E-3</c:v>
                </c:pt>
                <c:pt idx="112">
                  <c:v>2.0972206889863882E-3</c:v>
                </c:pt>
                <c:pt idx="113">
                  <c:v>2.0979064779773917E-3</c:v>
                </c:pt>
                <c:pt idx="114">
                  <c:v>2.0985996478594489E-3</c:v>
                </c:pt>
                <c:pt idx="115">
                  <c:v>2.099299802136129E-3</c:v>
                </c:pt>
                <c:pt idx="116">
                  <c:v>2.1014382063695995E-3</c:v>
                </c:pt>
                <c:pt idx="117">
                  <c:v>2.1021623332604642E-3</c:v>
                </c:pt>
                <c:pt idx="118">
                  <c:v>2.1028914620637982E-3</c:v>
                </c:pt>
                <c:pt idx="119">
                  <c:v>2.1036251962831703E-3</c:v>
                </c:pt>
                <c:pt idx="120">
                  <c:v>2.1043631394221502E-3</c:v>
                </c:pt>
                <c:pt idx="121">
                  <c:v>2.1065982573924293E-3</c:v>
                </c:pt>
                <c:pt idx="122">
                  <c:v>2.1073490712455326E-3</c:v>
                </c:pt>
                <c:pt idx="123">
                  <c:v>2.10810211153609E-3</c:v>
                </c:pt>
                <c:pt idx="124">
                  <c:v>2.1088569817676703E-3</c:v>
                </c:pt>
                <c:pt idx="125">
                  <c:v>2.1096132854438437E-3</c:v>
                </c:pt>
                <c:pt idx="126">
                  <c:v>2.11188683217561E-3</c:v>
                </c:pt>
                <c:pt idx="127">
                  <c:v>2.1126449046658452E-3</c:v>
                </c:pt>
                <c:pt idx="128">
                  <c:v>2.1134024281185193E-3</c:v>
                </c:pt>
                <c:pt idx="129">
                  <c:v>2.1141590060372011E-3</c:v>
                </c:pt>
                <c:pt idx="130">
                  <c:v>2.1149142419254604E-3</c:v>
                </c:pt>
                <c:pt idx="131">
                  <c:v>2.1171694460091948E-3</c:v>
                </c:pt>
                <c:pt idx="132">
                  <c:v>2.1179174229571823E-3</c:v>
                </c:pt>
                <c:pt idx="133">
                  <c:v>2.1186634207844167E-3</c:v>
                </c:pt>
                <c:pt idx="134">
                  <c:v>2.1194073793424223E-3</c:v>
                </c:pt>
                <c:pt idx="135">
                  <c:v>2.1201492384827244E-3</c:v>
                </c:pt>
                <c:pt idx="136">
                  <c:v>2.1223616179126608E-3</c:v>
                </c:pt>
                <c:pt idx="137">
                  <c:v>2.1230944778973995E-3</c:v>
                </c:pt>
                <c:pt idx="138">
                  <c:v>2.1238249377220596E-3</c:v>
                </c:pt>
                <c:pt idx="139">
                  <c:v>2.1245529372381665E-3</c:v>
                </c:pt>
                <c:pt idx="140">
                  <c:v>2.1252784162972449E-3</c:v>
                </c:pt>
                <c:pt idx="141">
                  <c:v>2.1274391292475606E-3</c:v>
                </c:pt>
                <c:pt idx="142">
                  <c:v>2.1281539249937758E-3</c:v>
                </c:pt>
                <c:pt idx="143">
                  <c:v>2.128865899540588E-3</c:v>
                </c:pt>
                <c:pt idx="144">
                  <c:v>2.1295749927395216E-3</c:v>
                </c:pt>
                <c:pt idx="145">
                  <c:v>2.1302811444421023E-3</c:v>
                </c:pt>
                <c:pt idx="146">
                  <c:v>2.1323813490869751E-3</c:v>
                </c:pt>
                <c:pt idx="147">
                  <c:v>2.1330751333193928E-3</c:v>
                </c:pt>
                <c:pt idx="148">
                  <c:v>2.1337656753130825E-3</c:v>
                </c:pt>
                <c:pt idx="149">
                  <c:v>2.1344529149195691E-3</c:v>
                </c:pt>
                <c:pt idx="150">
                  <c:v>2.1351367919903775E-3</c:v>
                </c:pt>
                <c:pt idx="151">
                  <c:v>2.1371676465039842E-3</c:v>
                </c:pt>
                <c:pt idx="152">
                  <c:v>2.1378374719473302E-3</c:v>
                </c:pt>
                <c:pt idx="153">
                  <c:v>2.1385036341126235E-3</c:v>
                </c:pt>
                <c:pt idx="154">
                  <c:v>2.1391660728513886E-3</c:v>
                </c:pt>
                <c:pt idx="155">
                  <c:v>2.1398247280151506E-3</c:v>
                </c:pt>
                <c:pt idx="156">
                  <c:v>2.1417773905716693E-3</c:v>
                </c:pt>
                <c:pt idx="157">
                  <c:v>2.1424203099506696E-3</c:v>
                </c:pt>
                <c:pt idx="158">
                  <c:v>2.1430591450122918E-3</c:v>
                </c:pt>
                <c:pt idx="159">
                  <c:v>2.1436938356080614E-3</c:v>
                </c:pt>
                <c:pt idx="160">
                  <c:v>2.1443243215895028E-3</c:v>
                </c:pt>
                <c:pt idx="161">
                  <c:v>2.1461899503631104E-3</c:v>
                </c:pt>
                <c:pt idx="162">
                  <c:v>2.146803016402491E-3</c:v>
                </c:pt>
                <c:pt idx="163">
                  <c:v>2.1474115770851684E-3</c:v>
                </c:pt>
                <c:pt idx="164">
                  <c:v>2.1480155722626679E-3</c:v>
                </c:pt>
                <c:pt idx="165">
                  <c:v>2.1486149417865147E-3</c:v>
                </c:pt>
                <c:pt idx="166">
                  <c:v>2.1503846949513889E-3</c:v>
                </c:pt>
                <c:pt idx="167">
                  <c:v>2.1509649603758747E-3</c:v>
                </c:pt>
                <c:pt idx="168">
                  <c:v>2.1515402994043333E-3</c:v>
                </c:pt>
                <c:pt idx="169">
                  <c:v>2.1521106518882886E-3</c:v>
                </c:pt>
                <c:pt idx="170">
                  <c:v>2.1526759576792668E-3</c:v>
                </c:pt>
                <c:pt idx="171">
                  <c:v>2.1543409934095849E-3</c:v>
                </c:pt>
                <c:pt idx="172">
                  <c:v>2.1548855109439023E-3</c:v>
                </c:pt>
                <c:pt idx="173">
                  <c:v>2.155424681042867E-3</c:v>
                </c:pt>
                <c:pt idx="174">
                  <c:v>2.1559584435580045E-3</c:v>
                </c:pt>
                <c:pt idx="175">
                  <c:v>2.1564867383408394E-3</c:v>
                </c:pt>
                <c:pt idx="176">
                  <c:v>2.1580382148107787E-3</c:v>
                </c:pt>
                <c:pt idx="177">
                  <c:v>2.1585440371796535E-3</c:v>
                </c:pt>
                <c:pt idx="178">
                  <c:v>2.1590440910738513E-3</c:v>
                </c:pt>
                <c:pt idx="179">
                  <c:v>2.1595383163448959E-3</c:v>
                </c:pt>
                <c:pt idx="180">
                  <c:v>2.1614557282280517E-3</c:v>
                </c:pt>
                <c:pt idx="181">
                  <c:v>2.1619199081562099E-3</c:v>
                </c:pt>
                <c:pt idx="182">
                  <c:v>2.1623778985703653E-3</c:v>
                </c:pt>
                <c:pt idx="183">
                  <c:v>2.1628296393220439E-3</c:v>
                </c:pt>
                <c:pt idx="184">
                  <c:v>2.164572902734484E-3</c:v>
                </c:pt>
                <c:pt idx="185">
                  <c:v>2.1649924929466511E-3</c:v>
                </c:pt>
                <c:pt idx="186">
                  <c:v>2.1654054726054908E-3</c:v>
                </c:pt>
                <c:pt idx="187">
                  <c:v>2.1658117815625284E-3</c:v>
                </c:pt>
                <c:pt idx="188">
                  <c:v>2.1662113596692886E-3</c:v>
                </c:pt>
                <c:pt idx="189">
                  <c:v>2.1673691074031568E-3</c:v>
                </c:pt>
                <c:pt idx="190">
                  <c:v>2.1677411606240583E-3</c:v>
                </c:pt>
                <c:pt idx="191">
                  <c:v>2.1681061822523078E-3</c:v>
                </c:pt>
                <c:pt idx="192">
                  <c:v>2.1684641121394307E-3</c:v>
                </c:pt>
                <c:pt idx="193">
                  <c:v>2.1688148901369509E-3</c:v>
                </c:pt>
                <c:pt idx="194">
                  <c:v>2.1698237113071499E-3</c:v>
                </c:pt>
                <c:pt idx="195">
                  <c:v>2.1701453148164373E-3</c:v>
                </c:pt>
                <c:pt idx="196">
                  <c:v>2.1704596730232973E-3</c:v>
                </c:pt>
                <c:pt idx="197">
                  <c:v>2.1707669331088048E-3</c:v>
                </c:pt>
                <c:pt idx="198">
                  <c:v>2.1710672422540346E-3</c:v>
                </c:pt>
                <c:pt idx="199">
                  <c:v>2.171927935858806E-3</c:v>
                </c:pt>
                <c:pt idx="200">
                  <c:v>2.1722019130536729E-3</c:v>
                </c:pt>
                <c:pt idx="201">
                  <c:v>2.1724696752136361E-3</c:v>
                </c:pt>
                <c:pt idx="202">
                  <c:v>2.1727313695197705E-3</c:v>
                </c:pt>
                <c:pt idx="203">
                  <c:v>2.1729871431531503E-3</c:v>
                </c:pt>
                <c:pt idx="204">
                  <c:v>2.1737204118275127E-3</c:v>
                </c:pt>
                <c:pt idx="205">
                  <c:v>2.1739539745806238E-3</c:v>
                </c:pt>
                <c:pt idx="206">
                  <c:v>2.1741823525663543E-3</c:v>
                </c:pt>
                <c:pt idx="207">
                  <c:v>2.1744056929657797E-3</c:v>
                </c:pt>
                <c:pt idx="208">
                  <c:v>2.1746241429599737E-3</c:v>
                </c:pt>
                <c:pt idx="209">
                  <c:v>2.1752516223219201E-3</c:v>
                </c:pt>
                <c:pt idx="210">
                  <c:v>2.1754519825059391E-3</c:v>
                </c:pt>
                <c:pt idx="211">
                  <c:v>2.1756481881901016E-3</c:v>
                </c:pt>
                <c:pt idx="212">
                  <c:v>2.1758403865554817E-3</c:v>
                </c:pt>
                <c:pt idx="213">
                  <c:v>2.1760287247831545E-3</c:v>
                </c:pt>
                <c:pt idx="214">
                  <c:v>2.1765720504506774E-3</c:v>
                </c:pt>
                <c:pt idx="215">
                  <c:v>2.1767464199382689E-3</c:v>
                </c:pt>
                <c:pt idx="216">
                  <c:v>2.176917665193527E-3</c:v>
                </c:pt>
                <c:pt idx="217">
                  <c:v>2.1770859333975264E-3</c:v>
                </c:pt>
                <c:pt idx="218">
                  <c:v>2.1772513717313422E-3</c:v>
                </c:pt>
                <c:pt idx="219">
                  <c:v>2.1777321793224336E-3</c:v>
                </c:pt>
                <c:pt idx="220">
                  <c:v>2.1778877699862617E-3</c:v>
                </c:pt>
                <c:pt idx="221">
                  <c:v>2.1780412666852801E-3</c:v>
                </c:pt>
                <c:pt idx="222">
                  <c:v>2.178192816600563E-3</c:v>
                </c:pt>
                <c:pt idx="223">
                  <c:v>2.1783425669131854E-3</c:v>
                </c:pt>
                <c:pt idx="224">
                  <c:v>2.1787824920458387E-3</c:v>
                </c:pt>
                <c:pt idx="225">
                  <c:v>2.1789265157585677E-3</c:v>
                </c:pt>
                <c:pt idx="226">
                  <c:v>2.1790694757740101E-3</c:v>
                </c:pt>
                <c:pt idx="227">
                  <c:v>2.1792115192732411E-3</c:v>
                </c:pt>
                <c:pt idx="228">
                  <c:v>2.1793527934373348E-3</c:v>
                </c:pt>
                <c:pt idx="229">
                  <c:v>2.1797734717295424E-3</c:v>
                </c:pt>
                <c:pt idx="230">
                  <c:v>2.1799131403638363E-3</c:v>
                </c:pt>
                <c:pt idx="231">
                  <c:v>2.1800527755683674E-3</c:v>
                </c:pt>
                <c:pt idx="232">
                  <c:v>2.1801925245242102E-3</c:v>
                </c:pt>
                <c:pt idx="233">
                  <c:v>2.1803325344124393E-3</c:v>
                </c:pt>
                <c:pt idx="234">
                  <c:v>2.1807556014821938E-3</c:v>
                </c:pt>
                <c:pt idx="235">
                  <c:v>2.1808981269107169E-3</c:v>
                </c:pt>
                <c:pt idx="236">
                  <c:v>2.1810416491770007E-3</c:v>
                </c:pt>
                <c:pt idx="237">
                  <c:v>2.1811863154621194E-3</c:v>
                </c:pt>
                <c:pt idx="238">
                  <c:v>2.1813322729471482E-3</c:v>
                </c:pt>
                <c:pt idx="239">
                  <c:v>2.1817793644124425E-3</c:v>
                </c:pt>
                <c:pt idx="240">
                  <c:v>2.1819319585078588E-3</c:v>
                </c:pt>
                <c:pt idx="241">
                  <c:v>2.1820865797085595E-3</c:v>
                </c:pt>
                <c:pt idx="242">
                  <c:v>2.1822433751956189E-3</c:v>
                </c:pt>
                <c:pt idx="243">
                  <c:v>2.1830651182639122E-3</c:v>
                </c:pt>
                <c:pt idx="244">
                  <c:v>2.1832380502716936E-3</c:v>
                </c:pt>
                <c:pt idx="245">
                  <c:v>2.1834141868333577E-3</c:v>
                </c:pt>
                <c:pt idx="246">
                  <c:v>2.1835936751299781E-3</c:v>
                </c:pt>
                <c:pt idx="247">
                  <c:v>2.1841537222403295E-3</c:v>
                </c:pt>
                <c:pt idx="248">
                  <c:v>2.1843480892875257E-3</c:v>
                </c:pt>
                <c:pt idx="249">
                  <c:v>2.1845465439750524E-3</c:v>
                </c:pt>
                <c:pt idx="250">
                  <c:v>2.1847492334839853E-3</c:v>
                </c:pt>
                <c:pt idx="251">
                  <c:v>2.1849563049953979E-3</c:v>
                </c:pt>
                <c:pt idx="252">
                  <c:v>2.185605283355267E-3</c:v>
                </c:pt>
                <c:pt idx="253">
                  <c:v>2.185831354687349E-3</c:v>
                </c:pt>
                <c:pt idx="254">
                  <c:v>2.1860625439272855E-3</c:v>
                </c:pt>
                <c:pt idx="255">
                  <c:v>2.1862989982561511E-3</c:v>
                </c:pt>
                <c:pt idx="256">
                  <c:v>2.1865408648550208E-3</c:v>
                </c:pt>
                <c:pt idx="257">
                  <c:v>2.1873004100823996E-3</c:v>
                </c:pt>
                <c:pt idx="258">
                  <c:v>2.1875653675464371E-3</c:v>
                </c:pt>
                <c:pt idx="259">
                  <c:v>2.187836293032281E-3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044352"/>
        <c:axId val="629045888"/>
      </c:scatterChart>
      <c:valAx>
        <c:axId val="6290443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9045888"/>
        <c:crosses val="autoZero"/>
        <c:crossBetween val="midCat"/>
      </c:valAx>
      <c:valAx>
        <c:axId val="62904588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0443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371475</xdr:colOff>
      <xdr:row>13</xdr:row>
      <xdr:rowOff>95249</xdr:rowOff>
    </xdr:from>
    <xdr:to>
      <xdr:col>31</xdr:col>
      <xdr:colOff>304800</xdr:colOff>
      <xdr:row>39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85726</xdr:colOff>
      <xdr:row>13</xdr:row>
      <xdr:rowOff>66674</xdr:rowOff>
    </xdr:from>
    <xdr:to>
      <xdr:col>26</xdr:col>
      <xdr:colOff>95250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23812</xdr:rowOff>
    </xdr:from>
    <xdr:to>
      <xdr:col>13</xdr:col>
      <xdr:colOff>500025</xdr:colOff>
      <xdr:row>66</xdr:row>
      <xdr:rowOff>51937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76200</xdr:rowOff>
    </xdr:from>
    <xdr:to>
      <xdr:col>13</xdr:col>
      <xdr:colOff>423825</xdr:colOff>
      <xdr:row>72</xdr:row>
      <xdr:rowOff>104325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13</xdr:col>
      <xdr:colOff>423825</xdr:colOff>
      <xdr:row>47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90</v>
          </cell>
        </row>
        <row r="7">
          <cell r="D7">
            <v>2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J5</v>
          </cell>
        </row>
        <row r="7">
          <cell r="D7" t="str">
            <v>K5</v>
          </cell>
        </row>
      </sheetData>
      <sheetData sheetId="10">
        <row r="6">
          <cell r="D6" t="str">
            <v>Future Code</v>
          </cell>
        </row>
        <row r="7">
          <cell r="D7" t="str">
            <v>J5</v>
          </cell>
        </row>
      </sheetData>
      <sheetData sheetId="11">
        <row r="6">
          <cell r="D6" t="str">
            <v>J5</v>
          </cell>
        </row>
        <row r="7">
          <cell r="D7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JUL15</v>
          </cell>
        </row>
        <row r="7">
          <cell r="D7" t="str">
            <v>SEP15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42107</v>
          </cell>
        </row>
        <row r="7">
          <cell r="D7">
            <v>42104</v>
          </cell>
        </row>
      </sheetData>
      <sheetData sheetId="29">
        <row r="6">
          <cell r="D6">
            <v>42107</v>
          </cell>
        </row>
        <row r="7">
          <cell r="D7">
            <v>42104</v>
          </cell>
        </row>
      </sheetData>
      <sheetData sheetId="30">
        <row r="6">
          <cell r="D6">
            <v>42108</v>
          </cell>
        </row>
        <row r="7">
          <cell r="D7">
            <v>42107</v>
          </cell>
        </row>
      </sheetData>
      <sheetData sheetId="31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19" customWidth="1"/>
    <col min="3" max="3" width="24.33203125" style="119" customWidth="1"/>
    <col min="4" max="4" width="35.83203125" style="119" customWidth="1"/>
    <col min="5" max="7" width="2.83203125" style="119" customWidth="1"/>
    <col min="8" max="8" width="27.5" style="119" bestFit="1" customWidth="1"/>
    <col min="9" max="9" width="39.33203125" style="119" bestFit="1" customWidth="1"/>
    <col min="10" max="10" width="2.83203125" style="119" customWidth="1"/>
    <col min="11" max="16384" width="10.6640625" style="119"/>
  </cols>
  <sheetData>
    <row r="1" spans="1:34" x14ac:dyDescent="0.2">
      <c r="B1" s="119" t="str">
        <f>_xll.qlxlVersion(TRUE,EvaluationDate)</f>
        <v>QuantLibXL 1.5.0 - MS VC++ 9.0 - Multithreaded Dynamic Runtime library - Release Configuration - Apr 13 2015 10:43:14</v>
      </c>
    </row>
    <row r="2" spans="1:34" ht="19.5" thickBot="1" x14ac:dyDescent="0.25">
      <c r="B2" s="403" t="s">
        <v>0</v>
      </c>
      <c r="C2" s="404"/>
      <c r="D2" s="404"/>
      <c r="E2" s="405"/>
      <c r="G2" s="403" t="s">
        <v>142</v>
      </c>
      <c r="H2" s="404"/>
      <c r="I2" s="404"/>
      <c r="J2" s="405"/>
    </row>
    <row r="3" spans="1:34" x14ac:dyDescent="0.2">
      <c r="B3" s="406"/>
      <c r="C3" s="1"/>
      <c r="D3" s="1"/>
      <c r="E3" s="407"/>
      <c r="G3" s="414"/>
      <c r="H3" s="5"/>
      <c r="I3" s="5"/>
      <c r="J3" s="415"/>
    </row>
    <row r="4" spans="1:34" x14ac:dyDescent="0.2">
      <c r="B4" s="406"/>
      <c r="C4" s="2" t="s">
        <v>1</v>
      </c>
      <c r="D4" s="3" t="s">
        <v>2</v>
      </c>
      <c r="E4" s="407"/>
      <c r="G4" s="414"/>
      <c r="H4" s="7" t="s">
        <v>8</v>
      </c>
      <c r="I4" s="122" t="b">
        <v>1</v>
      </c>
      <c r="J4" s="416"/>
    </row>
    <row r="5" spans="1:34" s="120" customFormat="1" x14ac:dyDescent="0.2">
      <c r="A5" s="119"/>
      <c r="B5" s="406"/>
      <c r="C5" s="2" t="s">
        <v>3</v>
      </c>
      <c r="D5" s="4" t="s">
        <v>4</v>
      </c>
      <c r="E5" s="407"/>
      <c r="F5" s="119"/>
      <c r="G5" s="414"/>
      <c r="H5" s="7" t="s">
        <v>9</v>
      </c>
      <c r="I5" s="122" t="b">
        <v>1</v>
      </c>
      <c r="J5" s="416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</row>
    <row r="6" spans="1:34" s="120" customFormat="1" x14ac:dyDescent="0.2">
      <c r="A6" s="119"/>
      <c r="B6" s="406"/>
      <c r="C6" s="2" t="s">
        <v>5</v>
      </c>
      <c r="D6" s="4" t="str">
        <f>IF(UPPER(Currency)&lt;&gt;"EUR","L","")&amp;"ibor"</f>
        <v>ibor</v>
      </c>
      <c r="E6" s="407"/>
      <c r="F6" s="119"/>
      <c r="G6" s="414"/>
      <c r="H6" s="7" t="s">
        <v>11</v>
      </c>
      <c r="I6" s="122" t="b">
        <v>0</v>
      </c>
      <c r="J6" s="416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spans="1:34" x14ac:dyDescent="0.2">
      <c r="B7" s="406"/>
      <c r="C7" s="2" t="s">
        <v>6</v>
      </c>
      <c r="D7" s="6" t="s">
        <v>7</v>
      </c>
      <c r="E7" s="407"/>
      <c r="G7" s="414"/>
      <c r="H7" s="7" t="s">
        <v>12</v>
      </c>
      <c r="I7" s="123"/>
      <c r="J7" s="416"/>
    </row>
    <row r="8" spans="1:34" x14ac:dyDescent="0.2">
      <c r="B8" s="406"/>
      <c r="C8" s="2" t="s">
        <v>119</v>
      </c>
      <c r="D8" s="9" t="s">
        <v>120</v>
      </c>
      <c r="E8" s="407"/>
      <c r="G8" s="414"/>
      <c r="H8" s="7" t="s">
        <v>14</v>
      </c>
      <c r="I8" s="124" t="b">
        <v>1</v>
      </c>
      <c r="J8" s="416"/>
    </row>
    <row r="9" spans="1:34" x14ac:dyDescent="0.2">
      <c r="B9" s="406"/>
      <c r="C9" s="2" t="s">
        <v>148</v>
      </c>
      <c r="D9" s="9" t="s">
        <v>15</v>
      </c>
      <c r="E9" s="407"/>
      <c r="G9" s="414"/>
      <c r="H9" s="5"/>
      <c r="I9" s="5"/>
      <c r="J9" s="415"/>
    </row>
    <row r="10" spans="1:34" x14ac:dyDescent="0.2">
      <c r="B10" s="408"/>
      <c r="C10" s="409"/>
      <c r="D10" s="409"/>
      <c r="E10" s="407"/>
      <c r="G10" s="414"/>
      <c r="H10" s="7" t="s">
        <v>16</v>
      </c>
      <c r="I10" s="124" t="s">
        <v>17</v>
      </c>
      <c r="J10" s="416"/>
    </row>
    <row r="11" spans="1:34" x14ac:dyDescent="0.2">
      <c r="B11" s="406"/>
      <c r="C11" s="35" t="s">
        <v>20</v>
      </c>
      <c r="D11" s="36">
        <v>41864.862141203703</v>
      </c>
      <c r="E11" s="407"/>
      <c r="G11" s="414"/>
      <c r="H11" s="7" t="s">
        <v>18</v>
      </c>
      <c r="I11" s="125">
        <v>1E-4</v>
      </c>
      <c r="J11" s="416"/>
    </row>
    <row r="12" spans="1:34" x14ac:dyDescent="0.2">
      <c r="B12" s="406"/>
      <c r="C12" s="35" t="s">
        <v>21</v>
      </c>
      <c r="D12" s="37" t="b">
        <v>1</v>
      </c>
      <c r="E12" s="407"/>
      <c r="G12" s="414"/>
      <c r="H12" s="7" t="s">
        <v>19</v>
      </c>
      <c r="I12" s="126">
        <v>-0.01</v>
      </c>
      <c r="J12" s="416"/>
    </row>
    <row r="13" spans="1:34" x14ac:dyDescent="0.2">
      <c r="B13" s="410"/>
      <c r="C13" s="411"/>
      <c r="D13" s="412"/>
      <c r="E13" s="413"/>
      <c r="G13" s="417"/>
      <c r="H13" s="418"/>
      <c r="I13" s="418"/>
      <c r="J13" s="419"/>
    </row>
    <row r="14" spans="1:34" x14ac:dyDescent="0.2">
      <c r="C14" s="121"/>
      <c r="D14" s="121"/>
      <c r="E14" s="121"/>
    </row>
    <row r="15" spans="1:34" ht="18.75" x14ac:dyDescent="0.2">
      <c r="B15" s="425" t="s">
        <v>95</v>
      </c>
      <c r="C15" s="426"/>
      <c r="D15" s="426"/>
      <c r="E15" s="427"/>
      <c r="G15" s="425" t="s">
        <v>103</v>
      </c>
      <c r="H15" s="426"/>
      <c r="I15" s="426"/>
      <c r="J15" s="427"/>
    </row>
    <row r="16" spans="1:34" x14ac:dyDescent="0.2">
      <c r="B16" s="408"/>
      <c r="C16" s="22"/>
      <c r="D16" s="23"/>
      <c r="E16" s="422"/>
      <c r="G16" s="420"/>
      <c r="H16" s="10"/>
      <c r="I16" s="10"/>
      <c r="J16" s="263"/>
    </row>
    <row r="17" spans="2:10" x14ac:dyDescent="0.2">
      <c r="B17" s="406"/>
      <c r="C17" s="26" t="s">
        <v>10</v>
      </c>
      <c r="D17" s="8">
        <f>_xll.qlCalendarAdvance(Calendar,EvaluationDate,"2D","f")</f>
        <v>42110</v>
      </c>
      <c r="E17" s="407"/>
      <c r="G17" s="420"/>
      <c r="H17" s="2" t="s">
        <v>22</v>
      </c>
      <c r="I17" s="428"/>
      <c r="J17" s="263"/>
    </row>
    <row r="18" spans="2:10" x14ac:dyDescent="0.2">
      <c r="B18" s="406"/>
      <c r="C18" s="26" t="s">
        <v>13</v>
      </c>
      <c r="D18" s="9" t="str">
        <f>_xll.qlDiscountingSwapEngine(,OisCurve,,,,,EvaluationDate)</f>
        <v>obj_005cc#0001</v>
      </c>
      <c r="E18" s="407"/>
      <c r="G18" s="420"/>
      <c r="H18" s="2" t="s">
        <v>23</v>
      </c>
      <c r="I18" s="39">
        <f>_xll.qlSettingsEvaluationDate(Trigger)</f>
        <v>42108</v>
      </c>
      <c r="J18" s="263"/>
    </row>
    <row r="19" spans="2:10" x14ac:dyDescent="0.2">
      <c r="B19" s="406"/>
      <c r="C19" s="38"/>
      <c r="D19" s="38"/>
      <c r="E19" s="407"/>
      <c r="G19" s="420"/>
      <c r="H19" s="2" t="s">
        <v>24</v>
      </c>
      <c r="I19" s="40">
        <f>[1]!TriggerCounter</f>
        <v>90</v>
      </c>
      <c r="J19" s="263"/>
    </row>
    <row r="20" spans="2:10" x14ac:dyDescent="0.2">
      <c r="B20" s="406"/>
      <c r="C20" s="38"/>
      <c r="D20" s="38"/>
      <c r="E20" s="407"/>
      <c r="G20" s="420"/>
      <c r="H20" s="2" t="s">
        <v>25</v>
      </c>
      <c r="I20" s="41">
        <f>[1]!LastFixingsTrigger</f>
        <v>2</v>
      </c>
      <c r="J20" s="263"/>
    </row>
    <row r="21" spans="2:10" x14ac:dyDescent="0.2">
      <c r="B21" s="406"/>
      <c r="C21" s="38"/>
      <c r="D21" s="38"/>
      <c r="E21" s="407"/>
      <c r="G21" s="420"/>
      <c r="H21" s="2" t="s">
        <v>28</v>
      </c>
      <c r="I21" s="3">
        <f>_xll.ohTrigger(Contribution!U16,Contribution!U22,Contribution!U29,Contribution!U39,Contribution!U55)</f>
        <v>2</v>
      </c>
      <c r="J21" s="263"/>
    </row>
    <row r="22" spans="2:10" x14ac:dyDescent="0.2">
      <c r="B22" s="410"/>
      <c r="C22" s="423"/>
      <c r="D22" s="423"/>
      <c r="E22" s="413"/>
      <c r="G22" s="421"/>
      <c r="H22" s="270"/>
      <c r="I22" s="270"/>
      <c r="J22" s="271"/>
    </row>
    <row r="24" spans="2:10" ht="18.75" x14ac:dyDescent="0.2">
      <c r="B24" s="425" t="str">
        <f>IborTenor&amp;" Curve Settings"</f>
        <v>1Y Curve Settings</v>
      </c>
      <c r="C24" s="426"/>
      <c r="D24" s="426"/>
      <c r="E24" s="427"/>
      <c r="G24" s="425" t="str">
        <f>I26&amp;" Curve Settings"</f>
        <v>1M Curve Settings</v>
      </c>
      <c r="H24" s="426"/>
      <c r="I24" s="426"/>
      <c r="J24" s="427"/>
    </row>
    <row r="25" spans="2:10" x14ac:dyDescent="0.2">
      <c r="B25" s="406"/>
      <c r="C25" s="1"/>
      <c r="D25" s="1"/>
      <c r="E25" s="407"/>
      <c r="G25" s="406"/>
      <c r="H25" s="1"/>
      <c r="I25" s="1"/>
      <c r="J25" s="407"/>
    </row>
    <row r="26" spans="2:10" x14ac:dyDescent="0.2">
      <c r="B26" s="406"/>
      <c r="C26" s="26" t="s">
        <v>26</v>
      </c>
      <c r="D26" s="3" t="s">
        <v>27</v>
      </c>
      <c r="E26" s="407"/>
      <c r="G26" s="406"/>
      <c r="H26" s="26" t="s">
        <v>26</v>
      </c>
      <c r="I26" s="3" t="s">
        <v>40</v>
      </c>
      <c r="J26" s="407"/>
    </row>
    <row r="27" spans="2:10" x14ac:dyDescent="0.2">
      <c r="B27" s="406"/>
      <c r="C27" s="26" t="s">
        <v>29</v>
      </c>
      <c r="D27" s="24">
        <v>2</v>
      </c>
      <c r="E27" s="407"/>
      <c r="G27" s="406"/>
      <c r="H27" s="26" t="s">
        <v>29</v>
      </c>
      <c r="I27" s="24">
        <v>2</v>
      </c>
      <c r="J27" s="407"/>
    </row>
    <row r="28" spans="2:10" x14ac:dyDescent="0.2">
      <c r="B28" s="406"/>
      <c r="C28" s="2" t="s">
        <v>97</v>
      </c>
      <c r="D28" s="27" t="str">
        <f>_xll.qlEuribor(,IborTenor,YieldCurve,,D33)</f>
        <v>obj_005d3#0001</v>
      </c>
      <c r="E28" s="407"/>
      <c r="G28" s="406"/>
      <c r="H28" s="2" t="s">
        <v>97</v>
      </c>
      <c r="I28" s="66" t="str">
        <f>_xll.qlEuribor(,"1M",I34,,Trigger)</f>
        <v>obj_005d1#0001</v>
      </c>
      <c r="J28" s="407"/>
    </row>
    <row r="29" spans="2:10" x14ac:dyDescent="0.2">
      <c r="B29" s="408"/>
      <c r="C29" s="409"/>
      <c r="D29" s="409"/>
      <c r="E29" s="422"/>
      <c r="G29" s="408"/>
      <c r="H29" s="409"/>
      <c r="I29" s="409"/>
      <c r="J29" s="422"/>
    </row>
    <row r="30" spans="2:10" x14ac:dyDescent="0.2">
      <c r="B30" s="406"/>
      <c r="C30" s="26" t="s">
        <v>30</v>
      </c>
      <c r="D30" s="4" t="e">
        <v>#N/A</v>
      </c>
      <c r="E30" s="407"/>
      <c r="G30" s="406"/>
      <c r="H30" s="26" t="s">
        <v>30</v>
      </c>
      <c r="I30" s="4" t="e">
        <v>#N/A</v>
      </c>
      <c r="J30" s="407"/>
    </row>
    <row r="31" spans="2:10" x14ac:dyDescent="0.2">
      <c r="B31" s="406"/>
      <c r="C31" s="26" t="s">
        <v>31</v>
      </c>
      <c r="D31" s="6" t="s">
        <v>32</v>
      </c>
      <c r="E31" s="407"/>
      <c r="G31" s="406"/>
      <c r="H31" s="26" t="s">
        <v>31</v>
      </c>
      <c r="I31" s="6" t="s">
        <v>32</v>
      </c>
      <c r="J31" s="407"/>
    </row>
    <row r="32" spans="2:10" x14ac:dyDescent="0.2">
      <c r="B32" s="406"/>
      <c r="C32" s="26" t="s">
        <v>33</v>
      </c>
      <c r="D32" s="9" t="s">
        <v>136</v>
      </c>
      <c r="E32" s="407"/>
      <c r="G32" s="406"/>
      <c r="H32" s="26" t="s">
        <v>33</v>
      </c>
      <c r="I32" s="9" t="s">
        <v>136</v>
      </c>
      <c r="J32" s="407"/>
    </row>
    <row r="33" spans="2:10" x14ac:dyDescent="0.2">
      <c r="B33" s="406"/>
      <c r="C33" s="26" t="s">
        <v>96</v>
      </c>
      <c r="D33" s="25" t="b">
        <f>_xll.qlExtrapolatorEnableExtrapolation(YieldCurve,TRUE)</f>
        <v>1</v>
      </c>
      <c r="E33" s="407"/>
      <c r="G33" s="408"/>
      <c r="H33" s="113"/>
      <c r="I33" s="114"/>
      <c r="J33" s="407"/>
    </row>
    <row r="34" spans="2:10" x14ac:dyDescent="0.2">
      <c r="B34" s="406"/>
      <c r="C34" s="33" t="s">
        <v>101</v>
      </c>
      <c r="D34" s="127" t="str">
        <f>_xll.qlPiecewiseYieldCurve(,NDays,Calendar,_xll.ohPack('1Y Delta'!L14:L27),DayCounter,,,Accuracy,TraitsID,InterpolatorID)</f>
        <v>obj_005d2#0001</v>
      </c>
      <c r="E34" s="407"/>
      <c r="G34" s="406"/>
      <c r="H34" s="33" t="s">
        <v>101</v>
      </c>
      <c r="I34" s="127" t="str">
        <f>_xll.qlPiecewiseYieldCurve(,NDays,Calendar,_xll.ohPack('Delta 1M'!L13:L21),"actual/365",,,Accuracy,I31,I32,,Trigger)</f>
        <v>obj_005d0#0001</v>
      </c>
      <c r="J34" s="407"/>
    </row>
    <row r="35" spans="2:10" x14ac:dyDescent="0.2">
      <c r="B35" s="406"/>
      <c r="C35" s="34" t="s">
        <v>102</v>
      </c>
      <c r="D35" s="128" t="str">
        <f>_xll.ohRangeRetrieveError(YieldCurve)</f>
        <v/>
      </c>
      <c r="E35" s="407"/>
      <c r="G35" s="406"/>
      <c r="H35" s="34" t="s">
        <v>102</v>
      </c>
      <c r="I35" s="128" t="str">
        <f>_xll.ohRangeRetrieveError(YieldCurve)</f>
        <v/>
      </c>
      <c r="J35" s="424"/>
    </row>
    <row r="36" spans="2:10" x14ac:dyDescent="0.2">
      <c r="B36" s="408"/>
      <c r="C36" s="409"/>
      <c r="D36" s="409"/>
      <c r="E36" s="422"/>
      <c r="G36" s="408"/>
      <c r="H36" s="409"/>
      <c r="I36" s="409"/>
      <c r="J36" s="424"/>
    </row>
    <row r="37" spans="2:10" x14ac:dyDescent="0.2">
      <c r="B37" s="406"/>
      <c r="C37" s="29">
        <f>_xll.qlTermStructureReferenceDate(YieldCurve)</f>
        <v>42110</v>
      </c>
      <c r="D37" s="30">
        <f>_xll.qlYieldTSDiscount(YieldCurve,C37,,Trigger)</f>
        <v>1</v>
      </c>
      <c r="E37" s="407"/>
      <c r="G37" s="406"/>
      <c r="H37" s="29">
        <f>_xll.qlTermStructureReferenceDate(I34)</f>
        <v>42110</v>
      </c>
      <c r="I37" s="82">
        <f>_xll.qlYieldTSDiscount(I34,H37,,Trigger)</f>
        <v>1</v>
      </c>
      <c r="J37" s="424"/>
    </row>
    <row r="38" spans="2:10" x14ac:dyDescent="0.2">
      <c r="B38" s="406"/>
      <c r="C38" s="31">
        <f>_xll.qlTermStructureMaxDate(D34)</f>
        <v>44670</v>
      </c>
      <c r="D38" s="32">
        <f>_xll.qlYieldTSDiscount(YieldCurve,C38,,Trigger)</f>
        <v>0.96974650876235036</v>
      </c>
      <c r="E38" s="407"/>
      <c r="G38" s="406"/>
      <c r="H38" s="31">
        <f>_xll.qlTermStructureMaxDate(I34)</f>
        <v>42263</v>
      </c>
      <c r="I38" s="83">
        <f>_xll.qlYieldTSDiscount(I34,H38,,Trigger)</f>
        <v>1.0002295757637751</v>
      </c>
      <c r="J38" s="424"/>
    </row>
    <row r="39" spans="2:10" x14ac:dyDescent="0.2">
      <c r="B39" s="408"/>
      <c r="C39" s="409"/>
      <c r="D39" s="409"/>
      <c r="E39" s="422"/>
      <c r="G39" s="410"/>
      <c r="H39" s="423"/>
      <c r="I39" s="423"/>
      <c r="J39" s="413"/>
    </row>
    <row r="40" spans="2:10" x14ac:dyDescent="0.2">
      <c r="B40" s="406"/>
      <c r="C40" s="2" t="s">
        <v>98</v>
      </c>
      <c r="D40" s="25" t="s">
        <v>100</v>
      </c>
      <c r="E40" s="407"/>
    </row>
    <row r="41" spans="2:10" x14ac:dyDescent="0.2">
      <c r="B41" s="406"/>
      <c r="C41" s="2" t="s">
        <v>99</v>
      </c>
      <c r="D41" s="28" t="str">
        <f>_xll.qlInterpolation(,BasisInterpolation,'1Y Delta'!P31:P36,'1Y Delta'!X31:X36)</f>
        <v>obj_00606#0089</v>
      </c>
      <c r="E41" s="407"/>
    </row>
    <row r="42" spans="2:10" x14ac:dyDescent="0.2">
      <c r="B42" s="410"/>
      <c r="C42" s="423"/>
      <c r="D42" s="423"/>
      <c r="E42" s="413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Euribor1MLastFixing_Quote</v>
      </c>
      <c r="D3" s="162">
        <f>_xll.qlCalendarAdvance(Calendar,_xll.qlLastFixingQuoteReferenceDate($C$3),_xll.qlInterestRateIndexFixingDays($D$10)&amp;"D","f",,LastFixingsTrigger)</f>
        <v>42110</v>
      </c>
      <c r="E3" s="162">
        <f>_xll.qlInterestRateIndexMaturity($D$10,D3)</f>
        <v>42142</v>
      </c>
      <c r="F3" s="163">
        <f>'Delta 1M'!W26</f>
        <v>5.5113854538640864E-5</v>
      </c>
      <c r="G3" s="164">
        <f>_xll.qlDayCounterYearFraction(DayCounter,SettlementDate,D3,,,Trigger)</f>
        <v>0</v>
      </c>
      <c r="H3" s="164">
        <f>_xll.qlDayCounterYearFraction(DayCounter,SettlementDate,E3,,,Trigger)</f>
        <v>8.8888888888888892E-2</v>
      </c>
      <c r="I3" s="164">
        <f>H3-G3</f>
        <v>8.8888888888888892E-2</v>
      </c>
      <c r="J3" s="164">
        <f>(H3^2-G3^2)/2</f>
        <v>3.9506172839506174E-3</v>
      </c>
      <c r="K3" s="164">
        <f>(H3^3-G3^3)/3</f>
        <v>2.341106538637403E-4</v>
      </c>
      <c r="L3" s="165" t="b">
        <f>IF(D12="fixing",TRUE,FALSE)</f>
        <v>0</v>
      </c>
      <c r="N3" s="430" t="s">
        <v>107</v>
      </c>
      <c r="O3" s="141">
        <f t="array" ref="O3:O5">_xll.ohFilter(K3:K7,L3:L7)</f>
        <v>2.341106538637403E-4</v>
      </c>
      <c r="P3" s="147">
        <f t="array" ref="P3:P5">_xll.ohFilter(J3:J7,L3:L7)</f>
        <v>3.9506172839506174E-3</v>
      </c>
      <c r="Q3" s="142">
        <f t="array" ref="Q3:Q5">_xll.ohFilter(I3:I7,L3:L7)</f>
        <v>8.8888888888888892E-2</v>
      </c>
      <c r="R3" s="148"/>
      <c r="S3" s="143">
        <f t="array" ref="S3:S5">MMULT(W3:Y5,U3:U5)</f>
        <v>7.1707855623619685E-3</v>
      </c>
      <c r="T3" s="149"/>
      <c r="U3" s="144">
        <f t="array" ref="U3:U5">_xll.ohFilter(F3:F7,L3:L7)</f>
        <v>5.5113854538640864E-5</v>
      </c>
      <c r="W3" s="141">
        <f t="array" ref="W3:Y5">MINVERSE(O3:Q5)</f>
        <v>771.57897668718522</v>
      </c>
      <c r="X3" s="147">
        <v>-1676.7760444135777</v>
      </c>
      <c r="Y3" s="142">
        <v>909.65100409436582</v>
      </c>
      <c r="AB3" s="178">
        <f>SettlementDate</f>
        <v>42110</v>
      </c>
      <c r="AC3" s="169">
        <f>_xll.qlDayCounterYearFraction(DayCounter,SettlementDate,AB3,,,Trigger)</f>
        <v>0</v>
      </c>
      <c r="AD3" s="194">
        <f t="shared" ref="AD3:AD26" si="0">$S$13</f>
        <v>6.2003086355970967E-4</v>
      </c>
      <c r="AE3" s="194">
        <f t="shared" ref="AE3:AE23" si="1">$S$10+$S$9*AC3</f>
        <v>6.0331573818955407E-4</v>
      </c>
      <c r="AF3" s="194">
        <f t="shared" ref="AF3:AF23" si="2">($S$5+$S$4*AC3+$S$3*AC3^2)</f>
        <v>6.4049758925365332E-4</v>
      </c>
    </row>
    <row r="4" spans="1:32" ht="12" customHeight="1" x14ac:dyDescent="0.2">
      <c r="A4" s="129">
        <v>0</v>
      </c>
      <c r="B4" s="130">
        <f>A4+SUBSTITUTE($D$9,"M","")</f>
        <v>1</v>
      </c>
      <c r="C4" s="166" t="str">
        <f>"Delta("&amp;A4&amp;"M,"&amp;B4&amp;"M)"</f>
        <v>Delta(0M,1M)</v>
      </c>
      <c r="D4" s="167">
        <f>SettlementDate</f>
        <v>42110</v>
      </c>
      <c r="E4" s="167">
        <f>_xll.qlInterestRateIndexMaturity($D$10,D4)</f>
        <v>42142</v>
      </c>
      <c r="F4" s="168">
        <f t="array" ref="F4:F7">Delta1M</f>
        <v>5.5113854538640864E-5</v>
      </c>
      <c r="G4" s="169">
        <f>_xll.qlDayCounterYearFraction(DayCounter,SettlementDate,D4,,,Trigger)</f>
        <v>0</v>
      </c>
      <c r="H4" s="169">
        <f>_xll.qlDayCounterYearFraction(DayCounter,SettlementDate,E4,,,Trigger)</f>
        <v>8.8888888888888892E-2</v>
      </c>
      <c r="I4" s="169">
        <f>H4-G4</f>
        <v>8.8888888888888892E-2</v>
      </c>
      <c r="J4" s="169">
        <f>(H4^2-G4^2)/2</f>
        <v>3.9506172839506174E-3</v>
      </c>
      <c r="K4" s="169">
        <f>(H4^3-G4^3)/3</f>
        <v>2.341106538637403E-4</v>
      </c>
      <c r="L4" s="170" t="b">
        <f>IF(D12="fixing",FALSE,TRUE)</f>
        <v>1</v>
      </c>
      <c r="N4" s="430"/>
      <c r="O4" s="141">
        <v>1.5523476794695925E-3</v>
      </c>
      <c r="P4" s="147">
        <v>1.136188271604938E-2</v>
      </c>
      <c r="Q4" s="142">
        <v>8.6111111111111097E-2</v>
      </c>
      <c r="R4" s="150" t="s">
        <v>37</v>
      </c>
      <c r="S4" s="143">
        <v>-8.8543676884628858E-4</v>
      </c>
      <c r="T4" s="150" t="s">
        <v>38</v>
      </c>
      <c r="U4" s="144">
        <v>5.6225282682217509E-5</v>
      </c>
      <c r="W4" s="141">
        <v>-264.31217447010005</v>
      </c>
      <c r="X4" s="147">
        <v>427.70727219308679</v>
      </c>
      <c r="Y4" s="142">
        <v>-160.03119516474956</v>
      </c>
      <c r="AB4" s="183">
        <f>_xll.qlCalendarAdvance(Calendar,AB3,"1d","mf",,Trigger)</f>
        <v>42111</v>
      </c>
      <c r="AC4" s="169">
        <f>_xll.qlDayCounterYearFraction(DayCounter,SettlementDate,AB4,,,Trigger)</f>
        <v>2.7777777777777779E-3</v>
      </c>
      <c r="AD4" s="181">
        <f t="shared" si="0"/>
        <v>6.2003086355970967E-4</v>
      </c>
      <c r="AE4" s="181">
        <f t="shared" si="1"/>
        <v>6.043604335251888E-4</v>
      </c>
      <c r="AF4" s="181">
        <f t="shared" si="2"/>
        <v>6.3809337280903674E-4</v>
      </c>
    </row>
    <row r="5" spans="1:32" ht="12" customHeight="1" x14ac:dyDescent="0.2">
      <c r="A5" s="131">
        <v>1</v>
      </c>
      <c r="B5" s="130">
        <f t="shared" ref="B5:B7" si="3">A5+SUBSTITUTE($D$9,"M","")</f>
        <v>2</v>
      </c>
      <c r="C5" s="166" t="str">
        <f>"Delta("&amp;A5&amp;"M,"&amp;B5&amp;"M)"</f>
        <v>Delta(1M,2M)</v>
      </c>
      <c r="D5" s="167">
        <f>_xll.qlCalendarAdvance(Calendar,SettlementDate,A5&amp;"M","f")</f>
        <v>42142</v>
      </c>
      <c r="E5" s="167">
        <f>_xll.qlInterestRateIndexMaturity($D$10,D5)</f>
        <v>42173</v>
      </c>
      <c r="F5" s="168">
        <v>5.6225282682217509E-5</v>
      </c>
      <c r="G5" s="169">
        <f>_xll.qlDayCounterYearFraction(DayCounter,SettlementDate,D5,,,Trigger)</f>
        <v>8.8888888888888892E-2</v>
      </c>
      <c r="H5" s="169">
        <f>_xll.qlDayCounterYearFraction(DayCounter,SettlementDate,E5,,,Trigger)</f>
        <v>0.17499999999999999</v>
      </c>
      <c r="I5" s="169">
        <f>H5-G5</f>
        <v>8.6111111111111097E-2</v>
      </c>
      <c r="J5" s="169">
        <f>(H5^2-G5^2)/2</f>
        <v>1.136188271604938E-2</v>
      </c>
      <c r="K5" s="169">
        <f>(H5^3-G5^3)/3</f>
        <v>1.5523476794695925E-3</v>
      </c>
      <c r="L5" s="170" t="b">
        <v>1</v>
      </c>
      <c r="N5" s="430"/>
      <c r="O5" s="141">
        <v>3.7622170781892988E-3</v>
      </c>
      <c r="P5" s="147">
        <v>1.7592592592592587E-2</v>
      </c>
      <c r="Q5" s="142">
        <v>8.3333333333333315E-2</v>
      </c>
      <c r="R5" s="131"/>
      <c r="S5" s="143">
        <v>6.4049758925365332E-4</v>
      </c>
      <c r="T5" s="150"/>
      <c r="U5" s="144">
        <v>6.4775722670408178E-5</v>
      </c>
      <c r="W5" s="141">
        <v>20.965065593404454</v>
      </c>
      <c r="X5" s="147">
        <v>-14.593011815887438</v>
      </c>
      <c r="Y5" s="142">
        <v>4.7167089101189346</v>
      </c>
      <c r="AB5" s="183">
        <f>_xll.qlCalendarAdvance(Calendar,AB4,"1d","mf",,Trigger)</f>
        <v>42114</v>
      </c>
      <c r="AC5" s="169">
        <f>_xll.qlDayCounterYearFraction(DayCounter,SettlementDate,AB5,,,Trigger)</f>
        <v>1.1111111111111112E-2</v>
      </c>
      <c r="AD5" s="181">
        <f t="shared" si="0"/>
        <v>6.2003086355970967E-4</v>
      </c>
      <c r="AE5" s="181">
        <f t="shared" si="1"/>
        <v>6.07494519532093E-4</v>
      </c>
      <c r="AF5" s="181">
        <f t="shared" si="2"/>
        <v>6.3154468510133184E-4</v>
      </c>
    </row>
    <row r="6" spans="1:32" ht="12" customHeight="1" x14ac:dyDescent="0.2">
      <c r="A6" s="131">
        <v>2</v>
      </c>
      <c r="B6" s="132">
        <f t="shared" si="3"/>
        <v>3</v>
      </c>
      <c r="C6" s="166" t="str">
        <f>"Delta("&amp;A6&amp;"M,"&amp;B6&amp;"M)"</f>
        <v>Delta(2M,3M)</v>
      </c>
      <c r="D6" s="167">
        <f>_xll.qlCalendarAdvance(Calendar,SettlementDate,A6&amp;"M","f")</f>
        <v>42171</v>
      </c>
      <c r="E6" s="167">
        <f>_xll.qlInterestRateIndexMaturity($D$10,D6)</f>
        <v>42201</v>
      </c>
      <c r="F6" s="168">
        <v>6.4775722670408178E-5</v>
      </c>
      <c r="G6" s="169">
        <f>_xll.qlDayCounterYearFraction(DayCounter,SettlementDate,D6,,,Trigger)</f>
        <v>0.16944444444444445</v>
      </c>
      <c r="H6" s="169">
        <f>_xll.qlDayCounterYearFraction(DayCounter,SettlementDate,E6,,,Trigger)</f>
        <v>0.25277777777777777</v>
      </c>
      <c r="I6" s="169">
        <f>H6-G6</f>
        <v>8.3333333333333315E-2</v>
      </c>
      <c r="J6" s="169">
        <f>(H6^2-G6^2)/2</f>
        <v>1.7592592592592587E-2</v>
      </c>
      <c r="K6" s="169">
        <f>(H6^3-G6^3)/3</f>
        <v>3.7622170781892988E-3</v>
      </c>
      <c r="L6" s="170" t="b">
        <v>1</v>
      </c>
      <c r="S6" s="145"/>
      <c r="T6" s="138"/>
      <c r="U6" s="139"/>
      <c r="AB6" s="183">
        <f>_xll.qlCalendarAdvance(Calendar,AB5,"1d","mf",,Trigger)</f>
        <v>42115</v>
      </c>
      <c r="AC6" s="169">
        <f>_xll.qlDayCounterYearFraction(DayCounter,SettlementDate,AB6,,,Trigger)</f>
        <v>1.3888888888888888E-2</v>
      </c>
      <c r="AD6" s="181">
        <f t="shared" si="0"/>
        <v>6.2003086355970967E-4</v>
      </c>
      <c r="AE6" s="181">
        <f t="shared" si="1"/>
        <v>6.0853921486772773E-4</v>
      </c>
      <c r="AF6" s="181">
        <f t="shared" si="2"/>
        <v>6.2958310974081167E-4</v>
      </c>
    </row>
    <row r="7" spans="1:32" ht="12" customHeight="1" x14ac:dyDescent="0.2">
      <c r="A7" s="131">
        <v>3</v>
      </c>
      <c r="B7" s="132">
        <f t="shared" si="3"/>
        <v>4</v>
      </c>
      <c r="C7" s="171" t="str">
        <f>"Delta("&amp;A7&amp;"M,"&amp;B7&amp;"M)"</f>
        <v>Delta(3M,4M)</v>
      </c>
      <c r="D7" s="172">
        <f>_xll.qlCalendarAdvance(Calendar,SettlementDate,A7&amp;"M","f")</f>
        <v>42201</v>
      </c>
      <c r="E7" s="172">
        <f>_xll.qlInterestRateIndexMaturity($D$10,D7)</f>
        <v>42233</v>
      </c>
      <c r="F7" s="173">
        <v>6.5379355496934921E-5</v>
      </c>
      <c r="G7" s="174">
        <f>_xll.qlDayCounterYearFraction(DayCounter,SettlementDate,D7,,,Trigger)</f>
        <v>0.25277777777777777</v>
      </c>
      <c r="H7" s="174">
        <f>_xll.qlDayCounterYearFraction(DayCounter,SettlementDate,E7,,,Trigger)</f>
        <v>0.34166666666666667</v>
      </c>
      <c r="I7" s="174">
        <f>H7-G7</f>
        <v>8.8888888888888906E-2</v>
      </c>
      <c r="J7" s="174">
        <f>(H7^2-G7^2)/2</f>
        <v>2.6419753086419757E-2</v>
      </c>
      <c r="K7" s="174">
        <f>(H7^3-G7^3)/3</f>
        <v>7.9110653863740301E-3</v>
      </c>
      <c r="L7" s="175" t="b">
        <v>0</v>
      </c>
      <c r="S7" s="145"/>
      <c r="T7" s="138"/>
      <c r="U7" s="139"/>
      <c r="AB7" s="183">
        <f>_xll.qlCalendarAdvance(Calendar,AB6,"1d","mf",,Trigger)</f>
        <v>42116</v>
      </c>
      <c r="AC7" s="169">
        <f>_xll.qlDayCounterYearFraction(DayCounter,SettlementDate,AB7,,,Trigger)</f>
        <v>1.6666666666666666E-2</v>
      </c>
      <c r="AD7" s="181">
        <f t="shared" si="0"/>
        <v>6.2003086355970967E-4</v>
      </c>
      <c r="AE7" s="181">
        <f t="shared" si="1"/>
        <v>6.0958391020336246E-4</v>
      </c>
      <c r="AF7" s="181">
        <f t="shared" si="2"/>
        <v>6.2773219465131578E-4</v>
      </c>
    </row>
    <row r="8" spans="1:32" ht="12" customHeight="1" x14ac:dyDescent="0.2">
      <c r="A8" s="131"/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42117</v>
      </c>
      <c r="AC8" s="169">
        <f>_xll.qlDayCounterYearFraction(DayCounter,SettlementDate,AB8,,,Trigger)</f>
        <v>1.9444444444444445E-2</v>
      </c>
      <c r="AD8" s="181">
        <f t="shared" si="0"/>
        <v>6.2003086355970967E-4</v>
      </c>
      <c r="AE8" s="181">
        <f t="shared" si="1"/>
        <v>6.106286055389972E-4</v>
      </c>
      <c r="AF8" s="181">
        <f t="shared" si="2"/>
        <v>6.2599193983284382E-4</v>
      </c>
    </row>
    <row r="9" spans="1:32" ht="12" customHeight="1" x14ac:dyDescent="0.2">
      <c r="C9" s="156" t="s">
        <v>159</v>
      </c>
      <c r="D9" s="191" t="s">
        <v>40</v>
      </c>
      <c r="N9" s="429" t="s">
        <v>108</v>
      </c>
      <c r="O9" s="140"/>
      <c r="P9" s="141">
        <f t="array" ref="P9:P10">_xll.ohFilter(J3:J7,L3:L7)</f>
        <v>3.9506172839506174E-3</v>
      </c>
      <c r="Q9" s="142">
        <f t="array" ref="Q9:Q10">_xll.ohFilter(I3:I7,L3:L7)</f>
        <v>8.8888888888888892E-2</v>
      </c>
      <c r="R9" s="431" t="s">
        <v>37</v>
      </c>
      <c r="S9" s="143">
        <f t="array" ref="S9:S10">MMULT(W9:X10,U9:U10)</f>
        <v>3.7609032082850172E-4</v>
      </c>
      <c r="T9" s="431" t="s">
        <v>38</v>
      </c>
      <c r="U9" s="144">
        <f t="array" ref="U9:U10">_xll.ohFilter(F3:F7,L3:L7)</f>
        <v>5.5113854538640864E-5</v>
      </c>
      <c r="W9" s="141">
        <f t="array" ref="W9:X10">MINVERSE(P9:Q10)</f>
        <v>-128.57142857142856</v>
      </c>
      <c r="X9" s="142">
        <v>132.71889400921663</v>
      </c>
      <c r="AB9" s="183">
        <f>_xll.qlCalendarAdvance(Calendar,AB8,"1d","mf",,Trigger)</f>
        <v>42118</v>
      </c>
      <c r="AC9" s="169">
        <f>_xll.qlDayCounterYearFraction(DayCounter,SettlementDate,AB9,,,Trigger)</f>
        <v>2.2222222222222223E-2</v>
      </c>
      <c r="AD9" s="181">
        <f t="shared" si="0"/>
        <v>6.2003086355970967E-4</v>
      </c>
      <c r="AE9" s="181">
        <f t="shared" si="1"/>
        <v>6.1167330087463193E-4</v>
      </c>
      <c r="AF9" s="181">
        <f t="shared" si="2"/>
        <v>6.2436234528539603E-4</v>
      </c>
    </row>
    <row r="10" spans="1:32" ht="12" customHeight="1" x14ac:dyDescent="0.2">
      <c r="C10" s="156" t="s">
        <v>121</v>
      </c>
      <c r="D10" s="191" t="str">
        <f>PROPER(Currency)&amp;IborType&amp;D9</f>
        <v>Euribor1M</v>
      </c>
      <c r="N10" s="429"/>
      <c r="O10" s="140"/>
      <c r="P10" s="141">
        <v>1.136188271604938E-2</v>
      </c>
      <c r="Q10" s="142">
        <v>8.6111111111111097E-2</v>
      </c>
      <c r="R10" s="431"/>
      <c r="S10" s="143">
        <v>6.0331573818955407E-4</v>
      </c>
      <c r="T10" s="431"/>
      <c r="U10" s="144">
        <v>5.6225282682217509E-5</v>
      </c>
      <c r="W10" s="141">
        <v>16.964285714285712</v>
      </c>
      <c r="X10" s="142">
        <v>-5.8986175115207384</v>
      </c>
      <c r="AB10" s="183">
        <f>_xll.qlCalendarAdvance(Calendar,AB9,"1d","mf",,Trigger)</f>
        <v>42121</v>
      </c>
      <c r="AC10" s="169">
        <f>_xll.qlDayCounterYearFraction(DayCounter,SettlementDate,AB10,,,Trigger)</f>
        <v>3.0555555555555555E-2</v>
      </c>
      <c r="AD10" s="181">
        <f t="shared" si="0"/>
        <v>6.2003086355970967E-4</v>
      </c>
      <c r="AE10" s="181">
        <f t="shared" si="1"/>
        <v>6.1480738688153612E-4</v>
      </c>
      <c r="AF10" s="181">
        <f t="shared" si="2"/>
        <v>6.2013752326919728E-4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42122</v>
      </c>
      <c r="AC11" s="169">
        <f>_xll.qlDayCounterYearFraction(DayCounter,SettlementDate,AB11,,,Trigger)</f>
        <v>3.3333333333333333E-2</v>
      </c>
      <c r="AD11" s="181">
        <f t="shared" si="0"/>
        <v>6.2003086355970967E-4</v>
      </c>
      <c r="AE11" s="181">
        <f t="shared" si="1"/>
        <v>6.1585208221717075E-4</v>
      </c>
      <c r="AF11" s="181">
        <f t="shared" si="2"/>
        <v>6.189505698058459E-4</v>
      </c>
    </row>
    <row r="12" spans="1:32" ht="12" customHeight="1" x14ac:dyDescent="0.2">
      <c r="C12" s="156" t="s">
        <v>149</v>
      </c>
      <c r="D12" s="191" t="s">
        <v>155</v>
      </c>
      <c r="S12" s="146" t="s">
        <v>35</v>
      </c>
      <c r="T12" s="138"/>
      <c r="U12" s="139"/>
      <c r="AB12" s="183">
        <f>_xll.qlCalendarAdvance(Calendar,AB11,"1d","mf",,Trigger)</f>
        <v>42123</v>
      </c>
      <c r="AC12" s="169">
        <f>_xll.qlDayCounterYearFraction(DayCounter,SettlementDate,AB12,,,Trigger)</f>
        <v>3.6111111111111108E-2</v>
      </c>
      <c r="AD12" s="181">
        <f t="shared" si="0"/>
        <v>6.2003086355970967E-4</v>
      </c>
      <c r="AE12" s="181">
        <f t="shared" si="1"/>
        <v>6.1689677755280548E-4</v>
      </c>
      <c r="AF12" s="181">
        <f t="shared" si="2"/>
        <v>6.1787427661351868E-4</v>
      </c>
    </row>
    <row r="13" spans="1:32" ht="12" customHeight="1" x14ac:dyDescent="0.2">
      <c r="J13" s="158" t="str">
        <f>"Synthetic Deposits "&amp;D9</f>
        <v>Synthetic Deposits 1M</v>
      </c>
      <c r="K13" s="158"/>
      <c r="L13" s="158"/>
      <c r="N13" s="151" t="s">
        <v>109</v>
      </c>
      <c r="Q13" s="152">
        <f t="array" ref="Q13">_xll.ohFilter(I3:I7,L3:L7)</f>
        <v>8.8888888888888892E-2</v>
      </c>
      <c r="R13" s="151" t="s">
        <v>37</v>
      </c>
      <c r="S13" s="143">
        <f>MMULT(W13,U13)</f>
        <v>6.2003086355970967E-4</v>
      </c>
      <c r="T13" s="151" t="s">
        <v>38</v>
      </c>
      <c r="U13" s="144">
        <f t="array" ref="U13">_xll.ohFilter(F3:F7,L3:L7)</f>
        <v>5.5113854538640864E-5</v>
      </c>
      <c r="W13" s="152">
        <f>MINVERSE(Q13)</f>
        <v>11.25</v>
      </c>
      <c r="AB13" s="183">
        <f>_xll.qlCalendarAdvance(Calendar,AB12,"1d","mf",,Trigger)</f>
        <v>42124</v>
      </c>
      <c r="AC13" s="169">
        <f>_xll.qlDayCounterYearFraction(DayCounter,SettlementDate,AB13,,,Trigger)</f>
        <v>3.888888888888889E-2</v>
      </c>
      <c r="AD13" s="181">
        <f t="shared" si="0"/>
        <v>6.2003086355970967E-4</v>
      </c>
      <c r="AE13" s="181">
        <f t="shared" si="1"/>
        <v>6.1794147288844021E-4</v>
      </c>
      <c r="AF13" s="181">
        <f t="shared" si="2"/>
        <v>6.1690864369221552E-4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6" t="s">
        <v>143</v>
      </c>
      <c r="G14" s="156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42128</v>
      </c>
      <c r="AC14" s="169">
        <f>_xll.qlDayCounterYearFraction(DayCounter,SettlementDate,AB14,,,Trigger)</f>
        <v>0.05</v>
      </c>
      <c r="AD14" s="181">
        <f t="shared" si="0"/>
        <v>6.2003086355970967E-4</v>
      </c>
      <c r="AE14" s="181">
        <f t="shared" si="1"/>
        <v>6.2212025423097914E-4</v>
      </c>
      <c r="AF14" s="181">
        <f t="shared" si="2"/>
        <v>6.141527147172438E-4</v>
      </c>
    </row>
    <row r="15" spans="1:32" ht="12" customHeight="1" x14ac:dyDescent="0.2">
      <c r="C15" s="176" t="s">
        <v>43</v>
      </c>
      <c r="D15" s="177">
        <f t="shared" ref="D15:D19" si="4">SettlementDate</f>
        <v>42110</v>
      </c>
      <c r="E15" s="178">
        <f>_xll.qlCalendarAdvance(Calendar,SettlementDate,C15,"Following",,Trigger)</f>
        <v>42111</v>
      </c>
      <c r="F15" s="179">
        <f>_xll.qlDayCounterYearFraction(DayCounter,D15,E15,,,Trigger)</f>
        <v>2.7777777777777779E-3</v>
      </c>
      <c r="G15" s="180">
        <f>_xll.qlYieldTSDiscount(Discounting,D15,,AllTriggers)</f>
        <v>1</v>
      </c>
      <c r="H15" s="180">
        <f>_xll.qlYieldTSDiscount(Discounting,E15,,AllTriggers)</f>
        <v>1.000002261326409</v>
      </c>
      <c r="I15" s="181">
        <f>(G15/H15-1)/F15</f>
        <v>-8.1407566635771644E-4</v>
      </c>
      <c r="J15" s="181">
        <f>((1+I15*F15)*EXP($S$13*F15)-1)/F15</f>
        <v>-1.940456709315086E-4</v>
      </c>
      <c r="K15" s="181">
        <f>((1+F15*I15)*EXP($S$10*F15+0.5*$S$9*F15^2)-1)/F15</f>
        <v>-2.1023843957745925E-4</v>
      </c>
      <c r="L15" s="181">
        <f>((1+F15*I15)*EXP($S$5*F15+0.5*$S$4*F15^2+1/3*$S$3*F15^3)-1)/F15</f>
        <v>-1.7479028500577698E-4</v>
      </c>
      <c r="AB15" s="183">
        <f>_xll.qlCalendarAdvance(Calendar,AB14,"1d","mf",,Trigger)</f>
        <v>42129</v>
      </c>
      <c r="AC15" s="169">
        <f>_xll.qlDayCounterYearFraction(DayCounter,SettlementDate,AB15,,,Trigger)</f>
        <v>5.2777777777777778E-2</v>
      </c>
      <c r="AD15" s="181">
        <f t="shared" si="0"/>
        <v>6.2003086355970967E-4</v>
      </c>
      <c r="AE15" s="181">
        <f t="shared" si="1"/>
        <v>6.2316494956661387E-4</v>
      </c>
      <c r="AF15" s="181">
        <f t="shared" si="2"/>
        <v>6.1374038315106121E-4</v>
      </c>
    </row>
    <row r="16" spans="1:32" ht="12" customHeight="1" x14ac:dyDescent="0.2">
      <c r="C16" s="182" t="s">
        <v>44</v>
      </c>
      <c r="D16" s="167">
        <f>SettlementDate</f>
        <v>42110</v>
      </c>
      <c r="E16" s="183">
        <f>_xll.qlCalendarAdvance(Calendar,SettlementDate,C16,"Following",,Trigger)</f>
        <v>42117</v>
      </c>
      <c r="F16" s="169">
        <f>_xll.qlDayCounterYearFraction(DayCounter,D16,E16,,,Trigger)</f>
        <v>1.9444444444444445E-2</v>
      </c>
      <c r="G16" s="184">
        <f>_xll.qlYieldTSDiscount(Discounting,D16,,AllTriggers)</f>
        <v>1</v>
      </c>
      <c r="H16" s="185">
        <f>_xll.qlYieldTSDiscount(Discounting,E16,,AllTriggers)</f>
        <v>1.0000163336001151</v>
      </c>
      <c r="I16" s="181">
        <f t="shared" ref="I16:I19" si="5">(G16/H16-1)/F16</f>
        <v>-8.399999999803802E-4</v>
      </c>
      <c r="J16" s="181">
        <f t="shared" ref="J16:J19" si="6">((1+I16*F16)*EXP($S$13*F16)-1)/F16</f>
        <v>-2.1997552604029785E-4</v>
      </c>
      <c r="K16" s="181">
        <f t="shared" ref="K16:K19" si="7">((1+F16*I16)*EXP($S$10*F16+0.5*$S$9*F16^2)-1)/F16</f>
        <v>-2.3303416022571862E-4</v>
      </c>
      <c r="L16" s="181">
        <f t="shared" ref="L16:L19" si="8">((1+F16*I16)*EXP($S$5*F16+0.5*$S$4*F16^2+1/3*$S$3*F16^3)-1)/F16</f>
        <v>-2.0721354083454356E-4</v>
      </c>
      <c r="AB16" s="183">
        <f>_xll.qlCalendarAdvance(Calendar,AB15,"1d","mf",,Trigger)</f>
        <v>42130</v>
      </c>
      <c r="AC16" s="169">
        <f>_xll.qlDayCounterYearFraction(DayCounter,SettlementDate,AB16,,,Trigger)</f>
        <v>5.5555555555555552E-2</v>
      </c>
      <c r="AD16" s="181">
        <f t="shared" si="0"/>
        <v>6.2003086355970967E-4</v>
      </c>
      <c r="AE16" s="181">
        <f t="shared" si="1"/>
        <v>6.242096449022486E-4</v>
      </c>
      <c r="AF16" s="181">
        <f t="shared" si="2"/>
        <v>6.1343871185590257E-4</v>
      </c>
    </row>
    <row r="17" spans="3:32" ht="12" customHeight="1" x14ac:dyDescent="0.2">
      <c r="C17" s="182" t="s">
        <v>45</v>
      </c>
      <c r="D17" s="167">
        <f t="shared" si="4"/>
        <v>42110</v>
      </c>
      <c r="E17" s="183">
        <f>_xll.qlCalendarAdvance(Calendar,SettlementDate,C17,"Following",,Trigger)</f>
        <v>42124</v>
      </c>
      <c r="F17" s="169">
        <f>_xll.qlDayCounterYearFraction(DayCounter,D17,E17,,,Trigger)</f>
        <v>3.888888888888889E-2</v>
      </c>
      <c r="G17" s="184">
        <f>_xll.qlYieldTSDiscount(Discounting,D17,,AllTriggers)</f>
        <v>1</v>
      </c>
      <c r="H17" s="185">
        <f>_xll.qlYieldTSDiscount(Discounting,E17,,AllTriggers)</f>
        <v>1.0000346123091548</v>
      </c>
      <c r="I17" s="181">
        <f t="shared" si="5"/>
        <v>-8.9000000188204406E-4</v>
      </c>
      <c r="J17" s="181">
        <f t="shared" si="6"/>
        <v>-2.6998312328916995E-4</v>
      </c>
      <c r="K17" s="181">
        <f t="shared" si="7"/>
        <v>-2.7938528087309171E-4</v>
      </c>
      <c r="L17" s="181">
        <f t="shared" si="8"/>
        <v>-2.6311839263096611E-4</v>
      </c>
      <c r="AB17" s="183">
        <f>_xll.qlCalendarAdvance(Calendar,AB16,"1d","mf",,Trigger)</f>
        <v>42131</v>
      </c>
      <c r="AC17" s="169">
        <f>_xll.qlDayCounterYearFraction(DayCounter,SettlementDate,AB17,,,Trigger)</f>
        <v>5.8333333333333334E-2</v>
      </c>
      <c r="AD17" s="181">
        <f t="shared" si="0"/>
        <v>6.2003086355970967E-4</v>
      </c>
      <c r="AE17" s="181">
        <f t="shared" si="1"/>
        <v>6.2525434023788333E-4</v>
      </c>
      <c r="AF17" s="181">
        <f t="shared" si="2"/>
        <v>6.1324770083176819E-4</v>
      </c>
    </row>
    <row r="18" spans="3:32" ht="12" customHeight="1" x14ac:dyDescent="0.2">
      <c r="C18" s="182" t="s">
        <v>46</v>
      </c>
      <c r="D18" s="167">
        <f t="shared" si="4"/>
        <v>42110</v>
      </c>
      <c r="E18" s="183">
        <f>_xll.qlCalendarAdvance(Calendar,SettlementDate,C18,"Following",,Trigger)</f>
        <v>42131</v>
      </c>
      <c r="F18" s="169">
        <f>_xll.qlDayCounterYearFraction(DayCounter,D18,E18,,,Trigger)</f>
        <v>5.8333333333333334E-2</v>
      </c>
      <c r="G18" s="184">
        <f>_xll.qlYieldTSDiscount(Discounting,D18,,AllTriggers)</f>
        <v>1</v>
      </c>
      <c r="H18" s="185">
        <f>_xll.qlYieldTSDiscount(Discounting,E18,,AllTriggers)</f>
        <v>1.0000455020703813</v>
      </c>
      <c r="I18" s="181">
        <f t="shared" si="5"/>
        <v>-7.8000000063622413E-4</v>
      </c>
      <c r="J18" s="181">
        <f t="shared" si="6"/>
        <v>-1.5998613607237644E-4</v>
      </c>
      <c r="K18" s="181">
        <f t="shared" si="7"/>
        <v>-1.6573190583330747E-4</v>
      </c>
      <c r="L18" s="181">
        <f t="shared" si="8"/>
        <v>-1.5721114522574249E-4</v>
      </c>
      <c r="AB18" s="183">
        <f>_xll.qlCalendarAdvance(Calendar,AB17,"1d","mf",,Trigger)</f>
        <v>42132</v>
      </c>
      <c r="AC18" s="169">
        <f>_xll.qlDayCounterYearFraction(DayCounter,SettlementDate,AB18,,,Trigger)</f>
        <v>6.1111111111111109E-2</v>
      </c>
      <c r="AD18" s="181">
        <f t="shared" si="0"/>
        <v>6.2003086355970967E-4</v>
      </c>
      <c r="AE18" s="181">
        <f t="shared" si="1"/>
        <v>6.2629903557351806E-4</v>
      </c>
      <c r="AF18" s="181">
        <f t="shared" si="2"/>
        <v>6.1316735007865787E-4</v>
      </c>
    </row>
    <row r="19" spans="3:32" ht="12" customHeight="1" x14ac:dyDescent="0.2">
      <c r="C19" s="186" t="s">
        <v>40</v>
      </c>
      <c r="D19" s="172">
        <f t="shared" si="4"/>
        <v>42110</v>
      </c>
      <c r="E19" s="187">
        <f>_xll.qlCalendarAdvance(Calendar,SettlementDate,C19,"mf",TRUE,Trigger)</f>
        <v>42142</v>
      </c>
      <c r="F19" s="174">
        <f>_xll.qlDayCounterYearFraction(DayCounter,D19,E19,,,Trigger)</f>
        <v>8.8888888888888892E-2</v>
      </c>
      <c r="G19" s="188">
        <f>_xll.qlYieldTSDiscount(Discounting,D19,,AllTriggers)</f>
        <v>1</v>
      </c>
      <c r="H19" s="189">
        <f>_xll.qlYieldTSDiscount(Discounting,E19,,AllTriggers)</f>
        <v>1.0000773393142086</v>
      </c>
      <c r="I19" s="190">
        <f t="shared" si="5"/>
        <v>-8.6999999964323949E-4</v>
      </c>
      <c r="J19" s="190">
        <f t="shared" si="6"/>
        <v>-2.499999999991398E-4</v>
      </c>
      <c r="K19" s="190">
        <f t="shared" si="7"/>
        <v>-2.499999999991398E-4</v>
      </c>
      <c r="L19" s="190">
        <f t="shared" si="8"/>
        <v>-2.499999999991398E-4</v>
      </c>
      <c r="AB19" s="183">
        <f>_xll.qlCalendarAdvance(Calendar,AB18,"1d","mf",,Trigger)</f>
        <v>42135</v>
      </c>
      <c r="AC19" s="169">
        <f>_xll.qlDayCounterYearFraction(DayCounter,SettlementDate,AB19,,,Trigger)</f>
        <v>6.9444444444444448E-2</v>
      </c>
      <c r="AD19" s="181">
        <f t="shared" si="0"/>
        <v>6.2003086355970967E-4</v>
      </c>
      <c r="AE19" s="181">
        <f t="shared" si="1"/>
        <v>6.2943312158042226E-4</v>
      </c>
      <c r="AF19" s="181">
        <f t="shared" si="2"/>
        <v>6.1359025944547152E-4</v>
      </c>
    </row>
    <row r="20" spans="3:32" ht="12" customHeight="1" x14ac:dyDescent="0.2">
      <c r="AB20" s="183">
        <f>_xll.qlCalendarAdvance(Calendar,AB19,"1d","mf",,Trigger)</f>
        <v>42136</v>
      </c>
      <c r="AC20" s="169">
        <f>_xll.qlDayCounterYearFraction(DayCounter,SettlementDate,AB20,,,Trigger)</f>
        <v>7.2222222222222215E-2</v>
      </c>
      <c r="AD20" s="181">
        <f t="shared" si="0"/>
        <v>6.2003086355970967E-4</v>
      </c>
      <c r="AE20" s="181">
        <f t="shared" si="1"/>
        <v>6.3047781691605699E-4</v>
      </c>
      <c r="AF20" s="181">
        <f t="shared" si="2"/>
        <v>6.1395254977645751E-4</v>
      </c>
    </row>
    <row r="21" spans="3:32" ht="12" customHeight="1" x14ac:dyDescent="0.2">
      <c r="C21" s="156" t="s">
        <v>123</v>
      </c>
      <c r="AB21" s="183">
        <f>_xll.qlCalendarAdvance(Calendar,AB20,"1d","mf",,Trigger)</f>
        <v>42137</v>
      </c>
      <c r="AC21" s="169">
        <f>_xll.qlDayCounterYearFraction(DayCounter,SettlementDate,AB21,,,Trigger)</f>
        <v>7.4999999999999997E-2</v>
      </c>
      <c r="AD21" s="181">
        <f t="shared" si="0"/>
        <v>6.2003086355970967E-4</v>
      </c>
      <c r="AE21" s="181">
        <f t="shared" si="1"/>
        <v>6.3152251225169172E-4</v>
      </c>
      <c r="AF21" s="181">
        <f t="shared" si="2"/>
        <v>6.1442550037846776E-4</v>
      </c>
    </row>
    <row r="22" spans="3:32" ht="12" customHeight="1" x14ac:dyDescent="0.2">
      <c r="C22" s="193" t="s">
        <v>107</v>
      </c>
      <c r="AB22" s="183">
        <f>_xll.qlCalendarAdvance(Calendar,AB21,"1d","mf",,Trigger)</f>
        <v>42138</v>
      </c>
      <c r="AC22" s="169">
        <f>_xll.qlDayCounterYearFraction(DayCounter,SettlementDate,AB22,,,Trigger)</f>
        <v>7.7777777777777779E-2</v>
      </c>
      <c r="AD22" s="181">
        <f t="shared" si="0"/>
        <v>6.2003086355970967E-4</v>
      </c>
      <c r="AE22" s="181">
        <f t="shared" si="1"/>
        <v>6.3256720758732646E-4</v>
      </c>
      <c r="AF22" s="181">
        <f t="shared" si="2"/>
        <v>6.1500911125150206E-4</v>
      </c>
    </row>
    <row r="23" spans="3:32" ht="12" customHeight="1" x14ac:dyDescent="0.2">
      <c r="C23" s="181">
        <f>IF($C$22="FLAT",J15,IF($C$22="linear",K15,L15))</f>
        <v>-1.7479028500577698E-4</v>
      </c>
      <c r="AB23" s="183">
        <f>_xll.qlCalendarAdvance(Calendar,AB22,"1d","mf",,Trigger)</f>
        <v>42139</v>
      </c>
      <c r="AC23" s="169">
        <f>_xll.qlDayCounterYearFraction(DayCounter,SettlementDate,AB23,,,Trigger)</f>
        <v>8.0555555555555561E-2</v>
      </c>
      <c r="AD23" s="181">
        <f t="shared" si="0"/>
        <v>6.2003086355970967E-4</v>
      </c>
      <c r="AE23" s="181">
        <f t="shared" si="1"/>
        <v>6.3361190292296119E-4</v>
      </c>
      <c r="AF23" s="181">
        <f t="shared" si="2"/>
        <v>6.1570338239556053E-4</v>
      </c>
    </row>
    <row r="24" spans="3:32" ht="12" customHeight="1" x14ac:dyDescent="0.2">
      <c r="C24" s="181">
        <f>IF($C$22="FLAT",J16,IF($C$22="linear",K16,L16))</f>
        <v>-2.0721354083454356E-4</v>
      </c>
      <c r="AB24" s="183">
        <f>_xll.qlCalendarAdvance(Calendar,AB23,"1d","mf",,Trigger)</f>
        <v>42142</v>
      </c>
      <c r="AC24" s="169">
        <f>_xll.qlDayCounterYearFraction(DayCounter,SettlementDate,AB24,,,Trigger)</f>
        <v>8.8888888888888892E-2</v>
      </c>
      <c r="AD24" s="181">
        <f t="shared" si="0"/>
        <v>6.2003086355970967E-4</v>
      </c>
      <c r="AE24" s="181">
        <f t="shared" ref="AE24:AE26" si="9">$S$10+$S$9*AC24</f>
        <v>6.3674598892986538E-4</v>
      </c>
      <c r="AF24" s="181">
        <f t="shared" ref="AF24:AF26" si="10">($S$5+$S$4*AC24+$S$3*AC24^2)</f>
        <v>6.1845015745388022E-4</v>
      </c>
    </row>
    <row r="25" spans="3:32" ht="12" customHeight="1" x14ac:dyDescent="0.2">
      <c r="C25" s="181">
        <f>IF($C$22="FLAT",J17,IF($C$22="linear",K17,L17))</f>
        <v>-2.6311839263096611E-4</v>
      </c>
      <c r="AB25" s="183">
        <f>_xll.qlCalendarAdvance(Calendar,AB24,"1d","mf",,Trigger)</f>
        <v>42143</v>
      </c>
      <c r="AC25" s="169">
        <f>_xll.qlDayCounterYearFraction(DayCounter,SettlementDate,AB25,,,Trigger)</f>
        <v>9.166666666666666E-2</v>
      </c>
      <c r="AD25" s="181">
        <f t="shared" si="0"/>
        <v>6.2003086355970967E-4</v>
      </c>
      <c r="AE25" s="181">
        <f t="shared" si="9"/>
        <v>6.3779068426550001E-4</v>
      </c>
      <c r="AF25" s="181">
        <f t="shared" si="10"/>
        <v>6.195870696820351E-4</v>
      </c>
    </row>
    <row r="26" spans="3:32" ht="12" customHeight="1" x14ac:dyDescent="0.2">
      <c r="C26" s="181">
        <f>IF($C$22="FLAT",J18,IF($C$22="linear",K18,L18))</f>
        <v>-1.5721114522574249E-4</v>
      </c>
      <c r="AB26" s="187">
        <f>_xll.qlCalendarAdvance(Calendar,AB25,"1d","mf",,Trigger)</f>
        <v>42144</v>
      </c>
      <c r="AC26" s="174">
        <f>_xll.qlDayCounterYearFraction(DayCounter,SettlementDate,AB26,,,Trigger)</f>
        <v>9.4444444444444442E-2</v>
      </c>
      <c r="AD26" s="190">
        <f t="shared" si="0"/>
        <v>6.2003086355970967E-4</v>
      </c>
      <c r="AE26" s="190">
        <f t="shared" si="9"/>
        <v>6.3883537960113474E-4</v>
      </c>
      <c r="AF26" s="190">
        <f t="shared" si="10"/>
        <v>6.2083464218121403E-4</v>
      </c>
    </row>
    <row r="27" spans="3:32" ht="12" customHeight="1" x14ac:dyDescent="0.2">
      <c r="C27" s="190">
        <f>IF($C$22="FLAT",J19,IF($C$22="linear",K19,L19))</f>
        <v>-2.499999999991398E-4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4"/>
      <c r="J39" s="154"/>
    </row>
    <row r="43" spans="9:13" ht="11.25" customHeight="1" x14ac:dyDescent="0.2"/>
    <row r="44" spans="9:13" x14ac:dyDescent="0.2">
      <c r="M44" s="153"/>
    </row>
    <row r="45" spans="9:13" x14ac:dyDescent="0.2">
      <c r="M45" s="153"/>
    </row>
    <row r="46" spans="9:13" x14ac:dyDescent="0.2">
      <c r="M46" s="153"/>
    </row>
    <row r="47" spans="9:13" x14ac:dyDescent="0.2">
      <c r="M47" s="153"/>
    </row>
    <row r="48" spans="9:13" x14ac:dyDescent="0.2">
      <c r="M48" s="153"/>
    </row>
    <row r="58" spans="9:10" x14ac:dyDescent="0.2">
      <c r="I58" s="154"/>
    </row>
    <row r="59" spans="9:10" x14ac:dyDescent="0.2">
      <c r="I59" s="154"/>
    </row>
    <row r="60" spans="9:10" x14ac:dyDescent="0.2">
      <c r="I60" s="154"/>
    </row>
    <row r="61" spans="9:10" x14ac:dyDescent="0.2">
      <c r="I61" s="154"/>
    </row>
    <row r="62" spans="9:10" x14ac:dyDescent="0.2">
      <c r="I62" s="154"/>
    </row>
    <row r="63" spans="9:10" x14ac:dyDescent="0.2">
      <c r="I63" s="154"/>
    </row>
    <row r="64" spans="9:10" x14ac:dyDescent="0.2">
      <c r="I64" s="154"/>
      <c r="J64" s="154"/>
    </row>
    <row r="65" spans="9:10" x14ac:dyDescent="0.2">
      <c r="I65" s="154"/>
      <c r="J65" s="154"/>
    </row>
    <row r="66" spans="9:10" x14ac:dyDescent="0.2">
      <c r="I66" s="154"/>
      <c r="J66" s="154"/>
    </row>
    <row r="67" spans="9:10" x14ac:dyDescent="0.2">
      <c r="I67" s="154"/>
      <c r="J67" s="154"/>
    </row>
    <row r="68" spans="9:10" x14ac:dyDescent="0.2">
      <c r="I68" s="154"/>
      <c r="J68" s="154"/>
    </row>
    <row r="69" spans="9:10" x14ac:dyDescent="0.2">
      <c r="I69" s="154"/>
      <c r="J69" s="154"/>
    </row>
    <row r="70" spans="9:10" x14ac:dyDescent="0.2">
      <c r="I70" s="154"/>
      <c r="J70" s="154"/>
    </row>
    <row r="71" spans="9:10" x14ac:dyDescent="0.2">
      <c r="I71" s="154"/>
      <c r="J71" s="154"/>
    </row>
    <row r="72" spans="9:10" x14ac:dyDescent="0.2">
      <c r="I72" s="154"/>
      <c r="J72" s="154"/>
    </row>
    <row r="73" spans="9:10" x14ac:dyDescent="0.2">
      <c r="I73" s="154"/>
      <c r="J73" s="154"/>
    </row>
    <row r="74" spans="9:10" x14ac:dyDescent="0.2">
      <c r="I74" s="154"/>
      <c r="J74" s="154"/>
    </row>
    <row r="75" spans="9:10" x14ac:dyDescent="0.2">
      <c r="I75" s="154"/>
      <c r="J75" s="154"/>
    </row>
    <row r="76" spans="9:10" x14ac:dyDescent="0.2">
      <c r="I76" s="154"/>
      <c r="J76" s="154"/>
    </row>
    <row r="77" spans="9:10" x14ac:dyDescent="0.2">
      <c r="I77" s="154"/>
      <c r="J77" s="154"/>
    </row>
    <row r="78" spans="9:10" x14ac:dyDescent="0.2">
      <c r="I78" s="154"/>
      <c r="J78" s="154"/>
    </row>
    <row r="79" spans="9:10" x14ac:dyDescent="0.2">
      <c r="I79" s="154"/>
      <c r="J79" s="154"/>
    </row>
    <row r="80" spans="9:10" x14ac:dyDescent="0.2">
      <c r="I80" s="154"/>
      <c r="J80" s="154"/>
    </row>
    <row r="81" spans="9:10" x14ac:dyDescent="0.2">
      <c r="I81" s="154"/>
      <c r="J81" s="154"/>
    </row>
    <row r="82" spans="9:10" x14ac:dyDescent="0.2">
      <c r="I82" s="154"/>
      <c r="J82" s="154"/>
    </row>
    <row r="83" spans="9:10" x14ac:dyDescent="0.2">
      <c r="I83" s="154"/>
      <c r="J83" s="154"/>
    </row>
    <row r="84" spans="9:10" x14ac:dyDescent="0.2">
      <c r="I84" s="154"/>
      <c r="J84" s="154"/>
    </row>
    <row r="85" spans="9:10" x14ac:dyDescent="0.2">
      <c r="I85" s="154"/>
      <c r="J85" s="154"/>
    </row>
    <row r="86" spans="9:10" x14ac:dyDescent="0.2">
      <c r="I86" s="154"/>
      <c r="J86" s="154"/>
    </row>
    <row r="87" spans="9:10" x14ac:dyDescent="0.2">
      <c r="I87" s="154"/>
      <c r="J87" s="154"/>
    </row>
    <row r="88" spans="9:10" x14ac:dyDescent="0.2">
      <c r="I88" s="154"/>
      <c r="J88" s="154"/>
    </row>
    <row r="89" spans="9:10" x14ac:dyDescent="0.2">
      <c r="I89" s="154"/>
      <c r="J89" s="154"/>
    </row>
    <row r="90" spans="9:10" x14ac:dyDescent="0.2">
      <c r="I90" s="154"/>
      <c r="J90" s="154"/>
    </row>
    <row r="91" spans="9:10" x14ac:dyDescent="0.2">
      <c r="I91" s="154"/>
      <c r="J91" s="154"/>
    </row>
    <row r="92" spans="9:10" x14ac:dyDescent="0.2">
      <c r="I92" s="154"/>
      <c r="J92" s="154"/>
    </row>
    <row r="93" spans="9:10" x14ac:dyDescent="0.2">
      <c r="I93" s="154"/>
      <c r="J93" s="154"/>
    </row>
    <row r="94" spans="9:10" x14ac:dyDescent="0.2">
      <c r="I94" s="154"/>
      <c r="J94" s="154"/>
    </row>
    <row r="95" spans="9:10" x14ac:dyDescent="0.2">
      <c r="I95" s="154"/>
      <c r="J95" s="154"/>
    </row>
    <row r="96" spans="9:10" x14ac:dyDescent="0.2">
      <c r="I96" s="154"/>
      <c r="J96" s="154"/>
    </row>
    <row r="97" spans="9:10" x14ac:dyDescent="0.2">
      <c r="I97" s="154"/>
      <c r="J97" s="154"/>
    </row>
    <row r="98" spans="9:10" x14ac:dyDescent="0.2">
      <c r="I98" s="154"/>
      <c r="J98" s="154"/>
    </row>
    <row r="99" spans="9:10" x14ac:dyDescent="0.2">
      <c r="I99" s="154"/>
      <c r="J99" s="154"/>
    </row>
    <row r="100" spans="9:10" x14ac:dyDescent="0.2">
      <c r="I100" s="154"/>
      <c r="J100" s="154"/>
    </row>
    <row r="101" spans="9:10" x14ac:dyDescent="0.2">
      <c r="I101" s="154"/>
      <c r="J101" s="154"/>
    </row>
    <row r="102" spans="9:10" x14ac:dyDescent="0.2">
      <c r="I102" s="154"/>
      <c r="J102" s="154"/>
    </row>
    <row r="103" spans="9:10" x14ac:dyDescent="0.2">
      <c r="I103" s="154"/>
      <c r="J103" s="154"/>
    </row>
    <row r="104" spans="9:10" x14ac:dyDescent="0.2">
      <c r="I104" s="154"/>
      <c r="J104" s="154"/>
    </row>
    <row r="105" spans="9:10" x14ac:dyDescent="0.2">
      <c r="I105" s="154"/>
      <c r="J105" s="154"/>
    </row>
    <row r="106" spans="9:10" x14ac:dyDescent="0.2">
      <c r="I106" s="154"/>
      <c r="J106" s="154"/>
    </row>
    <row r="107" spans="9:10" x14ac:dyDescent="0.2">
      <c r="I107" s="154"/>
      <c r="J107" s="154"/>
    </row>
    <row r="108" spans="9:10" x14ac:dyDescent="0.2">
      <c r="I108" s="154"/>
      <c r="J108" s="154"/>
    </row>
    <row r="109" spans="9:10" x14ac:dyDescent="0.2">
      <c r="I109" s="154"/>
      <c r="J109" s="154"/>
    </row>
    <row r="110" spans="9:10" x14ac:dyDescent="0.2">
      <c r="I110" s="154"/>
      <c r="J110" s="154"/>
    </row>
    <row r="111" spans="9:10" x14ac:dyDescent="0.2">
      <c r="I111" s="155"/>
      <c r="J111" s="154"/>
    </row>
    <row r="112" spans="9:10" x14ac:dyDescent="0.2">
      <c r="I112" s="155"/>
      <c r="J112" s="154"/>
    </row>
    <row r="113" spans="9:10" x14ac:dyDescent="0.2">
      <c r="I113" s="155"/>
      <c r="J113" s="154"/>
    </row>
    <row r="114" spans="9:10" x14ac:dyDescent="0.2">
      <c r="I114" s="155"/>
      <c r="J114" s="154"/>
    </row>
    <row r="115" spans="9:10" x14ac:dyDescent="0.2">
      <c r="I115" s="155"/>
      <c r="J115" s="154"/>
    </row>
    <row r="116" spans="9:10" x14ac:dyDescent="0.2">
      <c r="I116" s="155"/>
      <c r="J116" s="154"/>
    </row>
    <row r="117" spans="9:10" x14ac:dyDescent="0.2">
      <c r="I117" s="155"/>
      <c r="J117" s="155"/>
    </row>
    <row r="118" spans="9:10" x14ac:dyDescent="0.2">
      <c r="I118" s="155"/>
      <c r="J118" s="155"/>
    </row>
    <row r="119" spans="9:10" x14ac:dyDescent="0.2">
      <c r="I119" s="155"/>
      <c r="J119" s="155"/>
    </row>
    <row r="120" spans="9:10" x14ac:dyDescent="0.2">
      <c r="I120" s="155"/>
      <c r="J120" s="155"/>
    </row>
    <row r="121" spans="9:10" x14ac:dyDescent="0.2">
      <c r="I121" s="155"/>
      <c r="J121" s="155"/>
    </row>
    <row r="122" spans="9:10" x14ac:dyDescent="0.2">
      <c r="I122" s="155"/>
      <c r="J122" s="155"/>
    </row>
    <row r="123" spans="9:10" x14ac:dyDescent="0.2">
      <c r="I123" s="155"/>
      <c r="J123" s="155"/>
    </row>
    <row r="124" spans="9:10" x14ac:dyDescent="0.2">
      <c r="I124" s="155"/>
      <c r="J124" s="155"/>
    </row>
    <row r="125" spans="9:10" x14ac:dyDescent="0.2">
      <c r="I125" s="155"/>
      <c r="J125" s="155"/>
    </row>
    <row r="126" spans="9:10" x14ac:dyDescent="0.2">
      <c r="I126" s="155"/>
      <c r="J126" s="155"/>
    </row>
    <row r="127" spans="9:10" x14ac:dyDescent="0.2">
      <c r="J127" s="155"/>
    </row>
    <row r="128" spans="9:10" x14ac:dyDescent="0.2">
      <c r="J128" s="155"/>
    </row>
    <row r="129" spans="10:10" x14ac:dyDescent="0.2">
      <c r="J129" s="155"/>
    </row>
    <row r="130" spans="10:10" x14ac:dyDescent="0.2">
      <c r="J130" s="155"/>
    </row>
    <row r="131" spans="10:10" x14ac:dyDescent="0.2">
      <c r="J131" s="155"/>
    </row>
    <row r="132" spans="10:10" x14ac:dyDescent="0.2">
      <c r="J132" s="15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W3" sqref="W3:W5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bestFit="1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29" t="s">
        <v>110</v>
      </c>
      <c r="AB2" s="429"/>
      <c r="AC2" s="42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Euribor3MLastFixing_Quote</v>
      </c>
      <c r="D3" s="162">
        <f>_xll.qlCalendarAdvance(Calendar,_xll.qlLastFixingQuoteReferenceDate($C$3),_xll.qlInterestRateIndexFixingDays($D$10)&amp;"D","f",,LastFixingsTrigger)</f>
        <v>42110</v>
      </c>
      <c r="E3" s="162">
        <f>_xll.qlInterestRateIndexMaturity($D$10,D3)</f>
        <v>42201</v>
      </c>
      <c r="F3" s="196">
        <f>_xll.qlYieldTSDiscount(Discounting,D3,,AllTriggers)</f>
        <v>1</v>
      </c>
      <c r="G3" s="196">
        <f>_xll.qlYieldTSDiscount(Discounting,E3,,AllTriggers)</f>
        <v>1.0002739540974652</v>
      </c>
      <c r="H3" s="197">
        <f>_xll.qlDayCounterYearFraction(DayCounter,D3,E3,,,Trigger)</f>
        <v>0.25277777777777777</v>
      </c>
      <c r="I3" s="198">
        <f>(F3/G3-1)/H3</f>
        <v>-1.0834776283750328E-3</v>
      </c>
      <c r="J3" s="163">
        <f>'Delta 3M'!P3</f>
        <v>2.9413859664955788E-4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0.25277777777777777</v>
      </c>
      <c r="M3" s="164">
        <f>L3-K3</f>
        <v>0.25277777777777777</v>
      </c>
      <c r="N3" s="164">
        <f>(L3^2-K3^2)/2</f>
        <v>3.1948302469135798E-2</v>
      </c>
      <c r="O3" s="164">
        <f>(L3^3-K3^3)/3</f>
        <v>5.3838806012802909E-3</v>
      </c>
      <c r="P3" s="165" t="b">
        <f>IF(D12="fixing",TRUE,FALSE)</f>
        <v>0</v>
      </c>
      <c r="R3" s="430" t="s">
        <v>107</v>
      </c>
      <c r="S3" s="141">
        <f t="array" ref="S3:S5">_xll.ohFilter(O3:O7,P3:P7)</f>
        <v>5.3838806012802909E-3</v>
      </c>
      <c r="T3" s="147">
        <f t="array" ref="T3:T5">_xll.ohFilter(N3:N7,P3:P7)</f>
        <v>3.1948302469135798E-2</v>
      </c>
      <c r="U3" s="142">
        <f t="array" ref="U3:U5">_xll.ohFilter(M3:M7,P3:P7)</f>
        <v>0.25277777777777777</v>
      </c>
      <c r="V3" s="148"/>
      <c r="W3" s="143">
        <f t="array" ref="W3:W5">MMULT(AA3:AC5,Y3:Y5)</f>
        <v>5.1703696493786422E-4</v>
      </c>
      <c r="X3" s="149"/>
      <c r="Y3" s="144">
        <f t="array" ref="Y3:Y5">_xll.ohFilter(J3:J7,P3:P7)</f>
        <v>2.9874794209904892E-4</v>
      </c>
      <c r="AA3" s="141">
        <f t="array" ref="AA3:AC5">MINVERSE(S3:U5)</f>
        <v>239.46907832942364</v>
      </c>
      <c r="AB3" s="147">
        <v>-528.71909277895872</v>
      </c>
      <c r="AC3" s="142">
        <v>291.85293921398517</v>
      </c>
      <c r="AF3" s="178">
        <f>SettlementDate</f>
        <v>42110</v>
      </c>
      <c r="AG3" s="169">
        <f>_xll.qlDayCounterYearFraction(DayCounter,SettlementDate,AF3,,,Trigger)</f>
        <v>0</v>
      </c>
      <c r="AH3" s="194">
        <f t="shared" ref="AH3:AH65" si="0">$W$13</f>
        <v>1.1818599907215124E-3</v>
      </c>
      <c r="AI3" s="194">
        <f t="shared" ref="AI3:AI65" si="1">$W$10+$W$9*AG3</f>
        <v>1.0603983628181747E-3</v>
      </c>
      <c r="AJ3" s="194">
        <f t="shared" ref="AJ3:AJ34" si="2">($W$5+$W$4*AG3+$W$3*AG3^2)</f>
        <v>1.0722472422351843E-3</v>
      </c>
    </row>
    <row r="4" spans="1:36" ht="12" customHeight="1" x14ac:dyDescent="0.2">
      <c r="A4" s="384" t="str">
        <f>IF(_xll.qlIMMIsIMMdate(D4,FALSE),_xll.qlIMMcode(D4),"0")</f>
        <v>0</v>
      </c>
      <c r="B4" s="130">
        <f>A4+SUBSTITUTE($D$9,"M","")</f>
        <v>3</v>
      </c>
      <c r="C4" s="166" t="str">
        <f>"Delta("&amp;A4&amp;"M,"&amp;B4&amp;"M)extrap"</f>
        <v>Delta(0M,3M)extrap</v>
      </c>
      <c r="D4" s="167">
        <f>IF((_xll.qlIMMNextDate(SettlementDate-1,FALSE)-SettlementDate)&lt;7,_xll.qlIMMNextDate(SettlementDate-1,FALSE),SettlementDate)</f>
        <v>42110</v>
      </c>
      <c r="E4" s="167">
        <f>_xll.qlInterestRateIndexMaturity($D$10,D4)</f>
        <v>42201</v>
      </c>
      <c r="F4" s="199">
        <f>_xll.qlYieldTSDiscount(Discounting,D4,,AllTriggers)</f>
        <v>1</v>
      </c>
      <c r="G4" s="199">
        <f>_xll.qlYieldTSDiscount(Discounting,E4,,AllTriggers)</f>
        <v>1.0002739540974652</v>
      </c>
      <c r="H4" s="200">
        <f>_xll.qlDayCounterYearFraction(DayCounter,D4,E4,,,Trigger)</f>
        <v>0.25277777777777777</v>
      </c>
      <c r="I4" s="201">
        <f t="shared" ref="I4:I7" si="3">(F4/G4-1)/H4</f>
        <v>-1.0834776283750328E-3</v>
      </c>
      <c r="J4" s="168">
        <f>LN((1+(_xll.qlInterpolationInterpolate(B3Minterpolation,D4,TRUE,AllTriggers)+I4)*H4)/(1+I4*H4))</f>
        <v>2.9874794209904892E-4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0.25277777777777777</v>
      </c>
      <c r="M4" s="169">
        <f>L4-K4</f>
        <v>0.25277777777777777</v>
      </c>
      <c r="N4" s="169">
        <f>(L4^2-K4^2)/2</f>
        <v>3.1948302469135798E-2</v>
      </c>
      <c r="O4" s="169">
        <f>(L4^3-K4^3)/3</f>
        <v>5.3838806012802909E-3</v>
      </c>
      <c r="P4" s="170" t="b">
        <f>IF(D12="fixing",FALSE,TRUE)</f>
        <v>1</v>
      </c>
      <c r="R4" s="430"/>
      <c r="S4" s="141">
        <v>1.4010859625057152E-2</v>
      </c>
      <c r="T4" s="147">
        <v>5.6790123456790118E-2</v>
      </c>
      <c r="U4" s="142">
        <v>0.25555555555555554</v>
      </c>
      <c r="V4" s="150" t="s">
        <v>37</v>
      </c>
      <c r="W4" s="143">
        <v>7.8013539895875617E-4</v>
      </c>
      <c r="X4" s="150" t="s">
        <v>38</v>
      </c>
      <c r="Y4" s="144">
        <v>3.2556685763891595E-4</v>
      </c>
      <c r="AA4" s="141">
        <v>-125.05607423869903</v>
      </c>
      <c r="AB4" s="147">
        <v>225.79830055613388</v>
      </c>
      <c r="AC4" s="142">
        <v>-102.10153147220332</v>
      </c>
      <c r="AF4" s="183">
        <f>_xll.qlCalendarAdvance(Calendar,AF3,"1d","mf",,Trigger)</f>
        <v>42111</v>
      </c>
      <c r="AG4" s="169">
        <f>_xll.qlDayCounterYearFraction(DayCounter,SettlementDate,AF4,,,Trigger)</f>
        <v>2.7777777777777779E-3</v>
      </c>
      <c r="AH4" s="181">
        <f t="shared" si="0"/>
        <v>1.1818599907215124E-3</v>
      </c>
      <c r="AI4" s="181">
        <f t="shared" si="1"/>
        <v>1.0630678491457205E-3</v>
      </c>
      <c r="AJ4" s="181">
        <f t="shared" si="2"/>
        <v>1.0744182744928238E-3</v>
      </c>
    </row>
    <row r="5" spans="1:36" ht="12" customHeight="1" x14ac:dyDescent="0.2">
      <c r="A5" s="131">
        <f>MONTH(D5)</f>
        <v>5</v>
      </c>
      <c r="B5" s="130">
        <f>MONTH(E5)</f>
        <v>8</v>
      </c>
      <c r="C5" s="166" t="str">
        <f>"Delta("&amp;A5&amp;"M,"&amp;B5&amp;"M)"</f>
        <v>Delta(5M,8M)</v>
      </c>
      <c r="D5" s="167">
        <f>_xll.qlIMMNextDate(D4,FALSE)</f>
        <v>42144</v>
      </c>
      <c r="E5" s="167">
        <f>_xll.qlInterestRateIndexMaturity($D$10,D5)</f>
        <v>42236</v>
      </c>
      <c r="F5" s="199">
        <f>_xll.qlYieldTSDiscount(Discounting,D5,,AllTriggers)</f>
        <v>1.0000831946792539</v>
      </c>
      <c r="G5" s="199">
        <f>_xll.qlYieldTSDiscount(Discounting,E5,,AllTriggers)</f>
        <v>1.0004152331711411</v>
      </c>
      <c r="H5" s="200">
        <f>_xll.qlDayCounterYearFraction(DayCounter,D5,E5,,,Trigger)</f>
        <v>0.25555555555555554</v>
      </c>
      <c r="I5" s="201">
        <f t="shared" si="3"/>
        <v>-1.2987417745455672E-3</v>
      </c>
      <c r="J5" s="168">
        <f>LN((1+(_xll.qlInterpolationInterpolate(B3Minterpolation,D5,TRUE,AllTriggers)+I5)*H5)/(1+I5*H5))</f>
        <v>3.2556685763891595E-4</v>
      </c>
      <c r="K5" s="169">
        <f>_xll.qlDayCounterYearFraction(DayCounter,SettlementDate,D5,,,Trigger)</f>
        <v>9.4444444444444442E-2</v>
      </c>
      <c r="L5" s="169">
        <f>_xll.qlDayCounterYearFraction(DayCounter,SettlementDate,E5,,,Trigger)</f>
        <v>0.35</v>
      </c>
      <c r="M5" s="169">
        <f>L5-K5</f>
        <v>0.25555555555555554</v>
      </c>
      <c r="N5" s="169">
        <f>(L5^2-K5^2)/2</f>
        <v>5.6790123456790118E-2</v>
      </c>
      <c r="O5" s="169">
        <f>(L5^3-K5^3)/3</f>
        <v>1.4010859625057152E-2</v>
      </c>
      <c r="P5" s="170" t="b">
        <v>1</v>
      </c>
      <c r="R5" s="430"/>
      <c r="S5" s="141">
        <v>2.4390832190214901E-2</v>
      </c>
      <c r="T5" s="147">
        <v>7.6666666666666661E-2</v>
      </c>
      <c r="U5" s="142">
        <v>0.25555555555555554</v>
      </c>
      <c r="V5" s="131"/>
      <c r="W5" s="143">
        <v>1.0722472422351843E-3</v>
      </c>
      <c r="X5" s="150"/>
      <c r="Y5" s="144">
        <v>3.4644008211710218E-4</v>
      </c>
      <c r="AA5" s="141">
        <v>14.661321863563794</v>
      </c>
      <c r="AB5" s="147">
        <v>-17.277277988749645</v>
      </c>
      <c r="AC5" s="142">
        <v>6.6883617976158947</v>
      </c>
      <c r="AF5" s="183">
        <f>_xll.qlCalendarAdvance(Calendar,AF4,"1d","mf",,Trigger)</f>
        <v>42114</v>
      </c>
      <c r="AG5" s="169">
        <f>_xll.qlDayCounterYearFraction(DayCounter,SettlementDate,AF5,,,Trigger)</f>
        <v>1.1111111111111112E-2</v>
      </c>
      <c r="AH5" s="181">
        <f t="shared" si="0"/>
        <v>1.1818599907215124E-3</v>
      </c>
      <c r="AI5" s="181">
        <f t="shared" si="1"/>
        <v>1.0710763081283583E-3</v>
      </c>
      <c r="AJ5" s="181">
        <f t="shared" si="2"/>
        <v>1.0809792450587924E-3</v>
      </c>
    </row>
    <row r="6" spans="1:36" ht="12" customHeight="1" x14ac:dyDescent="0.2">
      <c r="A6" s="131">
        <f t="shared" ref="A6:A7" si="4">MONTH(D6)</f>
        <v>6</v>
      </c>
      <c r="B6" s="130">
        <f t="shared" ref="B6:B7" si="5">MONTH(E6)</f>
        <v>9</v>
      </c>
      <c r="C6" s="166" t="str">
        <f t="shared" ref="C6:C7" si="6">"Delta("&amp;A6&amp;"M,"&amp;B6&amp;"M)"</f>
        <v>Delta(6M,9M)</v>
      </c>
      <c r="D6" s="167">
        <f>_xll.qlIMMNextDate(D5,FALSE)</f>
        <v>42172</v>
      </c>
      <c r="E6" s="167">
        <f>_xll.qlInterestRateIndexMaturity($D$10,D6)</f>
        <v>42264</v>
      </c>
      <c r="F6" s="199">
        <f>_xll.qlYieldTSDiscount(Discounting,D6,,AllTriggers)</f>
        <v>1.0001639759323795</v>
      </c>
      <c r="G6" s="199">
        <f>_xll.qlYieldTSDiscount(Discounting,E6,,AllTriggers)</f>
        <v>1.0005297096689045</v>
      </c>
      <c r="H6" s="200">
        <f>_xll.qlDayCounterYearFraction(DayCounter,D6,E6,,,Trigger)</f>
        <v>0.25555555555555554</v>
      </c>
      <c r="I6" s="201">
        <f t="shared" si="3"/>
        <v>-1.4303743293769581E-3</v>
      </c>
      <c r="J6" s="168">
        <f>LN((1+(_xll.qlInterpolationInterpolate(B3Minterpolation,D6,TRUE,AllTriggers)+I6)*H6)/(1+I6*H6))</f>
        <v>3.4644008211710218E-4</v>
      </c>
      <c r="K6" s="169">
        <f>_xll.qlDayCounterYearFraction(DayCounter,SettlementDate,D6,,,Trigger)</f>
        <v>0.17222222222222222</v>
      </c>
      <c r="L6" s="169">
        <f>_xll.qlDayCounterYearFraction(DayCounter,SettlementDate,E6,,,Trigger)</f>
        <v>0.42777777777777776</v>
      </c>
      <c r="M6" s="169">
        <f>L6-K6</f>
        <v>0.25555555555555554</v>
      </c>
      <c r="N6" s="169">
        <f>(L6^2-K6^2)/2</f>
        <v>7.6666666666666661E-2</v>
      </c>
      <c r="O6" s="169">
        <f>(L6^3-K6^3)/3</f>
        <v>2.4390832190214901E-2</v>
      </c>
      <c r="P6" s="170" t="b">
        <v>1</v>
      </c>
      <c r="W6" s="145"/>
      <c r="X6" s="138"/>
      <c r="Y6" s="139"/>
      <c r="AF6" s="183">
        <f>_xll.qlCalendarAdvance(Calendar,AF5,"1d","mf",,Trigger)</f>
        <v>42115</v>
      </c>
      <c r="AG6" s="169">
        <f>_xll.qlDayCounterYearFraction(DayCounter,SettlementDate,AF6,,,Trigger)</f>
        <v>1.3888888888888888E-2</v>
      </c>
      <c r="AH6" s="181">
        <f t="shared" si="0"/>
        <v>1.1818599907215124E-3</v>
      </c>
      <c r="AI6" s="181">
        <f t="shared" si="1"/>
        <v>1.0737457944559041E-3</v>
      </c>
      <c r="AJ6" s="181">
        <f t="shared" si="2"/>
        <v>1.0831821931784652E-3</v>
      </c>
    </row>
    <row r="7" spans="1:36" ht="12" customHeight="1" x14ac:dyDescent="0.2">
      <c r="A7" s="131">
        <f t="shared" si="4"/>
        <v>7</v>
      </c>
      <c r="B7" s="130">
        <f t="shared" si="5"/>
        <v>10</v>
      </c>
      <c r="C7" s="171" t="str">
        <f t="shared" si="6"/>
        <v>Delta(7M,10M)</v>
      </c>
      <c r="D7" s="172">
        <f>_xll.qlIMMNextDate(D6,FALSE)</f>
        <v>42200</v>
      </c>
      <c r="E7" s="172">
        <f>_xll.qlInterestRateIndexMaturity($D$10,D7)</f>
        <v>42292</v>
      </c>
      <c r="F7" s="202">
        <f>_xll.qlYieldTSDiscount(Discounting,D7,,AllTriggers)</f>
        <v>1.0002699581709207</v>
      </c>
      <c r="G7" s="202">
        <f>_xll.qlYieldTSDiscount(Discounting,E7,,AllTriggers)</f>
        <v>1.000641433821049</v>
      </c>
      <c r="H7" s="203">
        <f>_xll.qlDayCounterYearFraction(DayCounter,D7,E7,,,Trigger)</f>
        <v>0.25555555555555554</v>
      </c>
      <c r="I7" s="204">
        <f t="shared" si="3"/>
        <v>-1.4526685793096437E-3</v>
      </c>
      <c r="J7" s="173">
        <f>LN((1+(_xll.qlInterpolationInterpolate(B3Minterpolation,D7,TRUE,AllTriggers)+I7)*H7)/(1+I7*H7))</f>
        <v>3.5353321710395716E-4</v>
      </c>
      <c r="K7" s="174">
        <f>_xll.qlDayCounterYearFraction(DayCounter,SettlementDate,D7,,,Trigger)</f>
        <v>0.25</v>
      </c>
      <c r="L7" s="174">
        <f>_xll.qlDayCounterYearFraction(DayCounter,SettlementDate,E7,,,Trigger)</f>
        <v>0.50555555555555554</v>
      </c>
      <c r="M7" s="174">
        <f>L7-K7</f>
        <v>0.25555555555555554</v>
      </c>
      <c r="N7" s="174">
        <f>(L7^2-K7^2)/2</f>
        <v>9.654320987654319E-2</v>
      </c>
      <c r="O7" s="174">
        <f>(L7^3-K7^3)/3</f>
        <v>3.7862711476908999E-2</v>
      </c>
      <c r="P7" s="175" t="b">
        <v>0</v>
      </c>
      <c r="W7" s="145"/>
      <c r="X7" s="138"/>
      <c r="Y7" s="139"/>
      <c r="AF7" s="183">
        <f>_xll.qlCalendarAdvance(Calendar,AF6,"1d","mf",,Trigger)</f>
        <v>42116</v>
      </c>
      <c r="AG7" s="169">
        <f>_xll.qlDayCounterYearFraction(DayCounter,SettlementDate,AF7,,,Trigger)</f>
        <v>1.6666666666666666E-2</v>
      </c>
      <c r="AH7" s="181">
        <f t="shared" si="0"/>
        <v>1.1818599907215124E-3</v>
      </c>
      <c r="AI7" s="181">
        <f t="shared" si="1"/>
        <v>1.0764152807834499E-3</v>
      </c>
      <c r="AJ7" s="181">
        <f t="shared" si="2"/>
        <v>1.0853931202636463E-3</v>
      </c>
    </row>
    <row r="8" spans="1:36" ht="12" customHeight="1" x14ac:dyDescent="0.2"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42117</v>
      </c>
      <c r="AG8" s="169">
        <f>_xll.qlDayCounterYearFraction(DayCounter,SettlementDate,AF8,,,Trigger)</f>
        <v>1.9444444444444445E-2</v>
      </c>
      <c r="AH8" s="181">
        <f t="shared" si="0"/>
        <v>1.1818599907215124E-3</v>
      </c>
      <c r="AI8" s="181">
        <f t="shared" si="1"/>
        <v>1.0790847671109959E-3</v>
      </c>
      <c r="AJ8" s="181">
        <f t="shared" si="2"/>
        <v>1.0876120263143359E-3</v>
      </c>
    </row>
    <row r="9" spans="1:36" ht="12" customHeight="1" x14ac:dyDescent="0.2">
      <c r="C9" s="156" t="s">
        <v>159</v>
      </c>
      <c r="D9" s="191" t="s">
        <v>41</v>
      </c>
      <c r="R9" s="429" t="s">
        <v>108</v>
      </c>
      <c r="S9" s="140"/>
      <c r="T9" s="141">
        <f t="array" ref="T9:T10">_xll.ohFilter(N3:N7,P3:P7)</f>
        <v>3.1948302469135798E-2</v>
      </c>
      <c r="U9" s="142">
        <f t="array" ref="U9:U10">_xll.ohFilter(M3:M7,P3:P7)</f>
        <v>0.25277777777777777</v>
      </c>
      <c r="V9" s="431" t="s">
        <v>37</v>
      </c>
      <c r="W9" s="143">
        <f t="array" ref="W9:W10">MMULT(AA9:AB10,Y9:Y10)</f>
        <v>9.6101507791651435E-4</v>
      </c>
      <c r="X9" s="431" t="s">
        <v>38</v>
      </c>
      <c r="Y9" s="144">
        <f t="array" ref="Y9:Y10">_xll.ohFilter(J3:J7,P3:P7)</f>
        <v>2.9874794209904892E-4</v>
      </c>
      <c r="AA9" s="141">
        <f t="array" ref="AA9:AB10">MINVERSE(T9:U10)</f>
        <v>-41.280458671763022</v>
      </c>
      <c r="AB9" s="142">
        <v>40.831758034026464</v>
      </c>
      <c r="AF9" s="183">
        <f>_xll.qlCalendarAdvance(Calendar,AF8,"1d","mf",,Trigger)</f>
        <v>42118</v>
      </c>
      <c r="AG9" s="169">
        <f>_xll.qlDayCounterYearFraction(DayCounter,SettlementDate,AF9,,,Trigger)</f>
        <v>2.2222222222222223E-2</v>
      </c>
      <c r="AH9" s="181">
        <f t="shared" si="0"/>
        <v>1.1818599907215124E-3</v>
      </c>
      <c r="AI9" s="181">
        <f t="shared" si="1"/>
        <v>1.0817542534385417E-3</v>
      </c>
      <c r="AJ9" s="181">
        <f t="shared" si="2"/>
        <v>1.0898389113305335E-3</v>
      </c>
    </row>
    <row r="10" spans="1:36" ht="12" customHeight="1" x14ac:dyDescent="0.2">
      <c r="C10" s="156" t="s">
        <v>121</v>
      </c>
      <c r="D10" s="191" t="str">
        <f>PROPER(Currency)&amp;IborType&amp;D9</f>
        <v>Euribor3M</v>
      </c>
      <c r="R10" s="429"/>
      <c r="S10" s="140"/>
      <c r="T10" s="141">
        <v>5.6790123456790118E-2</v>
      </c>
      <c r="U10" s="142">
        <v>0.25555555555555554</v>
      </c>
      <c r="V10" s="431"/>
      <c r="W10" s="143">
        <v>1.0603983628181747E-3</v>
      </c>
      <c r="X10" s="431"/>
      <c r="Y10" s="144">
        <v>3.2556685763891595E-4</v>
      </c>
      <c r="AA10" s="141">
        <v>9.1734352603917824</v>
      </c>
      <c r="AB10" s="142">
        <v>-5.1606805293005671</v>
      </c>
      <c r="AF10" s="183">
        <f>_xll.qlCalendarAdvance(Calendar,AF9,"1d","mf",,Trigger)</f>
        <v>42121</v>
      </c>
      <c r="AG10" s="169">
        <f>_xll.qlDayCounterYearFraction(DayCounter,SettlementDate,AF10,,,Trigger)</f>
        <v>3.0555555555555555E-2</v>
      </c>
      <c r="AH10" s="181">
        <f t="shared" si="0"/>
        <v>1.1818599907215124E-3</v>
      </c>
      <c r="AI10" s="181">
        <f t="shared" si="1"/>
        <v>1.0897627124211793E-3</v>
      </c>
      <c r="AJ10" s="181">
        <f t="shared" si="2"/>
        <v>1.0965674401721764E-3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42122</v>
      </c>
      <c r="AG11" s="169">
        <f>_xll.qlDayCounterYearFraction(DayCounter,SettlementDate,AF11,,,Trigger)</f>
        <v>3.3333333333333333E-2</v>
      </c>
      <c r="AH11" s="181">
        <f t="shared" si="0"/>
        <v>1.1818599907215124E-3</v>
      </c>
      <c r="AI11" s="181">
        <f t="shared" si="1"/>
        <v>1.0924321987487253E-3</v>
      </c>
      <c r="AJ11" s="181">
        <f t="shared" si="2"/>
        <v>1.0988262410504071E-3</v>
      </c>
    </row>
    <row r="12" spans="1:36" ht="12" customHeight="1" x14ac:dyDescent="0.2">
      <c r="C12" s="156" t="s">
        <v>149</v>
      </c>
      <c r="D12" s="191" t="s">
        <v>153</v>
      </c>
      <c r="W12" s="146" t="s">
        <v>35</v>
      </c>
      <c r="X12" s="138"/>
      <c r="Y12" s="139"/>
      <c r="AF12" s="183">
        <f>_xll.qlCalendarAdvance(Calendar,AF11,"1d","mf",,Trigger)</f>
        <v>42123</v>
      </c>
      <c r="AG12" s="169">
        <f>_xll.qlDayCounterYearFraction(DayCounter,SettlementDate,AF12,,,Trigger)</f>
        <v>3.6111111111111108E-2</v>
      </c>
      <c r="AH12" s="181">
        <f t="shared" si="0"/>
        <v>1.1818599907215124E-3</v>
      </c>
      <c r="AI12" s="181">
        <f t="shared" si="1"/>
        <v>1.0951016850762711E-3</v>
      </c>
      <c r="AJ12" s="181">
        <f t="shared" si="2"/>
        <v>1.1010930208941463E-3</v>
      </c>
    </row>
    <row r="13" spans="1:36" ht="12" customHeight="1" x14ac:dyDescent="0.2">
      <c r="N13" s="160" t="str">
        <f>"Synthetic Deposits "&amp;D9</f>
        <v>Synthetic Deposits 3M</v>
      </c>
      <c r="O13" s="160"/>
      <c r="P13" s="160"/>
      <c r="R13" s="151" t="s">
        <v>109</v>
      </c>
      <c r="U13" s="152">
        <f t="array" ref="U13">_xll.ohFilter(M3:M7,P3:P7)</f>
        <v>0.25277777777777777</v>
      </c>
      <c r="V13" s="151" t="s">
        <v>37</v>
      </c>
      <c r="W13" s="143">
        <f>MMULT(AA13,Y13)</f>
        <v>1.1818599907215124E-3</v>
      </c>
      <c r="X13" s="151" t="s">
        <v>38</v>
      </c>
      <c r="Y13" s="144">
        <f t="array" ref="Y13">_xll.ohFilter(J3:J7,P3:P7)</f>
        <v>2.9874794209904892E-4</v>
      </c>
      <c r="AA13" s="152">
        <f>MINVERSE(U13)</f>
        <v>3.9560439560439562</v>
      </c>
      <c r="AF13" s="183">
        <f>_xll.qlCalendarAdvance(Calendar,AF12,"1d","mf",,Trigger)</f>
        <v>42124</v>
      </c>
      <c r="AG13" s="169">
        <f>_xll.qlDayCounterYearFraction(DayCounter,SettlementDate,AF13,,,Trigger)</f>
        <v>3.888888888888889E-2</v>
      </c>
      <c r="AH13" s="181">
        <f t="shared" si="0"/>
        <v>1.1818599907215124E-3</v>
      </c>
      <c r="AI13" s="181">
        <f t="shared" si="1"/>
        <v>1.0977711714038169E-3</v>
      </c>
      <c r="AJ13" s="181">
        <f t="shared" si="2"/>
        <v>1.1033677797033937E-3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6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AF14" s="183">
        <f>_xll.qlCalendarAdvance(Calendar,AF13,"1d","mf",,Trigger)</f>
        <v>42128</v>
      </c>
      <c r="AG14" s="169">
        <f>_xll.qlDayCounterYearFraction(DayCounter,SettlementDate,AF14,,,Trigger)</f>
        <v>0.05</v>
      </c>
      <c r="AH14" s="181">
        <f t="shared" si="0"/>
        <v>1.1818599907215124E-3</v>
      </c>
      <c r="AI14" s="181">
        <f t="shared" si="1"/>
        <v>1.1084491167140005E-3</v>
      </c>
      <c r="AJ14" s="181">
        <f t="shared" si="2"/>
        <v>1.1125466045954666E-3</v>
      </c>
    </row>
    <row r="15" spans="1:36" ht="12" customHeight="1" x14ac:dyDescent="0.2">
      <c r="C15" s="176" t="s">
        <v>43</v>
      </c>
      <c r="D15" s="177">
        <f t="shared" ref="D15:D21" si="7">SettlementDate</f>
        <v>42110</v>
      </c>
      <c r="E15" s="178">
        <f>_xll.qlCalendarAdvance(Calendar,SettlementDate,C15,"Following",,Trigger)</f>
        <v>42111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180">
        <f>_xll.qlYieldTSDiscount(Discounting,E15,,AllTriggers)</f>
        <v>1.000002261326409</v>
      </c>
      <c r="M15" s="207">
        <f>(K15/L15-1)/J15</f>
        <v>-8.1407566635771644E-4</v>
      </c>
      <c r="N15" s="194">
        <f>((1+M15*J15)*EXP($W$13*J15)-1)/J15</f>
        <v>3.6778359182143561E-4</v>
      </c>
      <c r="O15" s="194">
        <f>((1+J15*M15)*EXP($W$10*J15+0.5*$W$9*J15^2)-1)/J15</f>
        <v>2.4765660434411529E-4</v>
      </c>
      <c r="P15" s="194">
        <f t="shared" ref="P15:P21" si="8">((1+J15*M15)*EXP($W$5*J15+0.5*$W$4*J15^2+1/3*$W$3*J15^3)-1)/J15</f>
        <v>2.5925560002804104E-4</v>
      </c>
      <c r="AF15" s="183">
        <f>_xll.qlCalendarAdvance(Calendar,AF14,"1d","mf",,Trigger)</f>
        <v>42129</v>
      </c>
      <c r="AG15" s="169">
        <f>_xll.qlDayCounterYearFraction(DayCounter,SettlementDate,AF15,,,Trigger)</f>
        <v>5.2777777777777778E-2</v>
      </c>
      <c r="AH15" s="181">
        <f t="shared" si="0"/>
        <v>1.1818599907215124E-3</v>
      </c>
      <c r="AI15" s="181">
        <f t="shared" si="1"/>
        <v>1.1111186030415463E-3</v>
      </c>
      <c r="AJ15" s="181">
        <f t="shared" si="2"/>
        <v>1.1148612582322559E-3</v>
      </c>
    </row>
    <row r="16" spans="1:36" ht="12" customHeight="1" x14ac:dyDescent="0.2">
      <c r="C16" s="182" t="s">
        <v>44</v>
      </c>
      <c r="D16" s="167">
        <f>SettlementDate</f>
        <v>42110</v>
      </c>
      <c r="E16" s="183">
        <f>_xll.qlCalendarAdvance(Calendar,SettlementDate,C16,"Following",,Trigger)</f>
        <v>42117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184">
        <f>_xll.qlYieldTSDiscount(Discounting,E16,,AllTriggers)</f>
        <v>1.0000163336001151</v>
      </c>
      <c r="M16" s="207">
        <f t="shared" ref="M16:M21" si="9">(K16/L16-1)/J16</f>
        <v>-8.399999999803802E-4</v>
      </c>
      <c r="N16" s="181">
        <f t="shared" ref="N16:N20" si="10">((1+M16*J16)*EXP($W$13*J16)-1)/J16</f>
        <v>3.4185426684858148E-4</v>
      </c>
      <c r="O16" s="181">
        <f t="shared" ref="O16:O20" si="11">((1+J16*M16)*EXP($W$10*J16+0.5*$W$9*J16^2)-1)/J16</f>
        <v>2.297352180263041E-4</v>
      </c>
      <c r="P16" s="181">
        <f t="shared" si="8"/>
        <v>2.3989075293075399E-4</v>
      </c>
      <c r="AF16" s="183">
        <f>_xll.qlCalendarAdvance(Calendar,AF15,"1d","mf",,Trigger)</f>
        <v>42130</v>
      </c>
      <c r="AG16" s="169">
        <f>_xll.qlDayCounterYearFraction(DayCounter,SettlementDate,AF16,,,Trigger)</f>
        <v>5.5555555555555552E-2</v>
      </c>
      <c r="AH16" s="181">
        <f t="shared" si="0"/>
        <v>1.1818599907215124E-3</v>
      </c>
      <c r="AI16" s="181">
        <f t="shared" si="1"/>
        <v>1.1137880893690923E-3</v>
      </c>
      <c r="AJ16" s="181">
        <f t="shared" si="2"/>
        <v>1.1171838908345532E-3</v>
      </c>
    </row>
    <row r="17" spans="3:36" ht="12" customHeight="1" x14ac:dyDescent="0.2">
      <c r="C17" s="182" t="s">
        <v>45</v>
      </c>
      <c r="D17" s="167">
        <f t="shared" si="7"/>
        <v>42110</v>
      </c>
      <c r="E17" s="183">
        <f>_xll.qlCalendarAdvance(Calendar,SettlementDate,C17,"Following",,Trigger)</f>
        <v>42124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184">
        <f>_xll.qlYieldTSDiscount(Discounting,E17,,AllTriggers)</f>
        <v>1.0000346123091548</v>
      </c>
      <c r="M17" s="207">
        <f t="shared" si="9"/>
        <v>-8.9000000188204406E-4</v>
      </c>
      <c r="N17" s="181">
        <f t="shared" si="10"/>
        <v>2.9184624269262827E-4</v>
      </c>
      <c r="O17" s="181">
        <f t="shared" si="11"/>
        <v>1.8907005801554227E-4</v>
      </c>
      <c r="P17" s="181">
        <f t="shared" si="8"/>
        <v>1.9766254338447555E-4</v>
      </c>
      <c r="AF17" s="183">
        <f>_xll.qlCalendarAdvance(Calendar,AF16,"1d","mf",,Trigger)</f>
        <v>42131</v>
      </c>
      <c r="AG17" s="169">
        <f>_xll.qlDayCounterYearFraction(DayCounter,SettlementDate,AF17,,,Trigger)</f>
        <v>5.8333333333333334E-2</v>
      </c>
      <c r="AH17" s="181">
        <f t="shared" si="0"/>
        <v>1.1818599907215124E-3</v>
      </c>
      <c r="AI17" s="181">
        <f t="shared" si="1"/>
        <v>1.1164575756966381E-3</v>
      </c>
      <c r="AJ17" s="181">
        <f t="shared" si="2"/>
        <v>1.1195145024023587E-3</v>
      </c>
    </row>
    <row r="18" spans="3:36" ht="12" customHeight="1" x14ac:dyDescent="0.2">
      <c r="C18" s="182" t="s">
        <v>46</v>
      </c>
      <c r="D18" s="167">
        <f t="shared" si="7"/>
        <v>42110</v>
      </c>
      <c r="E18" s="183">
        <f>_xll.qlCalendarAdvance(Calendar,SettlementDate,C18,"Following",,Trigger)</f>
        <v>42131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184">
        <f>_xll.qlYieldTSDiscount(Discounting,E18,,AllTriggers)</f>
        <v>1.0000455020703813</v>
      </c>
      <c r="M18" s="207">
        <f t="shared" si="9"/>
        <v>-7.8000000063622413E-4</v>
      </c>
      <c r="N18" s="181">
        <f t="shared" si="10"/>
        <v>4.018469543368549E-4</v>
      </c>
      <c r="O18" s="181">
        <f t="shared" si="11"/>
        <v>3.0841299734264888E-4</v>
      </c>
      <c r="P18" s="181">
        <f t="shared" si="8"/>
        <v>3.155728037247079E-4</v>
      </c>
      <c r="AF18" s="183">
        <f>_xll.qlCalendarAdvance(Calendar,AF17,"1d","mf",,Trigger)</f>
        <v>42132</v>
      </c>
      <c r="AG18" s="169">
        <f>_xll.qlDayCounterYearFraction(DayCounter,SettlementDate,AF18,,,Trigger)</f>
        <v>6.1111111111111109E-2</v>
      </c>
      <c r="AH18" s="181">
        <f t="shared" si="0"/>
        <v>1.1818599907215124E-3</v>
      </c>
      <c r="AI18" s="181">
        <f t="shared" si="1"/>
        <v>1.1191270620241839E-3</v>
      </c>
      <c r="AJ18" s="181">
        <f t="shared" si="2"/>
        <v>1.1218530929356725E-3</v>
      </c>
    </row>
    <row r="19" spans="3:36" ht="12" customHeight="1" x14ac:dyDescent="0.2">
      <c r="C19" s="182" t="s">
        <v>40</v>
      </c>
      <c r="D19" s="167">
        <f t="shared" si="7"/>
        <v>42110</v>
      </c>
      <c r="E19" s="183">
        <f>_xll.qlCalendarAdvance(Calendar,SettlementDate,C19,"mf",TRUE,Trigger)</f>
        <v>42142</v>
      </c>
      <c r="F19" s="205"/>
      <c r="G19" s="205"/>
      <c r="H19" s="205"/>
      <c r="I19" s="205"/>
      <c r="J19" s="169">
        <f>_xll.qlDayCounterYearFraction(DayCounter,D19,E19,,,Trigger)</f>
        <v>8.8888888888888892E-2</v>
      </c>
      <c r="K19" s="208">
        <f>_xll.qlYieldTSDiscount(Discounting,D19,,AllTriggers)</f>
        <v>1</v>
      </c>
      <c r="L19" s="184">
        <f>_xll.qlYieldTSDiscount(Discounting,E19,,AllTriggers)</f>
        <v>1.0000773393142086</v>
      </c>
      <c r="M19" s="207">
        <f t="shared" si="9"/>
        <v>-8.6999999964323949E-4</v>
      </c>
      <c r="N19" s="181">
        <f t="shared" si="10"/>
        <v>3.1183067096735018E-4</v>
      </c>
      <c r="O19" s="181">
        <f t="shared" si="11"/>
        <v>2.330789171267611E-4</v>
      </c>
      <c r="P19" s="181">
        <f t="shared" si="8"/>
        <v>2.3825055148252172E-4</v>
      </c>
      <c r="AF19" s="183">
        <f>_xll.qlCalendarAdvance(Calendar,AF18,"1d","mf",,Trigger)</f>
        <v>42135</v>
      </c>
      <c r="AG19" s="169">
        <f>_xll.qlDayCounterYearFraction(DayCounter,SettlementDate,AF19,,,Trigger)</f>
        <v>6.9444444444444448E-2</v>
      </c>
      <c r="AH19" s="181">
        <f t="shared" si="0"/>
        <v>1.1818599907215124E-3</v>
      </c>
      <c r="AI19" s="181">
        <f t="shared" si="1"/>
        <v>1.1271355210068215E-3</v>
      </c>
      <c r="AJ19" s="181">
        <f t="shared" si="2"/>
        <v>1.128916738328664E-3</v>
      </c>
    </row>
    <row r="20" spans="3:36" ht="12" customHeight="1" x14ac:dyDescent="0.2">
      <c r="C20" s="182" t="s">
        <v>47</v>
      </c>
      <c r="D20" s="167">
        <f t="shared" si="7"/>
        <v>42110</v>
      </c>
      <c r="E20" s="183">
        <f>_xll.qlCalendarAdvance(Calendar,SettlementDate,C20,"mf",TRUE,Trigger)</f>
        <v>42171</v>
      </c>
      <c r="F20" s="205"/>
      <c r="G20" s="205"/>
      <c r="H20" s="205"/>
      <c r="I20" s="205"/>
      <c r="J20" s="169">
        <f>_xll.qlDayCounterYearFraction(DayCounter,D20,E20,,,Trigger)</f>
        <v>0.16944444444444445</v>
      </c>
      <c r="K20" s="208">
        <f>_xll.qlYieldTSDiscount(Discounting,D20,,AllTriggers)</f>
        <v>1</v>
      </c>
      <c r="L20" s="184">
        <f>_xll.qlYieldTSDiscount(Discounting,E20,,AllTriggers)</f>
        <v>1.0001605222997145</v>
      </c>
      <c r="M20" s="207">
        <f t="shared" si="9"/>
        <v>-9.4719267408072854E-4</v>
      </c>
      <c r="N20" s="181">
        <f t="shared" si="10"/>
        <v>2.3459596052127318E-4</v>
      </c>
      <c r="O20" s="181">
        <f t="shared" si="11"/>
        <v>1.9455220973519724E-4</v>
      </c>
      <c r="P20" s="181">
        <f t="shared" si="8"/>
        <v>1.9602489796885365E-4</v>
      </c>
      <c r="AF20" s="183">
        <f>_xll.qlCalendarAdvance(Calendar,AF19,"1d","mf",,Trigger)</f>
        <v>42136</v>
      </c>
      <c r="AG20" s="169">
        <f>_xll.qlDayCounterYearFraction(DayCounter,SettlementDate,AF20,,,Trigger)</f>
        <v>7.2222222222222215E-2</v>
      </c>
      <c r="AH20" s="181">
        <f t="shared" si="0"/>
        <v>1.1818599907215124E-3</v>
      </c>
      <c r="AI20" s="181">
        <f t="shared" si="1"/>
        <v>1.1298050073343675E-3</v>
      </c>
      <c r="AJ20" s="181">
        <f t="shared" si="2"/>
        <v>1.1312872447240109E-3</v>
      </c>
    </row>
    <row r="21" spans="3:36" ht="12" customHeight="1" x14ac:dyDescent="0.2">
      <c r="C21" s="186" t="s">
        <v>41</v>
      </c>
      <c r="D21" s="172">
        <f t="shared" si="7"/>
        <v>42110</v>
      </c>
      <c r="E21" s="187">
        <f>_xll.qlCalendarAdvance(Calendar,SettlementDate,C21,"mf",TRUE,Trigger)</f>
        <v>42201</v>
      </c>
      <c r="F21" s="209"/>
      <c r="G21" s="209"/>
      <c r="H21" s="209"/>
      <c r="I21" s="209"/>
      <c r="J21" s="174">
        <f>_xll.qlDayCounterYearFraction(DayCounter,D21,E21,,,Trigger)</f>
        <v>0.25277777777777777</v>
      </c>
      <c r="K21" s="210">
        <f>_xll.qlYieldTSDiscount(Discounting,D21,,AllTriggers)</f>
        <v>1</v>
      </c>
      <c r="L21" s="188">
        <f>_xll.qlYieldTSDiscount(Discounting,E21,,AllTriggers)</f>
        <v>1.0002739540974652</v>
      </c>
      <c r="M21" s="211">
        <f t="shared" si="9"/>
        <v>-1.0834776283750328E-3</v>
      </c>
      <c r="N21" s="190">
        <f>((1+M21*J21)*EXP($W$13*J21)-1)/J21</f>
        <v>9.8235183981178529E-5</v>
      </c>
      <c r="O21" s="190">
        <f>((1+J21*M21)*EXP($W$10*J21+0.5*$W$9*J21^2)-1)/J21</f>
        <v>9.8235183981178529E-5</v>
      </c>
      <c r="P21" s="190">
        <f t="shared" si="8"/>
        <v>9.8235183981178529E-5</v>
      </c>
      <c r="AF21" s="183">
        <f>_xll.qlCalendarAdvance(Calendar,AF20,"1d","mf",,Trigger)</f>
        <v>42137</v>
      </c>
      <c r="AG21" s="169">
        <f>_xll.qlDayCounterYearFraction(DayCounter,SettlementDate,AF21,,,Trigger)</f>
        <v>7.4999999999999997E-2</v>
      </c>
      <c r="AH21" s="181">
        <f t="shared" si="0"/>
        <v>1.1818599907215124E-3</v>
      </c>
      <c r="AI21" s="181">
        <f t="shared" si="1"/>
        <v>1.1324744936619133E-3</v>
      </c>
      <c r="AJ21" s="181">
        <f t="shared" si="2"/>
        <v>1.1336657300848665E-3</v>
      </c>
    </row>
    <row r="22" spans="3:36" ht="12" customHeight="1" x14ac:dyDescent="0.2">
      <c r="AF22" s="183">
        <f>_xll.qlCalendarAdvance(Calendar,AF21,"1d","mf",,Trigger)</f>
        <v>42138</v>
      </c>
      <c r="AG22" s="169">
        <f>_xll.qlDayCounterYearFraction(DayCounter,SettlementDate,AF22,,,Trigger)</f>
        <v>7.7777777777777779E-2</v>
      </c>
      <c r="AH22" s="181">
        <f t="shared" si="0"/>
        <v>1.1818599907215124E-3</v>
      </c>
      <c r="AI22" s="181">
        <f t="shared" si="1"/>
        <v>1.1351439799894593E-3</v>
      </c>
      <c r="AJ22" s="181">
        <f t="shared" si="2"/>
        <v>1.1360521944112302E-3</v>
      </c>
    </row>
    <row r="23" spans="3:36" ht="12" customHeight="1" x14ac:dyDescent="0.2">
      <c r="C23" s="156" t="s">
        <v>123</v>
      </c>
      <c r="AF23" s="183">
        <f>_xll.qlCalendarAdvance(Calendar,AF22,"1d","mf",,Trigger)</f>
        <v>42139</v>
      </c>
      <c r="AG23" s="169">
        <f>_xll.qlDayCounterYearFraction(DayCounter,SettlementDate,AF23,,,Trigger)</f>
        <v>8.0555555555555561E-2</v>
      </c>
      <c r="AH23" s="181">
        <f t="shared" si="0"/>
        <v>1.1818599907215124E-3</v>
      </c>
      <c r="AI23" s="181">
        <f t="shared" si="1"/>
        <v>1.1378134663170051E-3</v>
      </c>
      <c r="AJ23" s="181">
        <f t="shared" si="2"/>
        <v>1.1384466377031021E-3</v>
      </c>
    </row>
    <row r="24" spans="3:36" ht="12" customHeight="1" x14ac:dyDescent="0.2">
      <c r="C24" s="193" t="s">
        <v>107</v>
      </c>
      <c r="AF24" s="183">
        <f>_xll.qlCalendarAdvance(Calendar,AF23,"1d","mf",,Trigger)</f>
        <v>42142</v>
      </c>
      <c r="AG24" s="169">
        <f>_xll.qlDayCounterYearFraction(DayCounter,SettlementDate,AF24,,,Trigger)</f>
        <v>8.8888888888888892E-2</v>
      </c>
      <c r="AH24" s="181">
        <f t="shared" si="0"/>
        <v>1.1818599907215124E-3</v>
      </c>
      <c r="AI24" s="181">
        <f t="shared" si="1"/>
        <v>1.1458219252996427E-3</v>
      </c>
      <c r="AJ24" s="181">
        <f t="shared" si="2"/>
        <v>1.1456778413717679E-3</v>
      </c>
    </row>
    <row r="25" spans="3:36" ht="12" customHeight="1" x14ac:dyDescent="0.2">
      <c r="C25" s="181">
        <f t="shared" ref="C25:C31" si="12">IF($C$24="FLAT",N15,IF($C$24="linear",O15,P15))</f>
        <v>2.5925560002804104E-4</v>
      </c>
      <c r="AF25" s="183">
        <f>_xll.qlCalendarAdvance(Calendar,AF24,"1d","mf",,Trigger)</f>
        <v>42143</v>
      </c>
      <c r="AG25" s="169">
        <f>_xll.qlDayCounterYearFraction(DayCounter,SettlementDate,AF25,,,Trigger)</f>
        <v>9.166666666666666E-2</v>
      </c>
      <c r="AH25" s="181">
        <f t="shared" si="0"/>
        <v>1.1818599907215124E-3</v>
      </c>
      <c r="AI25" s="181">
        <f t="shared" si="1"/>
        <v>1.1484914116271885E-3</v>
      </c>
      <c r="AJ25" s="181">
        <f t="shared" si="2"/>
        <v>1.1481042005256732E-3</v>
      </c>
    </row>
    <row r="26" spans="3:36" ht="12" customHeight="1" x14ac:dyDescent="0.2">
      <c r="C26" s="181">
        <f t="shared" si="12"/>
        <v>2.3989075293075399E-4</v>
      </c>
      <c r="AF26" s="183">
        <f>_xll.qlCalendarAdvance(Calendar,AF25,"1d","mf",,Trigger)</f>
        <v>42144</v>
      </c>
      <c r="AG26" s="169">
        <f>_xll.qlDayCounterYearFraction(DayCounter,SettlementDate,AF26,,,Trigger)</f>
        <v>9.4444444444444442E-2</v>
      </c>
      <c r="AH26" s="181">
        <f t="shared" si="0"/>
        <v>1.1818599907215124E-3</v>
      </c>
      <c r="AI26" s="181">
        <f t="shared" si="1"/>
        <v>1.1511608979547345E-3</v>
      </c>
      <c r="AJ26" s="181">
        <f t="shared" si="2"/>
        <v>1.1505385386450866E-3</v>
      </c>
    </row>
    <row r="27" spans="3:36" ht="12" customHeight="1" x14ac:dyDescent="0.2">
      <c r="C27" s="181">
        <f t="shared" si="12"/>
        <v>1.9766254338447555E-4</v>
      </c>
      <c r="AF27" s="183">
        <f>_xll.qlCalendarAdvance(Calendar,AF26,"1d","mf",,Trigger)</f>
        <v>42145</v>
      </c>
      <c r="AG27" s="169">
        <f>_xll.qlDayCounterYearFraction(DayCounter,SettlementDate,AF27,,,Trigger)</f>
        <v>9.7222222222222224E-2</v>
      </c>
      <c r="AH27" s="181">
        <f t="shared" si="0"/>
        <v>1.1818599907215124E-3</v>
      </c>
      <c r="AI27" s="181">
        <f t="shared" si="1"/>
        <v>1.1538303842822803E-3</v>
      </c>
      <c r="AJ27" s="181">
        <f t="shared" si="2"/>
        <v>1.1529808557300086E-3</v>
      </c>
    </row>
    <row r="28" spans="3:36" ht="12" customHeight="1" x14ac:dyDescent="0.2">
      <c r="C28" s="181">
        <f t="shared" si="12"/>
        <v>3.155728037247079E-4</v>
      </c>
      <c r="AF28" s="183">
        <f>_xll.qlCalendarAdvance(Calendar,AF27,"1d","mf",,Trigger)</f>
        <v>42146</v>
      </c>
      <c r="AG28" s="169">
        <f>_xll.qlDayCounterYearFraction(DayCounter,SettlementDate,AF28,,,Trigger)</f>
        <v>0.1</v>
      </c>
      <c r="AH28" s="181">
        <f t="shared" si="0"/>
        <v>1.1818599907215124E-3</v>
      </c>
      <c r="AI28" s="181">
        <f t="shared" si="1"/>
        <v>1.1564998706098263E-3</v>
      </c>
      <c r="AJ28" s="181">
        <f t="shared" si="2"/>
        <v>1.1554311517804386E-3</v>
      </c>
    </row>
    <row r="29" spans="3:36" ht="12" customHeight="1" x14ac:dyDescent="0.2">
      <c r="C29" s="181">
        <f t="shared" si="12"/>
        <v>2.3825055148252172E-4</v>
      </c>
      <c r="AF29" s="183">
        <f>_xll.qlCalendarAdvance(Calendar,AF28,"1d","mf",,Trigger)</f>
        <v>42149</v>
      </c>
      <c r="AG29" s="169">
        <f>_xll.qlDayCounterYearFraction(DayCounter,SettlementDate,AF29,,,Trigger)</f>
        <v>0.10833333333333334</v>
      </c>
      <c r="AH29" s="181">
        <f t="shared" si="0"/>
        <v>1.1818599907215124E-3</v>
      </c>
      <c r="AI29" s="181">
        <f t="shared" si="1"/>
        <v>1.1645083295924639E-3</v>
      </c>
      <c r="AJ29" s="181">
        <f t="shared" si="2"/>
        <v>1.1628299137247788E-3</v>
      </c>
    </row>
    <row r="30" spans="3:36" ht="12" customHeight="1" x14ac:dyDescent="0.2">
      <c r="C30" s="181">
        <f t="shared" si="12"/>
        <v>1.9602489796885365E-4</v>
      </c>
      <c r="AF30" s="183">
        <f>_xll.qlCalendarAdvance(Calendar,AF29,"1d","mf",,Trigger)</f>
        <v>42150</v>
      </c>
      <c r="AG30" s="169">
        <f>_xll.qlDayCounterYearFraction(DayCounter,SettlementDate,AF30,,,Trigger)</f>
        <v>0.1111111111111111</v>
      </c>
      <c r="AH30" s="181">
        <f t="shared" si="0"/>
        <v>1.1818599907215124E-3</v>
      </c>
      <c r="AI30" s="181">
        <f t="shared" si="1"/>
        <v>1.1671778159200097E-3</v>
      </c>
      <c r="AJ30" s="181">
        <f t="shared" si="2"/>
        <v>1.1653121256372421E-3</v>
      </c>
    </row>
    <row r="31" spans="3:36" ht="12" customHeight="1" x14ac:dyDescent="0.2">
      <c r="C31" s="190">
        <f t="shared" si="12"/>
        <v>9.8235183981178529E-5</v>
      </c>
      <c r="AF31" s="183">
        <f>_xll.qlCalendarAdvance(Calendar,AF30,"1d","mf",,Trigger)</f>
        <v>42151</v>
      </c>
      <c r="AG31" s="169">
        <f>_xll.qlDayCounterYearFraction(DayCounter,SettlementDate,AF31,,,Trigger)</f>
        <v>0.11388888888888889</v>
      </c>
      <c r="AH31" s="181">
        <f t="shared" si="0"/>
        <v>1.1818599907215124E-3</v>
      </c>
      <c r="AI31" s="181">
        <f t="shared" si="1"/>
        <v>1.1698473022475554E-3</v>
      </c>
      <c r="AJ31" s="181">
        <f t="shared" si="2"/>
        <v>1.1678023165152135E-3</v>
      </c>
    </row>
    <row r="32" spans="3:36" ht="12" customHeight="1" x14ac:dyDescent="0.2">
      <c r="AF32" s="183">
        <f>_xll.qlCalendarAdvance(Calendar,AF31,"1d","mf",,Trigger)</f>
        <v>42152</v>
      </c>
      <c r="AG32" s="169">
        <f>_xll.qlDayCounterYearFraction(DayCounter,SettlementDate,AF32,,,Trigger)</f>
        <v>0.11666666666666667</v>
      </c>
      <c r="AH32" s="181">
        <f t="shared" si="0"/>
        <v>1.1818599907215124E-3</v>
      </c>
      <c r="AI32" s="181">
        <f t="shared" si="1"/>
        <v>1.1725167885751015E-3</v>
      </c>
      <c r="AJ32" s="181">
        <f t="shared" si="2"/>
        <v>1.1703004863586933E-3</v>
      </c>
    </row>
    <row r="33" spans="13:36" x14ac:dyDescent="0.2">
      <c r="AF33" s="183">
        <f>_xll.qlCalendarAdvance(Calendar,AF32,"1d","mf",,Trigger)</f>
        <v>42153</v>
      </c>
      <c r="AG33" s="169">
        <f>_xll.qlDayCounterYearFraction(DayCounter,SettlementDate,AF33,,,Trigger)</f>
        <v>0.11944444444444445</v>
      </c>
      <c r="AH33" s="181">
        <f t="shared" si="0"/>
        <v>1.1818599907215124E-3</v>
      </c>
      <c r="AI33" s="181">
        <f t="shared" si="1"/>
        <v>1.1751862749026472E-3</v>
      </c>
      <c r="AJ33" s="181">
        <f t="shared" si="2"/>
        <v>1.1728066351676817E-3</v>
      </c>
    </row>
    <row r="34" spans="13:36" x14ac:dyDescent="0.2">
      <c r="AF34" s="183">
        <f>_xll.qlCalendarAdvance(Calendar,AF33,"1d","mf",,Trigger)</f>
        <v>42156</v>
      </c>
      <c r="AG34" s="169">
        <f>_xll.qlDayCounterYearFraction(DayCounter,SettlementDate,AF34,,,Trigger)</f>
        <v>0.12777777777777777</v>
      </c>
      <c r="AH34" s="181">
        <f t="shared" si="0"/>
        <v>1.1818599907215124E-3</v>
      </c>
      <c r="AI34" s="181">
        <f t="shared" si="1"/>
        <v>1.1831947338852848E-3</v>
      </c>
      <c r="AJ34" s="181">
        <f t="shared" si="2"/>
        <v>1.1803729553876961E-3</v>
      </c>
    </row>
    <row r="35" spans="13:36" x14ac:dyDescent="0.2">
      <c r="AF35" s="183">
        <f>_xll.qlCalendarAdvance(Calendar,AF34,"1d","mf",,Trigger)</f>
        <v>42157</v>
      </c>
      <c r="AG35" s="169">
        <f>_xll.qlDayCounterYearFraction(DayCounter,SettlementDate,AF35,,,Trigger)</f>
        <v>0.13055555555555556</v>
      </c>
      <c r="AH35" s="181">
        <f t="shared" si="0"/>
        <v>1.1818599907215124E-3</v>
      </c>
      <c r="AI35" s="181">
        <f t="shared" si="1"/>
        <v>1.1858642202128308E-3</v>
      </c>
      <c r="AJ35" s="181">
        <f t="shared" ref="AJ35:AJ65" si="13">($W$5+$W$4*AG35+$W$3*AG35^2)</f>
        <v>1.1829110200587173E-3</v>
      </c>
    </row>
    <row r="36" spans="13:36" x14ac:dyDescent="0.2">
      <c r="AF36" s="183">
        <f>_xll.qlCalendarAdvance(Calendar,AF35,"1d","mf",,Trigger)</f>
        <v>42158</v>
      </c>
      <c r="AG36" s="169">
        <f>_xll.qlDayCounterYearFraction(DayCounter,SettlementDate,AF36,,,Trigger)</f>
        <v>0.13333333333333333</v>
      </c>
      <c r="AH36" s="181">
        <f t="shared" si="0"/>
        <v>1.1818599907215124E-3</v>
      </c>
      <c r="AI36" s="181">
        <f t="shared" si="1"/>
        <v>1.1885337065403766E-3</v>
      </c>
      <c r="AJ36" s="181">
        <f t="shared" si="13"/>
        <v>1.1854570636952472E-3</v>
      </c>
    </row>
    <row r="37" spans="13:36" x14ac:dyDescent="0.2">
      <c r="AF37" s="183">
        <f>_xll.qlCalendarAdvance(Calendar,AF36,"1d","mf",,Trigger)</f>
        <v>42159</v>
      </c>
      <c r="AG37" s="169">
        <f>_xll.qlDayCounterYearFraction(DayCounter,SettlementDate,AF37,,,Trigger)</f>
        <v>0.1361111111111111</v>
      </c>
      <c r="AH37" s="181">
        <f t="shared" si="0"/>
        <v>1.1818599907215124E-3</v>
      </c>
      <c r="AI37" s="181">
        <f t="shared" si="1"/>
        <v>1.1912031928679226E-3</v>
      </c>
      <c r="AJ37" s="181">
        <f t="shared" si="13"/>
        <v>1.1880110862972852E-3</v>
      </c>
    </row>
    <row r="38" spans="13:36" x14ac:dyDescent="0.2">
      <c r="AF38" s="183">
        <f>_xll.qlCalendarAdvance(Calendar,AF37,"1d","mf",,Trigger)</f>
        <v>42160</v>
      </c>
      <c r="AG38" s="169">
        <f>_xll.qlDayCounterYearFraction(DayCounter,SettlementDate,AF38,,,Trigger)</f>
        <v>0.1388888888888889</v>
      </c>
      <c r="AH38" s="181">
        <f t="shared" si="0"/>
        <v>1.1818599907215124E-3</v>
      </c>
      <c r="AI38" s="181">
        <f t="shared" si="1"/>
        <v>1.1938726791954684E-3</v>
      </c>
      <c r="AJ38" s="181">
        <f t="shared" si="13"/>
        <v>1.1905730878648314E-3</v>
      </c>
    </row>
    <row r="39" spans="13:36" x14ac:dyDescent="0.2">
      <c r="AF39" s="183">
        <f>_xll.qlCalendarAdvance(Calendar,AF38,"1d","mf",,Trigger)</f>
        <v>42163</v>
      </c>
      <c r="AG39" s="169">
        <f>_xll.qlDayCounterYearFraction(DayCounter,SettlementDate,AF39,,,Trigger)</f>
        <v>0.14722222222222223</v>
      </c>
      <c r="AH39" s="181">
        <f t="shared" si="0"/>
        <v>1.1818599907215124E-3</v>
      </c>
      <c r="AI39" s="181">
        <f t="shared" si="1"/>
        <v>1.201881138178106E-3</v>
      </c>
      <c r="AJ39" s="181">
        <f t="shared" si="13"/>
        <v>1.1983069663605201E-3</v>
      </c>
    </row>
    <row r="40" spans="13:36" x14ac:dyDescent="0.2">
      <c r="AF40" s="183">
        <f>_xll.qlCalendarAdvance(Calendar,AF39,"1d","mf",,Trigger)</f>
        <v>42164</v>
      </c>
      <c r="AG40" s="169">
        <f>_xll.qlDayCounterYearFraction(DayCounter,SettlementDate,AF40,,,Trigger)</f>
        <v>0.15</v>
      </c>
      <c r="AH40" s="181">
        <f t="shared" si="0"/>
        <v>1.1818599907215124E-3</v>
      </c>
      <c r="AI40" s="181">
        <f t="shared" si="1"/>
        <v>1.2045506245056518E-3</v>
      </c>
      <c r="AJ40" s="181">
        <f t="shared" si="13"/>
        <v>1.2009008837900997E-3</v>
      </c>
    </row>
    <row r="41" spans="13:36" x14ac:dyDescent="0.2">
      <c r="M41" s="154"/>
      <c r="N41" s="154"/>
      <c r="AF41" s="183">
        <f>_xll.qlCalendarAdvance(Calendar,AF40,"1d","mf",,Trigger)</f>
        <v>42165</v>
      </c>
      <c r="AG41" s="169">
        <f>_xll.qlDayCounterYearFraction(DayCounter,SettlementDate,AF41,,,Trigger)</f>
        <v>0.15277777777777779</v>
      </c>
      <c r="AH41" s="181">
        <f t="shared" si="0"/>
        <v>1.1818599907215124E-3</v>
      </c>
      <c r="AI41" s="181">
        <f t="shared" si="1"/>
        <v>1.2072201108331978E-3</v>
      </c>
      <c r="AJ41" s="181">
        <f t="shared" si="13"/>
        <v>1.2035027801851875E-3</v>
      </c>
    </row>
    <row r="42" spans="13:36" x14ac:dyDescent="0.2">
      <c r="AF42" s="183">
        <f>_xll.qlCalendarAdvance(Calendar,AF41,"1d","mf",,Trigger)</f>
        <v>42166</v>
      </c>
      <c r="AG42" s="169">
        <f>_xll.qlDayCounterYearFraction(DayCounter,SettlementDate,AF42,,,Trigger)</f>
        <v>0.15555555555555556</v>
      </c>
      <c r="AH42" s="181">
        <f t="shared" si="0"/>
        <v>1.1818599907215124E-3</v>
      </c>
      <c r="AI42" s="181">
        <f t="shared" si="1"/>
        <v>1.2098895971607436E-3</v>
      </c>
      <c r="AJ42" s="181">
        <f t="shared" si="13"/>
        <v>1.2061126555457837E-3</v>
      </c>
    </row>
    <row r="43" spans="13:36" ht="11.25" customHeight="1" x14ac:dyDescent="0.2">
      <c r="AF43" s="183">
        <f>_xll.qlCalendarAdvance(Calendar,AF42,"1d","mf",,Trigger)</f>
        <v>42167</v>
      </c>
      <c r="AG43" s="169">
        <f>_xll.qlDayCounterYearFraction(DayCounter,SettlementDate,AF43,,,Trigger)</f>
        <v>0.15833333333333333</v>
      </c>
      <c r="AH43" s="181">
        <f t="shared" si="0"/>
        <v>1.1818599907215124E-3</v>
      </c>
      <c r="AI43" s="181">
        <f t="shared" si="1"/>
        <v>1.2125590834882894E-3</v>
      </c>
      <c r="AJ43" s="181">
        <f t="shared" si="13"/>
        <v>1.2087305098718881E-3</v>
      </c>
    </row>
    <row r="44" spans="13:36" x14ac:dyDescent="0.2">
      <c r="Q44" s="153"/>
      <c r="AF44" s="183">
        <f>_xll.qlCalendarAdvance(Calendar,AF43,"1d","mf",,Trigger)</f>
        <v>42170</v>
      </c>
      <c r="AG44" s="169">
        <f>_xll.qlDayCounterYearFraction(DayCounter,SettlementDate,AF44,,,Trigger)</f>
        <v>0.16666666666666666</v>
      </c>
      <c r="AH44" s="181">
        <f t="shared" si="0"/>
        <v>1.1818599907215124E-3</v>
      </c>
      <c r="AI44" s="181">
        <f t="shared" si="1"/>
        <v>1.2205675424709272E-3</v>
      </c>
      <c r="AJ44" s="181">
        <f t="shared" si="13"/>
        <v>1.2166319466432511E-3</v>
      </c>
    </row>
    <row r="45" spans="13:36" x14ac:dyDescent="0.2">
      <c r="Q45" s="153"/>
      <c r="AF45" s="183">
        <f>_xll.qlCalendarAdvance(Calendar,AF44,"1d","mf",,Trigger)</f>
        <v>42171</v>
      </c>
      <c r="AG45" s="169">
        <f>_xll.qlDayCounterYearFraction(DayCounter,SettlementDate,AF45,,,Trigger)</f>
        <v>0.16944444444444445</v>
      </c>
      <c r="AH45" s="181">
        <f t="shared" si="0"/>
        <v>1.1818599907215124E-3</v>
      </c>
      <c r="AI45" s="181">
        <f t="shared" si="1"/>
        <v>1.223237028798473E-3</v>
      </c>
      <c r="AJ45" s="181">
        <f t="shared" si="13"/>
        <v>1.2192817168313885E-3</v>
      </c>
    </row>
    <row r="46" spans="13:36" x14ac:dyDescent="0.2">
      <c r="Q46" s="153"/>
      <c r="AF46" s="183">
        <f>_xll.qlCalendarAdvance(Calendar,AF45,"1d","mf",,Trigger)</f>
        <v>42172</v>
      </c>
      <c r="AG46" s="169">
        <f>_xll.qlDayCounterYearFraction(DayCounter,SettlementDate,AF46,,,Trigger)</f>
        <v>0.17222222222222222</v>
      </c>
      <c r="AH46" s="181">
        <f t="shared" si="0"/>
        <v>1.1818599907215124E-3</v>
      </c>
      <c r="AI46" s="181">
        <f t="shared" si="1"/>
        <v>1.2259065151260188E-3</v>
      </c>
      <c r="AJ46" s="181">
        <f t="shared" si="13"/>
        <v>1.2219394659850344E-3</v>
      </c>
    </row>
    <row r="47" spans="13:36" x14ac:dyDescent="0.2">
      <c r="Q47" s="153"/>
      <c r="AF47" s="183">
        <f>_xll.qlCalendarAdvance(Calendar,AF46,"1d","mf",,Trigger)</f>
        <v>42173</v>
      </c>
      <c r="AG47" s="169">
        <f>_xll.qlDayCounterYearFraction(DayCounter,SettlementDate,AF47,,,Trigger)</f>
        <v>0.17499999999999999</v>
      </c>
      <c r="AH47" s="181">
        <f t="shared" si="0"/>
        <v>1.1818599907215124E-3</v>
      </c>
      <c r="AI47" s="181">
        <f t="shared" si="1"/>
        <v>1.2285760014535648E-3</v>
      </c>
      <c r="AJ47" s="181">
        <f t="shared" si="13"/>
        <v>1.2246051941041886E-3</v>
      </c>
    </row>
    <row r="48" spans="13:36" x14ac:dyDescent="0.2">
      <c r="Q48" s="153"/>
      <c r="AF48" s="183">
        <f>_xll.qlCalendarAdvance(Calendar,AF47,"1d","mf",,Trigger)</f>
        <v>42174</v>
      </c>
      <c r="AG48" s="169">
        <f>_xll.qlDayCounterYearFraction(DayCounter,SettlementDate,AF48,,,Trigger)</f>
        <v>0.17777777777777778</v>
      </c>
      <c r="AH48" s="181">
        <f t="shared" si="0"/>
        <v>1.1818599907215124E-3</v>
      </c>
      <c r="AI48" s="181">
        <f t="shared" si="1"/>
        <v>1.2312454877811106E-3</v>
      </c>
      <c r="AJ48" s="181">
        <f t="shared" si="13"/>
        <v>1.2272789011888512E-3</v>
      </c>
    </row>
    <row r="49" spans="13:36" x14ac:dyDescent="0.2">
      <c r="AF49" s="183">
        <f>_xll.qlCalendarAdvance(Calendar,AF48,"1d","mf",,Trigger)</f>
        <v>42177</v>
      </c>
      <c r="AG49" s="169">
        <f>_xll.qlDayCounterYearFraction(DayCounter,SettlementDate,AF49,,,Trigger)</f>
        <v>0.18611111111111112</v>
      </c>
      <c r="AH49" s="181">
        <f t="shared" si="0"/>
        <v>1.1818599907215124E-3</v>
      </c>
      <c r="AI49" s="181">
        <f t="shared" si="1"/>
        <v>1.2392539467637482E-3</v>
      </c>
      <c r="AJ49" s="181">
        <f t="shared" si="13"/>
        <v>1.2353478962358884E-3</v>
      </c>
    </row>
    <row r="50" spans="13:36" x14ac:dyDescent="0.2">
      <c r="AF50" s="183">
        <f>_xll.qlCalendarAdvance(Calendar,AF49,"1d","mf",,Trigger)</f>
        <v>42178</v>
      </c>
      <c r="AG50" s="169">
        <f>_xll.qlDayCounterYearFraction(DayCounter,SettlementDate,AF50,,,Trigger)</f>
        <v>0.18888888888888888</v>
      </c>
      <c r="AH50" s="181">
        <f t="shared" si="0"/>
        <v>1.1818599907215124E-3</v>
      </c>
      <c r="AI50" s="181">
        <f t="shared" si="1"/>
        <v>1.2419234330912942E-3</v>
      </c>
      <c r="AJ50" s="181">
        <f t="shared" si="13"/>
        <v>1.2380535191825843E-3</v>
      </c>
    </row>
    <row r="51" spans="13:36" x14ac:dyDescent="0.2">
      <c r="AF51" s="183">
        <f>_xll.qlCalendarAdvance(Calendar,AF50,"1d","mf",,Trigger)</f>
        <v>42179</v>
      </c>
      <c r="AG51" s="169">
        <f>_xll.qlDayCounterYearFraction(DayCounter,SettlementDate,AF51,,,Trigger)</f>
        <v>0.19166666666666668</v>
      </c>
      <c r="AH51" s="181">
        <f t="shared" si="0"/>
        <v>1.1818599907215124E-3</v>
      </c>
      <c r="AI51" s="181">
        <f t="shared" si="1"/>
        <v>1.24459291941884E-3</v>
      </c>
      <c r="AJ51" s="181">
        <f t="shared" si="13"/>
        <v>1.2407671210947883E-3</v>
      </c>
    </row>
    <row r="52" spans="13:36" x14ac:dyDescent="0.2">
      <c r="AF52" s="183">
        <f>_xll.qlCalendarAdvance(Calendar,AF51,"1d","mf",,Trigger)</f>
        <v>42180</v>
      </c>
      <c r="AG52" s="169">
        <f>_xll.qlDayCounterYearFraction(DayCounter,SettlementDate,AF52,,,Trigger)</f>
        <v>0.19444444444444445</v>
      </c>
      <c r="AH52" s="181">
        <f t="shared" si="0"/>
        <v>1.1818599907215124E-3</v>
      </c>
      <c r="AI52" s="181">
        <f t="shared" si="1"/>
        <v>1.247262405746386E-3</v>
      </c>
      <c r="AJ52" s="181">
        <f t="shared" si="13"/>
        <v>1.2434887019725006E-3</v>
      </c>
    </row>
    <row r="53" spans="13:36" x14ac:dyDescent="0.2">
      <c r="AF53" s="183">
        <f>_xll.qlCalendarAdvance(Calendar,AF52,"1d","mf",,Trigger)</f>
        <v>42181</v>
      </c>
      <c r="AG53" s="169">
        <f>_xll.qlDayCounterYearFraction(DayCounter,SettlementDate,AF53,,,Trigger)</f>
        <v>0.19722222222222222</v>
      </c>
      <c r="AH53" s="181">
        <f t="shared" si="0"/>
        <v>1.1818599907215124E-3</v>
      </c>
      <c r="AI53" s="181">
        <f t="shared" si="1"/>
        <v>1.2499318920739318E-3</v>
      </c>
      <c r="AJ53" s="181">
        <f t="shared" si="13"/>
        <v>1.2462182618157211E-3</v>
      </c>
    </row>
    <row r="54" spans="13:36" x14ac:dyDescent="0.2">
      <c r="AF54" s="183">
        <f>_xll.qlCalendarAdvance(Calendar,AF53,"1d","mf",,Trigger)</f>
        <v>42184</v>
      </c>
      <c r="AG54" s="169">
        <f>_xll.qlDayCounterYearFraction(DayCounter,SettlementDate,AF54,,,Trigger)</f>
        <v>0.20555555555555555</v>
      </c>
      <c r="AH54" s="181">
        <f t="shared" si="0"/>
        <v>1.1818599907215124E-3</v>
      </c>
      <c r="AI54" s="181">
        <f t="shared" si="1"/>
        <v>1.2579403510565694E-3</v>
      </c>
      <c r="AJ54" s="181">
        <f t="shared" si="13"/>
        <v>1.2544548151384328E-3</v>
      </c>
    </row>
    <row r="55" spans="13:36" x14ac:dyDescent="0.2">
      <c r="AF55" s="183">
        <f>_xll.qlCalendarAdvance(Calendar,AF54,"1d","mf",,Trigger)</f>
        <v>42185</v>
      </c>
      <c r="AG55" s="169">
        <f>_xll.qlDayCounterYearFraction(DayCounter,SettlementDate,AF55,,,Trigger)</f>
        <v>0.20833333333333334</v>
      </c>
      <c r="AH55" s="181">
        <f t="shared" si="0"/>
        <v>1.1818599907215124E-3</v>
      </c>
      <c r="AI55" s="181">
        <f t="shared" si="1"/>
        <v>1.2606098373841152E-3</v>
      </c>
      <c r="AJ55" s="181">
        <f t="shared" si="13"/>
        <v>1.2572162908436866E-3</v>
      </c>
    </row>
    <row r="56" spans="13:36" x14ac:dyDescent="0.2">
      <c r="AF56" s="183">
        <f>_xll.qlCalendarAdvance(Calendar,AF55,"1d","mf",,Trigger)</f>
        <v>42186</v>
      </c>
      <c r="AG56" s="169">
        <f>_xll.qlDayCounterYearFraction(DayCounter,SettlementDate,AF56,,,Trigger)</f>
        <v>0.21111111111111111</v>
      </c>
      <c r="AH56" s="181">
        <f t="shared" si="0"/>
        <v>1.1818599907215124E-3</v>
      </c>
      <c r="AI56" s="181">
        <f t="shared" si="1"/>
        <v>1.2632793237116612E-3</v>
      </c>
      <c r="AJ56" s="181">
        <f t="shared" si="13"/>
        <v>1.2599857455144489E-3</v>
      </c>
    </row>
    <row r="57" spans="13:36" x14ac:dyDescent="0.2">
      <c r="AF57" s="183">
        <f>_xll.qlCalendarAdvance(Calendar,AF56,"1d","mf",,Trigger)</f>
        <v>42187</v>
      </c>
      <c r="AG57" s="169">
        <f>_xll.qlDayCounterYearFraction(DayCounter,SettlementDate,AF57,,,Trigger)</f>
        <v>0.21388888888888888</v>
      </c>
      <c r="AH57" s="181">
        <f t="shared" si="0"/>
        <v>1.1818599907215124E-3</v>
      </c>
      <c r="AI57" s="181">
        <f t="shared" si="1"/>
        <v>1.265948810039207E-3</v>
      </c>
      <c r="AJ57" s="181">
        <f t="shared" si="13"/>
        <v>1.2627631791507193E-3</v>
      </c>
    </row>
    <row r="58" spans="13:36" x14ac:dyDescent="0.2">
      <c r="AF58" s="183">
        <f>_xll.qlCalendarAdvance(Calendar,AF57,"1d","mf",,Trigger)</f>
        <v>42188</v>
      </c>
      <c r="AG58" s="169">
        <f>_xll.qlDayCounterYearFraction(DayCounter,SettlementDate,AF58,,,Trigger)</f>
        <v>0.21666666666666667</v>
      </c>
      <c r="AH58" s="181">
        <f t="shared" si="0"/>
        <v>1.1818599907215124E-3</v>
      </c>
      <c r="AI58" s="181">
        <f t="shared" si="1"/>
        <v>1.2686182963667528E-3</v>
      </c>
      <c r="AJ58" s="181">
        <f t="shared" si="13"/>
        <v>1.2655485917524979E-3</v>
      </c>
    </row>
    <row r="59" spans="13:36" x14ac:dyDescent="0.2">
      <c r="AF59" s="183">
        <f>_xll.qlCalendarAdvance(Calendar,AF58,"1d","mf",,Trigger)</f>
        <v>42191</v>
      </c>
      <c r="AG59" s="169">
        <f>_xll.qlDayCounterYearFraction(DayCounter,SettlementDate,AF59,,,Trigger)</f>
        <v>0.22500000000000001</v>
      </c>
      <c r="AH59" s="181">
        <f t="shared" si="0"/>
        <v>1.1818599907215124E-3</v>
      </c>
      <c r="AI59" s="181">
        <f t="shared" si="1"/>
        <v>1.2766267553493906E-3</v>
      </c>
      <c r="AJ59" s="181">
        <f t="shared" si="13"/>
        <v>1.2739527033508839E-3</v>
      </c>
    </row>
    <row r="60" spans="13:36" x14ac:dyDescent="0.2">
      <c r="M60" s="154"/>
      <c r="AF60" s="183">
        <f>_xll.qlCalendarAdvance(Calendar,AF59,"1d","mf",,Trigger)</f>
        <v>42192</v>
      </c>
      <c r="AG60" s="169">
        <f>_xll.qlDayCounterYearFraction(DayCounter,SettlementDate,AF60,,,Trigger)</f>
        <v>0.22777777777777777</v>
      </c>
      <c r="AH60" s="181">
        <f t="shared" si="0"/>
        <v>1.1818599907215124E-3</v>
      </c>
      <c r="AI60" s="181">
        <f t="shared" si="1"/>
        <v>1.2792962416769364E-3</v>
      </c>
      <c r="AJ60" s="181">
        <f t="shared" si="13"/>
        <v>1.2767700318146956E-3</v>
      </c>
    </row>
    <row r="61" spans="13:36" x14ac:dyDescent="0.2">
      <c r="M61" s="154"/>
      <c r="AF61" s="183">
        <f>_xll.qlCalendarAdvance(Calendar,AF60,"1d","mf",,Trigger)</f>
        <v>42193</v>
      </c>
      <c r="AG61" s="169">
        <f>_xll.qlDayCounterYearFraction(DayCounter,SettlementDate,AF61,,,Trigger)</f>
        <v>0.23055555555555557</v>
      </c>
      <c r="AH61" s="181">
        <f t="shared" si="0"/>
        <v>1.1818599907215124E-3</v>
      </c>
      <c r="AI61" s="181">
        <f t="shared" si="1"/>
        <v>1.2819657280044821E-3</v>
      </c>
      <c r="AJ61" s="181">
        <f t="shared" si="13"/>
        <v>1.2795953392440158E-3</v>
      </c>
    </row>
    <row r="62" spans="13:36" x14ac:dyDescent="0.2">
      <c r="M62" s="154"/>
      <c r="AF62" s="183">
        <f>_xll.qlCalendarAdvance(Calendar,AF61,"1d","mf",,Trigger)</f>
        <v>42194</v>
      </c>
      <c r="AG62" s="169">
        <f>_xll.qlDayCounterYearFraction(DayCounter,SettlementDate,AF62,,,Trigger)</f>
        <v>0.23333333333333334</v>
      </c>
      <c r="AH62" s="181">
        <f t="shared" si="0"/>
        <v>1.1818599907215124E-3</v>
      </c>
      <c r="AI62" s="181">
        <f t="shared" si="1"/>
        <v>1.2846352143320282E-3</v>
      </c>
      <c r="AJ62" s="181">
        <f t="shared" si="13"/>
        <v>1.2824286256388443E-3</v>
      </c>
    </row>
    <row r="63" spans="13:36" x14ac:dyDescent="0.2">
      <c r="M63" s="154"/>
      <c r="AF63" s="183">
        <f>_xll.qlCalendarAdvance(Calendar,AF62,"1d","mf",,Trigger)</f>
        <v>42195</v>
      </c>
      <c r="AG63" s="169">
        <f>_xll.qlDayCounterYearFraction(DayCounter,SettlementDate,AF63,,,Trigger)</f>
        <v>0.2361111111111111</v>
      </c>
      <c r="AH63" s="181">
        <f t="shared" si="0"/>
        <v>1.1818599907215124E-3</v>
      </c>
      <c r="AI63" s="181">
        <f t="shared" si="1"/>
        <v>1.2873047006595739E-3</v>
      </c>
      <c r="AJ63" s="181">
        <f t="shared" si="13"/>
        <v>1.2852698909991812E-3</v>
      </c>
    </row>
    <row r="64" spans="13:36" x14ac:dyDescent="0.2">
      <c r="M64" s="154"/>
      <c r="AF64" s="183">
        <f>_xll.qlCalendarAdvance(Calendar,AF63,"1d","mf",,Trigger)</f>
        <v>42198</v>
      </c>
      <c r="AG64" s="169">
        <f>_xll.qlDayCounterYearFraction(DayCounter,SettlementDate,AF64,,,Trigger)</f>
        <v>0.24444444444444444</v>
      </c>
      <c r="AH64" s="181">
        <f t="shared" si="0"/>
        <v>1.1818599907215124E-3</v>
      </c>
      <c r="AI64" s="181">
        <f t="shared" si="1"/>
        <v>1.2953131596422115E-3</v>
      </c>
      <c r="AJ64" s="181">
        <f t="shared" si="13"/>
        <v>1.2938415608732415E-3</v>
      </c>
    </row>
    <row r="65" spans="13:36" x14ac:dyDescent="0.2">
      <c r="M65" s="154"/>
      <c r="AF65" s="187">
        <f>_xll.qlCalendarAdvance(Calendar,AF64,"1d","mf",,Trigger)</f>
        <v>42199</v>
      </c>
      <c r="AG65" s="174">
        <f>_xll.qlDayCounterYearFraction(DayCounter,SettlementDate,AF65,,,Trigger)</f>
        <v>0.24722222222222223</v>
      </c>
      <c r="AH65" s="190">
        <f t="shared" si="0"/>
        <v>1.1818599907215124E-3</v>
      </c>
      <c r="AI65" s="190">
        <f t="shared" si="1"/>
        <v>1.2979826459697575E-3</v>
      </c>
      <c r="AJ65" s="190">
        <f t="shared" si="13"/>
        <v>1.2967147420956115E-3</v>
      </c>
    </row>
    <row r="66" spans="13:36" x14ac:dyDescent="0.2">
      <c r="M66" s="154"/>
      <c r="N66" s="154"/>
    </row>
    <row r="67" spans="13:36" x14ac:dyDescent="0.2">
      <c r="M67" s="154"/>
      <c r="N67" s="154"/>
    </row>
    <row r="68" spans="13:36" x14ac:dyDescent="0.2">
      <c r="M68" s="154"/>
      <c r="N68" s="154"/>
    </row>
    <row r="69" spans="13:36" x14ac:dyDescent="0.2">
      <c r="M69" s="154"/>
      <c r="N69" s="154"/>
    </row>
    <row r="70" spans="13:36" x14ac:dyDescent="0.2">
      <c r="M70" s="154"/>
      <c r="N70" s="154"/>
    </row>
    <row r="71" spans="13:36" x14ac:dyDescent="0.2">
      <c r="M71" s="154"/>
      <c r="N71" s="154"/>
    </row>
    <row r="72" spans="13:36" x14ac:dyDescent="0.2">
      <c r="M72" s="154"/>
      <c r="N72" s="154"/>
    </row>
    <row r="73" spans="13:36" x14ac:dyDescent="0.2">
      <c r="M73" s="154"/>
      <c r="N73" s="154"/>
    </row>
    <row r="74" spans="13:36" x14ac:dyDescent="0.2">
      <c r="M74" s="154"/>
      <c r="N74" s="154"/>
    </row>
    <row r="75" spans="13:36" x14ac:dyDescent="0.2">
      <c r="M75" s="154"/>
      <c r="N75" s="154"/>
    </row>
    <row r="76" spans="13:36" x14ac:dyDescent="0.2">
      <c r="M76" s="154"/>
      <c r="N76" s="154"/>
    </row>
    <row r="77" spans="13:36" x14ac:dyDescent="0.2">
      <c r="M77" s="154"/>
      <c r="N77" s="154"/>
    </row>
    <row r="78" spans="13:36" x14ac:dyDescent="0.2">
      <c r="M78" s="154"/>
      <c r="N78" s="154"/>
    </row>
    <row r="79" spans="13:36" x14ac:dyDescent="0.2">
      <c r="M79" s="154"/>
      <c r="N79" s="154"/>
    </row>
    <row r="80" spans="13:36" x14ac:dyDescent="0.2">
      <c r="M80" s="154"/>
      <c r="N80" s="154"/>
    </row>
    <row r="81" spans="13:14" x14ac:dyDescent="0.2">
      <c r="M81" s="154"/>
      <c r="N81" s="154"/>
    </row>
    <row r="82" spans="13:14" x14ac:dyDescent="0.2">
      <c r="M82" s="154"/>
      <c r="N82" s="154"/>
    </row>
    <row r="83" spans="13:14" x14ac:dyDescent="0.2">
      <c r="M83" s="154"/>
      <c r="N83" s="154"/>
    </row>
    <row r="84" spans="13:14" x14ac:dyDescent="0.2">
      <c r="M84" s="154"/>
      <c r="N84" s="154"/>
    </row>
    <row r="85" spans="13:14" x14ac:dyDescent="0.2">
      <c r="M85" s="154"/>
      <c r="N85" s="154"/>
    </row>
    <row r="86" spans="13:14" x14ac:dyDescent="0.2">
      <c r="M86" s="154"/>
      <c r="N86" s="154"/>
    </row>
    <row r="87" spans="13:14" x14ac:dyDescent="0.2">
      <c r="M87" s="154"/>
      <c r="N87" s="154"/>
    </row>
    <row r="88" spans="13:14" x14ac:dyDescent="0.2">
      <c r="M88" s="154"/>
      <c r="N88" s="154"/>
    </row>
    <row r="89" spans="13:14" x14ac:dyDescent="0.2">
      <c r="M89" s="154"/>
      <c r="N89" s="154"/>
    </row>
    <row r="90" spans="13:14" x14ac:dyDescent="0.2">
      <c r="M90" s="154"/>
      <c r="N90" s="154"/>
    </row>
    <row r="91" spans="13:14" x14ac:dyDescent="0.2">
      <c r="M91" s="154"/>
      <c r="N91" s="154"/>
    </row>
    <row r="92" spans="13:14" x14ac:dyDescent="0.2">
      <c r="M92" s="154"/>
      <c r="N92" s="154"/>
    </row>
    <row r="93" spans="13:14" x14ac:dyDescent="0.2">
      <c r="M93" s="154"/>
      <c r="N93" s="154"/>
    </row>
    <row r="94" spans="13:14" x14ac:dyDescent="0.2">
      <c r="M94" s="154"/>
      <c r="N94" s="154"/>
    </row>
    <row r="95" spans="13:14" x14ac:dyDescent="0.2">
      <c r="M95" s="154"/>
      <c r="N95" s="154"/>
    </row>
    <row r="96" spans="13:14" x14ac:dyDescent="0.2">
      <c r="M96" s="154"/>
      <c r="N96" s="154"/>
    </row>
    <row r="97" spans="13:14" x14ac:dyDescent="0.2">
      <c r="M97" s="154"/>
      <c r="N97" s="154"/>
    </row>
    <row r="98" spans="13:14" x14ac:dyDescent="0.2">
      <c r="M98" s="154"/>
      <c r="N98" s="154"/>
    </row>
    <row r="99" spans="13:14" x14ac:dyDescent="0.2">
      <c r="M99" s="154"/>
      <c r="N99" s="154"/>
    </row>
    <row r="100" spans="13:14" x14ac:dyDescent="0.2">
      <c r="M100" s="154"/>
      <c r="N100" s="154"/>
    </row>
    <row r="101" spans="13:14" x14ac:dyDescent="0.2">
      <c r="M101" s="154"/>
      <c r="N101" s="154"/>
    </row>
    <row r="102" spans="13:14" x14ac:dyDescent="0.2">
      <c r="M102" s="154"/>
      <c r="N102" s="154"/>
    </row>
    <row r="103" spans="13:14" x14ac:dyDescent="0.2">
      <c r="M103" s="154"/>
      <c r="N103" s="154"/>
    </row>
    <row r="104" spans="13:14" x14ac:dyDescent="0.2">
      <c r="M104" s="154"/>
      <c r="N104" s="154"/>
    </row>
    <row r="105" spans="13:14" x14ac:dyDescent="0.2">
      <c r="M105" s="154"/>
      <c r="N105" s="154"/>
    </row>
    <row r="106" spans="13:14" x14ac:dyDescent="0.2">
      <c r="M106" s="154"/>
      <c r="N106" s="154"/>
    </row>
    <row r="107" spans="13:14" x14ac:dyDescent="0.2">
      <c r="M107" s="154"/>
      <c r="N107" s="154"/>
    </row>
    <row r="108" spans="13:14" x14ac:dyDescent="0.2">
      <c r="M108" s="154"/>
      <c r="N108" s="154"/>
    </row>
    <row r="109" spans="13:14" x14ac:dyDescent="0.2">
      <c r="M109" s="154"/>
      <c r="N109" s="154"/>
    </row>
    <row r="110" spans="13:14" x14ac:dyDescent="0.2">
      <c r="M110" s="154"/>
      <c r="N110" s="154"/>
    </row>
    <row r="111" spans="13:14" x14ac:dyDescent="0.2">
      <c r="M111" s="154"/>
      <c r="N111" s="154"/>
    </row>
    <row r="112" spans="13:14" x14ac:dyDescent="0.2">
      <c r="M112" s="154"/>
      <c r="N112" s="154"/>
    </row>
    <row r="113" spans="13:14" x14ac:dyDescent="0.2">
      <c r="M113" s="155"/>
      <c r="N113" s="154"/>
    </row>
    <row r="114" spans="13:14" x14ac:dyDescent="0.2">
      <c r="M114" s="155"/>
      <c r="N114" s="154"/>
    </row>
    <row r="115" spans="13:14" x14ac:dyDescent="0.2">
      <c r="M115" s="155"/>
      <c r="N115" s="154"/>
    </row>
    <row r="116" spans="13:14" x14ac:dyDescent="0.2">
      <c r="M116" s="155"/>
      <c r="N116" s="154"/>
    </row>
    <row r="117" spans="13:14" x14ac:dyDescent="0.2">
      <c r="M117" s="155"/>
      <c r="N117" s="154"/>
    </row>
    <row r="118" spans="13:14" x14ac:dyDescent="0.2">
      <c r="M118" s="155"/>
      <c r="N118" s="154"/>
    </row>
    <row r="119" spans="13:14" x14ac:dyDescent="0.2">
      <c r="M119" s="155"/>
      <c r="N119" s="155"/>
    </row>
    <row r="120" spans="13:14" x14ac:dyDescent="0.2">
      <c r="M120" s="155"/>
      <c r="N120" s="155"/>
    </row>
    <row r="121" spans="13:14" x14ac:dyDescent="0.2">
      <c r="M121" s="155"/>
      <c r="N121" s="155"/>
    </row>
    <row r="122" spans="13:14" x14ac:dyDescent="0.2">
      <c r="M122" s="155"/>
      <c r="N122" s="155"/>
    </row>
    <row r="123" spans="13:14" x14ac:dyDescent="0.2">
      <c r="M123" s="155"/>
      <c r="N123" s="155"/>
    </row>
    <row r="124" spans="13:14" x14ac:dyDescent="0.2">
      <c r="M124" s="155"/>
      <c r="N124" s="155"/>
    </row>
    <row r="125" spans="13:14" x14ac:dyDescent="0.2">
      <c r="M125" s="155"/>
      <c r="N125" s="155"/>
    </row>
    <row r="126" spans="13:14" x14ac:dyDescent="0.2">
      <c r="M126" s="155"/>
      <c r="N126" s="155"/>
    </row>
    <row r="127" spans="13:14" x14ac:dyDescent="0.2">
      <c r="M127" s="155"/>
      <c r="N127" s="155"/>
    </row>
    <row r="128" spans="13:14" x14ac:dyDescent="0.2">
      <c r="M128" s="155"/>
      <c r="N128" s="155"/>
    </row>
    <row r="129" spans="14:14" x14ac:dyDescent="0.2">
      <c r="N129" s="155"/>
    </row>
    <row r="130" spans="14:14" x14ac:dyDescent="0.2">
      <c r="N130" s="155"/>
    </row>
    <row r="131" spans="14:14" x14ac:dyDescent="0.2">
      <c r="N131" s="155"/>
    </row>
    <row r="132" spans="14:14" x14ac:dyDescent="0.2">
      <c r="N132" s="155"/>
    </row>
    <row r="133" spans="14:14" x14ac:dyDescent="0.2">
      <c r="N133" s="155"/>
    </row>
    <row r="134" spans="14:14" x14ac:dyDescent="0.2">
      <c r="N134" s="155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34"/>
  <sheetViews>
    <sheetView workbookViewId="0">
      <selection activeCell="N24" sqref="N24:R24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5" style="129" customWidth="1"/>
    <col min="18" max="18" width="12.33203125" style="129" customWidth="1"/>
    <col min="19" max="19" width="10.83203125" style="129" customWidth="1"/>
    <col min="20" max="20" width="13.1640625" style="129" customWidth="1"/>
    <col min="21" max="23" width="6.83203125" style="129" customWidth="1"/>
    <col min="24" max="24" width="2.33203125" style="129" bestFit="1" customWidth="1"/>
    <col min="25" max="25" width="10.83203125" style="129" customWidth="1"/>
    <col min="26" max="26" width="2.33203125" style="129" bestFit="1" customWidth="1"/>
    <col min="27" max="27" width="10.83203125" style="129" customWidth="1"/>
    <col min="28" max="28" width="12.5" style="129" bestFit="1" customWidth="1"/>
    <col min="29" max="31" width="9.33203125" style="129" customWidth="1"/>
    <col min="32" max="33" width="9.5" style="129"/>
    <col min="34" max="34" width="20.33203125" style="129" bestFit="1" customWidth="1"/>
    <col min="35" max="35" width="8.1640625" style="129" bestFit="1" customWidth="1"/>
    <col min="36" max="37" width="9.5" style="129" bestFit="1" customWidth="1"/>
    <col min="38" max="38" width="11.6640625" style="129" bestFit="1" customWidth="1"/>
    <col min="39" max="39" width="10.83203125" style="129" customWidth="1"/>
    <col min="40" max="40" width="12.33203125" style="129" customWidth="1"/>
    <col min="41" max="16384" width="9.5" style="129"/>
  </cols>
  <sheetData>
    <row r="2" spans="1:40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Y2" s="146" t="s">
        <v>111</v>
      </c>
      <c r="AC2" s="429" t="s">
        <v>110</v>
      </c>
      <c r="AD2" s="429"/>
      <c r="AE2" s="429"/>
      <c r="AH2" s="156" t="s">
        <v>91</v>
      </c>
      <c r="AI2" s="156" t="s">
        <v>143</v>
      </c>
      <c r="AJ2" s="156" t="s">
        <v>39</v>
      </c>
      <c r="AK2" s="156" t="s">
        <v>104</v>
      </c>
      <c r="AL2" s="156" t="s">
        <v>105</v>
      </c>
      <c r="AM2" s="156" t="s">
        <v>167</v>
      </c>
      <c r="AN2" s="156" t="s">
        <v>168</v>
      </c>
    </row>
    <row r="3" spans="1:40" ht="12" customHeight="1" x14ac:dyDescent="0.2">
      <c r="C3" s="161" t="str">
        <f>$D$10&amp;"LastFixing"&amp;QuoteSuffix</f>
        <v>Euribor6MLastFixing_Quote</v>
      </c>
      <c r="D3" s="162">
        <f>_xll.qlCalendarAdvance(Calendar,_xll.qlLastFixingQuoteReferenceDate($C$3),_xll.qlInterestRateIndexFixingDays($D$10)&amp;"D","f",,LastFixingsTrigger)</f>
        <v>42110</v>
      </c>
      <c r="E3" s="162">
        <f>_xll.qlInterestRateIndexMaturity($D$10,D3)</f>
        <v>42293</v>
      </c>
      <c r="F3" s="196">
        <f>_xll.qlYieldTSDiscount(Discounting,D3,,AllTriggers)</f>
        <v>1</v>
      </c>
      <c r="G3" s="196">
        <f>_xll.qlYieldTSDiscount(Discounting,E3,,AllTriggers)</f>
        <v>1.0006455992998595</v>
      </c>
      <c r="H3" s="197">
        <f>_xll.qlDayCounterYearFraction(DayCounter,D3,E3,,,Trigger)</f>
        <v>0.5083333333333333</v>
      </c>
      <c r="I3" s="198">
        <f>(F3/G3-1)/H3</f>
        <v>-1.2692120071766133E-3</v>
      </c>
      <c r="J3" s="163">
        <f>'Delta 6M '!P4</f>
        <v>1.0316497161093098E-3</v>
      </c>
      <c r="K3" s="164">
        <f>_xll.qlDayCounterYearFraction(DayCounter,SettlementDate,D3,,,Trigger)</f>
        <v>0</v>
      </c>
      <c r="L3" s="164">
        <f>_xll.qlDayCounterYearFraction(DayCounter,SettlementDate,E3,,,Trigger)</f>
        <v>0.5083333333333333</v>
      </c>
      <c r="M3" s="164">
        <f>L3-K3</f>
        <v>0.5083333333333333</v>
      </c>
      <c r="N3" s="164">
        <f>(L3^2-K3^2)/2</f>
        <v>0.12920138888888888</v>
      </c>
      <c r="O3" s="164">
        <f>(L3^3-K3^3)/3</f>
        <v>4.378491512345678E-2</v>
      </c>
      <c r="P3" s="165" t="b">
        <f>IF(D12="fixing",TRUE,FALSE)</f>
        <v>0</v>
      </c>
      <c r="T3" s="430" t="s">
        <v>107</v>
      </c>
      <c r="U3" s="141">
        <f t="array" ref="U3:U5">_xll.ohFilter(O3:O7,P3:P7)</f>
        <v>7.1765889346136258E-2</v>
      </c>
      <c r="V3" s="147">
        <f t="array" ref="V3:V5">_xll.ohFilter(N3:N7,P3:P7)</f>
        <v>0.17604938271604936</v>
      </c>
      <c r="W3" s="142">
        <f t="array" ref="W3:W5">_xll.ohFilter(M3:M7,P3:P7)</f>
        <v>0.51111111111111107</v>
      </c>
      <c r="X3" s="148"/>
      <c r="Y3" s="143">
        <f t="array" ref="Y3:Y5">MMULT(AC3:AE5,AA3:AA5)</f>
        <v>-4.8645636219288579E-3</v>
      </c>
      <c r="Z3" s="149"/>
      <c r="AA3" s="216">
        <f t="array" ref="AA3:AA5">_xll.ohFilter(J3:J7,P3:P7)</f>
        <v>1.0466520052960146E-3</v>
      </c>
      <c r="AC3" s="141">
        <f t="array" ref="AC3:AE5">MINVERSE(U3:W5)</f>
        <v>139.01238911936841</v>
      </c>
      <c r="AD3" s="147">
        <v>-266.23241840191292</v>
      </c>
      <c r="AE3" s="142">
        <v>124.4207148902488</v>
      </c>
      <c r="AH3" s="178">
        <f>SettlementDate</f>
        <v>42110</v>
      </c>
      <c r="AI3" s="169">
        <f>_xll.qlDayCounterYearFraction(DayCounter,SettlementDate,AH3,,,Trigger)</f>
        <v>0</v>
      </c>
      <c r="AJ3" s="194">
        <f t="shared" ref="AJ3:AJ34" si="0">$Y$13</f>
        <v>2.0477974016661158E-3</v>
      </c>
      <c r="AK3" s="194">
        <f t="shared" ref="AK3:AK34" si="1">$Y$10+$Y$9*AI3</f>
        <v>1.8040073610751575E-3</v>
      </c>
      <c r="AL3" s="194">
        <f t="shared" ref="AL3:AL34" si="2">($Y$5+$Y$4*AI3+$Y$3*AI3^2)</f>
        <v>1.2051104266218929E-3</v>
      </c>
      <c r="AM3" s="194">
        <f>a_lin_6M+b_lin_6M*AI3</f>
        <v>2.0227637567495726E-3</v>
      </c>
      <c r="AN3" s="194">
        <f>a_quad_6M+b_quad_6M*AI3+c_quad_6M*AI3^2</f>
        <v>1.9657297137733371E-3</v>
      </c>
    </row>
    <row r="4" spans="1:40" ht="12" customHeight="1" x14ac:dyDescent="0.2">
      <c r="A4" s="129">
        <v>0</v>
      </c>
      <c r="B4" s="215">
        <f>A4+SUBSTITUTE($D$9,"M","")</f>
        <v>6</v>
      </c>
      <c r="C4" s="166" t="str">
        <f>"Delta("&amp;A4&amp;"M,"&amp;B4&amp;"M)extrap"</f>
        <v>Delta(0M,6M)extrap</v>
      </c>
      <c r="D4" s="167">
        <f>SettlementDate</f>
        <v>42110</v>
      </c>
      <c r="E4" s="167">
        <f>_xll.qlInterestRateIndexMaturity($D$10,D4)</f>
        <v>42293</v>
      </c>
      <c r="F4" s="199">
        <f>_xll.qlYieldTSDiscount(Discounting,D4,,AllTriggers)</f>
        <v>1</v>
      </c>
      <c r="G4" s="199">
        <f>_xll.qlYieldTSDiscount(Discounting,E4,,AllTriggers)</f>
        <v>1.0006455992998595</v>
      </c>
      <c r="H4" s="200">
        <f>_xll.qlDayCounterYearFraction(DayCounter,D4,E4,,,Trigger)</f>
        <v>0.5083333333333333</v>
      </c>
      <c r="I4" s="201">
        <f t="shared" ref="I4:I7" si="3">(F4/G4-1)/H4</f>
        <v>-1.2692120071766133E-3</v>
      </c>
      <c r="J4" s="168">
        <f>LN((1+(_xll.qlInterpolationInterpolate(B6Minterpolation,D4,TRUE,AllTriggers)+I4)*H4)/(1+I4*H4))</f>
        <v>1.0117555636249994E-3</v>
      </c>
      <c r="K4" s="169">
        <f>_xll.qlDayCounterYearFraction(DayCounter,SettlementDate,D4,,,Trigger)</f>
        <v>0</v>
      </c>
      <c r="L4" s="169">
        <f>_xll.qlDayCounterYearFraction(DayCounter,SettlementDate,E4,,,Trigger)</f>
        <v>0.5083333333333333</v>
      </c>
      <c r="M4" s="169">
        <f>L4-K4</f>
        <v>0.5083333333333333</v>
      </c>
      <c r="N4" s="169">
        <f>(L4^2-K4^2)/2</f>
        <v>0.12920138888888888</v>
      </c>
      <c r="O4" s="169">
        <f>(L4^3-K4^3)/3</f>
        <v>4.378491512345678E-2</v>
      </c>
      <c r="P4" s="170" t="b">
        <v>0</v>
      </c>
      <c r="T4" s="430"/>
      <c r="U4" s="141">
        <v>0.10216480195473253</v>
      </c>
      <c r="V4" s="147">
        <v>0.21533564814814815</v>
      </c>
      <c r="W4" s="142">
        <v>0.5083333333333333</v>
      </c>
      <c r="X4" s="150" t="s">
        <v>37</v>
      </c>
      <c r="Y4" s="143">
        <v>4.4295322068812065E-3</v>
      </c>
      <c r="Z4" s="150" t="s">
        <v>38</v>
      </c>
      <c r="AA4" s="216">
        <v>1.0694468099307715E-3</v>
      </c>
      <c r="AC4" s="141">
        <v>-131.06882402683306</v>
      </c>
      <c r="AD4" s="147">
        <v>228.53670175318527</v>
      </c>
      <c r="AE4" s="142">
        <v>-95.191144085460351</v>
      </c>
      <c r="AH4" s="183">
        <f>_xll.qlCalendarAdvance(Calendar,AH3,"1d","mf",,Trigger)</f>
        <v>42111</v>
      </c>
      <c r="AI4" s="169">
        <f>_xll.qlDayCounterYearFraction(DayCounter,SettlementDate,AH4,,,Trigger)</f>
        <v>2.7777777777777779E-3</v>
      </c>
      <c r="AJ4" s="181">
        <f t="shared" si="0"/>
        <v>2.0477974016661158E-3</v>
      </c>
      <c r="AK4" s="181">
        <f t="shared" si="1"/>
        <v>1.8059734097896007E-3</v>
      </c>
      <c r="AL4" s="181">
        <f t="shared" si="2"/>
        <v>1.2173771475389864E-3</v>
      </c>
      <c r="AM4" s="181">
        <f>a_lin_6M+b_lin_6M*AI4</f>
        <v>2.0231192942064503E-3</v>
      </c>
      <c r="AN4" s="181">
        <f>a_quad_6M+b_quad_6M*AI4+c_quad_6M*AI4^2</f>
        <v>1.9665771111155579E-3</v>
      </c>
    </row>
    <row r="5" spans="1:40" ht="12" customHeight="1" x14ac:dyDescent="0.2">
      <c r="A5" s="131">
        <v>1</v>
      </c>
      <c r="B5" s="215">
        <f t="shared" ref="B5:B7" si="4">A5+SUBSTITUTE($D$9,"M","")</f>
        <v>7</v>
      </c>
      <c r="C5" s="166" t="str">
        <f>"Delta("&amp;A5&amp;"M,"&amp;B5&amp;"M)"</f>
        <v>Delta(1M,7M)</v>
      </c>
      <c r="D5" s="167">
        <f>_xll.qlCalendarAdvance(Calendar,SettlementDate,A5&amp;"M","mf")</f>
        <v>42142</v>
      </c>
      <c r="E5" s="167">
        <f>_xll.qlInterestRateIndexMaturity($D$10,D5)</f>
        <v>42326</v>
      </c>
      <c r="F5" s="199">
        <f>_xll.qlYieldTSDiscount(Discounting,D5,,AllTriggers)</f>
        <v>1.0000773393142086</v>
      </c>
      <c r="G5" s="199">
        <f>_xll.qlYieldTSDiscount(Discounting,E5,,AllTriggers)</f>
        <v>1.00078190803608</v>
      </c>
      <c r="H5" s="200">
        <f>_xll.qlDayCounterYearFraction(DayCounter,D5,E5,,,Trigger)</f>
        <v>0.51111111111111107</v>
      </c>
      <c r="I5" s="201">
        <f t="shared" si="3"/>
        <v>-1.3774269998125281E-3</v>
      </c>
      <c r="J5" s="168">
        <f>LN((1+(_xll.qlInterpolationInterpolate(B6Minterpolation,D5,TRUE,AllTriggers)+I5)*H5)/(1+I5*H5))</f>
        <v>1.0466520052960146E-3</v>
      </c>
      <c r="K5" s="169">
        <f>_xll.qlDayCounterYearFraction(DayCounter,SettlementDate,D5,,,Trigger)</f>
        <v>8.8888888888888892E-2</v>
      </c>
      <c r="L5" s="169">
        <f>_xll.qlDayCounterYearFraction(DayCounter,SettlementDate,E5,,,Trigger)</f>
        <v>0.6</v>
      </c>
      <c r="M5" s="169">
        <f>L5-K5</f>
        <v>0.51111111111111107</v>
      </c>
      <c r="N5" s="169">
        <f>(L5^2-K5^2)/2</f>
        <v>0.17604938271604936</v>
      </c>
      <c r="O5" s="169">
        <f>(L5^3-K5^3)/3</f>
        <v>7.1765889346136258E-2</v>
      </c>
      <c r="P5" s="170" t="b">
        <v>1</v>
      </c>
      <c r="T5" s="430"/>
      <c r="U5" s="141">
        <v>0.14646463477366259</v>
      </c>
      <c r="V5" s="147">
        <v>0.26407407407407413</v>
      </c>
      <c r="W5" s="142">
        <v>0.51666666666666672</v>
      </c>
      <c r="X5" s="131"/>
      <c r="Y5" s="143">
        <v>1.2051104266218929E-3</v>
      </c>
      <c r="Z5" s="150"/>
      <c r="AA5" s="216">
        <v>1.0798784689823755E-3</v>
      </c>
      <c r="AC5" s="141">
        <v>27.583508793834454</v>
      </c>
      <c r="AD5" s="147">
        <v>-41.336098028264772</v>
      </c>
      <c r="AE5" s="142">
        <v>15.317958715628572</v>
      </c>
      <c r="AH5" s="183">
        <f>_xll.qlCalendarAdvance(Calendar,AH4,"1d","mf",,Trigger)</f>
        <v>42114</v>
      </c>
      <c r="AI5" s="169">
        <f>_xll.qlDayCounterYearFraction(DayCounter,SettlementDate,AH5,,,Trigger)</f>
        <v>1.1111111111111112E-2</v>
      </c>
      <c r="AJ5" s="181">
        <f t="shared" si="0"/>
        <v>2.0477974016661158E-3</v>
      </c>
      <c r="AK5" s="181">
        <f t="shared" si="1"/>
        <v>1.8118715559329304E-3</v>
      </c>
      <c r="AL5" s="181">
        <f t="shared" si="2"/>
        <v>1.2537268877326805E-3</v>
      </c>
      <c r="AM5" s="181">
        <f>a_lin_6M+b_lin_6M*AI5</f>
        <v>2.0241859065770833E-3</v>
      </c>
      <c r="AN5" s="181">
        <f>a_quad_6M+b_quad_6M*AI5+c_quad_6M*AI5^2</f>
        <v>1.9691107833168364E-3</v>
      </c>
    </row>
    <row r="6" spans="1:40" ht="12" customHeight="1" x14ac:dyDescent="0.2">
      <c r="A6" s="131">
        <v>2</v>
      </c>
      <c r="B6" s="215">
        <f t="shared" si="4"/>
        <v>8</v>
      </c>
      <c r="C6" s="166" t="str">
        <f>"Delta("&amp;A6&amp;"M,"&amp;B6&amp;"M)"</f>
        <v>Delta(2M,8M)</v>
      </c>
      <c r="D6" s="167">
        <f>_xll.qlCalendarAdvance(Calendar,SettlementDate,A6&amp;"M","mf")</f>
        <v>42171</v>
      </c>
      <c r="E6" s="167">
        <f>_xll.qlInterestRateIndexMaturity($D$10,D6)</f>
        <v>42354</v>
      </c>
      <c r="F6" s="199">
        <f>_xll.qlYieldTSDiscount(Discounting,D6,,AllTriggers)</f>
        <v>1.0001605222997145</v>
      </c>
      <c r="G6" s="199">
        <f>_xll.qlYieldTSDiscount(Discounting,E6,,AllTriggers)</f>
        <v>1.000905085145986</v>
      </c>
      <c r="H6" s="200">
        <f>_xll.qlDayCounterYearFraction(DayCounter,D6,E6,,,Trigger)</f>
        <v>0.5083333333333333</v>
      </c>
      <c r="I6" s="201">
        <f t="shared" si="3"/>
        <v>-1.463389304022006E-3</v>
      </c>
      <c r="J6" s="168">
        <f>LN((1+(_xll.qlInterpolationInterpolate(B6Minterpolation,D6,TRUE,AllTriggers)+I6)*H6)/(1+I6*H6))</f>
        <v>1.0694468099307715E-3</v>
      </c>
      <c r="K6" s="169">
        <f>_xll.qlDayCounterYearFraction(DayCounter,SettlementDate,D6,,,Trigger)</f>
        <v>0.16944444444444445</v>
      </c>
      <c r="L6" s="169">
        <f>_xll.qlDayCounterYearFraction(DayCounter,SettlementDate,E6,,,Trigger)</f>
        <v>0.67777777777777781</v>
      </c>
      <c r="M6" s="169">
        <f>L6-K6</f>
        <v>0.5083333333333333</v>
      </c>
      <c r="N6" s="169">
        <f>(L6^2-K6^2)/2</f>
        <v>0.21533564814814815</v>
      </c>
      <c r="O6" s="169">
        <f>(L6^3-K6^3)/3</f>
        <v>0.10216480195473253</v>
      </c>
      <c r="P6" s="170" t="b">
        <v>1</v>
      </c>
      <c r="Y6" s="145"/>
      <c r="Z6" s="138"/>
      <c r="AA6" s="139"/>
      <c r="AH6" s="183">
        <f>_xll.qlCalendarAdvance(Calendar,AH5,"1d","mf",,Trigger)</f>
        <v>42115</v>
      </c>
      <c r="AI6" s="169">
        <f>_xll.qlDayCounterYearFraction(DayCounter,SettlementDate,AH6,,,Trigger)</f>
        <v>1.3888888888888888E-2</v>
      </c>
      <c r="AJ6" s="181">
        <f t="shared" si="0"/>
        <v>2.0477974016661158E-3</v>
      </c>
      <c r="AK6" s="181">
        <f t="shared" si="1"/>
        <v>1.8138376046473736E-3</v>
      </c>
      <c r="AL6" s="181">
        <f t="shared" si="2"/>
        <v>1.2656933269447166E-3</v>
      </c>
      <c r="AM6" s="181">
        <f>a_lin_6M+b_lin_6M*AI6</f>
        <v>2.0245414440339606E-3</v>
      </c>
      <c r="AN6" s="181">
        <f>a_quad_6M+b_quad_6M*AI6+c_quad_6M*AI6^2</f>
        <v>1.9699525007754685E-3</v>
      </c>
    </row>
    <row r="7" spans="1:40" ht="12" customHeight="1" x14ac:dyDescent="0.2">
      <c r="A7" s="131">
        <v>3</v>
      </c>
      <c r="B7" s="215">
        <f t="shared" si="4"/>
        <v>9</v>
      </c>
      <c r="C7" s="166" t="str">
        <f>"Delta("&amp;A7&amp;"M,"&amp;B7&amp;"M)"</f>
        <v>Delta(3M,9M)</v>
      </c>
      <c r="D7" s="167">
        <f>_xll.qlCalendarAdvance(Calendar,SettlementDate,A7&amp;"M","mf")</f>
        <v>42201</v>
      </c>
      <c r="E7" s="167">
        <f>_xll.qlInterestRateIndexMaturity($D$10,D7)</f>
        <v>42387</v>
      </c>
      <c r="F7" s="199">
        <f>_xll.qlYieldTSDiscount(Discounting,D7,,AllTriggers)</f>
        <v>1.0002739540974652</v>
      </c>
      <c r="G7" s="199">
        <f>_xll.qlYieldTSDiscount(Discounting,E7,,AllTriggers)</f>
        <v>1.0010443880817568</v>
      </c>
      <c r="H7" s="200">
        <f>_xll.qlDayCounterYearFraction(DayCounter,D7,E7,,,Trigger)</f>
        <v>0.51666666666666672</v>
      </c>
      <c r="I7" s="201">
        <f t="shared" si="3"/>
        <v>-1.4896068226296023E-3</v>
      </c>
      <c r="J7" s="168">
        <f>LN((1+(_xll.qlInterpolationInterpolate(B6Minterpolation,D7,TRUE,AllTriggers)+I7)*H7)/(1+I7*H7))</f>
        <v>1.0798784689823755E-3</v>
      </c>
      <c r="K7" s="169">
        <f>_xll.qlDayCounterYearFraction(DayCounter,SettlementDate,D7,,,Trigger)</f>
        <v>0.25277777777777777</v>
      </c>
      <c r="L7" s="169">
        <f>_xll.qlDayCounterYearFraction(DayCounter,SettlementDate,E7,,,Trigger)</f>
        <v>0.76944444444444449</v>
      </c>
      <c r="M7" s="169">
        <f>L7-K7</f>
        <v>0.51666666666666672</v>
      </c>
      <c r="N7" s="169">
        <f>(L7^2-K7^2)/2</f>
        <v>0.26407407407407413</v>
      </c>
      <c r="O7" s="169">
        <f>(L7^3-K7^3)/3</f>
        <v>0.14646463477366259</v>
      </c>
      <c r="P7" s="170" t="b">
        <v>1</v>
      </c>
      <c r="Y7" s="145"/>
      <c r="Z7" s="138"/>
      <c r="AA7" s="139"/>
      <c r="AH7" s="183">
        <f>_xll.qlCalendarAdvance(Calendar,AH6,"1d","mf",,Trigger)</f>
        <v>42116</v>
      </c>
      <c r="AI7" s="169">
        <f>_xll.qlDayCounterYearFraction(DayCounter,SettlementDate,AH7,,,Trigger)</f>
        <v>1.6666666666666666E-2</v>
      </c>
      <c r="AJ7" s="181">
        <f t="shared" si="0"/>
        <v>2.0477974016661158E-3</v>
      </c>
      <c r="AK7" s="181">
        <f t="shared" si="1"/>
        <v>1.8158036533618169E-3</v>
      </c>
      <c r="AL7" s="181">
        <f t="shared" si="2"/>
        <v>1.2775846957304882E-3</v>
      </c>
      <c r="AM7" s="181">
        <f>a_lin_6M+b_lin_6M*AI7</f>
        <v>2.0248969814908382E-3</v>
      </c>
      <c r="AN7" s="181">
        <f>a_quad_6M+b_quad_6M*AI7+c_quad_6M*AI7^2</f>
        <v>1.9707927982632032E-3</v>
      </c>
    </row>
    <row r="8" spans="1:40" ht="12" customHeight="1" x14ac:dyDescent="0.2">
      <c r="B8" s="132"/>
      <c r="C8" s="457"/>
      <c r="D8" s="458"/>
      <c r="E8" s="458"/>
      <c r="F8" s="458"/>
      <c r="G8" s="458"/>
      <c r="H8" s="458"/>
      <c r="I8" s="458"/>
      <c r="J8" s="459"/>
      <c r="K8" s="460"/>
      <c r="L8" s="460"/>
      <c r="M8" s="460"/>
      <c r="N8" s="460"/>
      <c r="O8" s="460"/>
      <c r="P8" s="461"/>
      <c r="Y8" s="137" t="s">
        <v>112</v>
      </c>
      <c r="Z8" s="138"/>
      <c r="AA8" s="139"/>
      <c r="AH8" s="183">
        <f>_xll.qlCalendarAdvance(Calendar,AH7,"1d","mf",,Trigger)</f>
        <v>42117</v>
      </c>
      <c r="AI8" s="169">
        <f>_xll.qlDayCounterYearFraction(DayCounter,SettlementDate,AH8,,,Trigger)</f>
        <v>1.9444444444444445E-2</v>
      </c>
      <c r="AJ8" s="181">
        <f t="shared" si="0"/>
        <v>2.0477974016661158E-3</v>
      </c>
      <c r="AK8" s="181">
        <f t="shared" si="1"/>
        <v>1.8177697020762601E-3</v>
      </c>
      <c r="AL8" s="181">
        <f t="shared" si="2"/>
        <v>1.2894009940899957E-3</v>
      </c>
      <c r="AM8" s="181">
        <f>a_lin_6M+b_lin_6M*AI8</f>
        <v>2.0252525189477159E-3</v>
      </c>
      <c r="AN8" s="181">
        <f>a_quad_6M+b_quad_6M*AI8+c_quad_6M*AI8^2</f>
        <v>1.9716316757800406E-3</v>
      </c>
    </row>
    <row r="9" spans="1:40" ht="12" customHeight="1" x14ac:dyDescent="0.2">
      <c r="C9" s="156" t="s">
        <v>159</v>
      </c>
      <c r="D9" s="191" t="s">
        <v>42</v>
      </c>
      <c r="T9" s="429" t="s">
        <v>108</v>
      </c>
      <c r="U9" s="140"/>
      <c r="V9" s="141">
        <f t="array" ref="V9:V10">_xll.ohFilter(N3:N7,P3:P7)</f>
        <v>0.17604938271604936</v>
      </c>
      <c r="W9" s="142">
        <f t="array" ref="W9:W10">_xll.ohFilter(M3:M7,P3:P7)</f>
        <v>0.51111111111111107</v>
      </c>
      <c r="X9" s="431" t="s">
        <v>37</v>
      </c>
      <c r="Y9" s="143">
        <f t="array" ref="Y9:Y10">MMULT(AC9:AD10,AA9:AA10)</f>
        <v>7.0777753719955885E-4</v>
      </c>
      <c r="Z9" s="431" t="s">
        <v>38</v>
      </c>
      <c r="AA9" s="216">
        <f t="array" ref="AA9:AA10">_xll.ohFilter(J3:J7,P3:P7)</f>
        <v>1.0466520052960146E-3</v>
      </c>
      <c r="AC9" s="141">
        <f t="array" ref="AC9:AD10">MINVERSE(V9:W10)</f>
        <v>-24.713958810068636</v>
      </c>
      <c r="AD9" s="142">
        <v>24.849007765314916</v>
      </c>
      <c r="AH9" s="183">
        <f>_xll.qlCalendarAdvance(Calendar,AH8,"1d","mf",,Trigger)</f>
        <v>42118</v>
      </c>
      <c r="AI9" s="169">
        <f>_xll.qlDayCounterYearFraction(DayCounter,SettlementDate,AH9,,,Trigger)</f>
        <v>2.2222222222222223E-2</v>
      </c>
      <c r="AJ9" s="181">
        <f t="shared" si="0"/>
        <v>2.0477974016661158E-3</v>
      </c>
      <c r="AK9" s="181">
        <f t="shared" si="1"/>
        <v>1.8197357507907031E-3</v>
      </c>
      <c r="AL9" s="181">
        <f t="shared" si="2"/>
        <v>1.3011422220232387E-3</v>
      </c>
      <c r="AM9" s="181">
        <f>a_lin_6M+b_lin_6M*AI9</f>
        <v>2.0256080564045936E-3</v>
      </c>
      <c r="AN9" s="181">
        <f>a_quad_6M+b_quad_6M*AI9+c_quad_6M*AI9^2</f>
        <v>1.972469133325981E-3</v>
      </c>
    </row>
    <row r="10" spans="1:40" ht="12" customHeight="1" x14ac:dyDescent="0.2">
      <c r="C10" s="156" t="s">
        <v>121</v>
      </c>
      <c r="D10" s="191" t="str">
        <f>PROPER(Currency)&amp;IborType&amp;$D$9</f>
        <v>Euribor6M</v>
      </c>
      <c r="M10" s="384" t="s">
        <v>171</v>
      </c>
      <c r="N10" s="155">
        <v>0</v>
      </c>
      <c r="O10" s="155">
        <v>0</v>
      </c>
      <c r="P10" s="155">
        <f>Y3</f>
        <v>-4.8645636219288579E-3</v>
      </c>
      <c r="Q10" s="155">
        <v>0</v>
      </c>
      <c r="R10" s="155">
        <f>c_quad_6M</f>
        <v>-9.2014114137726333E-5</v>
      </c>
      <c r="T10" s="429"/>
      <c r="U10" s="140"/>
      <c r="V10" s="141">
        <v>0.21533564814814815</v>
      </c>
      <c r="W10" s="142">
        <v>0.5083333333333333</v>
      </c>
      <c r="X10" s="431"/>
      <c r="Y10" s="143">
        <v>1.8040073610751575E-3</v>
      </c>
      <c r="Z10" s="431"/>
      <c r="AA10" s="216">
        <v>1.0694468099307715E-3</v>
      </c>
      <c r="AC10" s="141">
        <v>10.46910755148741</v>
      </c>
      <c r="AD10" s="142">
        <v>-8.5591026747195809</v>
      </c>
      <c r="AH10" s="183">
        <f>_xll.qlCalendarAdvance(Calendar,AH9,"1d","mf",,Trigger)</f>
        <v>42121</v>
      </c>
      <c r="AI10" s="169">
        <f>_xll.qlDayCounterYearFraction(DayCounter,SettlementDate,AH10,,,Trigger)</f>
        <v>3.0555555555555555E-2</v>
      </c>
      <c r="AJ10" s="181">
        <f t="shared" si="0"/>
        <v>2.0477974016661158E-3</v>
      </c>
      <c r="AK10" s="181">
        <f t="shared" si="1"/>
        <v>1.8256338969340328E-3</v>
      </c>
      <c r="AL10" s="181">
        <f t="shared" si="2"/>
        <v>1.3359154832653819E-3</v>
      </c>
      <c r="AM10" s="181">
        <f>a_lin_6M+b_lin_6M*AI10</f>
        <v>2.0266746687752266E-3</v>
      </c>
      <c r="AN10" s="181">
        <f>a_quad_6M+b_quad_6M*AI10+c_quad_6M*AI10^2</f>
        <v>1.9749729861384189E-3</v>
      </c>
    </row>
    <row r="11" spans="1:40" ht="12" customHeight="1" x14ac:dyDescent="0.2">
      <c r="C11" s="156" t="s">
        <v>150</v>
      </c>
      <c r="D11" s="192" t="s">
        <v>100</v>
      </c>
      <c r="M11" s="384" t="s">
        <v>172</v>
      </c>
      <c r="N11" s="155">
        <v>0</v>
      </c>
      <c r="O11" s="155">
        <f>Y9</f>
        <v>7.0777753719955885E-4</v>
      </c>
      <c r="P11" s="155">
        <f>Y4</f>
        <v>4.4295322068812065E-3</v>
      </c>
      <c r="Q11" s="155">
        <f>b_lin_6M</f>
        <v>1.2799348447594446E-4</v>
      </c>
      <c r="R11" s="155">
        <f>b_quad_6M</f>
        <v>3.0531863796092417E-4</v>
      </c>
      <c r="Y11" s="145"/>
      <c r="Z11" s="138"/>
      <c r="AA11" s="139"/>
      <c r="AH11" s="183">
        <f>_xll.qlCalendarAdvance(Calendar,AH10,"1d","mf",,Trigger)</f>
        <v>42122</v>
      </c>
      <c r="AI11" s="169">
        <f>_xll.qlDayCounterYearFraction(DayCounter,SettlementDate,AH11,,,Trigger)</f>
        <v>3.3333333333333333E-2</v>
      </c>
      <c r="AJ11" s="181">
        <f t="shared" si="0"/>
        <v>2.0477974016661158E-3</v>
      </c>
      <c r="AK11" s="181">
        <f t="shared" si="1"/>
        <v>1.827599945648476E-3</v>
      </c>
      <c r="AL11" s="181">
        <f t="shared" si="2"/>
        <v>1.3473564294935677E-3</v>
      </c>
      <c r="AM11" s="181">
        <f>a_lin_6M+b_lin_6M*AI11</f>
        <v>2.0270302062321043E-3</v>
      </c>
      <c r="AN11" s="181">
        <f>a_quad_6M+b_quad_6M*AI11+c_quad_6M*AI11^2</f>
        <v>1.9758047638007703E-3</v>
      </c>
    </row>
    <row r="12" spans="1:40" ht="12" customHeight="1" x14ac:dyDescent="0.2">
      <c r="C12" s="156" t="s">
        <v>149</v>
      </c>
      <c r="D12" s="191" t="s">
        <v>154</v>
      </c>
      <c r="M12" s="384" t="s">
        <v>35</v>
      </c>
      <c r="N12" s="155">
        <f>Y13</f>
        <v>2.0477974016661158E-3</v>
      </c>
      <c r="O12" s="155">
        <f>Y10</f>
        <v>1.8040073610751575E-3</v>
      </c>
      <c r="P12" s="155">
        <f>Y5</f>
        <v>1.2051104266218929E-3</v>
      </c>
      <c r="Q12" s="155">
        <f>a_lin_6M</f>
        <v>2.0227637567495726E-3</v>
      </c>
      <c r="R12" s="155">
        <f>a_quad_6M</f>
        <v>1.9657297137733371E-3</v>
      </c>
      <c r="S12" s="154"/>
      <c r="Y12" s="146" t="s">
        <v>35</v>
      </c>
      <c r="Z12" s="138"/>
      <c r="AA12" s="139"/>
      <c r="AH12" s="183">
        <f>_xll.qlCalendarAdvance(Calendar,AH11,"1d","mf",,Trigger)</f>
        <v>42123</v>
      </c>
      <c r="AI12" s="169">
        <f>_xll.qlDayCounterYearFraction(DayCounter,SettlementDate,AH12,,,Trigger)</f>
        <v>3.6111111111111108E-2</v>
      </c>
      <c r="AJ12" s="181">
        <f t="shared" si="0"/>
        <v>2.0477974016661158E-3</v>
      </c>
      <c r="AK12" s="181">
        <f t="shared" si="1"/>
        <v>1.8295659943629193E-3</v>
      </c>
      <c r="AL12" s="181">
        <f t="shared" si="2"/>
        <v>1.3587223052954891E-3</v>
      </c>
      <c r="AM12" s="181">
        <f>a_lin_6M+b_lin_6M*AI12</f>
        <v>2.0273857436889815E-3</v>
      </c>
      <c r="AN12" s="181">
        <f>a_quad_6M+b_quad_6M*AI12+c_quad_6M*AI12^2</f>
        <v>1.9766351214922247E-3</v>
      </c>
    </row>
    <row r="13" spans="1:40" ht="12" customHeight="1" x14ac:dyDescent="0.2">
      <c r="N13" s="212" t="str">
        <f>"Synthetic Deposits "&amp;D9</f>
        <v>Synthetic Deposits 6M</v>
      </c>
      <c r="O13" s="212"/>
      <c r="P13" s="213"/>
      <c r="Q13" s="214"/>
      <c r="R13" s="214"/>
      <c r="S13" s="154"/>
      <c r="T13" s="151" t="s">
        <v>109</v>
      </c>
      <c r="W13" s="152">
        <f t="array" ref="W13">_xll.ohFilter(M3:M7,P3:P7)</f>
        <v>0.51111111111111107</v>
      </c>
      <c r="X13" s="151" t="s">
        <v>37</v>
      </c>
      <c r="Y13" s="143">
        <f>MMULT(AC13,AA13)</f>
        <v>2.0477974016661158E-3</v>
      </c>
      <c r="Z13" s="151" t="s">
        <v>38</v>
      </c>
      <c r="AA13" s="216">
        <f t="array" ref="AA13">_xll.ohFilter(J3:J7,P3:P7)</f>
        <v>1.0466520052960146E-3</v>
      </c>
      <c r="AC13" s="152">
        <f>MINVERSE(W13)</f>
        <v>1.956521739130435</v>
      </c>
      <c r="AH13" s="183">
        <f>_xll.qlCalendarAdvance(Calendar,AH12,"1d","mf",,Trigger)</f>
        <v>42124</v>
      </c>
      <c r="AI13" s="169">
        <f>_xll.qlDayCounterYearFraction(DayCounter,SettlementDate,AH13,,,Trigger)</f>
        <v>3.888888888888889E-2</v>
      </c>
      <c r="AJ13" s="181">
        <f t="shared" si="0"/>
        <v>2.0477974016661158E-3</v>
      </c>
      <c r="AK13" s="181">
        <f t="shared" si="1"/>
        <v>1.8315320430773625E-3</v>
      </c>
      <c r="AL13" s="181">
        <f t="shared" si="2"/>
        <v>1.3700131106711463E-3</v>
      </c>
      <c r="AM13" s="181">
        <f>a_lin_6M+b_lin_6M*AI13</f>
        <v>2.0277412811458592E-3</v>
      </c>
      <c r="AN13" s="181">
        <f>a_quad_6M+b_quad_6M*AI13+c_quad_6M*AI13^2</f>
        <v>1.9774640592127822E-3</v>
      </c>
    </row>
    <row r="14" spans="1:40" ht="21.75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7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Q14" s="159" t="s">
        <v>170</v>
      </c>
      <c r="R14" s="159" t="s">
        <v>169</v>
      </c>
      <c r="S14" s="154"/>
      <c r="AH14" s="183">
        <f>_xll.qlCalendarAdvance(Calendar,AH13,"1d","mf",,Trigger)</f>
        <v>42128</v>
      </c>
      <c r="AI14" s="169">
        <f>_xll.qlDayCounterYearFraction(DayCounter,SettlementDate,AH14,,,Trigger)</f>
        <v>0.05</v>
      </c>
      <c r="AJ14" s="181">
        <f t="shared" si="0"/>
        <v>2.0477974016661158E-3</v>
      </c>
      <c r="AK14" s="181">
        <f t="shared" si="1"/>
        <v>1.8393962379351354E-3</v>
      </c>
      <c r="AL14" s="181">
        <f t="shared" si="2"/>
        <v>1.414425627911131E-3</v>
      </c>
      <c r="AM14" s="181">
        <f>a_lin_6M+b_lin_6M*AI14</f>
        <v>2.0291634309733699E-3</v>
      </c>
      <c r="AN14" s="181">
        <f>a_quad_6M+b_quad_6M*AI14+c_quad_6M*AI14^2</f>
        <v>1.9807656103860388E-3</v>
      </c>
    </row>
    <row r="15" spans="1:40" ht="12" customHeight="1" x14ac:dyDescent="0.2">
      <c r="C15" s="176" t="s">
        <v>43</v>
      </c>
      <c r="D15" s="177">
        <f t="shared" ref="D15:D24" si="5">SettlementDate</f>
        <v>42110</v>
      </c>
      <c r="E15" s="178">
        <f>_xll.qlCalendarAdvance(Calendar,SettlementDate,C15,"Following",,Trigger)</f>
        <v>42111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206">
        <f>_xll.qlYieldTSDiscount(Discounting,E15,,AllTriggers)</f>
        <v>1.000002261326409</v>
      </c>
      <c r="M15" s="217">
        <f>(K15/L15-1)/J15</f>
        <v>-8.1407566635771644E-4</v>
      </c>
      <c r="N15" s="181">
        <f t="shared" ref="N15:O15" si="6">((1+$J15*$M15)*EXP(N$12*$J15+0.5*N$11*$J15^2+1/3*N$10*$J15^3)-1)/$J15</f>
        <v>1.2337229288572615E-3</v>
      </c>
      <c r="O15" s="181">
        <f t="shared" si="6"/>
        <v>9.9091516240434885E-4</v>
      </c>
      <c r="P15" s="181">
        <f>((1+$J15*$M15)*EXP(P$12*$J15+0.5*P$11*$J15^2+1/3*P$10*$J15^3)-1)/$J15</f>
        <v>3.9717367522840163E-4</v>
      </c>
      <c r="Q15" s="181">
        <f t="shared" ref="Q15:R15" si="7">((1+$J15*$M15)*EXP(Q$12*$J15+0.5*Q$11*$J15^2+1/3*Q$10*$J15^3)-1)/$J15</f>
        <v>1.2088669683674169E-3</v>
      </c>
      <c r="R15" s="181">
        <f t="shared" si="7"/>
        <v>1.1520787874896854E-3</v>
      </c>
      <c r="S15" s="154"/>
      <c r="AH15" s="183">
        <f>_xll.qlCalendarAdvance(Calendar,AH14,"1d","mf",,Trigger)</f>
        <v>42129</v>
      </c>
      <c r="AI15" s="169">
        <f>_xll.qlDayCounterYearFraction(DayCounter,SettlementDate,AH15,,,Trigger)</f>
        <v>5.2777777777777778E-2</v>
      </c>
      <c r="AJ15" s="181">
        <f t="shared" si="0"/>
        <v>2.0477974016661158E-3</v>
      </c>
      <c r="AK15" s="181">
        <f t="shared" si="1"/>
        <v>1.8413622866495787E-3</v>
      </c>
      <c r="AL15" s="181">
        <f t="shared" si="2"/>
        <v>1.4253410811554664E-3</v>
      </c>
      <c r="AM15" s="181">
        <f>a_lin_6M+b_lin_6M*AI15</f>
        <v>2.0295189684302476E-3</v>
      </c>
      <c r="AN15" s="181">
        <f>a_quad_6M+b_quad_6M*AI15+c_quad_6M*AI15^2</f>
        <v>1.9815874482521103E-3</v>
      </c>
    </row>
    <row r="16" spans="1:40" ht="12" customHeight="1" x14ac:dyDescent="0.2">
      <c r="C16" s="182" t="s">
        <v>44</v>
      </c>
      <c r="D16" s="167">
        <f>SettlementDate</f>
        <v>42110</v>
      </c>
      <c r="E16" s="183">
        <f>_xll.qlCalendarAdvance(Calendar,SettlementDate,C16,"Following",,Trigger)</f>
        <v>42117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208">
        <f>_xll.qlYieldTSDiscount(Discounting,E16,,AllTriggers)</f>
        <v>1.0000163336001151</v>
      </c>
      <c r="M16" s="218">
        <f t="shared" ref="M16:M24" si="8">(K16/L16-1)/J16</f>
        <v>-8.399999999803802E-4</v>
      </c>
      <c r="N16" s="181">
        <f t="shared" ref="N16:R24" si="9">((1+$J16*$M16)*EXP(N$12*$J16+0.5*N$11*$J16^2+1/3*N$10*$J16^3)-1)/$J16</f>
        <v>1.2078047240977291E-3</v>
      </c>
      <c r="O16" s="181">
        <f t="shared" si="9"/>
        <v>9.7089083585315857E-4</v>
      </c>
      <c r="P16" s="181">
        <f t="shared" si="9"/>
        <v>4.0755700275190473E-4</v>
      </c>
      <c r="Q16" s="181">
        <f t="shared" si="9"/>
        <v>1.1840149070785344E-3</v>
      </c>
      <c r="R16" s="181">
        <f t="shared" si="9"/>
        <v>1.1286920183284366E-3</v>
      </c>
      <c r="S16" s="154"/>
      <c r="AH16" s="183">
        <f>_xll.qlCalendarAdvance(Calendar,AH15,"1d","mf",,Trigger)</f>
        <v>42130</v>
      </c>
      <c r="AI16" s="169">
        <f>_xll.qlDayCounterYearFraction(DayCounter,SettlementDate,AH16,,,Trigger)</f>
        <v>5.5555555555555552E-2</v>
      </c>
      <c r="AJ16" s="181">
        <f t="shared" si="0"/>
        <v>2.0477974016661158E-3</v>
      </c>
      <c r="AK16" s="181">
        <f t="shared" si="1"/>
        <v>1.8433283353640219E-3</v>
      </c>
      <c r="AL16" s="181">
        <f t="shared" si="2"/>
        <v>1.4361814639735375E-3</v>
      </c>
      <c r="AM16" s="181">
        <f>a_lin_6M+b_lin_6M*AI16</f>
        <v>2.0298745058871252E-3</v>
      </c>
      <c r="AN16" s="181">
        <f>a_quad_6M+b_quad_6M*AI16+c_quad_6M*AI16^2</f>
        <v>1.9824078661472844E-3</v>
      </c>
    </row>
    <row r="17" spans="3:40" ht="12" customHeight="1" x14ac:dyDescent="0.2">
      <c r="C17" s="182" t="s">
        <v>45</v>
      </c>
      <c r="D17" s="167">
        <f t="shared" si="5"/>
        <v>42110</v>
      </c>
      <c r="E17" s="183">
        <f>_xll.qlCalendarAdvance(Calendar,SettlementDate,C17,"Following",,Trigger)</f>
        <v>42124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208">
        <f>_xll.qlYieldTSDiscount(Discounting,E17,,AllTriggers)</f>
        <v>1.0000346123091548</v>
      </c>
      <c r="M17" s="218">
        <f t="shared" si="8"/>
        <v>-8.9000000188204406E-4</v>
      </c>
      <c r="N17" s="181">
        <f t="shared" si="9"/>
        <v>1.1578080623556428E-3</v>
      </c>
      <c r="O17" s="181">
        <f t="shared" si="9"/>
        <v>9.2777103447794218E-4</v>
      </c>
      <c r="P17" s="181">
        <f t="shared" si="9"/>
        <v>3.9877560682720158E-4</v>
      </c>
      <c r="Q17" s="181">
        <f t="shared" si="9"/>
        <v>1.1352621744218994E-3</v>
      </c>
      <c r="R17" s="181">
        <f t="shared" si="9"/>
        <v>1.0816274229303552E-3</v>
      </c>
      <c r="S17" s="154"/>
      <c r="AH17" s="183">
        <f>_xll.qlCalendarAdvance(Calendar,AH16,"1d","mf",,Trigger)</f>
        <v>42131</v>
      </c>
      <c r="AI17" s="169">
        <f>_xll.qlDayCounterYearFraction(DayCounter,SettlementDate,AH17,,,Trigger)</f>
        <v>5.8333333333333334E-2</v>
      </c>
      <c r="AJ17" s="181">
        <f t="shared" si="0"/>
        <v>2.0477974016661158E-3</v>
      </c>
      <c r="AK17" s="181">
        <f t="shared" si="1"/>
        <v>1.8452943840784651E-3</v>
      </c>
      <c r="AL17" s="181">
        <f t="shared" si="2"/>
        <v>1.4469467763653444E-3</v>
      </c>
      <c r="AM17" s="181">
        <f>a_lin_6M+b_lin_6M*AI17</f>
        <v>2.0302300433440029E-3</v>
      </c>
      <c r="AN17" s="181">
        <f>a_quad_6M+b_quad_6M*AI17+c_quad_6M*AI17^2</f>
        <v>1.9832268640715611E-3</v>
      </c>
    </row>
    <row r="18" spans="3:40" ht="12" customHeight="1" x14ac:dyDescent="0.2">
      <c r="C18" s="182" t="s">
        <v>46</v>
      </c>
      <c r="D18" s="167">
        <f t="shared" si="5"/>
        <v>42110</v>
      </c>
      <c r="E18" s="183">
        <f>_xll.qlCalendarAdvance(Calendar,SettlementDate,C18,"Following",,Trigger)</f>
        <v>42131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208">
        <f>_xll.qlYieldTSDiscount(Discounting,E18,,AllTriggers)</f>
        <v>1.0000455020703813</v>
      </c>
      <c r="M18" s="218">
        <f t="shared" si="8"/>
        <v>-7.8000000063622413E-4</v>
      </c>
      <c r="N18" s="181">
        <f t="shared" si="9"/>
        <v>1.2678265352190315E-3</v>
      </c>
      <c r="O18" s="181">
        <f t="shared" si="9"/>
        <v>1.0446649554169646E-3</v>
      </c>
      <c r="P18" s="181">
        <f t="shared" si="9"/>
        <v>5.4877847706842023E-4</v>
      </c>
      <c r="Q18" s="181">
        <f t="shared" si="9"/>
        <v>1.2465244715212773E-3</v>
      </c>
      <c r="R18" s="181">
        <f t="shared" si="9"/>
        <v>1.1945543444128301E-3</v>
      </c>
      <c r="S18" s="154"/>
      <c r="AH18" s="183">
        <f>_xll.qlCalendarAdvance(Calendar,AH17,"1d","mf",,Trigger)</f>
        <v>42132</v>
      </c>
      <c r="AI18" s="169">
        <f>_xll.qlDayCounterYearFraction(DayCounter,SettlementDate,AH18,,,Trigger)</f>
        <v>6.1111111111111109E-2</v>
      </c>
      <c r="AJ18" s="181">
        <f t="shared" si="0"/>
        <v>2.0477974016661158E-3</v>
      </c>
      <c r="AK18" s="181">
        <f t="shared" si="1"/>
        <v>1.8472604327929084E-3</v>
      </c>
      <c r="AL18" s="181">
        <f t="shared" si="2"/>
        <v>1.4576370183308864E-3</v>
      </c>
      <c r="AM18" s="181">
        <f>a_lin_6M+b_lin_6M*AI18</f>
        <v>2.0305855808008802E-3</v>
      </c>
      <c r="AN18" s="181">
        <f>a_quad_6M+b_quad_6M*AI18+c_quad_6M*AI18^2</f>
        <v>1.9840444420249409E-3</v>
      </c>
    </row>
    <row r="19" spans="3:40" ht="12" customHeight="1" x14ac:dyDescent="0.2">
      <c r="C19" s="182" t="s">
        <v>40</v>
      </c>
      <c r="D19" s="167">
        <f t="shared" si="5"/>
        <v>42110</v>
      </c>
      <c r="E19" s="183">
        <f>_xll.qlCalendarAdvance(Calendar,SettlementDate,C19,"mf",TRUE,Trigger)</f>
        <v>42142</v>
      </c>
      <c r="F19" s="205"/>
      <c r="G19" s="205"/>
      <c r="H19" s="205"/>
      <c r="I19" s="205"/>
      <c r="J19" s="169">
        <f>_xll.qlDayCounterYearFraction(DayCounter,D19,E19,,,Trigger)</f>
        <v>8.8888888888888892E-2</v>
      </c>
      <c r="K19" s="208">
        <f>_xll.qlYieldTSDiscount(Discounting,D19,,AllTriggers)</f>
        <v>1</v>
      </c>
      <c r="L19" s="208">
        <f>_xll.qlYieldTSDiscount(Discounting,E19,,AllTriggers)</f>
        <v>1.0000773393142086</v>
      </c>
      <c r="M19" s="218">
        <f t="shared" si="8"/>
        <v>-8.6999999964323949E-4</v>
      </c>
      <c r="N19" s="181">
        <f t="shared" si="9"/>
        <v>1.1778254125516252E-3</v>
      </c>
      <c r="O19" s="181">
        <f t="shared" si="9"/>
        <v>9.6547192502738355E-4</v>
      </c>
      <c r="P19" s="181">
        <f t="shared" si="9"/>
        <v>5.1914484182763454E-4</v>
      </c>
      <c r="Q19" s="181">
        <f t="shared" si="9"/>
        <v>1.1584783582380132E-3</v>
      </c>
      <c r="R19" s="181">
        <f t="shared" si="9"/>
        <v>1.1090781134256988E-3</v>
      </c>
      <c r="S19" s="154"/>
      <c r="AH19" s="183">
        <f>_xll.qlCalendarAdvance(Calendar,AH18,"1d","mf",,Trigger)</f>
        <v>42135</v>
      </c>
      <c r="AI19" s="169">
        <f>_xll.qlDayCounterYearFraction(DayCounter,SettlementDate,AH19,,,Trigger)</f>
        <v>6.9444444444444448E-2</v>
      </c>
      <c r="AJ19" s="181">
        <f t="shared" si="0"/>
        <v>2.0477974016661158E-3</v>
      </c>
      <c r="AK19" s="181">
        <f t="shared" si="1"/>
        <v>1.8531585789362379E-3</v>
      </c>
      <c r="AL19" s="181">
        <f t="shared" si="2"/>
        <v>1.4892573216699278E-3</v>
      </c>
      <c r="AM19" s="181">
        <f>a_lin_6M+b_lin_6M*AI19</f>
        <v>2.0316521931715132E-3</v>
      </c>
      <c r="AN19" s="181">
        <f>a_quad_6M+b_quad_6M*AI19+c_quad_6M*AI19^2</f>
        <v>1.9864886560596968E-3</v>
      </c>
    </row>
    <row r="20" spans="3:40" ht="12" customHeight="1" x14ac:dyDescent="0.2">
      <c r="C20" s="182" t="s">
        <v>47</v>
      </c>
      <c r="D20" s="167">
        <f t="shared" si="5"/>
        <v>42110</v>
      </c>
      <c r="E20" s="183">
        <f>_xll.qlCalendarAdvance(Calendar,SettlementDate,C20,"mf",TRUE,Trigger)</f>
        <v>42171</v>
      </c>
      <c r="F20" s="205"/>
      <c r="G20" s="205"/>
      <c r="H20" s="205"/>
      <c r="I20" s="205"/>
      <c r="J20" s="169">
        <f>_xll.qlDayCounterYearFraction(DayCounter,D20,E20,,,Trigger)</f>
        <v>0.16944444444444445</v>
      </c>
      <c r="K20" s="208">
        <f>_xll.qlYieldTSDiscount(Discounting,D20,,AllTriggers)</f>
        <v>1</v>
      </c>
      <c r="L20" s="208">
        <f>_xll.qlYieldTSDiscount(Discounting,E20,,AllTriggers)</f>
        <v>1.0001605222997145</v>
      </c>
      <c r="M20" s="218">
        <f t="shared" si="8"/>
        <v>-9.4719267408072854E-4</v>
      </c>
      <c r="N20" s="181">
        <f t="shared" si="9"/>
        <v>1.1006313277153507E-3</v>
      </c>
      <c r="O20" s="181">
        <f t="shared" si="9"/>
        <v>9.1677435363333201E-4</v>
      </c>
      <c r="P20" s="181">
        <f t="shared" si="9"/>
        <v>5.8659452018788589E-4</v>
      </c>
      <c r="Q20" s="181">
        <f t="shared" si="9"/>
        <v>1.0864389459668386E-3</v>
      </c>
      <c r="R20" s="181">
        <f t="shared" si="9"/>
        <v>1.0435399254184981E-3</v>
      </c>
      <c r="S20" s="154"/>
      <c r="AH20" s="183">
        <f>_xll.qlCalendarAdvance(Calendar,AH19,"1d","mf",,Trigger)</f>
        <v>42136</v>
      </c>
      <c r="AI20" s="169">
        <f>_xll.qlDayCounterYearFraction(DayCounter,SettlementDate,AH20,,,Trigger)</f>
        <v>7.2222222222222215E-2</v>
      </c>
      <c r="AJ20" s="181">
        <f t="shared" si="0"/>
        <v>2.0477974016661158E-3</v>
      </c>
      <c r="AK20" s="181">
        <f t="shared" si="1"/>
        <v>1.8551246276506811E-3</v>
      </c>
      <c r="AL20" s="181">
        <f t="shared" si="2"/>
        <v>1.4996472819304128E-3</v>
      </c>
      <c r="AM20" s="181">
        <f>a_lin_6M+b_lin_6M*AI20</f>
        <v>2.0320077306283909E-3</v>
      </c>
      <c r="AN20" s="181">
        <f>a_quad_6M+b_quad_6M*AI20+c_quad_6M*AI20^2</f>
        <v>1.987300554129488E-3</v>
      </c>
    </row>
    <row r="21" spans="3:40" ht="12" customHeight="1" x14ac:dyDescent="0.2">
      <c r="C21" s="182" t="s">
        <v>41</v>
      </c>
      <c r="D21" s="167">
        <f t="shared" si="5"/>
        <v>42110</v>
      </c>
      <c r="E21" s="183">
        <f>_xll.qlCalendarAdvance(Calendar,SettlementDate,C21,"mf",TRUE,Trigger)</f>
        <v>42201</v>
      </c>
      <c r="F21" s="205"/>
      <c r="G21" s="205"/>
      <c r="H21" s="205"/>
      <c r="I21" s="205"/>
      <c r="J21" s="169">
        <f>_xll.qlDayCounterYearFraction(DayCounter,D21,E21,,,Trigger)</f>
        <v>0.25277777777777777</v>
      </c>
      <c r="K21" s="208">
        <f>_xll.qlYieldTSDiscount(Discounting,D21,,AllTriggers)</f>
        <v>1</v>
      </c>
      <c r="L21" s="208">
        <f>_xll.qlYieldTSDiscount(Discounting,E21,,AllTriggers)</f>
        <v>1.0002739540974652</v>
      </c>
      <c r="M21" s="218">
        <f t="shared" si="8"/>
        <v>-1.0834776283750328E-3</v>
      </c>
      <c r="N21" s="181">
        <f t="shared" si="9"/>
        <v>9.6428887927261684E-4</v>
      </c>
      <c r="O21" s="181">
        <f t="shared" si="9"/>
        <v>8.0991944713354903E-4</v>
      </c>
      <c r="P21" s="181">
        <f t="shared" si="9"/>
        <v>5.7776053959178626E-4</v>
      </c>
      <c r="Q21" s="181">
        <f t="shared" si="9"/>
        <v>9.5543003973551171E-4</v>
      </c>
      <c r="R21" s="181">
        <f t="shared" si="9"/>
        <v>9.1883946360691454E-4</v>
      </c>
      <c r="S21" s="154"/>
      <c r="AH21" s="183">
        <f>_xll.qlCalendarAdvance(Calendar,AH20,"1d","mf",,Trigger)</f>
        <v>42137</v>
      </c>
      <c r="AI21" s="169">
        <f>_xll.qlDayCounterYearFraction(DayCounter,SettlementDate,AH21,,,Trigger)</f>
        <v>7.4999999999999997E-2</v>
      </c>
      <c r="AJ21" s="181">
        <f t="shared" si="0"/>
        <v>2.0477974016661158E-3</v>
      </c>
      <c r="AK21" s="181">
        <f t="shared" si="1"/>
        <v>1.8570906763651243E-3</v>
      </c>
      <c r="AL21" s="181">
        <f t="shared" si="2"/>
        <v>1.5099621717646334E-3</v>
      </c>
      <c r="AM21" s="181">
        <f>a_lin_6M+b_lin_6M*AI21</f>
        <v>2.0323632680852685E-3</v>
      </c>
      <c r="AN21" s="181">
        <f>a_quad_6M+b_quad_6M*AI21+c_quad_6M*AI21^2</f>
        <v>1.9881110322283817E-3</v>
      </c>
    </row>
    <row r="22" spans="3:40" ht="12" customHeight="1" x14ac:dyDescent="0.2">
      <c r="C22" s="182" t="s">
        <v>48</v>
      </c>
      <c r="D22" s="167">
        <f t="shared" si="5"/>
        <v>42110</v>
      </c>
      <c r="E22" s="183">
        <f>_xll.qlCalendarAdvance(Calendar,SettlementDate,C22,"mf",TRUE,Trigger)</f>
        <v>42233</v>
      </c>
      <c r="F22" s="205"/>
      <c r="G22" s="205"/>
      <c r="H22" s="205"/>
      <c r="I22" s="205"/>
      <c r="J22" s="169">
        <f>_xll.qlDayCounterYearFraction(DayCounter,D22,E22,,,Trigger)</f>
        <v>0.34166666666666667</v>
      </c>
      <c r="K22" s="208">
        <f>_xll.qlYieldTSDiscount(Discounting,D22,,AllTriggers)</f>
        <v>1</v>
      </c>
      <c r="L22" s="208">
        <f>_xll.qlYieldTSDiscount(Discounting,E22,,AllTriggers)</f>
        <v>1.0004030503323569</v>
      </c>
      <c r="M22" s="218">
        <f t="shared" si="8"/>
        <v>-1.1791842387377488E-3</v>
      </c>
      <c r="N22" s="181">
        <f t="shared" si="9"/>
        <v>8.6850439362507186E-4</v>
      </c>
      <c r="O22" s="181">
        <f t="shared" si="9"/>
        <v>7.4559246640876881E-4</v>
      </c>
      <c r="P22" s="181">
        <f t="shared" si="9"/>
        <v>5.9317035645924348E-4</v>
      </c>
      <c r="Q22" s="181">
        <f t="shared" si="9"/>
        <v>8.6533536392625183E-4</v>
      </c>
      <c r="R22" s="181">
        <f t="shared" si="9"/>
        <v>8.3500510376787482E-4</v>
      </c>
      <c r="S22" s="154"/>
      <c r="AH22" s="183">
        <f>_xll.qlCalendarAdvance(Calendar,AH21,"1d","mf",,Trigger)</f>
        <v>42138</v>
      </c>
      <c r="AI22" s="169">
        <f>_xll.qlDayCounterYearFraction(DayCounter,SettlementDate,AH22,,,Trigger)</f>
        <v>7.7777777777777779E-2</v>
      </c>
      <c r="AJ22" s="181">
        <f t="shared" si="0"/>
        <v>2.0477974016661158E-3</v>
      </c>
      <c r="AK22" s="181">
        <f t="shared" si="1"/>
        <v>1.8590567250795676E-3</v>
      </c>
      <c r="AL22" s="181">
        <f t="shared" si="2"/>
        <v>1.5202019911725899E-3</v>
      </c>
      <c r="AM22" s="181">
        <f>a_lin_6M+b_lin_6M*AI22</f>
        <v>2.0327188055421462E-3</v>
      </c>
      <c r="AN22" s="181">
        <f>a_quad_6M+b_quad_6M*AI22+c_quad_6M*AI22^2</f>
        <v>1.9889200903563781E-3</v>
      </c>
    </row>
    <row r="23" spans="3:40" ht="12" customHeight="1" x14ac:dyDescent="0.2">
      <c r="C23" s="182" t="s">
        <v>49</v>
      </c>
      <c r="D23" s="167">
        <f t="shared" si="5"/>
        <v>42110</v>
      </c>
      <c r="E23" s="183">
        <f>_xll.qlCalendarAdvance(Calendar,SettlementDate,C23,"mf",TRUE,Trigger)</f>
        <v>42263</v>
      </c>
      <c r="F23" s="205"/>
      <c r="G23" s="205"/>
      <c r="H23" s="205"/>
      <c r="I23" s="205"/>
      <c r="J23" s="169">
        <f>_xll.qlDayCounterYearFraction(DayCounter,D23,E23,,,Trigger)</f>
        <v>0.42499999999999999</v>
      </c>
      <c r="K23" s="208">
        <f>_xll.qlYieldTSDiscount(Discounting,D23,,AllTriggers)</f>
        <v>1</v>
      </c>
      <c r="L23" s="208">
        <f>_xll.qlYieldTSDiscount(Discounting,E23,,AllTriggers)</f>
        <v>1.0005255957935155</v>
      </c>
      <c r="M23" s="218">
        <f t="shared" si="8"/>
        <v>-1.2360463239939367E-3</v>
      </c>
      <c r="N23" s="181">
        <f t="shared" si="9"/>
        <v>8.1156623296486854E-4</v>
      </c>
      <c r="O23" s="181">
        <f t="shared" si="9"/>
        <v>7.1814856215076078E-4</v>
      </c>
      <c r="P23" s="181">
        <f t="shared" si="9"/>
        <v>6.1720859200681591E-4</v>
      </c>
      <c r="Q23" s="181">
        <f t="shared" si="9"/>
        <v>8.1373195122789435E-4</v>
      </c>
      <c r="R23" s="181">
        <f t="shared" si="9"/>
        <v>7.8883100991741296E-4</v>
      </c>
      <c r="S23" s="154"/>
      <c r="AH23" s="183">
        <f>_xll.qlCalendarAdvance(Calendar,AH22,"1d","mf",,Trigger)</f>
        <v>42139</v>
      </c>
      <c r="AI23" s="169">
        <f>_xll.qlDayCounterYearFraction(DayCounter,SettlementDate,AH23,,,Trigger)</f>
        <v>8.0555555555555561E-2</v>
      </c>
      <c r="AJ23" s="181">
        <f t="shared" si="0"/>
        <v>2.0477974016661158E-3</v>
      </c>
      <c r="AK23" s="181">
        <f t="shared" si="1"/>
        <v>1.8610227737940108E-3</v>
      </c>
      <c r="AL23" s="181">
        <f t="shared" si="2"/>
        <v>1.5303667401542821E-3</v>
      </c>
      <c r="AM23" s="181">
        <f>a_lin_6M+b_lin_6M*AI23</f>
        <v>2.0330743429990239E-3</v>
      </c>
      <c r="AN23" s="181">
        <f>a_quad_6M+b_quad_6M*AI23+c_quad_6M*AI23^2</f>
        <v>1.9897277285134776E-3</v>
      </c>
    </row>
    <row r="24" spans="3:40" ht="12" customHeight="1" x14ac:dyDescent="0.2">
      <c r="C24" s="186" t="s">
        <v>42</v>
      </c>
      <c r="D24" s="172">
        <f t="shared" si="5"/>
        <v>42110</v>
      </c>
      <c r="E24" s="187">
        <f>_xll.qlCalendarAdvance(Calendar,SettlementDate,C24,"mf",TRUE,Trigger)</f>
        <v>42293</v>
      </c>
      <c r="F24" s="209"/>
      <c r="G24" s="209"/>
      <c r="H24" s="209"/>
      <c r="I24" s="209"/>
      <c r="J24" s="174">
        <f>_xll.qlDayCounterYearFraction(DayCounter,D24,E24,,,Trigger)</f>
        <v>0.5083333333333333</v>
      </c>
      <c r="K24" s="210">
        <f>_xll.qlYieldTSDiscount(Discounting,D24,,AllTriggers)</f>
        <v>1</v>
      </c>
      <c r="L24" s="210">
        <f>_xll.qlYieldTSDiscount(Discounting,E24,,AllTriggers)</f>
        <v>1.0006455992998595</v>
      </c>
      <c r="M24" s="219">
        <f t="shared" si="8"/>
        <v>-1.2692120071766133E-3</v>
      </c>
      <c r="N24" s="190">
        <f t="shared" si="9"/>
        <v>7.7832971427675907E-4</v>
      </c>
      <c r="O24" s="190">
        <f t="shared" si="9"/>
        <v>7.1440888841858982E-4</v>
      </c>
      <c r="P24" s="190">
        <f t="shared" si="9"/>
        <v>6.4242753320430958E-4</v>
      </c>
      <c r="Q24" s="190">
        <f t="shared" si="9"/>
        <v>7.8583072756311008E-4</v>
      </c>
      <c r="R24" s="190">
        <f t="shared" si="9"/>
        <v>7.6593341566227066E-4</v>
      </c>
      <c r="AH24" s="183">
        <f>_xll.qlCalendarAdvance(Calendar,AH23,"1d","mf",,Trigger)</f>
        <v>42142</v>
      </c>
      <c r="AI24" s="169">
        <f>_xll.qlDayCounterYearFraction(DayCounter,SettlementDate,AH24,,,Trigger)</f>
        <v>8.8888888888888892E-2</v>
      </c>
      <c r="AJ24" s="181">
        <f t="shared" si="0"/>
        <v>2.0477974016661158E-3</v>
      </c>
      <c r="AK24" s="181">
        <f t="shared" si="1"/>
        <v>1.8669209199373405E-3</v>
      </c>
      <c r="AL24" s="181">
        <f t="shared" si="2"/>
        <v>1.560410564541772E-3</v>
      </c>
      <c r="AM24" s="181">
        <f>a_lin_6M+b_lin_6M*AI24</f>
        <v>2.0341409553696565E-3</v>
      </c>
      <c r="AN24" s="181">
        <f>a_quad_6M+b_quad_6M*AI24+c_quad_6M*AI24^2</f>
        <v>1.9921421231593925E-3</v>
      </c>
    </row>
    <row r="25" spans="3:40" ht="12" customHeight="1" x14ac:dyDescent="0.2">
      <c r="AH25" s="183">
        <f>_xll.qlCalendarAdvance(Calendar,AH24,"1d","mf",,Trigger)</f>
        <v>42143</v>
      </c>
      <c r="AI25" s="169">
        <f>_xll.qlDayCounterYearFraction(DayCounter,SettlementDate,AH25,,,Trigger)</f>
        <v>9.166666666666666E-2</v>
      </c>
      <c r="AJ25" s="181">
        <f t="shared" si="0"/>
        <v>2.0477974016661158E-3</v>
      </c>
      <c r="AK25" s="181">
        <f t="shared" si="1"/>
        <v>1.8688869686517837E-3</v>
      </c>
      <c r="AL25" s="181">
        <f t="shared" si="2"/>
        <v>1.5702750318184069E-3</v>
      </c>
      <c r="AM25" s="181">
        <f>a_lin_6M+b_lin_6M*AI25</f>
        <v>2.0344964928265341E-3</v>
      </c>
      <c r="AN25" s="181">
        <f>a_quad_6M+b_quad_6M*AI25+c_quad_6M*AI25^2</f>
        <v>1.9929440814329034E-3</v>
      </c>
    </row>
    <row r="26" spans="3:40" ht="12" customHeight="1" x14ac:dyDescent="0.2">
      <c r="C26" s="156" t="s">
        <v>123</v>
      </c>
      <c r="AH26" s="183">
        <f>_xll.qlCalendarAdvance(Calendar,AH25,"1d","mf",,Trigger)</f>
        <v>42144</v>
      </c>
      <c r="AI26" s="169">
        <f>_xll.qlDayCounterYearFraction(DayCounter,SettlementDate,AH26,,,Trigger)</f>
        <v>9.4444444444444442E-2</v>
      </c>
      <c r="AJ26" s="181">
        <f t="shared" si="0"/>
        <v>2.0477974016661158E-3</v>
      </c>
      <c r="AK26" s="181">
        <f t="shared" si="1"/>
        <v>1.870853017366227E-3</v>
      </c>
      <c r="AL26" s="181">
        <f t="shared" si="2"/>
        <v>1.5800644286687773E-3</v>
      </c>
      <c r="AM26" s="181">
        <f>a_lin_6M+b_lin_6M*AI26</f>
        <v>2.0348520302834118E-3</v>
      </c>
      <c r="AN26" s="181">
        <f>a_quad_6M+b_quad_6M*AI26+c_quad_6M*AI26^2</f>
        <v>1.9937446197355168E-3</v>
      </c>
    </row>
    <row r="27" spans="3:40" ht="12" customHeight="1" x14ac:dyDescent="0.2">
      <c r="C27" s="193" t="s">
        <v>107</v>
      </c>
      <c r="AH27" s="183">
        <f>_xll.qlCalendarAdvance(Calendar,AH26,"1d","mf",,Trigger)</f>
        <v>42145</v>
      </c>
      <c r="AI27" s="169">
        <f>_xll.qlDayCounterYearFraction(DayCounter,SettlementDate,AH27,,,Trigger)</f>
        <v>9.7222222222222224E-2</v>
      </c>
      <c r="AJ27" s="181">
        <f t="shared" si="0"/>
        <v>2.0477974016661158E-3</v>
      </c>
      <c r="AK27" s="181">
        <f t="shared" si="1"/>
        <v>1.8728190660806702E-3</v>
      </c>
      <c r="AL27" s="181">
        <f t="shared" si="2"/>
        <v>1.5897787550928832E-3</v>
      </c>
      <c r="AM27" s="181">
        <f>a_lin_6M+b_lin_6M*AI27</f>
        <v>2.0352075677402895E-3</v>
      </c>
      <c r="AN27" s="181">
        <f>a_quad_6M+b_quad_6M*AI27+c_quad_6M*AI27^2</f>
        <v>1.9945437380672329E-3</v>
      </c>
    </row>
    <row r="28" spans="3:40" ht="12" customHeight="1" x14ac:dyDescent="0.2">
      <c r="C28" s="181">
        <f>IF($C$27="FLAT",N15,IF($C$27="linear",O15,IF($C$27="quadratic",P15,IF($C$27="linear best-fit",Q15,R15))))</f>
        <v>3.9717367522840163E-4</v>
      </c>
      <c r="AH28" s="183">
        <f>_xll.qlCalendarAdvance(Calendar,AH27,"1d","mf",,Trigger)</f>
        <v>42146</v>
      </c>
      <c r="AI28" s="169">
        <f>_xll.qlDayCounterYearFraction(DayCounter,SettlementDate,AH28,,,Trigger)</f>
        <v>0.1</v>
      </c>
      <c r="AJ28" s="181">
        <f t="shared" si="0"/>
        <v>2.0477974016661158E-3</v>
      </c>
      <c r="AK28" s="181">
        <f t="shared" si="1"/>
        <v>1.8747851147951134E-3</v>
      </c>
      <c r="AL28" s="181">
        <f t="shared" si="2"/>
        <v>1.5994180110907249E-3</v>
      </c>
      <c r="AM28" s="181">
        <f>a_lin_6M+b_lin_6M*AI28</f>
        <v>2.0355631051971672E-3</v>
      </c>
      <c r="AN28" s="181">
        <f>a_quad_6M+b_quad_6M*AI28+c_quad_6M*AI28^2</f>
        <v>1.995341436428052E-3</v>
      </c>
    </row>
    <row r="29" spans="3:40" ht="12" customHeight="1" x14ac:dyDescent="0.2">
      <c r="C29" s="181">
        <f t="shared" ref="C29:C37" si="10">IF($C$27="FLAT",N16,IF($C$27="linear",O16,IF($C$27="quadratic",P16,IF($C$27="linear best-fit",Q16,R16))))</f>
        <v>4.0755700275190473E-4</v>
      </c>
      <c r="AH29" s="183">
        <f>_xll.qlCalendarAdvance(Calendar,AH28,"1d","mf",,Trigger)</f>
        <v>42149</v>
      </c>
      <c r="AI29" s="169">
        <f>_xll.qlDayCounterYearFraction(DayCounter,SettlementDate,AH29,,,Trigger)</f>
        <v>0.10833333333333334</v>
      </c>
      <c r="AJ29" s="181">
        <f t="shared" si="0"/>
        <v>2.0477974016661158E-3</v>
      </c>
      <c r="AK29" s="181">
        <f t="shared" si="1"/>
        <v>1.8806832609384429E-3</v>
      </c>
      <c r="AL29" s="181">
        <f t="shared" si="2"/>
        <v>1.6278853565266642E-3</v>
      </c>
      <c r="AM29" s="181">
        <f>a_lin_6M+b_lin_6M*AI29</f>
        <v>2.0366297175677998E-3</v>
      </c>
      <c r="AN29" s="181">
        <f>a_quad_6M+b_quad_6M*AI29+c_quad_6M*AI29^2</f>
        <v>1.9977260116851264E-3</v>
      </c>
    </row>
    <row r="30" spans="3:40" ht="12" customHeight="1" x14ac:dyDescent="0.2">
      <c r="C30" s="181">
        <f t="shared" si="10"/>
        <v>3.9877560682720158E-4</v>
      </c>
      <c r="AH30" s="183">
        <f>_xll.qlCalendarAdvance(Calendar,AH29,"1d","mf",,Trigger)</f>
        <v>42150</v>
      </c>
      <c r="AI30" s="169">
        <f>_xll.qlDayCounterYearFraction(DayCounter,SettlementDate,AH30,,,Trigger)</f>
        <v>0.1111111111111111</v>
      </c>
      <c r="AJ30" s="181">
        <f t="shared" si="0"/>
        <v>2.0477974016661158E-3</v>
      </c>
      <c r="AK30" s="181">
        <f t="shared" si="1"/>
        <v>1.8826493096528861E-3</v>
      </c>
      <c r="AL30" s="181">
        <f t="shared" si="2"/>
        <v>1.6372243308194485E-3</v>
      </c>
      <c r="AM30" s="181">
        <f>a_lin_6M+b_lin_6M*AI30</f>
        <v>2.0369852550246774E-3</v>
      </c>
      <c r="AN30" s="181">
        <f>a_quad_6M+b_quad_6M*AI30+c_quad_6M*AI30^2</f>
        <v>1.9985180301623565E-3</v>
      </c>
    </row>
    <row r="31" spans="3:40" ht="12" customHeight="1" x14ac:dyDescent="0.2">
      <c r="C31" s="181">
        <f t="shared" si="10"/>
        <v>5.4877847706842023E-4</v>
      </c>
      <c r="AH31" s="183">
        <f>_xll.qlCalendarAdvance(Calendar,AH30,"1d","mf",,Trigger)</f>
        <v>42151</v>
      </c>
      <c r="AI31" s="169">
        <f>_xll.qlDayCounterYearFraction(DayCounter,SettlementDate,AH31,,,Trigger)</f>
        <v>0.11388888888888889</v>
      </c>
      <c r="AJ31" s="181">
        <f t="shared" si="0"/>
        <v>2.0477974016661158E-3</v>
      </c>
      <c r="AK31" s="181">
        <f t="shared" si="1"/>
        <v>1.8846153583673294E-3</v>
      </c>
      <c r="AL31" s="181">
        <f t="shared" si="2"/>
        <v>1.6464882346859686E-3</v>
      </c>
      <c r="AM31" s="181">
        <f>a_lin_6M+b_lin_6M*AI31</f>
        <v>2.0373407924815551E-3</v>
      </c>
      <c r="AN31" s="181">
        <f>a_quad_6M+b_quad_6M*AI31+c_quad_6M*AI31^2</f>
        <v>1.9993086286686896E-3</v>
      </c>
    </row>
    <row r="32" spans="3:40" ht="12" customHeight="1" x14ac:dyDescent="0.2">
      <c r="C32" s="181">
        <f t="shared" si="10"/>
        <v>5.1914484182763454E-4</v>
      </c>
      <c r="AH32" s="183">
        <f>_xll.qlCalendarAdvance(Calendar,AH31,"1d","mf",,Trigger)</f>
        <v>42152</v>
      </c>
      <c r="AI32" s="169">
        <f>_xll.qlDayCounterYearFraction(DayCounter,SettlementDate,AH32,,,Trigger)</f>
        <v>0.11666666666666667</v>
      </c>
      <c r="AJ32" s="181">
        <f t="shared" si="0"/>
        <v>2.0477974016661158E-3</v>
      </c>
      <c r="AK32" s="181">
        <f t="shared" si="1"/>
        <v>1.8865814070817726E-3</v>
      </c>
      <c r="AL32" s="181">
        <f t="shared" si="2"/>
        <v>1.6556770681262242E-3</v>
      </c>
      <c r="AM32" s="181">
        <f>a_lin_6M+b_lin_6M*AI32</f>
        <v>2.0376963299384328E-3</v>
      </c>
      <c r="AN32" s="181">
        <f>a_quad_6M+b_quad_6M*AI32+c_quad_6M*AI32^2</f>
        <v>2.0000978072041257E-3</v>
      </c>
    </row>
    <row r="33" spans="3:40" ht="12" customHeight="1" x14ac:dyDescent="0.2">
      <c r="C33" s="181">
        <f t="shared" si="10"/>
        <v>5.8659452018788589E-4</v>
      </c>
      <c r="AH33" s="183">
        <f>_xll.qlCalendarAdvance(Calendar,AH32,"1d","mf",,Trigger)</f>
        <v>42153</v>
      </c>
      <c r="AI33" s="169">
        <f>_xll.qlDayCounterYearFraction(DayCounter,SettlementDate,AH33,,,Trigger)</f>
        <v>0.11944444444444445</v>
      </c>
      <c r="AJ33" s="181">
        <f t="shared" si="0"/>
        <v>2.0477974016661158E-3</v>
      </c>
      <c r="AK33" s="181">
        <f t="shared" si="1"/>
        <v>1.8885474557962158E-3</v>
      </c>
      <c r="AL33" s="181">
        <f t="shared" si="2"/>
        <v>1.6647908311402154E-3</v>
      </c>
      <c r="AM33" s="181">
        <f>a_lin_6M+b_lin_6M*AI33</f>
        <v>2.0380518673953105E-3</v>
      </c>
      <c r="AN33" s="181">
        <f>a_quad_6M+b_quad_6M*AI33+c_quad_6M*AI33^2</f>
        <v>2.0008855657686645E-3</v>
      </c>
    </row>
    <row r="34" spans="3:40" ht="12" customHeight="1" x14ac:dyDescent="0.2">
      <c r="C34" s="181">
        <f t="shared" si="10"/>
        <v>5.7776053959178626E-4</v>
      </c>
      <c r="AH34" s="183">
        <f>_xll.qlCalendarAdvance(Calendar,AH33,"1d","mf",,Trigger)</f>
        <v>42156</v>
      </c>
      <c r="AI34" s="169">
        <f>_xll.qlDayCounterYearFraction(DayCounter,SettlementDate,AH34,,,Trigger)</f>
        <v>0.12777777777777777</v>
      </c>
      <c r="AJ34" s="181">
        <f t="shared" si="0"/>
        <v>2.0477974016661158E-3</v>
      </c>
      <c r="AK34" s="181">
        <f t="shared" si="1"/>
        <v>1.8944456019395455E-3</v>
      </c>
      <c r="AL34" s="181">
        <f t="shared" si="2"/>
        <v>1.6916816976246035E-3</v>
      </c>
      <c r="AM34" s="181">
        <f>a_lin_6M+b_lin_6M*AI34</f>
        <v>2.0391184797659435E-3</v>
      </c>
      <c r="AN34" s="181">
        <f>a_quad_6M+b_quad_6M*AI34+c_quad_6M*AI34^2</f>
        <v>2.0032403216368976E-3</v>
      </c>
    </row>
    <row r="35" spans="3:40" ht="12" customHeight="1" x14ac:dyDescent="0.2">
      <c r="C35" s="181">
        <f t="shared" si="10"/>
        <v>5.9317035645924348E-4</v>
      </c>
      <c r="AH35" s="183">
        <f>_xll.qlCalendarAdvance(Calendar,AH34,"1d","mf",,Trigger)</f>
        <v>42157</v>
      </c>
      <c r="AI35" s="169">
        <f>_xll.qlDayCounterYearFraction(DayCounter,SettlementDate,AH35,,,Trigger)</f>
        <v>0.13055555555555556</v>
      </c>
      <c r="AJ35" s="181">
        <f t="shared" ref="AJ35:AJ66" si="11">$Y$13</f>
        <v>2.0477974016661158E-3</v>
      </c>
      <c r="AK35" s="181">
        <f t="shared" ref="AK35:AK66" si="12">$Y$10+$Y$9*AI35</f>
        <v>1.8964116506539888E-3</v>
      </c>
      <c r="AL35" s="181">
        <f t="shared" ref="AL35:AL66" si="13">($Y$5+$Y$4*AI35+$Y$3*AI35^2)</f>
        <v>1.7004951789335377E-3</v>
      </c>
      <c r="AM35" s="181">
        <f>a_lin_6M+b_lin_6M*AI35</f>
        <v>2.0394740172228211E-3</v>
      </c>
      <c r="AN35" s="181">
        <f>a_quad_6M+b_quad_6M*AI35+c_quad_6M*AI35^2</f>
        <v>2.0040224003178477E-3</v>
      </c>
    </row>
    <row r="36" spans="3:40" ht="12" customHeight="1" x14ac:dyDescent="0.2">
      <c r="C36" s="181">
        <f t="shared" si="10"/>
        <v>6.1720859200681591E-4</v>
      </c>
      <c r="AH36" s="183">
        <f>_xll.qlCalendarAdvance(Calendar,AH35,"1d","mf",,Trigger)</f>
        <v>42158</v>
      </c>
      <c r="AI36" s="169">
        <f>_xll.qlDayCounterYearFraction(DayCounter,SettlementDate,AH36,,,Trigger)</f>
        <v>0.13333333333333333</v>
      </c>
      <c r="AJ36" s="181">
        <f t="shared" si="11"/>
        <v>2.0477974016661158E-3</v>
      </c>
      <c r="AK36" s="181">
        <f t="shared" si="12"/>
        <v>1.898377699368432E-3</v>
      </c>
      <c r="AL36" s="181">
        <f t="shared" si="13"/>
        <v>1.7092335898162073E-3</v>
      </c>
      <c r="AM36" s="181">
        <f>a_lin_6M+b_lin_6M*AI36</f>
        <v>2.0398295546796984E-3</v>
      </c>
      <c r="AN36" s="181">
        <f>a_quad_6M+b_quad_6M*AI36+c_quad_6M*AI36^2</f>
        <v>2.0048030590279009E-3</v>
      </c>
    </row>
    <row r="37" spans="3:40" ht="12" customHeight="1" x14ac:dyDescent="0.2">
      <c r="C37" s="190">
        <f t="shared" si="10"/>
        <v>6.4242753320430958E-4</v>
      </c>
      <c r="AH37" s="183">
        <f>_xll.qlCalendarAdvance(Calendar,AH36,"1d","mf",,Trigger)</f>
        <v>42159</v>
      </c>
      <c r="AI37" s="169">
        <f>_xll.qlDayCounterYearFraction(DayCounter,SettlementDate,AH37,,,Trigger)</f>
        <v>0.1361111111111111</v>
      </c>
      <c r="AJ37" s="181">
        <f t="shared" si="11"/>
        <v>2.0477974016661158E-3</v>
      </c>
      <c r="AK37" s="181">
        <f t="shared" si="12"/>
        <v>1.9003437480828752E-3</v>
      </c>
      <c r="AL37" s="181">
        <f t="shared" si="13"/>
        <v>1.7178969302726129E-3</v>
      </c>
      <c r="AM37" s="181">
        <f>a_lin_6M+b_lin_6M*AI37</f>
        <v>2.0401850921365761E-3</v>
      </c>
      <c r="AN37" s="181">
        <f>a_quad_6M+b_quad_6M*AI37+c_quad_6M*AI37^2</f>
        <v>2.0055822977670563E-3</v>
      </c>
    </row>
    <row r="38" spans="3:40" x14ac:dyDescent="0.2">
      <c r="AH38" s="183">
        <f>_xll.qlCalendarAdvance(Calendar,AH37,"1d","mf",,Trigger)</f>
        <v>42160</v>
      </c>
      <c r="AI38" s="169">
        <f>_xll.qlDayCounterYearFraction(DayCounter,SettlementDate,AH38,,,Trigger)</f>
        <v>0.1388888888888889</v>
      </c>
      <c r="AJ38" s="181">
        <f t="shared" si="11"/>
        <v>2.0477974016661158E-3</v>
      </c>
      <c r="AK38" s="181">
        <f t="shared" si="12"/>
        <v>1.9023097967973185E-3</v>
      </c>
      <c r="AL38" s="181">
        <f t="shared" si="13"/>
        <v>1.7264852003027538E-3</v>
      </c>
      <c r="AM38" s="181">
        <f>a_lin_6M+b_lin_6M*AI38</f>
        <v>2.0405406295934537E-3</v>
      </c>
      <c r="AN38" s="181">
        <f>a_quad_6M+b_quad_6M*AI38+c_quad_6M*AI38^2</f>
        <v>2.0063601165353153E-3</v>
      </c>
    </row>
    <row r="39" spans="3:40" x14ac:dyDescent="0.2">
      <c r="AH39" s="183">
        <f>_xll.qlCalendarAdvance(Calendar,AH38,"1d","mf",,Trigger)</f>
        <v>42163</v>
      </c>
      <c r="AI39" s="169">
        <f>_xll.qlDayCounterYearFraction(DayCounter,SettlementDate,AH39,,,Trigger)</f>
        <v>0.14722222222222223</v>
      </c>
      <c r="AJ39" s="181">
        <f t="shared" si="11"/>
        <v>2.0477974016661158E-3</v>
      </c>
      <c r="AK39" s="181">
        <f t="shared" si="12"/>
        <v>1.9082079429406482E-3</v>
      </c>
      <c r="AL39" s="181">
        <f t="shared" si="13"/>
        <v>1.7517995878355908E-3</v>
      </c>
      <c r="AM39" s="181">
        <f>a_lin_6M+b_lin_6M*AI39</f>
        <v>2.0416072419640868E-3</v>
      </c>
      <c r="AN39" s="181">
        <f>a_quad_6M+b_quad_6M*AI39+c_quad_6M*AI39^2</f>
        <v>2.0086850530147073E-3</v>
      </c>
    </row>
    <row r="40" spans="3:40" x14ac:dyDescent="0.2">
      <c r="AH40" s="183">
        <f>_xll.qlCalendarAdvance(Calendar,AH39,"1d","mf",,Trigger)</f>
        <v>42164</v>
      </c>
      <c r="AI40" s="169">
        <f>_xll.qlDayCounterYearFraction(DayCounter,SettlementDate,AH40,,,Trigger)</f>
        <v>0.15</v>
      </c>
      <c r="AJ40" s="181">
        <f t="shared" si="11"/>
        <v>2.0477974016661158E-3</v>
      </c>
      <c r="AK40" s="181">
        <f t="shared" si="12"/>
        <v>1.9101739916550912E-3</v>
      </c>
      <c r="AL40" s="181">
        <f t="shared" si="13"/>
        <v>1.7600875761606743E-3</v>
      </c>
      <c r="AM40" s="181">
        <f>a_lin_6M+b_lin_6M*AI40</f>
        <v>2.0419627794209644E-3</v>
      </c>
      <c r="AN40" s="181">
        <f>a_quad_6M+b_quad_6M*AI40+c_quad_6M*AI40^2</f>
        <v>2.0094571918993771E-3</v>
      </c>
    </row>
    <row r="41" spans="3:40" x14ac:dyDescent="0.2">
      <c r="N41" s="154"/>
      <c r="O41" s="154"/>
      <c r="AH41" s="183">
        <f>_xll.qlCalendarAdvance(Calendar,AH40,"1d","mf",,Trigger)</f>
        <v>42165</v>
      </c>
      <c r="AI41" s="169">
        <f>_xll.qlDayCounterYearFraction(DayCounter,SettlementDate,AH41,,,Trigger)</f>
        <v>0.15277777777777779</v>
      </c>
      <c r="AJ41" s="181">
        <f t="shared" si="11"/>
        <v>2.0477974016661158E-3</v>
      </c>
      <c r="AK41" s="181">
        <f t="shared" si="12"/>
        <v>1.9121400403695344E-3</v>
      </c>
      <c r="AL41" s="181">
        <f t="shared" si="13"/>
        <v>1.768300494059494E-3</v>
      </c>
      <c r="AM41" s="181">
        <f>a_lin_6M+b_lin_6M*AI41</f>
        <v>2.0423183168778421E-3</v>
      </c>
      <c r="AN41" s="181">
        <f>a_quad_6M+b_quad_6M*AI41+c_quad_6M*AI41^2</f>
        <v>2.0102279108131496E-3</v>
      </c>
    </row>
    <row r="42" spans="3:40" x14ac:dyDescent="0.2">
      <c r="AH42" s="183">
        <f>_xll.qlCalendarAdvance(Calendar,AH41,"1d","mf",,Trigger)</f>
        <v>42166</v>
      </c>
      <c r="AI42" s="169">
        <f>_xll.qlDayCounterYearFraction(DayCounter,SettlementDate,AH42,,,Trigger)</f>
        <v>0.15555555555555556</v>
      </c>
      <c r="AJ42" s="181">
        <f t="shared" si="11"/>
        <v>2.0477974016661158E-3</v>
      </c>
      <c r="AK42" s="181">
        <f t="shared" si="12"/>
        <v>1.9141060890839777E-3</v>
      </c>
      <c r="AL42" s="181">
        <f t="shared" si="13"/>
        <v>1.7764383415320489E-3</v>
      </c>
      <c r="AM42" s="181">
        <f>a_lin_6M+b_lin_6M*AI42</f>
        <v>2.0426738543347193E-3</v>
      </c>
      <c r="AN42" s="181">
        <f>a_quad_6M+b_quad_6M*AI42+c_quad_6M*AI42^2</f>
        <v>2.0109972097560251E-3</v>
      </c>
    </row>
    <row r="43" spans="3:40" ht="11.25" customHeight="1" x14ac:dyDescent="0.2">
      <c r="AH43" s="183">
        <f>_xll.qlCalendarAdvance(Calendar,AH42,"1d","mf",,Trigger)</f>
        <v>42167</v>
      </c>
      <c r="AI43" s="169">
        <f>_xll.qlDayCounterYearFraction(DayCounter,SettlementDate,AH43,,,Trigger)</f>
        <v>0.15833333333333333</v>
      </c>
      <c r="AJ43" s="181">
        <f t="shared" si="11"/>
        <v>2.0477974016661158E-3</v>
      </c>
      <c r="AK43" s="181">
        <f t="shared" si="12"/>
        <v>1.9160721377984209E-3</v>
      </c>
      <c r="AL43" s="181">
        <f t="shared" si="13"/>
        <v>1.7845011185783396E-3</v>
      </c>
      <c r="AM43" s="181">
        <f>a_lin_6M+b_lin_6M*AI43</f>
        <v>2.043029391791597E-3</v>
      </c>
      <c r="AN43" s="181">
        <f>a_quad_6M+b_quad_6M*AI43+c_quad_6M*AI43^2</f>
        <v>2.0117650887280032E-3</v>
      </c>
    </row>
    <row r="44" spans="3:40" x14ac:dyDescent="0.2">
      <c r="AH44" s="183">
        <f>_xll.qlCalendarAdvance(Calendar,AH43,"1d","mf",,Trigger)</f>
        <v>42170</v>
      </c>
      <c r="AI44" s="169">
        <f>_xll.qlDayCounterYearFraction(DayCounter,SettlementDate,AH44,,,Trigger)</f>
        <v>0.16666666666666666</v>
      </c>
      <c r="AJ44" s="181">
        <f t="shared" si="11"/>
        <v>2.0477974016661158E-3</v>
      </c>
      <c r="AK44" s="181">
        <f t="shared" si="12"/>
        <v>1.9219702839417506E-3</v>
      </c>
      <c r="AL44" s="181">
        <f t="shared" si="13"/>
        <v>1.8082390271596256E-3</v>
      </c>
      <c r="AM44" s="181">
        <f>a_lin_6M+b_lin_6M*AI44</f>
        <v>2.04409600416223E-3</v>
      </c>
      <c r="AN44" s="181">
        <f>a_quad_6M+b_quad_6M*AI44+c_quad_6M*AI44^2</f>
        <v>2.0140602058185543E-3</v>
      </c>
    </row>
    <row r="45" spans="3:40" x14ac:dyDescent="0.2">
      <c r="AH45" s="183">
        <f>_xll.qlCalendarAdvance(Calendar,AH44,"1d","mf",,Trigger)</f>
        <v>42171</v>
      </c>
      <c r="AI45" s="169">
        <f>_xll.qlDayCounterYearFraction(DayCounter,SettlementDate,AH45,,,Trigger)</f>
        <v>0.16944444444444445</v>
      </c>
      <c r="AJ45" s="181">
        <f t="shared" si="11"/>
        <v>2.0477974016661158E-3</v>
      </c>
      <c r="AK45" s="181">
        <f t="shared" si="12"/>
        <v>1.9239363326561938E-3</v>
      </c>
      <c r="AL45" s="181">
        <f t="shared" si="13"/>
        <v>1.816001522500859E-3</v>
      </c>
      <c r="AM45" s="181">
        <f>a_lin_6M+b_lin_6M*AI45</f>
        <v>2.0444515416191077E-3</v>
      </c>
      <c r="AN45" s="181">
        <f>a_quad_6M+b_quad_6M*AI45+c_quad_6M*AI45^2</f>
        <v>2.0148224049069438E-3</v>
      </c>
    </row>
    <row r="46" spans="3:40" x14ac:dyDescent="0.2">
      <c r="AH46" s="183">
        <f>_xll.qlCalendarAdvance(Calendar,AH45,"1d","mf",,Trigger)</f>
        <v>42172</v>
      </c>
      <c r="AI46" s="169">
        <f>_xll.qlDayCounterYearFraction(DayCounter,SettlementDate,AH46,,,Trigger)</f>
        <v>0.17222222222222222</v>
      </c>
      <c r="AJ46" s="181">
        <f t="shared" si="11"/>
        <v>2.0477974016661158E-3</v>
      </c>
      <c r="AK46" s="181">
        <f t="shared" si="12"/>
        <v>1.9259023813706371E-3</v>
      </c>
      <c r="AL46" s="181">
        <f t="shared" si="13"/>
        <v>1.8236889474158283E-3</v>
      </c>
      <c r="AM46" s="181">
        <f>a_lin_6M+b_lin_6M*AI46</f>
        <v>2.0448070790759854E-3</v>
      </c>
      <c r="AN46" s="181">
        <f>a_quad_6M+b_quad_6M*AI46+c_quad_6M*AI46^2</f>
        <v>2.0155831840244359E-3</v>
      </c>
    </row>
    <row r="47" spans="3:40" x14ac:dyDescent="0.2">
      <c r="AH47" s="183">
        <f>_xll.qlCalendarAdvance(Calendar,AH46,"1d","mf",,Trigger)</f>
        <v>42173</v>
      </c>
      <c r="AI47" s="169">
        <f>_xll.qlDayCounterYearFraction(DayCounter,SettlementDate,AH47,,,Trigger)</f>
        <v>0.17499999999999999</v>
      </c>
      <c r="AJ47" s="181">
        <f t="shared" si="11"/>
        <v>2.0477974016661158E-3</v>
      </c>
      <c r="AK47" s="181">
        <f t="shared" si="12"/>
        <v>1.9278684300850803E-3</v>
      </c>
      <c r="AL47" s="181">
        <f t="shared" si="13"/>
        <v>1.8313013019045329E-3</v>
      </c>
      <c r="AM47" s="181">
        <f>a_lin_6M+b_lin_6M*AI47</f>
        <v>2.0451626165328631E-3</v>
      </c>
      <c r="AN47" s="181">
        <f>a_quad_6M+b_quad_6M*AI47+c_quad_6M*AI47^2</f>
        <v>2.0163425431710311E-3</v>
      </c>
    </row>
    <row r="48" spans="3:40" x14ac:dyDescent="0.2">
      <c r="AH48" s="183">
        <f>_xll.qlCalendarAdvance(Calendar,AH47,"1d","mf",,Trigger)</f>
        <v>42174</v>
      </c>
      <c r="AI48" s="169">
        <f>_xll.qlDayCounterYearFraction(DayCounter,SettlementDate,AH48,,,Trigger)</f>
        <v>0.17777777777777778</v>
      </c>
      <c r="AJ48" s="181">
        <f t="shared" si="11"/>
        <v>2.0477974016661158E-3</v>
      </c>
      <c r="AK48" s="181">
        <f t="shared" si="12"/>
        <v>1.9298344787995235E-3</v>
      </c>
      <c r="AL48" s="181">
        <f t="shared" si="13"/>
        <v>1.8388385859669731E-3</v>
      </c>
      <c r="AM48" s="181">
        <f>a_lin_6M+b_lin_6M*AI48</f>
        <v>2.0455181539897407E-3</v>
      </c>
      <c r="AN48" s="181">
        <f>a_quad_6M+b_quad_6M*AI48+c_quad_6M*AI48^2</f>
        <v>2.0171004823467289E-3</v>
      </c>
    </row>
    <row r="49" spans="14:40" x14ac:dyDescent="0.2">
      <c r="AH49" s="183">
        <f>_xll.qlCalendarAdvance(Calendar,AH48,"1d","mf",,Trigger)</f>
        <v>42177</v>
      </c>
      <c r="AI49" s="169">
        <f>_xll.qlDayCounterYearFraction(DayCounter,SettlementDate,AH49,,,Trigger)</f>
        <v>0.18611111111111112</v>
      </c>
      <c r="AJ49" s="181">
        <f t="shared" si="11"/>
        <v>2.0477974016661158E-3</v>
      </c>
      <c r="AK49" s="181">
        <f t="shared" si="12"/>
        <v>1.935732624942853E-3</v>
      </c>
      <c r="AL49" s="181">
        <f t="shared" si="13"/>
        <v>1.861000015596708E-3</v>
      </c>
      <c r="AM49" s="181">
        <f>a_lin_6M+b_lin_6M*AI49</f>
        <v>2.0465847663603733E-3</v>
      </c>
      <c r="AN49" s="181">
        <f>a_quad_6M+b_quad_6M*AI49+c_quad_6M*AI49^2</f>
        <v>2.0193657800484394E-3</v>
      </c>
    </row>
    <row r="50" spans="14:40" x14ac:dyDescent="0.2">
      <c r="AH50" s="183">
        <f>_xll.qlCalendarAdvance(Calendar,AH49,"1d","mf",,Trigger)</f>
        <v>42178</v>
      </c>
      <c r="AI50" s="169">
        <f>_xll.qlDayCounterYearFraction(DayCounter,SettlementDate,AH50,,,Trigger)</f>
        <v>0.18888888888888888</v>
      </c>
      <c r="AJ50" s="181">
        <f t="shared" si="11"/>
        <v>2.0477974016661158E-3</v>
      </c>
      <c r="AK50" s="181">
        <f t="shared" si="12"/>
        <v>1.9376986736572965E-3</v>
      </c>
      <c r="AL50" s="181">
        <f t="shared" si="13"/>
        <v>1.8682370179540914E-3</v>
      </c>
      <c r="AM50" s="181">
        <f>a_lin_6M+b_lin_6M*AI50</f>
        <v>2.046940303817251E-3</v>
      </c>
      <c r="AN50" s="181">
        <f>a_quad_6M+b_quad_6M*AI50+c_quad_6M*AI50^2</f>
        <v>2.0201180393405486E-3</v>
      </c>
    </row>
    <row r="51" spans="14:40" x14ac:dyDescent="0.2">
      <c r="AH51" s="183">
        <f>_xll.qlCalendarAdvance(Calendar,AH50,"1d","mf",,Trigger)</f>
        <v>42179</v>
      </c>
      <c r="AI51" s="169">
        <f>_xll.qlDayCounterYearFraction(DayCounter,SettlementDate,AH51,,,Trigger)</f>
        <v>0.19166666666666668</v>
      </c>
      <c r="AJ51" s="181">
        <f t="shared" si="11"/>
        <v>2.0477974016661158E-3</v>
      </c>
      <c r="AK51" s="181">
        <f t="shared" si="12"/>
        <v>1.9396647223717395E-3</v>
      </c>
      <c r="AL51" s="181">
        <f t="shared" si="13"/>
        <v>1.8753989498852099E-3</v>
      </c>
      <c r="AM51" s="181">
        <f>a_lin_6M+b_lin_6M*AI51</f>
        <v>2.0472958412741287E-3</v>
      </c>
      <c r="AN51" s="181">
        <f>a_quad_6M+b_quad_6M*AI51+c_quad_6M*AI51^2</f>
        <v>2.0208688786617604E-3</v>
      </c>
    </row>
    <row r="52" spans="14:40" x14ac:dyDescent="0.2">
      <c r="AH52" s="183">
        <f>_xll.qlCalendarAdvance(Calendar,AH51,"1d","mf",,Trigger)</f>
        <v>42180</v>
      </c>
      <c r="AI52" s="169">
        <f>_xll.qlDayCounterYearFraction(DayCounter,SettlementDate,AH52,,,Trigger)</f>
        <v>0.19444444444444445</v>
      </c>
      <c r="AJ52" s="181">
        <f t="shared" si="11"/>
        <v>2.0477974016661158E-3</v>
      </c>
      <c r="AK52" s="181">
        <f t="shared" si="12"/>
        <v>1.9416307710861827E-3</v>
      </c>
      <c r="AL52" s="181">
        <f t="shared" si="13"/>
        <v>1.882485811390064E-3</v>
      </c>
      <c r="AM52" s="181">
        <f>a_lin_6M+b_lin_6M*AI52</f>
        <v>2.0476513787310064E-3</v>
      </c>
      <c r="AN52" s="181">
        <f>a_quad_6M+b_quad_6M*AI52+c_quad_6M*AI52^2</f>
        <v>2.0216182980120753E-3</v>
      </c>
    </row>
    <row r="53" spans="14:40" x14ac:dyDescent="0.2">
      <c r="AH53" s="183">
        <f>_xll.qlCalendarAdvance(Calendar,AH52,"1d","mf",,Trigger)</f>
        <v>42181</v>
      </c>
      <c r="AI53" s="169">
        <f>_xll.qlDayCounterYearFraction(DayCounter,SettlementDate,AH53,,,Trigger)</f>
        <v>0.19722222222222222</v>
      </c>
      <c r="AJ53" s="181">
        <f t="shared" si="11"/>
        <v>2.0477974016661158E-3</v>
      </c>
      <c r="AK53" s="181">
        <f t="shared" si="12"/>
        <v>1.9435968198006259E-3</v>
      </c>
      <c r="AL53" s="181">
        <f t="shared" si="13"/>
        <v>1.8894976024686544E-3</v>
      </c>
      <c r="AM53" s="181">
        <f>a_lin_6M+b_lin_6M*AI53</f>
        <v>2.048006916187884E-3</v>
      </c>
      <c r="AN53" s="181">
        <f>a_quad_6M+b_quad_6M*AI53+c_quad_6M*AI53^2</f>
        <v>2.0223662973914928E-3</v>
      </c>
    </row>
    <row r="54" spans="14:40" x14ac:dyDescent="0.2">
      <c r="AH54" s="183">
        <f>_xll.qlCalendarAdvance(Calendar,AH53,"1d","mf",,Trigger)</f>
        <v>42184</v>
      </c>
      <c r="AI54" s="169">
        <f>_xll.qlDayCounterYearFraction(DayCounter,SettlementDate,AH54,,,Trigger)</f>
        <v>0.20555555555555555</v>
      </c>
      <c r="AJ54" s="181">
        <f t="shared" si="11"/>
        <v>2.0477974016661158E-3</v>
      </c>
      <c r="AK54" s="181">
        <f t="shared" si="12"/>
        <v>1.9494949659439556E-3</v>
      </c>
      <c r="AL54" s="181">
        <f t="shared" si="13"/>
        <v>1.9100825531468382E-3</v>
      </c>
      <c r="AM54" s="181">
        <f>a_lin_6M+b_lin_6M*AI54</f>
        <v>2.0490735285585166E-3</v>
      </c>
      <c r="AN54" s="181">
        <f>a_quad_6M+b_quad_6M*AI54+c_quad_6M*AI54^2</f>
        <v>2.0246017757043623E-3</v>
      </c>
    </row>
    <row r="55" spans="14:40" x14ac:dyDescent="0.2">
      <c r="AH55" s="183">
        <f>_xll.qlCalendarAdvance(Calendar,AH54,"1d","mf",,Trigger)</f>
        <v>42185</v>
      </c>
      <c r="AI55" s="169">
        <f>_xll.qlDayCounterYearFraction(DayCounter,SettlementDate,AH55,,,Trigger)</f>
        <v>0.20833333333333334</v>
      </c>
      <c r="AJ55" s="181">
        <f t="shared" si="11"/>
        <v>2.0477974016661158E-3</v>
      </c>
      <c r="AK55" s="181">
        <f t="shared" si="12"/>
        <v>1.9514610146583989E-3</v>
      </c>
      <c r="AL55" s="181">
        <f t="shared" si="13"/>
        <v>1.9167940625203711E-3</v>
      </c>
      <c r="AM55" s="181">
        <f>a_lin_6M+b_lin_6M*AI55</f>
        <v>2.0494290660153943E-3</v>
      </c>
      <c r="AN55" s="181">
        <f>a_quad_6M+b_quad_6M*AI55+c_quad_6M*AI55^2</f>
        <v>2.0253440952001911E-3</v>
      </c>
    </row>
    <row r="56" spans="14:40" x14ac:dyDescent="0.2">
      <c r="AH56" s="183">
        <f>_xll.qlCalendarAdvance(Calendar,AH55,"1d","mf",,Trigger)</f>
        <v>42186</v>
      </c>
      <c r="AI56" s="169">
        <f>_xll.qlDayCounterYearFraction(DayCounter,SettlementDate,AH56,,,Trigger)</f>
        <v>0.21111111111111111</v>
      </c>
      <c r="AJ56" s="181">
        <f t="shared" si="11"/>
        <v>2.0477974016661158E-3</v>
      </c>
      <c r="AK56" s="181">
        <f t="shared" si="12"/>
        <v>1.9534270633728419E-3</v>
      </c>
      <c r="AL56" s="181">
        <f t="shared" si="13"/>
        <v>1.9234305014676394E-3</v>
      </c>
      <c r="AM56" s="181">
        <f>a_lin_6M+b_lin_6M*AI56</f>
        <v>2.049784603472272E-3</v>
      </c>
      <c r="AN56" s="181">
        <f>a_quad_6M+b_quad_6M*AI56+c_quad_6M*AI56^2</f>
        <v>2.0260849947251226E-3</v>
      </c>
    </row>
    <row r="57" spans="14:40" x14ac:dyDescent="0.2">
      <c r="AH57" s="183">
        <f>_xll.qlCalendarAdvance(Calendar,AH56,"1d","mf",,Trigger)</f>
        <v>42187</v>
      </c>
      <c r="AI57" s="169">
        <f>_xll.qlDayCounterYearFraction(DayCounter,SettlementDate,AH57,,,Trigger)</f>
        <v>0.21388888888888888</v>
      </c>
      <c r="AJ57" s="181">
        <f t="shared" si="11"/>
        <v>2.0477974016661158E-3</v>
      </c>
      <c r="AK57" s="181">
        <f t="shared" si="12"/>
        <v>1.9553931120872853E-3</v>
      </c>
      <c r="AL57" s="181">
        <f t="shared" si="13"/>
        <v>1.9299918699886432E-3</v>
      </c>
      <c r="AM57" s="181">
        <f>a_lin_6M+b_lin_6M*AI57</f>
        <v>2.0501401409291496E-3</v>
      </c>
      <c r="AN57" s="181">
        <f>a_quad_6M+b_quad_6M*AI57+c_quad_6M*AI57^2</f>
        <v>2.0268244742791572E-3</v>
      </c>
    </row>
    <row r="58" spans="14:40" x14ac:dyDescent="0.2">
      <c r="AH58" s="183">
        <f>_xll.qlCalendarAdvance(Calendar,AH57,"1d","mf",,Trigger)</f>
        <v>42188</v>
      </c>
      <c r="AI58" s="169">
        <f>_xll.qlDayCounterYearFraction(DayCounter,SettlementDate,AH58,,,Trigger)</f>
        <v>0.21666666666666667</v>
      </c>
      <c r="AJ58" s="181">
        <f t="shared" si="11"/>
        <v>2.0477974016661158E-3</v>
      </c>
      <c r="AK58" s="181">
        <f t="shared" si="12"/>
        <v>1.9573591608017284E-3</v>
      </c>
      <c r="AL58" s="181">
        <f t="shared" si="13"/>
        <v>1.9364781680833831E-3</v>
      </c>
      <c r="AM58" s="181">
        <f>a_lin_6M+b_lin_6M*AI58</f>
        <v>2.0504956783860273E-3</v>
      </c>
      <c r="AN58" s="181">
        <f>a_quad_6M+b_quad_6M*AI58+c_quad_6M*AI58^2</f>
        <v>2.0275625338622943E-3</v>
      </c>
    </row>
    <row r="59" spans="14:40" x14ac:dyDescent="0.2">
      <c r="AH59" s="183">
        <f>_xll.qlCalendarAdvance(Calendar,AH58,"1d","mf",,Trigger)</f>
        <v>42191</v>
      </c>
      <c r="AI59" s="169">
        <f>_xll.qlDayCounterYearFraction(DayCounter,SettlementDate,AH59,,,Trigger)</f>
        <v>0.22500000000000001</v>
      </c>
      <c r="AJ59" s="181">
        <f t="shared" si="11"/>
        <v>2.0477974016661158E-3</v>
      </c>
      <c r="AK59" s="181">
        <f t="shared" si="12"/>
        <v>1.9632573069450583E-3</v>
      </c>
      <c r="AL59" s="181">
        <f t="shared" si="13"/>
        <v>1.9554866398100159E-3</v>
      </c>
      <c r="AM59" s="181">
        <f>a_lin_6M+b_lin_6M*AI59</f>
        <v>2.0515622907566603E-3</v>
      </c>
      <c r="AN59" s="181">
        <f>a_quad_6M+b_quad_6M*AI59+c_quad_6M*AI59^2</f>
        <v>2.0297681927863229E-3</v>
      </c>
    </row>
    <row r="60" spans="14:40" x14ac:dyDescent="0.2">
      <c r="N60" s="154"/>
      <c r="AH60" s="183">
        <f>_xll.qlCalendarAdvance(Calendar,AH59,"1d","mf",,Trigger)</f>
        <v>42192</v>
      </c>
      <c r="AI60" s="169">
        <f>_xll.qlDayCounterYearFraction(DayCounter,SettlementDate,AH60,,,Trigger)</f>
        <v>0.22777777777777777</v>
      </c>
      <c r="AJ60" s="181">
        <f t="shared" si="11"/>
        <v>2.0477974016661158E-3</v>
      </c>
      <c r="AK60" s="181">
        <f t="shared" si="12"/>
        <v>1.9652233556595013E-3</v>
      </c>
      <c r="AL60" s="181">
        <f t="shared" si="13"/>
        <v>1.9616726561996981E-3</v>
      </c>
      <c r="AM60" s="181">
        <f>a_lin_6M+b_lin_6M*AI60</f>
        <v>2.0519178282135376E-3</v>
      </c>
      <c r="AN60" s="181">
        <f>a_quad_6M+b_quad_6M*AI60+c_quad_6M*AI60^2</f>
        <v>2.0305005724858714E-3</v>
      </c>
    </row>
    <row r="61" spans="14:40" x14ac:dyDescent="0.2">
      <c r="N61" s="154"/>
      <c r="AH61" s="183">
        <f>_xll.qlCalendarAdvance(Calendar,AH60,"1d","mf",,Trigger)</f>
        <v>42193</v>
      </c>
      <c r="AI61" s="169">
        <f>_xll.qlDayCounterYearFraction(DayCounter,SettlementDate,AH61,,,Trigger)</f>
        <v>0.23055555555555557</v>
      </c>
      <c r="AJ61" s="181">
        <f t="shared" si="11"/>
        <v>2.0477974016661158E-3</v>
      </c>
      <c r="AK61" s="181">
        <f t="shared" si="12"/>
        <v>1.9671894043739447E-3</v>
      </c>
      <c r="AL61" s="181">
        <f t="shared" si="13"/>
        <v>1.9677836021631161E-3</v>
      </c>
      <c r="AM61" s="181">
        <f>a_lin_6M+b_lin_6M*AI61</f>
        <v>2.0522733656704152E-3</v>
      </c>
      <c r="AN61" s="181">
        <f>a_quad_6M+b_quad_6M*AI61+c_quad_6M*AI61^2</f>
        <v>2.0312315322145225E-3</v>
      </c>
    </row>
    <row r="62" spans="14:40" x14ac:dyDescent="0.2">
      <c r="N62" s="154"/>
      <c r="AH62" s="183">
        <f>_xll.qlCalendarAdvance(Calendar,AH61,"1d","mf",,Trigger)</f>
        <v>42194</v>
      </c>
      <c r="AI62" s="169">
        <f>_xll.qlDayCounterYearFraction(DayCounter,SettlementDate,AH62,,,Trigger)</f>
        <v>0.23333333333333334</v>
      </c>
      <c r="AJ62" s="181">
        <f t="shared" si="11"/>
        <v>2.0477974016661158E-3</v>
      </c>
      <c r="AK62" s="181">
        <f t="shared" si="12"/>
        <v>1.9691554530883878E-3</v>
      </c>
      <c r="AL62" s="181">
        <f t="shared" si="13"/>
        <v>1.9738194777002699E-3</v>
      </c>
      <c r="AM62" s="181">
        <f>a_lin_6M+b_lin_6M*AI62</f>
        <v>2.0526289031272929E-3</v>
      </c>
      <c r="AN62" s="181">
        <f>a_quad_6M+b_quad_6M*AI62+c_quad_6M*AI62^2</f>
        <v>2.0319610719722768E-3</v>
      </c>
    </row>
    <row r="63" spans="14:40" x14ac:dyDescent="0.2">
      <c r="N63" s="154"/>
      <c r="AH63" s="183">
        <f>_xll.qlCalendarAdvance(Calendar,AH62,"1d","mf",,Trigger)</f>
        <v>42195</v>
      </c>
      <c r="AI63" s="169">
        <f>_xll.qlDayCounterYearFraction(DayCounter,SettlementDate,AH63,,,Trigger)</f>
        <v>0.2361111111111111</v>
      </c>
      <c r="AJ63" s="181">
        <f t="shared" si="11"/>
        <v>2.0477974016661158E-3</v>
      </c>
      <c r="AK63" s="181">
        <f t="shared" si="12"/>
        <v>1.9711215018028312E-3</v>
      </c>
      <c r="AL63" s="181">
        <f t="shared" si="13"/>
        <v>1.979780282811159E-3</v>
      </c>
      <c r="AM63" s="181">
        <f>a_lin_6M+b_lin_6M*AI63</f>
        <v>2.0529844405841706E-3</v>
      </c>
      <c r="AN63" s="181">
        <f>a_quad_6M+b_quad_6M*AI63+c_quad_6M*AI63^2</f>
        <v>2.0326891917591336E-3</v>
      </c>
    </row>
    <row r="64" spans="14:40" x14ac:dyDescent="0.2">
      <c r="N64" s="154"/>
      <c r="AH64" s="183">
        <f>_xll.qlCalendarAdvance(Calendar,AH63,"1d","mf",,Trigger)</f>
        <v>42198</v>
      </c>
      <c r="AI64" s="169">
        <f>_xll.qlDayCounterYearFraction(DayCounter,SettlementDate,AH64,,,Trigger)</f>
        <v>0.24444444444444444</v>
      </c>
      <c r="AJ64" s="181">
        <f t="shared" si="11"/>
        <v>2.0477974016661158E-3</v>
      </c>
      <c r="AK64" s="181">
        <f t="shared" si="12"/>
        <v>1.9770196479461607E-3</v>
      </c>
      <c r="AL64" s="181">
        <f t="shared" si="13"/>
        <v>1.9972122755862413E-3</v>
      </c>
      <c r="AM64" s="181">
        <f>a_lin_6M+b_lin_6M*AI64</f>
        <v>2.0540510529548036E-3</v>
      </c>
      <c r="AN64" s="181">
        <f>a_quad_6M+b_quad_6M*AI64+c_quad_6M*AI64^2</f>
        <v>2.0348650312943212E-3</v>
      </c>
    </row>
    <row r="65" spans="14:40" x14ac:dyDescent="0.2">
      <c r="N65" s="154"/>
      <c r="AH65" s="183">
        <f>_xll.qlCalendarAdvance(Calendar,AH64,"1d","mf",,Trigger)</f>
        <v>42199</v>
      </c>
      <c r="AI65" s="169">
        <f>_xll.qlDayCounterYearFraction(DayCounter,SettlementDate,AH65,,,Trigger)</f>
        <v>0.24722222222222223</v>
      </c>
      <c r="AJ65" s="181">
        <f t="shared" si="11"/>
        <v>2.0477974016661158E-3</v>
      </c>
      <c r="AK65" s="181">
        <f t="shared" si="12"/>
        <v>1.9789856966606042E-3</v>
      </c>
      <c r="AL65" s="181">
        <f t="shared" si="13"/>
        <v>2.0028727989920727E-3</v>
      </c>
      <c r="AM65" s="181">
        <f>a_lin_6M+b_lin_6M*AI65</f>
        <v>2.0544065904116813E-3</v>
      </c>
      <c r="AN65" s="181">
        <f>a_quad_6M+b_quad_6M*AI65+c_quad_6M*AI65^2</f>
        <v>2.0355874711975894E-3</v>
      </c>
    </row>
    <row r="66" spans="14:40" x14ac:dyDescent="0.2">
      <c r="N66" s="154"/>
      <c r="O66" s="154"/>
      <c r="AH66" s="183">
        <f>_xll.qlCalendarAdvance(Calendar,AH65,"1d","mf",,Trigger)</f>
        <v>42200</v>
      </c>
      <c r="AI66" s="169">
        <f>_xll.qlDayCounterYearFraction(DayCounter,SettlementDate,AH66,,,Trigger)</f>
        <v>0.25</v>
      </c>
      <c r="AJ66" s="181">
        <f t="shared" si="11"/>
        <v>2.0477974016661158E-3</v>
      </c>
      <c r="AK66" s="181">
        <f t="shared" si="12"/>
        <v>1.9809517453750472E-3</v>
      </c>
      <c r="AL66" s="181">
        <f t="shared" si="13"/>
        <v>2.0084582519716409E-3</v>
      </c>
      <c r="AM66" s="181">
        <f>a_lin_6M+b_lin_6M*AI66</f>
        <v>2.0547621278685585E-3</v>
      </c>
      <c r="AN66" s="181">
        <f>a_quad_6M+b_quad_6M*AI66+c_quad_6M*AI66^2</f>
        <v>2.0363084911299602E-3</v>
      </c>
    </row>
    <row r="67" spans="14:40" x14ac:dyDescent="0.2">
      <c r="N67" s="154"/>
      <c r="O67" s="154"/>
      <c r="AH67" s="183">
        <f>_xll.qlCalendarAdvance(Calendar,AH66,"1d","mf",,Trigger)</f>
        <v>42201</v>
      </c>
      <c r="AI67" s="169">
        <f>_xll.qlDayCounterYearFraction(DayCounter,SettlementDate,AH67,,,Trigger)</f>
        <v>0.25277777777777777</v>
      </c>
      <c r="AJ67" s="181">
        <f t="shared" ref="AJ67:AJ98" si="14">$Y$13</f>
        <v>2.0477974016661158E-3</v>
      </c>
      <c r="AK67" s="181">
        <f t="shared" ref="AK67:AK98" si="15">$Y$10+$Y$9*AI67</f>
        <v>1.9829177940894902E-3</v>
      </c>
      <c r="AL67" s="181">
        <f t="shared" ref="AL67:AL98" si="16">($Y$5+$Y$4*AI67+$Y$3*AI67^2)</f>
        <v>2.0139686345249444E-3</v>
      </c>
      <c r="AM67" s="181">
        <f>a_lin_6M+b_lin_6M*AI67</f>
        <v>2.0551176653254362E-3</v>
      </c>
      <c r="AN67" s="181">
        <f>a_quad_6M+b_quad_6M*AI67+c_quad_6M*AI67^2</f>
        <v>2.0370280910914341E-3</v>
      </c>
    </row>
    <row r="68" spans="14:40" x14ac:dyDescent="0.2">
      <c r="N68" s="154"/>
      <c r="O68" s="154"/>
      <c r="AH68" s="183">
        <f>_xll.qlCalendarAdvance(Calendar,AH67,"1d","mf",,Trigger)</f>
        <v>42202</v>
      </c>
      <c r="AI68" s="169">
        <f>_xll.qlDayCounterYearFraction(DayCounter,SettlementDate,AH68,,,Trigger)</f>
        <v>0.25555555555555554</v>
      </c>
      <c r="AJ68" s="181">
        <f t="shared" si="14"/>
        <v>2.0477974016661158E-3</v>
      </c>
      <c r="AK68" s="181">
        <f t="shared" si="15"/>
        <v>1.9848838428039336E-3</v>
      </c>
      <c r="AL68" s="181">
        <f t="shared" si="16"/>
        <v>2.0194039466519828E-3</v>
      </c>
      <c r="AM68" s="181">
        <f>a_lin_6M+b_lin_6M*AI68</f>
        <v>2.0554732027823139E-3</v>
      </c>
      <c r="AN68" s="181">
        <f>a_quad_6M+b_quad_6M*AI68+c_quad_6M*AI68^2</f>
        <v>2.0377462710820106E-3</v>
      </c>
    </row>
    <row r="69" spans="14:40" x14ac:dyDescent="0.2">
      <c r="N69" s="154"/>
      <c r="O69" s="154"/>
      <c r="AH69" s="183">
        <f>_xll.qlCalendarAdvance(Calendar,AH68,"1d","mf",,Trigger)</f>
        <v>42205</v>
      </c>
      <c r="AI69" s="169">
        <f>_xll.qlDayCounterYearFraction(DayCounter,SettlementDate,AH69,,,Trigger)</f>
        <v>0.2638888888888889</v>
      </c>
      <c r="AJ69" s="181">
        <f t="shared" si="14"/>
        <v>2.0477974016661158E-3</v>
      </c>
      <c r="AK69" s="181">
        <f t="shared" si="15"/>
        <v>1.9907819889472631E-3</v>
      </c>
      <c r="AL69" s="181">
        <f t="shared" si="16"/>
        <v>2.0352594604755143E-3</v>
      </c>
      <c r="AM69" s="181">
        <f>a_lin_6M+b_lin_6M*AI69</f>
        <v>2.0565398151529469E-3</v>
      </c>
      <c r="AN69" s="181">
        <f>a_quad_6M+b_quad_6M*AI69+c_quad_6M*AI69^2</f>
        <v>2.0398922912283576E-3</v>
      </c>
    </row>
    <row r="70" spans="14:40" x14ac:dyDescent="0.2">
      <c r="N70" s="154"/>
      <c r="O70" s="154"/>
      <c r="AH70" s="183">
        <f>_xll.qlCalendarAdvance(Calendar,AH69,"1d","mf",,Trigger)</f>
        <v>42206</v>
      </c>
      <c r="AI70" s="169">
        <f>_xll.qlDayCounterYearFraction(DayCounter,SettlementDate,AH70,,,Trigger)</f>
        <v>0.26666666666666666</v>
      </c>
      <c r="AJ70" s="181">
        <f t="shared" si="14"/>
        <v>2.0477974016661158E-3</v>
      </c>
      <c r="AK70" s="181">
        <f t="shared" si="15"/>
        <v>1.9927480376617066E-3</v>
      </c>
      <c r="AL70" s="181">
        <f t="shared" si="16"/>
        <v>2.0403944908974959E-3</v>
      </c>
      <c r="AM70" s="181">
        <f>a_lin_6M+b_lin_6M*AI70</f>
        <v>2.0568953526098246E-3</v>
      </c>
      <c r="AN70" s="181">
        <f>a_quad_6M+b_quad_6M*AI70+c_quad_6M*AI70^2</f>
        <v>2.0406047913353455E-3</v>
      </c>
    </row>
    <row r="71" spans="14:40" x14ac:dyDescent="0.2">
      <c r="N71" s="154"/>
      <c r="O71" s="154"/>
      <c r="AH71" s="183">
        <f>_xll.qlCalendarAdvance(Calendar,AH70,"1d","mf",,Trigger)</f>
        <v>42207</v>
      </c>
      <c r="AI71" s="169">
        <f>_xll.qlDayCounterYearFraction(DayCounter,SettlementDate,AH71,,,Trigger)</f>
        <v>0.26944444444444443</v>
      </c>
      <c r="AJ71" s="181">
        <f t="shared" si="14"/>
        <v>2.0477974016661158E-3</v>
      </c>
      <c r="AK71" s="181">
        <f t="shared" si="15"/>
        <v>1.9947140863761496E-3</v>
      </c>
      <c r="AL71" s="181">
        <f t="shared" si="16"/>
        <v>2.0454544508932133E-3</v>
      </c>
      <c r="AM71" s="181">
        <f>a_lin_6M+b_lin_6M*AI71</f>
        <v>2.0572508900667023E-3</v>
      </c>
      <c r="AN71" s="181">
        <f>a_quad_6M+b_quad_6M*AI71+c_quad_6M*AI71^2</f>
        <v>2.041315871471436E-3</v>
      </c>
    </row>
    <row r="72" spans="14:40" x14ac:dyDescent="0.2">
      <c r="N72" s="154"/>
      <c r="O72" s="154"/>
      <c r="AH72" s="183">
        <f>_xll.qlCalendarAdvance(Calendar,AH71,"1d","mf",,Trigger)</f>
        <v>42208</v>
      </c>
      <c r="AI72" s="169">
        <f>_xll.qlDayCounterYearFraction(DayCounter,SettlementDate,AH72,,,Trigger)</f>
        <v>0.2722222222222222</v>
      </c>
      <c r="AJ72" s="181">
        <f t="shared" si="14"/>
        <v>2.0477974016661158E-3</v>
      </c>
      <c r="AK72" s="181">
        <f t="shared" si="15"/>
        <v>1.996680135090593E-3</v>
      </c>
      <c r="AL72" s="181">
        <f t="shared" si="16"/>
        <v>2.0504393404626661E-3</v>
      </c>
      <c r="AM72" s="181">
        <f>a_lin_6M+b_lin_6M*AI72</f>
        <v>2.0576064275235799E-3</v>
      </c>
      <c r="AN72" s="181">
        <f>a_quad_6M+b_quad_6M*AI72+c_quad_6M*AI72^2</f>
        <v>2.0420255316366295E-3</v>
      </c>
    </row>
    <row r="73" spans="14:40" x14ac:dyDescent="0.2">
      <c r="N73" s="154"/>
      <c r="O73" s="154"/>
      <c r="AH73" s="183">
        <f>_xll.qlCalendarAdvance(Calendar,AH72,"1d","mf",,Trigger)</f>
        <v>42209</v>
      </c>
      <c r="AI73" s="169">
        <f>_xll.qlDayCounterYearFraction(DayCounter,SettlementDate,AH73,,,Trigger)</f>
        <v>0.27500000000000002</v>
      </c>
      <c r="AJ73" s="181">
        <f t="shared" si="14"/>
        <v>2.0477974016661158E-3</v>
      </c>
      <c r="AK73" s="181">
        <f t="shared" si="15"/>
        <v>1.9986461838050361E-3</v>
      </c>
      <c r="AL73" s="181">
        <f t="shared" si="16"/>
        <v>2.0553491596058547E-3</v>
      </c>
      <c r="AM73" s="181">
        <f>a_lin_6M+b_lin_6M*AI73</f>
        <v>2.0579619649804572E-3</v>
      </c>
      <c r="AN73" s="181">
        <f>a_quad_6M+b_quad_6M*AI73+c_quad_6M*AI73^2</f>
        <v>2.0427337718309257E-3</v>
      </c>
    </row>
    <row r="74" spans="14:40" x14ac:dyDescent="0.2">
      <c r="N74" s="154"/>
      <c r="O74" s="154"/>
      <c r="AH74" s="183">
        <f>_xll.qlCalendarAdvance(Calendar,AH73,"1d","mf",,Trigger)</f>
        <v>42212</v>
      </c>
      <c r="AI74" s="169">
        <f>_xll.qlDayCounterYearFraction(DayCounter,SettlementDate,AH74,,,Trigger)</f>
        <v>0.28333333333333333</v>
      </c>
      <c r="AJ74" s="181">
        <f t="shared" si="14"/>
        <v>2.0477974016661158E-3</v>
      </c>
      <c r="AK74" s="181">
        <f t="shared" si="15"/>
        <v>2.004544329948366E-3</v>
      </c>
      <c r="AL74" s="181">
        <f t="shared" si="16"/>
        <v>2.0696281944778344E-3</v>
      </c>
      <c r="AM74" s="181">
        <f>a_lin_6M+b_lin_6M*AI74</f>
        <v>2.0590285773510902E-3</v>
      </c>
      <c r="AN74" s="181">
        <f>a_quad_6M+b_quad_6M*AI74+c_quad_6M*AI74^2</f>
        <v>2.0448499725884313E-3</v>
      </c>
    </row>
    <row r="75" spans="14:40" x14ac:dyDescent="0.2">
      <c r="N75" s="154"/>
      <c r="O75" s="154"/>
      <c r="AH75" s="183">
        <f>_xll.qlCalendarAdvance(Calendar,AH74,"1d","mf",,Trigger)</f>
        <v>42213</v>
      </c>
      <c r="AI75" s="169">
        <f>_xll.qlDayCounterYearFraction(DayCounter,SettlementDate,AH75,,,Trigger)</f>
        <v>0.28611111111111109</v>
      </c>
      <c r="AJ75" s="181">
        <f t="shared" si="14"/>
        <v>2.0477974016661158E-3</v>
      </c>
      <c r="AK75" s="181">
        <f t="shared" si="15"/>
        <v>2.006510378662809E-3</v>
      </c>
      <c r="AL75" s="181">
        <f t="shared" si="16"/>
        <v>2.0742377319159662E-3</v>
      </c>
      <c r="AM75" s="181">
        <f>a_lin_6M+b_lin_6M*AI75</f>
        <v>2.0593841148079679E-3</v>
      </c>
      <c r="AN75" s="181">
        <f>a_quad_6M+b_quad_6M*AI75+c_quad_6M*AI75^2</f>
        <v>2.0455525328991388E-3</v>
      </c>
    </row>
    <row r="76" spans="14:40" x14ac:dyDescent="0.2">
      <c r="N76" s="154"/>
      <c r="O76" s="154"/>
      <c r="AH76" s="183">
        <f>_xll.qlCalendarAdvance(Calendar,AH75,"1d","mf",,Trigger)</f>
        <v>42214</v>
      </c>
      <c r="AI76" s="169">
        <f>_xll.qlDayCounterYearFraction(DayCounter,SettlementDate,AH76,,,Trigger)</f>
        <v>0.28888888888888886</v>
      </c>
      <c r="AJ76" s="181">
        <f t="shared" si="14"/>
        <v>2.0477974016661158E-3</v>
      </c>
      <c r="AK76" s="181">
        <f t="shared" si="15"/>
        <v>2.008476427377252E-3</v>
      </c>
      <c r="AL76" s="181">
        <f t="shared" si="16"/>
        <v>2.078772198927833E-3</v>
      </c>
      <c r="AM76" s="181">
        <f>a_lin_6M+b_lin_6M*AI76</f>
        <v>2.0597396522648455E-3</v>
      </c>
      <c r="AN76" s="181">
        <f>a_quad_6M+b_quad_6M*AI76+c_quad_6M*AI76^2</f>
        <v>2.0462536732389494E-3</v>
      </c>
    </row>
    <row r="77" spans="14:40" x14ac:dyDescent="0.2">
      <c r="N77" s="154"/>
      <c r="O77" s="154"/>
      <c r="AH77" s="183">
        <f>_xll.qlCalendarAdvance(Calendar,AH76,"1d","mf",,Trigger)</f>
        <v>42215</v>
      </c>
      <c r="AI77" s="169">
        <f>_xll.qlDayCounterYearFraction(DayCounter,SettlementDate,AH77,,,Trigger)</f>
        <v>0.29166666666666669</v>
      </c>
      <c r="AJ77" s="181">
        <f t="shared" si="14"/>
        <v>2.0477974016661158E-3</v>
      </c>
      <c r="AK77" s="181">
        <f t="shared" si="15"/>
        <v>2.0104424760916955E-3</v>
      </c>
      <c r="AL77" s="181">
        <f t="shared" si="16"/>
        <v>2.0832315955134359E-3</v>
      </c>
      <c r="AM77" s="181">
        <f>a_lin_6M+b_lin_6M*AI77</f>
        <v>2.0600951897217232E-3</v>
      </c>
      <c r="AN77" s="181">
        <f>a_quad_6M+b_quad_6M*AI77+c_quad_6M*AI77^2</f>
        <v>2.0469533936078627E-3</v>
      </c>
    </row>
    <row r="78" spans="14:40" x14ac:dyDescent="0.2">
      <c r="N78" s="154"/>
      <c r="O78" s="154"/>
      <c r="AH78" s="183">
        <f>_xll.qlCalendarAdvance(Calendar,AH77,"1d","mf",,Trigger)</f>
        <v>42216</v>
      </c>
      <c r="AI78" s="169">
        <f>_xll.qlDayCounterYearFraction(DayCounter,SettlementDate,AH78,,,Trigger)</f>
        <v>0.29444444444444445</v>
      </c>
      <c r="AJ78" s="181">
        <f t="shared" si="14"/>
        <v>2.0477974016661158E-3</v>
      </c>
      <c r="AK78" s="181">
        <f t="shared" si="15"/>
        <v>2.0124085248061389E-3</v>
      </c>
      <c r="AL78" s="181">
        <f t="shared" si="16"/>
        <v>2.0876159216727738E-3</v>
      </c>
      <c r="AM78" s="181">
        <f>a_lin_6M+b_lin_6M*AI78</f>
        <v>2.0604507271786009E-3</v>
      </c>
      <c r="AN78" s="181">
        <f>a_quad_6M+b_quad_6M*AI78+c_quad_6M*AI78^2</f>
        <v>2.0476516940058785E-3</v>
      </c>
    </row>
    <row r="79" spans="14:40" x14ac:dyDescent="0.2">
      <c r="N79" s="154"/>
      <c r="O79" s="154"/>
      <c r="AH79" s="183">
        <f>_xll.qlCalendarAdvance(Calendar,AH78,"1d","mf",,Trigger)</f>
        <v>42219</v>
      </c>
      <c r="AI79" s="169">
        <f>_xll.qlDayCounterYearFraction(DayCounter,SettlementDate,AH79,,,Trigger)</f>
        <v>0.30277777777777776</v>
      </c>
      <c r="AJ79" s="181">
        <f t="shared" si="14"/>
        <v>2.0477974016661158E-3</v>
      </c>
      <c r="AK79" s="181">
        <f t="shared" si="15"/>
        <v>2.0183066709494684E-3</v>
      </c>
      <c r="AL79" s="181">
        <f t="shared" si="16"/>
        <v>2.1003184775932032E-3</v>
      </c>
      <c r="AM79" s="181">
        <f>a_lin_6M+b_lin_6M*AI79</f>
        <v>2.0615173395492335E-3</v>
      </c>
      <c r="AN79" s="181">
        <f>a_quad_6M+b_quad_6M*AI79+c_quad_6M*AI79^2</f>
        <v>2.0497380753745436E-3</v>
      </c>
    </row>
    <row r="80" spans="14:40" x14ac:dyDescent="0.2">
      <c r="N80" s="154"/>
      <c r="O80" s="154"/>
      <c r="AH80" s="183">
        <f>_xll.qlCalendarAdvance(Calendar,AH79,"1d","mf",,Trigger)</f>
        <v>42220</v>
      </c>
      <c r="AI80" s="169">
        <f>_xll.qlDayCounterYearFraction(DayCounter,SettlementDate,AH80,,,Trigger)</f>
        <v>0.30555555555555558</v>
      </c>
      <c r="AJ80" s="181">
        <f t="shared" si="14"/>
        <v>2.0477974016661158E-3</v>
      </c>
      <c r="AK80" s="181">
        <f t="shared" si="15"/>
        <v>2.0202727196639114E-3</v>
      </c>
      <c r="AL80" s="181">
        <f t="shared" si="16"/>
        <v>2.1044025220474842E-3</v>
      </c>
      <c r="AM80" s="181">
        <f>a_lin_6M+b_lin_6M*AI80</f>
        <v>2.0618728770061111E-3</v>
      </c>
      <c r="AN80" s="181">
        <f>a_quad_6M+b_quad_6M*AI80+c_quad_6M*AI80^2</f>
        <v>2.0504306958889708E-3</v>
      </c>
    </row>
    <row r="81" spans="14:40" x14ac:dyDescent="0.2">
      <c r="N81" s="154"/>
      <c r="O81" s="154"/>
      <c r="AH81" s="183">
        <f>_xll.qlCalendarAdvance(Calendar,AH80,"1d","mf",,Trigger)</f>
        <v>42221</v>
      </c>
      <c r="AI81" s="169">
        <f>_xll.qlDayCounterYearFraction(DayCounter,SettlementDate,AH81,,,Trigger)</f>
        <v>0.30833333333333335</v>
      </c>
      <c r="AJ81" s="181">
        <f t="shared" si="14"/>
        <v>2.0477974016661158E-3</v>
      </c>
      <c r="AK81" s="181">
        <f t="shared" si="15"/>
        <v>2.0222387683783549E-3</v>
      </c>
      <c r="AL81" s="181">
        <f t="shared" si="16"/>
        <v>2.1084114960755007E-3</v>
      </c>
      <c r="AM81" s="181">
        <f>a_lin_6M+b_lin_6M*AI81</f>
        <v>2.0622284144629888E-3</v>
      </c>
      <c r="AN81" s="181">
        <f>a_quad_6M+b_quad_6M*AI81+c_quad_6M*AI81^2</f>
        <v>2.0511218964325006E-3</v>
      </c>
    </row>
    <row r="82" spans="14:40" x14ac:dyDescent="0.2">
      <c r="N82" s="154"/>
      <c r="O82" s="154"/>
      <c r="AH82" s="183">
        <f>_xll.qlCalendarAdvance(Calendar,AH81,"1d","mf",,Trigger)</f>
        <v>42222</v>
      </c>
      <c r="AI82" s="169">
        <f>_xll.qlDayCounterYearFraction(DayCounter,SettlementDate,AH82,,,Trigger)</f>
        <v>0.31111111111111112</v>
      </c>
      <c r="AJ82" s="181">
        <f t="shared" si="14"/>
        <v>2.0477974016661158E-3</v>
      </c>
      <c r="AK82" s="181">
        <f t="shared" si="15"/>
        <v>2.0242048170927979E-3</v>
      </c>
      <c r="AL82" s="181">
        <f t="shared" si="16"/>
        <v>2.1123453996772529E-3</v>
      </c>
      <c r="AM82" s="181">
        <f>a_lin_6M+b_lin_6M*AI82</f>
        <v>2.0625839519198665E-3</v>
      </c>
      <c r="AN82" s="181">
        <f>a_quad_6M+b_quad_6M*AI82+c_quad_6M*AI82^2</f>
        <v>2.0518116770051336E-3</v>
      </c>
    </row>
    <row r="83" spans="14:40" x14ac:dyDescent="0.2">
      <c r="N83" s="154"/>
      <c r="O83" s="154"/>
      <c r="AH83" s="183">
        <f>_xll.qlCalendarAdvance(Calendar,AH82,"1d","mf",,Trigger)</f>
        <v>42223</v>
      </c>
      <c r="AI83" s="169">
        <f>_xll.qlDayCounterYearFraction(DayCounter,SettlementDate,AH83,,,Trigger)</f>
        <v>0.31388888888888888</v>
      </c>
      <c r="AJ83" s="181">
        <f t="shared" si="14"/>
        <v>2.0477974016661158E-3</v>
      </c>
      <c r="AK83" s="181">
        <f t="shared" si="15"/>
        <v>2.0261708658072413E-3</v>
      </c>
      <c r="AL83" s="181">
        <f t="shared" si="16"/>
        <v>2.116204232852741E-3</v>
      </c>
      <c r="AM83" s="181">
        <f>a_lin_6M+b_lin_6M*AI83</f>
        <v>2.0629394893767442E-3</v>
      </c>
      <c r="AN83" s="181">
        <f>a_quad_6M+b_quad_6M*AI83+c_quad_6M*AI83^2</f>
        <v>2.0525000376068691E-3</v>
      </c>
    </row>
    <row r="84" spans="14:40" x14ac:dyDescent="0.2">
      <c r="N84" s="154"/>
      <c r="O84" s="154"/>
      <c r="AH84" s="183">
        <f>_xll.qlCalendarAdvance(Calendar,AH83,"1d","mf",,Trigger)</f>
        <v>42226</v>
      </c>
      <c r="AI84" s="169">
        <f>_xll.qlDayCounterYearFraction(DayCounter,SettlementDate,AH84,,,Trigger)</f>
        <v>0.32222222222222224</v>
      </c>
      <c r="AJ84" s="181">
        <f t="shared" si="14"/>
        <v>2.0477974016661158E-3</v>
      </c>
      <c r="AK84" s="181">
        <f t="shared" si="15"/>
        <v>2.0320690119505708E-3</v>
      </c>
      <c r="AL84" s="181">
        <f t="shared" si="16"/>
        <v>2.1273303098216186E-3</v>
      </c>
      <c r="AM84" s="181">
        <f>a_lin_6M+b_lin_6M*AI84</f>
        <v>2.0640061017473768E-3</v>
      </c>
      <c r="AN84" s="181">
        <f>a_quad_6M+b_quad_6M*AI84+c_quad_6M*AI84^2</f>
        <v>2.0545565995866931E-3</v>
      </c>
    </row>
    <row r="85" spans="14:40" x14ac:dyDescent="0.2">
      <c r="N85" s="154"/>
      <c r="O85" s="154"/>
      <c r="AH85" s="183">
        <f>_xll.qlCalendarAdvance(Calendar,AH84,"1d","mf",,Trigger)</f>
        <v>42227</v>
      </c>
      <c r="AI85" s="169">
        <f>_xll.qlDayCounterYearFraction(DayCounter,SettlementDate,AH85,,,Trigger)</f>
        <v>0.32500000000000001</v>
      </c>
      <c r="AJ85" s="181">
        <f t="shared" si="14"/>
        <v>2.0477974016661158E-3</v>
      </c>
      <c r="AK85" s="181">
        <f t="shared" si="15"/>
        <v>2.0340350606650143E-3</v>
      </c>
      <c r="AL85" s="181">
        <f t="shared" si="16"/>
        <v>2.1308888612920499E-3</v>
      </c>
      <c r="AM85" s="181">
        <f>a_lin_6M+b_lin_6M*AI85</f>
        <v>2.0643616392042544E-3</v>
      </c>
      <c r="AN85" s="181">
        <f>a_quad_6M+b_quad_6M*AI85+c_quad_6M*AI85^2</f>
        <v>2.05523928030484E-3</v>
      </c>
    </row>
    <row r="86" spans="14:40" x14ac:dyDescent="0.2">
      <c r="N86" s="154"/>
      <c r="O86" s="154"/>
      <c r="AH86" s="183">
        <f>_xll.qlCalendarAdvance(Calendar,AH85,"1d","mf",,Trigger)</f>
        <v>42228</v>
      </c>
      <c r="AI86" s="169">
        <f>_xll.qlDayCounterYearFraction(DayCounter,SettlementDate,AH86,,,Trigger)</f>
        <v>0.32777777777777778</v>
      </c>
      <c r="AJ86" s="181">
        <f t="shared" si="14"/>
        <v>2.0477974016661158E-3</v>
      </c>
      <c r="AK86" s="181">
        <f t="shared" si="15"/>
        <v>2.0360011093794573E-3</v>
      </c>
      <c r="AL86" s="181">
        <f t="shared" si="16"/>
        <v>2.1343723423362156E-3</v>
      </c>
      <c r="AM86" s="181">
        <f>a_lin_6M+b_lin_6M*AI86</f>
        <v>2.0647171766611321E-3</v>
      </c>
      <c r="AN86" s="181">
        <f>a_quad_6M+b_quad_6M*AI86+c_quad_6M*AI86^2</f>
        <v>2.05592054105209E-3</v>
      </c>
    </row>
    <row r="87" spans="14:40" x14ac:dyDescent="0.2">
      <c r="N87" s="154"/>
      <c r="O87" s="154"/>
      <c r="AH87" s="183">
        <f>_xll.qlCalendarAdvance(Calendar,AH86,"1d","mf",,Trigger)</f>
        <v>42229</v>
      </c>
      <c r="AI87" s="169">
        <f>_xll.qlDayCounterYearFraction(DayCounter,SettlementDate,AH87,,,Trigger)</f>
        <v>0.33055555555555555</v>
      </c>
      <c r="AJ87" s="181">
        <f t="shared" si="14"/>
        <v>2.0477974016661158E-3</v>
      </c>
      <c r="AK87" s="181">
        <f t="shared" si="15"/>
        <v>2.0379671580939007E-3</v>
      </c>
      <c r="AL87" s="181">
        <f t="shared" si="16"/>
        <v>2.1377807529541176E-3</v>
      </c>
      <c r="AM87" s="181">
        <f>a_lin_6M+b_lin_6M*AI87</f>
        <v>2.0650727141180098E-3</v>
      </c>
      <c r="AN87" s="181">
        <f>a_quad_6M+b_quad_6M*AI87+c_quad_6M*AI87^2</f>
        <v>2.0566003818284421E-3</v>
      </c>
    </row>
    <row r="88" spans="14:40" x14ac:dyDescent="0.2">
      <c r="N88" s="154"/>
      <c r="O88" s="154"/>
      <c r="AH88" s="183">
        <f>_xll.qlCalendarAdvance(Calendar,AH87,"1d","mf",,Trigger)</f>
        <v>42230</v>
      </c>
      <c r="AI88" s="169">
        <f>_xll.qlDayCounterYearFraction(DayCounter,SettlementDate,AH88,,,Trigger)</f>
        <v>0.33333333333333331</v>
      </c>
      <c r="AJ88" s="181">
        <f t="shared" si="14"/>
        <v>2.0477974016661158E-3</v>
      </c>
      <c r="AK88" s="181">
        <f t="shared" si="15"/>
        <v>2.0399332068083437E-3</v>
      </c>
      <c r="AL88" s="181">
        <f t="shared" si="16"/>
        <v>2.1411140931457554E-3</v>
      </c>
      <c r="AM88" s="181">
        <f>a_lin_6M+b_lin_6M*AI88</f>
        <v>2.0654282515748875E-3</v>
      </c>
      <c r="AN88" s="181">
        <f>a_quad_6M+b_quad_6M*AI88+c_quad_6M*AI88^2</f>
        <v>2.0572788026338978E-3</v>
      </c>
    </row>
    <row r="89" spans="14:40" x14ac:dyDescent="0.2">
      <c r="N89" s="154"/>
      <c r="O89" s="154"/>
      <c r="AH89" s="183">
        <f>_xll.qlCalendarAdvance(Calendar,AH88,"1d","mf",,Trigger)</f>
        <v>42233</v>
      </c>
      <c r="AI89" s="169">
        <f>_xll.qlDayCounterYearFraction(DayCounter,SettlementDate,AH89,,,Trigger)</f>
        <v>0.34166666666666667</v>
      </c>
      <c r="AJ89" s="181">
        <f t="shared" si="14"/>
        <v>2.0477974016661158E-3</v>
      </c>
      <c r="AK89" s="181">
        <f t="shared" si="15"/>
        <v>2.0458313529516732E-3</v>
      </c>
      <c r="AL89" s="181">
        <f t="shared" si="16"/>
        <v>2.1506636911630822E-3</v>
      </c>
      <c r="AM89" s="181">
        <f>a_lin_6M+b_lin_6M*AI89</f>
        <v>2.0664948639455205E-3</v>
      </c>
      <c r="AN89" s="181">
        <f>a_quad_6M+b_quad_6M*AI89+c_quad_6M*AI89^2</f>
        <v>2.0593055452248809E-3</v>
      </c>
    </row>
    <row r="90" spans="14:40" x14ac:dyDescent="0.2">
      <c r="N90" s="154"/>
      <c r="O90" s="154"/>
      <c r="AH90" s="183">
        <f>_xll.qlCalendarAdvance(Calendar,AH89,"1d","mf",,Trigger)</f>
        <v>42234</v>
      </c>
      <c r="AI90" s="169">
        <f>_xll.qlDayCounterYearFraction(DayCounter,SettlementDate,AH90,,,Trigger)</f>
        <v>0.34444444444444444</v>
      </c>
      <c r="AJ90" s="181">
        <f t="shared" si="14"/>
        <v>2.0477974016661158E-3</v>
      </c>
      <c r="AK90" s="181">
        <f t="shared" si="15"/>
        <v>2.0477974016661167E-3</v>
      </c>
      <c r="AL90" s="181">
        <f t="shared" si="16"/>
        <v>2.1536967496496627E-3</v>
      </c>
      <c r="AM90" s="181">
        <f>a_lin_6M+b_lin_6M*AI90</f>
        <v>2.0668504014023981E-3</v>
      </c>
      <c r="AN90" s="181">
        <f>a_quad_6M+b_quad_6M*AI90+c_quad_6M*AI90^2</f>
        <v>2.0599782861467474E-3</v>
      </c>
    </row>
    <row r="91" spans="14:40" x14ac:dyDescent="0.2">
      <c r="N91" s="154"/>
      <c r="O91" s="154"/>
      <c r="AH91" s="183">
        <f>_xll.qlCalendarAdvance(Calendar,AH90,"1d","mf",,Trigger)</f>
        <v>42235</v>
      </c>
      <c r="AI91" s="169">
        <f>_xll.qlDayCounterYearFraction(DayCounter,SettlementDate,AH91,,,Trigger)</f>
        <v>0.34722222222222221</v>
      </c>
      <c r="AJ91" s="181">
        <f t="shared" si="14"/>
        <v>2.0477974016661158E-3</v>
      </c>
      <c r="AK91" s="181">
        <f t="shared" si="15"/>
        <v>2.0497634503805597E-3</v>
      </c>
      <c r="AL91" s="181">
        <f t="shared" si="16"/>
        <v>2.1566547377099782E-3</v>
      </c>
      <c r="AM91" s="181">
        <f>a_lin_6M+b_lin_6M*AI91</f>
        <v>2.0672059388592754E-3</v>
      </c>
      <c r="AN91" s="181">
        <f>a_quad_6M+b_quad_6M*AI91+c_quad_6M*AI91^2</f>
        <v>2.0606496070977166E-3</v>
      </c>
    </row>
    <row r="92" spans="14:40" x14ac:dyDescent="0.2">
      <c r="N92" s="154"/>
      <c r="O92" s="154"/>
      <c r="AH92" s="183">
        <f>_xll.qlCalendarAdvance(Calendar,AH91,"1d","mf",,Trigger)</f>
        <v>42236</v>
      </c>
      <c r="AI92" s="169">
        <f>_xll.qlDayCounterYearFraction(DayCounter,SettlementDate,AH92,,,Trigger)</f>
        <v>0.35</v>
      </c>
      <c r="AJ92" s="181">
        <f t="shared" si="14"/>
        <v>2.0477974016661158E-3</v>
      </c>
      <c r="AK92" s="181">
        <f t="shared" si="15"/>
        <v>2.0517294990950031E-3</v>
      </c>
      <c r="AL92" s="181">
        <f t="shared" si="16"/>
        <v>2.1595376553440303E-3</v>
      </c>
      <c r="AM92" s="181">
        <f>a_lin_6M+b_lin_6M*AI92</f>
        <v>2.0675614763161531E-3</v>
      </c>
      <c r="AN92" s="181">
        <f>a_quad_6M+b_quad_6M*AI92+c_quad_6M*AI92^2</f>
        <v>2.0613195080777889E-3</v>
      </c>
    </row>
    <row r="93" spans="14:40" x14ac:dyDescent="0.2">
      <c r="N93" s="154"/>
      <c r="O93" s="154"/>
      <c r="AH93" s="183">
        <f>_xll.qlCalendarAdvance(Calendar,AH92,"1d","mf",,Trigger)</f>
        <v>42237</v>
      </c>
      <c r="AI93" s="169">
        <f>_xll.qlDayCounterYearFraction(DayCounter,SettlementDate,AH93,,,Trigger)</f>
        <v>0.3527777777777778</v>
      </c>
      <c r="AJ93" s="181">
        <f t="shared" si="14"/>
        <v>2.0477974016661158E-3</v>
      </c>
      <c r="AK93" s="181">
        <f t="shared" si="15"/>
        <v>2.0536955478094462E-3</v>
      </c>
      <c r="AL93" s="181">
        <f t="shared" si="16"/>
        <v>2.1623455025518174E-3</v>
      </c>
      <c r="AM93" s="181">
        <f>a_lin_6M+b_lin_6M*AI93</f>
        <v>2.0679170137730307E-3</v>
      </c>
      <c r="AN93" s="181">
        <f>a_quad_6M+b_quad_6M*AI93+c_quad_6M*AI93^2</f>
        <v>2.0619879890869642E-3</v>
      </c>
    </row>
    <row r="94" spans="14:40" x14ac:dyDescent="0.2">
      <c r="N94" s="154"/>
      <c r="O94" s="154"/>
      <c r="AH94" s="183">
        <f>_xll.qlCalendarAdvance(Calendar,AH93,"1d","mf",,Trigger)</f>
        <v>42240</v>
      </c>
      <c r="AI94" s="169">
        <f>_xll.qlDayCounterYearFraction(DayCounter,SettlementDate,AH94,,,Trigger)</f>
        <v>0.3611111111111111</v>
      </c>
      <c r="AJ94" s="181">
        <f t="shared" si="14"/>
        <v>2.0477974016661158E-3</v>
      </c>
      <c r="AK94" s="181">
        <f t="shared" si="15"/>
        <v>2.0595936939527761E-3</v>
      </c>
      <c r="AL94" s="181">
        <f t="shared" si="16"/>
        <v>2.1703186216175934E-3</v>
      </c>
      <c r="AM94" s="181">
        <f>a_lin_6M+b_lin_6M*AI94</f>
        <v>2.0689836261436638E-3</v>
      </c>
      <c r="AN94" s="181">
        <f>a_quad_6M+b_quad_6M*AI94+c_quad_6M*AI94^2</f>
        <v>2.0639849122891063E-3</v>
      </c>
    </row>
    <row r="95" spans="14:40" x14ac:dyDescent="0.2">
      <c r="N95" s="154"/>
      <c r="O95" s="154"/>
      <c r="AH95" s="183">
        <f>_xll.qlCalendarAdvance(Calendar,AH94,"1d","mf",,Trigger)</f>
        <v>42241</v>
      </c>
      <c r="AI95" s="169">
        <f>_xll.qlDayCounterYearFraction(DayCounter,SettlementDate,AH95,,,Trigger)</f>
        <v>0.36388888888888887</v>
      </c>
      <c r="AJ95" s="181">
        <f t="shared" si="14"/>
        <v>2.0477974016661158E-3</v>
      </c>
      <c r="AK95" s="181">
        <f t="shared" si="15"/>
        <v>2.0615597426672191E-3</v>
      </c>
      <c r="AL95" s="181">
        <f t="shared" si="16"/>
        <v>2.1728261871203232E-3</v>
      </c>
      <c r="AM95" s="181">
        <f>a_lin_6M+b_lin_6M*AI95</f>
        <v>2.0693391636005414E-3</v>
      </c>
      <c r="AN95" s="181">
        <f>a_quad_6M+b_quad_6M*AI95+c_quad_6M*AI95^2</f>
        <v>2.0646477134146925E-3</v>
      </c>
    </row>
    <row r="96" spans="14:40" x14ac:dyDescent="0.2">
      <c r="N96" s="154"/>
      <c r="O96" s="154"/>
      <c r="AH96" s="183">
        <f>_xll.qlCalendarAdvance(Calendar,AH95,"1d","mf",,Trigger)</f>
        <v>42242</v>
      </c>
      <c r="AI96" s="169">
        <f>_xll.qlDayCounterYearFraction(DayCounter,SettlementDate,AH96,,,Trigger)</f>
        <v>0.36666666666666664</v>
      </c>
      <c r="AJ96" s="181">
        <f t="shared" si="14"/>
        <v>2.0477974016661158E-3</v>
      </c>
      <c r="AK96" s="181">
        <f t="shared" si="15"/>
        <v>2.0635257913816625E-3</v>
      </c>
      <c r="AL96" s="181">
        <f t="shared" si="16"/>
        <v>2.1752586821967889E-3</v>
      </c>
      <c r="AM96" s="181">
        <f>a_lin_6M+b_lin_6M*AI96</f>
        <v>2.0696947010574191E-3</v>
      </c>
      <c r="AN96" s="181">
        <f>a_quad_6M+b_quad_6M*AI96+c_quad_6M*AI96^2</f>
        <v>2.0653090945693814E-3</v>
      </c>
    </row>
    <row r="97" spans="14:40" x14ac:dyDescent="0.2">
      <c r="N97" s="154"/>
      <c r="O97" s="154"/>
      <c r="AH97" s="183">
        <f>_xll.qlCalendarAdvance(Calendar,AH96,"1d","mf",,Trigger)</f>
        <v>42243</v>
      </c>
      <c r="AI97" s="169">
        <f>_xll.qlDayCounterYearFraction(DayCounter,SettlementDate,AH97,,,Trigger)</f>
        <v>0.36944444444444446</v>
      </c>
      <c r="AJ97" s="181">
        <f t="shared" si="14"/>
        <v>2.0477974016661158E-3</v>
      </c>
      <c r="AK97" s="181">
        <f t="shared" si="15"/>
        <v>2.0654918400961056E-3</v>
      </c>
      <c r="AL97" s="181">
        <f t="shared" si="16"/>
        <v>2.1776161068469903E-3</v>
      </c>
      <c r="AM97" s="181">
        <f>a_lin_6M+b_lin_6M*AI97</f>
        <v>2.0700502385142963E-3</v>
      </c>
      <c r="AN97" s="181">
        <f>a_quad_6M+b_quad_6M*AI97+c_quad_6M*AI97^2</f>
        <v>2.0659690557531733E-3</v>
      </c>
    </row>
    <row r="98" spans="14:40" x14ac:dyDescent="0.2">
      <c r="N98" s="154"/>
      <c r="O98" s="154"/>
      <c r="AH98" s="183">
        <f>_xll.qlCalendarAdvance(Calendar,AH97,"1d","mf",,Trigger)</f>
        <v>42244</v>
      </c>
      <c r="AI98" s="169">
        <f>_xll.qlDayCounterYearFraction(DayCounter,SettlementDate,AH98,,,Trigger)</f>
        <v>0.37222222222222223</v>
      </c>
      <c r="AJ98" s="181">
        <f t="shared" si="14"/>
        <v>2.0477974016661158E-3</v>
      </c>
      <c r="AK98" s="181">
        <f t="shared" si="15"/>
        <v>2.0674578888105486E-3</v>
      </c>
      <c r="AL98" s="181">
        <f t="shared" si="16"/>
        <v>2.1798984610709267E-3</v>
      </c>
      <c r="AM98" s="181">
        <f>a_lin_6M+b_lin_6M*AI98</f>
        <v>2.070405775971174E-3</v>
      </c>
      <c r="AN98" s="181">
        <f>a_quad_6M+b_quad_6M*AI98+c_quad_6M*AI98^2</f>
        <v>2.0666275969660683E-3</v>
      </c>
    </row>
    <row r="99" spans="14:40" x14ac:dyDescent="0.2">
      <c r="N99" s="154"/>
      <c r="O99" s="154"/>
      <c r="AH99" s="183">
        <f>_xll.qlCalendarAdvance(Calendar,AH98,"1d","mf",,Trigger)</f>
        <v>42247</v>
      </c>
      <c r="AI99" s="169">
        <f>_xll.qlDayCounterYearFraction(DayCounter,SettlementDate,AH99,,,Trigger)</f>
        <v>0.38055555555555554</v>
      </c>
      <c r="AJ99" s="181">
        <f t="shared" ref="AJ99:AJ132" si="17">$Y$13</f>
        <v>2.0477974016661158E-3</v>
      </c>
      <c r="AK99" s="181">
        <f t="shared" ref="AK99:AK132" si="18">$Y$10+$Y$9*AI99</f>
        <v>2.0733560349538785E-3</v>
      </c>
      <c r="AL99" s="181">
        <f t="shared" ref="AL99:AL132" si="19">($Y$5+$Y$4*AI99+$Y$3*AI99^2)</f>
        <v>2.1862951011851518E-3</v>
      </c>
      <c r="AM99" s="181">
        <f>a_lin_6M+b_lin_6M*AI99</f>
        <v>2.071472388341807E-3</v>
      </c>
      <c r="AN99" s="181">
        <f>a_quad_6M+b_quad_6M*AI99+c_quad_6M*AI99^2</f>
        <v>2.0685947007793694E-3</v>
      </c>
    </row>
    <row r="100" spans="14:40" x14ac:dyDescent="0.2">
      <c r="N100" s="154"/>
      <c r="O100" s="154"/>
      <c r="AH100" s="183">
        <f>_xll.qlCalendarAdvance(Calendar,AH99,"1d","mf",,Trigger)</f>
        <v>42248</v>
      </c>
      <c r="AI100" s="169">
        <f>_xll.qlDayCounterYearFraction(DayCounter,SettlementDate,AH100,,,Trigger)</f>
        <v>0.38333333333333336</v>
      </c>
      <c r="AJ100" s="181">
        <f t="shared" si="17"/>
        <v>2.0477974016661158E-3</v>
      </c>
      <c r="AK100" s="181">
        <f t="shared" si="18"/>
        <v>2.0753220836683215E-3</v>
      </c>
      <c r="AL100" s="181">
        <f t="shared" si="19"/>
        <v>2.1882771737040314E-3</v>
      </c>
      <c r="AM100" s="181">
        <f>a_lin_6M+b_lin_6M*AI100</f>
        <v>2.0718279257986847E-3</v>
      </c>
      <c r="AN100" s="181">
        <f>a_quad_6M+b_quad_6M*AI100+c_quad_6M*AI100^2</f>
        <v>2.0692475621086753E-3</v>
      </c>
    </row>
    <row r="101" spans="14:40" x14ac:dyDescent="0.2">
      <c r="N101" s="154"/>
      <c r="O101" s="154"/>
      <c r="AH101" s="183">
        <f>_xll.qlCalendarAdvance(Calendar,AH100,"1d","mf",,Trigger)</f>
        <v>42249</v>
      </c>
      <c r="AI101" s="169">
        <f>_xll.qlDayCounterYearFraction(DayCounter,SettlementDate,AH101,,,Trigger)</f>
        <v>0.38611111111111113</v>
      </c>
      <c r="AJ101" s="181">
        <f t="shared" si="17"/>
        <v>2.0477974016661158E-3</v>
      </c>
      <c r="AK101" s="181">
        <f t="shared" si="18"/>
        <v>2.077288132382765E-3</v>
      </c>
      <c r="AL101" s="181">
        <f t="shared" si="19"/>
        <v>2.1901841757966472E-3</v>
      </c>
      <c r="AM101" s="181">
        <f>a_lin_6M+b_lin_6M*AI101</f>
        <v>2.0721834632555624E-3</v>
      </c>
      <c r="AN101" s="181">
        <f>a_quad_6M+b_quad_6M*AI101+c_quad_6M*AI101^2</f>
        <v>2.0698990034670843E-3</v>
      </c>
    </row>
    <row r="102" spans="14:40" x14ac:dyDescent="0.2">
      <c r="N102" s="154"/>
      <c r="O102" s="154"/>
      <c r="AH102" s="183">
        <f>_xll.qlCalendarAdvance(Calendar,AH101,"1d","mf",,Trigger)</f>
        <v>42250</v>
      </c>
      <c r="AI102" s="169">
        <f>_xll.qlDayCounterYearFraction(DayCounter,SettlementDate,AH102,,,Trigger)</f>
        <v>0.3888888888888889</v>
      </c>
      <c r="AJ102" s="181">
        <f t="shared" si="17"/>
        <v>2.0477974016661158E-3</v>
      </c>
      <c r="AK102" s="181">
        <f t="shared" si="18"/>
        <v>2.079254181097208E-3</v>
      </c>
      <c r="AL102" s="181">
        <f t="shared" si="19"/>
        <v>2.1920161074629979E-3</v>
      </c>
      <c r="AM102" s="181">
        <f>a_lin_6M+b_lin_6M*AI102</f>
        <v>2.0725390007124401E-3</v>
      </c>
      <c r="AN102" s="181">
        <f>a_quad_6M+b_quad_6M*AI102+c_quad_6M*AI102^2</f>
        <v>2.0705490248545959E-3</v>
      </c>
    </row>
    <row r="103" spans="14:40" x14ac:dyDescent="0.2">
      <c r="N103" s="154"/>
      <c r="O103" s="154"/>
      <c r="AH103" s="183">
        <f>_xll.qlCalendarAdvance(Calendar,AH102,"1d","mf",,Trigger)</f>
        <v>42251</v>
      </c>
      <c r="AI103" s="169">
        <f>_xll.qlDayCounterYearFraction(DayCounter,SettlementDate,AH103,,,Trigger)</f>
        <v>0.39166666666666666</v>
      </c>
      <c r="AJ103" s="181">
        <f t="shared" si="17"/>
        <v>2.0477974016661158E-3</v>
      </c>
      <c r="AK103" s="181">
        <f t="shared" si="18"/>
        <v>2.0812202298116514E-3</v>
      </c>
      <c r="AL103" s="181">
        <f t="shared" si="19"/>
        <v>2.1937729687030844E-3</v>
      </c>
      <c r="AM103" s="181">
        <f>a_lin_6M+b_lin_6M*AI103</f>
        <v>2.0728945381693177E-3</v>
      </c>
      <c r="AN103" s="181">
        <f>a_quad_6M+b_quad_6M*AI103+c_quad_6M*AI103^2</f>
        <v>2.0711976262712101E-3</v>
      </c>
    </row>
    <row r="104" spans="14:40" x14ac:dyDescent="0.2">
      <c r="N104" s="154"/>
      <c r="O104" s="154"/>
      <c r="AH104" s="183">
        <f>_xll.qlCalendarAdvance(Calendar,AH103,"1d","mf",,Trigger)</f>
        <v>42254</v>
      </c>
      <c r="AI104" s="169">
        <f>_xll.qlDayCounterYearFraction(DayCounter,SettlementDate,AH104,,,Trigger)</f>
        <v>0.4</v>
      </c>
      <c r="AJ104" s="181">
        <f t="shared" si="17"/>
        <v>2.0477974016661158E-3</v>
      </c>
      <c r="AK104" s="181">
        <f t="shared" si="18"/>
        <v>2.0871183759549809E-3</v>
      </c>
      <c r="AL104" s="181">
        <f t="shared" si="19"/>
        <v>2.1985931298657579E-3</v>
      </c>
      <c r="AM104" s="181">
        <f>a_lin_6M+b_lin_6M*AI104</f>
        <v>2.0739611505399503E-3</v>
      </c>
      <c r="AN104" s="181">
        <f>a_quad_6M+b_quad_6M*AI104+c_quad_6M*AI104^2</f>
        <v>2.0731349106956703E-3</v>
      </c>
    </row>
    <row r="105" spans="14:40" x14ac:dyDescent="0.2">
      <c r="N105" s="154"/>
      <c r="O105" s="154"/>
      <c r="AH105" s="183">
        <f>_xll.qlCalendarAdvance(Calendar,AH104,"1d","mf",,Trigger)</f>
        <v>42255</v>
      </c>
      <c r="AI105" s="169">
        <f>_xll.qlDayCounterYearFraction(DayCounter,SettlementDate,AH105,,,Trigger)</f>
        <v>0.40277777777777779</v>
      </c>
      <c r="AJ105" s="181">
        <f t="shared" si="17"/>
        <v>2.0477974016661158E-3</v>
      </c>
      <c r="AK105" s="181">
        <f t="shared" si="18"/>
        <v>2.0890844246694244E-3</v>
      </c>
      <c r="AL105" s="181">
        <f t="shared" si="19"/>
        <v>2.2000497094007876E-3</v>
      </c>
      <c r="AM105" s="181">
        <f>a_lin_6M+b_lin_6M*AI105</f>
        <v>2.074316687996828E-3</v>
      </c>
      <c r="AN105" s="181">
        <f>a_quad_6M+b_quad_6M*AI105+c_quad_6M*AI105^2</f>
        <v>2.0737778322286963E-3</v>
      </c>
    </row>
    <row r="106" spans="14:40" x14ac:dyDescent="0.2">
      <c r="N106" s="154"/>
      <c r="O106" s="154"/>
      <c r="AH106" s="183">
        <f>_xll.qlCalendarAdvance(Calendar,AH105,"1d","mf",,Trigger)</f>
        <v>42256</v>
      </c>
      <c r="AI106" s="169">
        <f>_xll.qlDayCounterYearFraction(DayCounter,SettlementDate,AH106,,,Trigger)</f>
        <v>0.40555555555555556</v>
      </c>
      <c r="AJ106" s="181">
        <f t="shared" si="17"/>
        <v>2.0477974016661158E-3</v>
      </c>
      <c r="AK106" s="181">
        <f t="shared" si="18"/>
        <v>2.0910504733838674E-3</v>
      </c>
      <c r="AL106" s="181">
        <f t="shared" si="19"/>
        <v>2.2014312185095523E-3</v>
      </c>
      <c r="AM106" s="181">
        <f>a_lin_6M+b_lin_6M*AI106</f>
        <v>2.0746722254537057E-3</v>
      </c>
      <c r="AN106" s="181">
        <f>a_quad_6M+b_quad_6M*AI106+c_quad_6M*AI106^2</f>
        <v>2.0744193337908245E-3</v>
      </c>
    </row>
    <row r="107" spans="14:40" x14ac:dyDescent="0.2">
      <c r="N107" s="154"/>
      <c r="O107" s="154"/>
      <c r="AH107" s="183">
        <f>_xll.qlCalendarAdvance(Calendar,AH106,"1d","mf",,Trigger)</f>
        <v>42257</v>
      </c>
      <c r="AI107" s="169">
        <f>_xll.qlDayCounterYearFraction(DayCounter,SettlementDate,AH107,,,Trigger)</f>
        <v>0.40833333333333333</v>
      </c>
      <c r="AJ107" s="181">
        <f t="shared" si="17"/>
        <v>2.0477974016661158E-3</v>
      </c>
      <c r="AK107" s="181">
        <f t="shared" si="18"/>
        <v>2.0930165220983108E-3</v>
      </c>
      <c r="AL107" s="181">
        <f t="shared" si="19"/>
        <v>2.2027376571920527E-3</v>
      </c>
      <c r="AM107" s="181">
        <f>a_lin_6M+b_lin_6M*AI107</f>
        <v>2.0750277629105834E-3</v>
      </c>
      <c r="AN107" s="181">
        <f>a_quad_6M+b_quad_6M*AI107+c_quad_6M*AI107^2</f>
        <v>2.0750594153820562E-3</v>
      </c>
    </row>
    <row r="108" spans="14:40" x14ac:dyDescent="0.2">
      <c r="N108" s="154"/>
      <c r="O108" s="154"/>
      <c r="AH108" s="183">
        <f>_xll.qlCalendarAdvance(Calendar,AH107,"1d","mf",,Trigger)</f>
        <v>42258</v>
      </c>
      <c r="AI108" s="169">
        <f>_xll.qlDayCounterYearFraction(DayCounter,SettlementDate,AH108,,,Trigger)</f>
        <v>0.41111111111111109</v>
      </c>
      <c r="AJ108" s="181">
        <f t="shared" si="17"/>
        <v>2.0477974016661158E-3</v>
      </c>
      <c r="AK108" s="181">
        <f t="shared" si="18"/>
        <v>2.0949825708127538E-3</v>
      </c>
      <c r="AL108" s="181">
        <f t="shared" si="19"/>
        <v>2.2039690254482894E-3</v>
      </c>
      <c r="AM108" s="181">
        <f>a_lin_6M+b_lin_6M*AI108</f>
        <v>2.075383300367461E-3</v>
      </c>
      <c r="AN108" s="181">
        <f>a_quad_6M+b_quad_6M*AI108+c_quad_6M*AI108^2</f>
        <v>2.0756980770023901E-3</v>
      </c>
    </row>
    <row r="109" spans="14:40" x14ac:dyDescent="0.2">
      <c r="N109" s="154"/>
      <c r="O109" s="154"/>
      <c r="AH109" s="183">
        <f>_xll.qlCalendarAdvance(Calendar,AH108,"1d","mf",,Trigger)</f>
        <v>42261</v>
      </c>
      <c r="AI109" s="169">
        <f>_xll.qlDayCounterYearFraction(DayCounter,SettlementDate,AH109,,,Trigger)</f>
        <v>0.41944444444444445</v>
      </c>
      <c r="AJ109" s="181">
        <f t="shared" si="17"/>
        <v>2.0477974016661158E-3</v>
      </c>
      <c r="AK109" s="181">
        <f t="shared" si="18"/>
        <v>2.1008807169560833E-3</v>
      </c>
      <c r="AL109" s="181">
        <f t="shared" si="19"/>
        <v>2.207212707659412E-3</v>
      </c>
      <c r="AM109" s="181">
        <f>a_lin_6M+b_lin_6M*AI109</f>
        <v>2.0764499127380936E-3</v>
      </c>
      <c r="AN109" s="181">
        <f>a_quad_6M+b_quad_6M*AI109+c_quad_6M*AI109^2</f>
        <v>2.0776055420380097E-3</v>
      </c>
    </row>
    <row r="110" spans="14:40" x14ac:dyDescent="0.2">
      <c r="N110" s="154"/>
      <c r="O110" s="154"/>
      <c r="AH110" s="183">
        <f>_xll.qlCalendarAdvance(Calendar,AH109,"1d","mf",,Trigger)</f>
        <v>42262</v>
      </c>
      <c r="AI110" s="169">
        <f>_xll.qlDayCounterYearFraction(DayCounter,SettlementDate,AH110,,,Trigger)</f>
        <v>0.42222222222222222</v>
      </c>
      <c r="AJ110" s="181">
        <f t="shared" si="17"/>
        <v>2.0477974016661158E-3</v>
      </c>
      <c r="AK110" s="181">
        <f t="shared" si="18"/>
        <v>2.1028467656705268E-3</v>
      </c>
      <c r="AL110" s="181">
        <f t="shared" si="19"/>
        <v>2.2081437942105915E-3</v>
      </c>
      <c r="AM110" s="181">
        <f>a_lin_6M+b_lin_6M*AI110</f>
        <v>2.0768054501949713E-3</v>
      </c>
      <c r="AN110" s="181">
        <f>a_quad_6M+b_quad_6M*AI110+c_quad_6M*AI110^2</f>
        <v>2.078238523774755E-3</v>
      </c>
    </row>
    <row r="111" spans="14:40" x14ac:dyDescent="0.2">
      <c r="N111" s="154"/>
      <c r="O111" s="154"/>
      <c r="AH111" s="183">
        <f>_xll.qlCalendarAdvance(Calendar,AH110,"1d","mf",,Trigger)</f>
        <v>42263</v>
      </c>
      <c r="AI111" s="169">
        <f>_xll.qlDayCounterYearFraction(DayCounter,SettlementDate,AH111,,,Trigger)</f>
        <v>0.42499999999999999</v>
      </c>
      <c r="AJ111" s="181">
        <f t="shared" si="17"/>
        <v>2.0477974016661158E-3</v>
      </c>
      <c r="AK111" s="181">
        <f t="shared" si="18"/>
        <v>2.1048128143849698E-3</v>
      </c>
      <c r="AL111" s="181">
        <f t="shared" si="19"/>
        <v>2.2089998103355054E-3</v>
      </c>
      <c r="AM111" s="181">
        <f>a_lin_6M+b_lin_6M*AI111</f>
        <v>2.077160987651849E-3</v>
      </c>
      <c r="AN111" s="181">
        <f>a_quad_6M+b_quad_6M*AI111+c_quad_6M*AI111^2</f>
        <v>2.0788700855406033E-3</v>
      </c>
    </row>
    <row r="112" spans="14:40" x14ac:dyDescent="0.2">
      <c r="N112" s="154"/>
      <c r="O112" s="154"/>
      <c r="AH112" s="183">
        <f>_xll.qlCalendarAdvance(Calendar,AH111,"1d","mf",,Trigger)</f>
        <v>42264</v>
      </c>
      <c r="AI112" s="169">
        <f>_xll.qlDayCounterYearFraction(DayCounter,SettlementDate,AH112,,,Trigger)</f>
        <v>0.42777777777777776</v>
      </c>
      <c r="AJ112" s="181">
        <f t="shared" si="17"/>
        <v>2.0477974016661158E-3</v>
      </c>
      <c r="AK112" s="181">
        <f t="shared" si="18"/>
        <v>2.1067788630994132E-3</v>
      </c>
      <c r="AL112" s="181">
        <f t="shared" si="19"/>
        <v>2.209780756034156E-3</v>
      </c>
      <c r="AM112" s="181">
        <f>a_lin_6M+b_lin_6M*AI112</f>
        <v>2.0775165251087266E-3</v>
      </c>
      <c r="AN112" s="181">
        <f>a_quad_6M+b_quad_6M*AI112+c_quad_6M*AI112^2</f>
        <v>2.0795002273355542E-3</v>
      </c>
    </row>
    <row r="113" spans="14:40" x14ac:dyDescent="0.2">
      <c r="N113" s="155"/>
      <c r="O113" s="154"/>
      <c r="AH113" s="183">
        <f>_xll.qlCalendarAdvance(Calendar,AH112,"1d","mf",,Trigger)</f>
        <v>42265</v>
      </c>
      <c r="AI113" s="169">
        <f>_xll.qlDayCounterYearFraction(DayCounter,SettlementDate,AH113,,,Trigger)</f>
        <v>0.43055555555555558</v>
      </c>
      <c r="AJ113" s="181">
        <f t="shared" si="17"/>
        <v>2.0477974016661158E-3</v>
      </c>
      <c r="AK113" s="181">
        <f t="shared" si="18"/>
        <v>2.1087449118138563E-3</v>
      </c>
      <c r="AL113" s="181">
        <f t="shared" si="19"/>
        <v>2.210486631306542E-3</v>
      </c>
      <c r="AM113" s="181">
        <f>a_lin_6M+b_lin_6M*AI113</f>
        <v>2.0778720625656043E-3</v>
      </c>
      <c r="AN113" s="181">
        <f>a_quad_6M+b_quad_6M*AI113+c_quad_6M*AI113^2</f>
        <v>2.0801289491596082E-3</v>
      </c>
    </row>
    <row r="114" spans="14:40" x14ac:dyDescent="0.2">
      <c r="N114" s="155"/>
      <c r="O114" s="154"/>
      <c r="AH114" s="183">
        <f>_xll.qlCalendarAdvance(Calendar,AH113,"1d","mf",,Trigger)</f>
        <v>42268</v>
      </c>
      <c r="AI114" s="169">
        <f>_xll.qlDayCounterYearFraction(DayCounter,SettlementDate,AH114,,,Trigger)</f>
        <v>0.43888888888888888</v>
      </c>
      <c r="AJ114" s="181">
        <f t="shared" si="17"/>
        <v>2.0477974016661158E-3</v>
      </c>
      <c r="AK114" s="181">
        <f t="shared" si="18"/>
        <v>2.1146430579571862E-3</v>
      </c>
      <c r="AL114" s="181">
        <f t="shared" si="19"/>
        <v>2.2121538345661138E-3</v>
      </c>
      <c r="AM114" s="181">
        <f>a_lin_6M+b_lin_6M*AI114</f>
        <v>2.0789386749362373E-3</v>
      </c>
      <c r="AN114" s="181">
        <f>a_quad_6M+b_quad_6M*AI114+c_quad_6M*AI114^2</f>
        <v>2.0820065948063864E-3</v>
      </c>
    </row>
    <row r="115" spans="14:40" x14ac:dyDescent="0.2">
      <c r="N115" s="155"/>
      <c r="O115" s="154"/>
      <c r="AH115" s="183">
        <f>_xll.qlCalendarAdvance(Calendar,AH114,"1d","mf",,Trigger)</f>
        <v>42269</v>
      </c>
      <c r="AI115" s="169">
        <f>_xll.qlDayCounterYearFraction(DayCounter,SettlementDate,AH115,,,Trigger)</f>
        <v>0.44166666666666665</v>
      </c>
      <c r="AJ115" s="181">
        <f t="shared" si="17"/>
        <v>2.0477974016661158E-3</v>
      </c>
      <c r="AK115" s="181">
        <f t="shared" si="18"/>
        <v>2.1166091066716292E-3</v>
      </c>
      <c r="AL115" s="181">
        <f t="shared" si="19"/>
        <v>2.2125594281334421E-3</v>
      </c>
      <c r="AM115" s="181">
        <f>a_lin_6M+b_lin_6M*AI115</f>
        <v>2.0792942123931146E-3</v>
      </c>
      <c r="AN115" s="181">
        <f>a_quad_6M+b_quad_6M*AI115+c_quad_6M*AI115^2</f>
        <v>2.0826296367468513E-3</v>
      </c>
    </row>
    <row r="116" spans="14:40" x14ac:dyDescent="0.2">
      <c r="N116" s="155"/>
      <c r="O116" s="154"/>
      <c r="AH116" s="183">
        <f>_xll.qlCalendarAdvance(Calendar,AH115,"1d","mf",,Trigger)</f>
        <v>42270</v>
      </c>
      <c r="AI116" s="169">
        <f>_xll.qlDayCounterYearFraction(DayCounter,SettlementDate,AH116,,,Trigger)</f>
        <v>0.44444444444444442</v>
      </c>
      <c r="AJ116" s="181">
        <f t="shared" si="17"/>
        <v>2.0477974016661158E-3</v>
      </c>
      <c r="AK116" s="181">
        <f t="shared" si="18"/>
        <v>2.1185751553860726E-3</v>
      </c>
      <c r="AL116" s="181">
        <f t="shared" si="19"/>
        <v>2.2128899512745062E-3</v>
      </c>
      <c r="AM116" s="181">
        <f>a_lin_6M+b_lin_6M*AI116</f>
        <v>2.0796497498499922E-3</v>
      </c>
      <c r="AN116" s="181">
        <f>a_quad_6M+b_quad_6M*AI116+c_quad_6M*AI116^2</f>
        <v>2.0832512587164193E-3</v>
      </c>
    </row>
    <row r="117" spans="14:40" x14ac:dyDescent="0.2">
      <c r="N117" s="155"/>
      <c r="O117" s="154"/>
      <c r="AH117" s="183">
        <f>_xll.qlCalendarAdvance(Calendar,AH116,"1d","mf",,Trigger)</f>
        <v>42271</v>
      </c>
      <c r="AI117" s="169">
        <f>_xll.qlDayCounterYearFraction(DayCounter,SettlementDate,AH117,,,Trigger)</f>
        <v>0.44722222222222224</v>
      </c>
      <c r="AJ117" s="181">
        <f t="shared" si="17"/>
        <v>2.0477974016661158E-3</v>
      </c>
      <c r="AK117" s="181">
        <f t="shared" si="18"/>
        <v>2.1205412041005157E-3</v>
      </c>
      <c r="AL117" s="181">
        <f t="shared" si="19"/>
        <v>2.2131454039893065E-3</v>
      </c>
      <c r="AM117" s="181">
        <f>a_lin_6M+b_lin_6M*AI117</f>
        <v>2.0800052873068699E-3</v>
      </c>
      <c r="AN117" s="181">
        <f>a_quad_6M+b_quad_6M*AI117+c_quad_6M*AI117^2</f>
        <v>2.0838714607150899E-3</v>
      </c>
    </row>
    <row r="118" spans="14:40" x14ac:dyDescent="0.2">
      <c r="N118" s="155"/>
      <c r="O118" s="154"/>
      <c r="AH118" s="183">
        <f>_xll.qlCalendarAdvance(Calendar,AH117,"1d","mf",,Trigger)</f>
        <v>42272</v>
      </c>
      <c r="AI118" s="169">
        <f>_xll.qlDayCounterYearFraction(DayCounter,SettlementDate,AH118,,,Trigger)</f>
        <v>0.45</v>
      </c>
      <c r="AJ118" s="181">
        <f t="shared" si="17"/>
        <v>2.0477974016661158E-3</v>
      </c>
      <c r="AK118" s="181">
        <f t="shared" si="18"/>
        <v>2.1225072528149591E-3</v>
      </c>
      <c r="AL118" s="181">
        <f t="shared" si="19"/>
        <v>2.2133257862778418E-3</v>
      </c>
      <c r="AM118" s="181">
        <f>a_lin_6M+b_lin_6M*AI118</f>
        <v>2.0803608247637476E-3</v>
      </c>
      <c r="AN118" s="181">
        <f>a_quad_6M+b_quad_6M*AI118+c_quad_6M*AI118^2</f>
        <v>2.0844902427428636E-3</v>
      </c>
    </row>
    <row r="119" spans="14:40" x14ac:dyDescent="0.2">
      <c r="N119" s="155"/>
      <c r="O119" s="155"/>
      <c r="AH119" s="183">
        <f>_xll.qlCalendarAdvance(Calendar,AH118,"1d","mf",,Trigger)</f>
        <v>42275</v>
      </c>
      <c r="AI119" s="169">
        <f>_xll.qlDayCounterYearFraction(DayCounter,SettlementDate,AH119,,,Trigger)</f>
        <v>0.45833333333333331</v>
      </c>
      <c r="AJ119" s="181">
        <f t="shared" si="17"/>
        <v>2.0477974016661158E-3</v>
      </c>
      <c r="AK119" s="181">
        <f t="shared" si="18"/>
        <v>2.1284053989582886E-3</v>
      </c>
      <c r="AL119" s="181">
        <f t="shared" si="19"/>
        <v>2.2134165105858628E-3</v>
      </c>
      <c r="AM119" s="181">
        <f>a_lin_6M+b_lin_6M*AI119</f>
        <v>2.0814274371343806E-3</v>
      </c>
      <c r="AN119" s="181">
        <f>a_quad_6M+b_quad_6M*AI119+c_quad_6M*AI119^2</f>
        <v>2.0863380690008008E-3</v>
      </c>
    </row>
    <row r="120" spans="14:40" x14ac:dyDescent="0.2">
      <c r="N120" s="155"/>
      <c r="O120" s="155"/>
      <c r="AH120" s="183">
        <f>_xll.qlCalendarAdvance(Calendar,AH119,"1d","mf",,Trigger)</f>
        <v>42276</v>
      </c>
      <c r="AI120" s="169">
        <f>_xll.qlDayCounterYearFraction(DayCounter,SettlementDate,AH120,,,Trigger)</f>
        <v>0.46111111111111114</v>
      </c>
      <c r="AJ120" s="181">
        <f t="shared" si="17"/>
        <v>2.0477974016661158E-3</v>
      </c>
      <c r="AK120" s="181">
        <f t="shared" si="18"/>
        <v>2.130371447672732E-3</v>
      </c>
      <c r="AL120" s="181">
        <f t="shared" si="19"/>
        <v>2.2132966111693408E-3</v>
      </c>
      <c r="AM120" s="181">
        <f>a_lin_6M+b_lin_6M*AI120</f>
        <v>2.0817829745912583E-3</v>
      </c>
      <c r="AN120" s="181">
        <f>a_quad_6M+b_quad_6M*AI120+c_quad_6M*AI120^2</f>
        <v>2.0869511711449859E-3</v>
      </c>
    </row>
    <row r="121" spans="14:40" x14ac:dyDescent="0.2">
      <c r="N121" s="155"/>
      <c r="O121" s="155"/>
      <c r="AH121" s="183">
        <f>_xll.qlCalendarAdvance(Calendar,AH120,"1d","mf",,Trigger)</f>
        <v>42277</v>
      </c>
      <c r="AI121" s="169">
        <f>_xll.qlDayCounterYearFraction(DayCounter,SettlementDate,AH121,,,Trigger)</f>
        <v>0.46388888888888891</v>
      </c>
      <c r="AJ121" s="181">
        <f t="shared" si="17"/>
        <v>2.0477974016661158E-3</v>
      </c>
      <c r="AK121" s="181">
        <f t="shared" si="18"/>
        <v>2.1323374963871751E-3</v>
      </c>
      <c r="AL121" s="181">
        <f t="shared" si="19"/>
        <v>2.2131016413265547E-3</v>
      </c>
      <c r="AM121" s="181">
        <f>a_lin_6M+b_lin_6M*AI121</f>
        <v>2.082138512048136E-3</v>
      </c>
      <c r="AN121" s="181">
        <f>a_quad_6M+b_quad_6M*AI121+c_quad_6M*AI121^2</f>
        <v>2.0875628533182731E-3</v>
      </c>
    </row>
    <row r="122" spans="14:40" x14ac:dyDescent="0.2">
      <c r="N122" s="155"/>
      <c r="O122" s="155"/>
      <c r="AH122" s="183">
        <f>_xll.qlCalendarAdvance(Calendar,AH121,"1d","mf",,Trigger)</f>
        <v>42278</v>
      </c>
      <c r="AI122" s="169">
        <f>_xll.qlDayCounterYearFraction(DayCounter,SettlementDate,AH122,,,Trigger)</f>
        <v>0.46666666666666667</v>
      </c>
      <c r="AJ122" s="181">
        <f t="shared" si="17"/>
        <v>2.0477974016661158E-3</v>
      </c>
      <c r="AK122" s="181">
        <f t="shared" si="18"/>
        <v>2.1343035451016181E-3</v>
      </c>
      <c r="AL122" s="181">
        <f t="shared" si="19"/>
        <v>2.2128316010575047E-3</v>
      </c>
      <c r="AM122" s="181">
        <f>a_lin_6M+b_lin_6M*AI122</f>
        <v>2.0824940495050132E-3</v>
      </c>
      <c r="AN122" s="181">
        <f>a_quad_6M+b_quad_6M*AI122+c_quad_6M*AI122^2</f>
        <v>2.0881731155206638E-3</v>
      </c>
    </row>
    <row r="123" spans="14:40" x14ac:dyDescent="0.2">
      <c r="N123" s="155"/>
      <c r="O123" s="155"/>
      <c r="AH123" s="183">
        <f>_xll.qlCalendarAdvance(Calendar,AH122,"1d","mf",,Trigger)</f>
        <v>42279</v>
      </c>
      <c r="AI123" s="169">
        <f>_xll.qlDayCounterYearFraction(DayCounter,SettlementDate,AH123,,,Trigger)</f>
        <v>0.46944444444444444</v>
      </c>
      <c r="AJ123" s="181">
        <f t="shared" si="17"/>
        <v>2.0477974016661158E-3</v>
      </c>
      <c r="AK123" s="181">
        <f t="shared" si="18"/>
        <v>2.1362695938160615E-3</v>
      </c>
      <c r="AL123" s="181">
        <f t="shared" si="19"/>
        <v>2.2124864903621897E-3</v>
      </c>
      <c r="AM123" s="181">
        <f>a_lin_6M+b_lin_6M*AI123</f>
        <v>2.0828495869618909E-3</v>
      </c>
      <c r="AN123" s="181">
        <f>a_quad_6M+b_quad_6M*AI123+c_quad_6M*AI123^2</f>
        <v>2.0887819577521567E-3</v>
      </c>
    </row>
    <row r="124" spans="14:40" x14ac:dyDescent="0.2">
      <c r="N124" s="155"/>
      <c r="O124" s="155"/>
      <c r="AH124" s="183">
        <f>_xll.qlCalendarAdvance(Calendar,AH123,"1d","mf",,Trigger)</f>
        <v>42282</v>
      </c>
      <c r="AI124" s="169">
        <f>_xll.qlDayCounterYearFraction(DayCounter,SettlementDate,AH124,,,Trigger)</f>
        <v>0.4777777777777778</v>
      </c>
      <c r="AJ124" s="181">
        <f t="shared" si="17"/>
        <v>2.0477974016661158E-3</v>
      </c>
      <c r="AK124" s="181">
        <f t="shared" si="18"/>
        <v>2.142167739959391E-3</v>
      </c>
      <c r="AL124" s="181">
        <f t="shared" si="19"/>
        <v>2.2110007357186599E-3</v>
      </c>
      <c r="AM124" s="181">
        <f>a_lin_6M+b_lin_6M*AI124</f>
        <v>2.0839161993325239E-3</v>
      </c>
      <c r="AN124" s="181">
        <f>a_quad_6M+b_quad_6M*AI124+c_quad_6M*AI124^2</f>
        <v>2.0905999646212534E-3</v>
      </c>
    </row>
    <row r="125" spans="14:40" x14ac:dyDescent="0.2">
      <c r="N125" s="155"/>
      <c r="O125" s="155"/>
      <c r="AH125" s="183">
        <f>_xll.qlCalendarAdvance(Calendar,AH124,"1d","mf",,Trigger)</f>
        <v>42283</v>
      </c>
      <c r="AI125" s="169">
        <f>_xll.qlDayCounterYearFraction(DayCounter,SettlementDate,AH125,,,Trigger)</f>
        <v>0.48055555555555557</v>
      </c>
      <c r="AJ125" s="181">
        <f t="shared" si="17"/>
        <v>2.0477974016661158E-3</v>
      </c>
      <c r="AK125" s="181">
        <f t="shared" si="18"/>
        <v>2.1441337886738345E-3</v>
      </c>
      <c r="AL125" s="181">
        <f t="shared" si="19"/>
        <v>2.2103553433182876E-3</v>
      </c>
      <c r="AM125" s="181">
        <f>a_lin_6M+b_lin_6M*AI125</f>
        <v>2.0842717367894016E-3</v>
      </c>
      <c r="AN125" s="181">
        <f>a_quad_6M+b_quad_6M*AI125+c_quad_6M*AI125^2</f>
        <v>2.0912031269691577E-3</v>
      </c>
    </row>
    <row r="126" spans="14:40" x14ac:dyDescent="0.2">
      <c r="N126" s="155"/>
      <c r="O126" s="155"/>
      <c r="AH126" s="183">
        <f>_xll.qlCalendarAdvance(Calendar,AH125,"1d","mf",,Trigger)</f>
        <v>42284</v>
      </c>
      <c r="AI126" s="169">
        <f>_xll.qlDayCounterYearFraction(DayCounter,SettlementDate,AH126,,,Trigger)</f>
        <v>0.48333333333333334</v>
      </c>
      <c r="AJ126" s="181">
        <f t="shared" si="17"/>
        <v>2.0477974016661158E-3</v>
      </c>
      <c r="AK126" s="181">
        <f t="shared" si="18"/>
        <v>2.1460998373882775E-3</v>
      </c>
      <c r="AL126" s="181">
        <f t="shared" si="19"/>
        <v>2.2096348804916512E-3</v>
      </c>
      <c r="AM126" s="181">
        <f>a_lin_6M+b_lin_6M*AI126</f>
        <v>2.0846272742462793E-3</v>
      </c>
      <c r="AN126" s="181">
        <f>a_quad_6M+b_quad_6M*AI126+c_quad_6M*AI126^2</f>
        <v>2.091804869346165E-3</v>
      </c>
    </row>
    <row r="127" spans="14:40" x14ac:dyDescent="0.2">
      <c r="N127" s="155"/>
      <c r="O127" s="155"/>
      <c r="AH127" s="183">
        <f>_xll.qlCalendarAdvance(Calendar,AH126,"1d","mf",,Trigger)</f>
        <v>42285</v>
      </c>
      <c r="AI127" s="169">
        <f>_xll.qlDayCounterYearFraction(DayCounter,SettlementDate,AH127,,,Trigger)</f>
        <v>0.4861111111111111</v>
      </c>
      <c r="AJ127" s="181">
        <f t="shared" si="17"/>
        <v>2.0477974016661158E-3</v>
      </c>
      <c r="AK127" s="181">
        <f t="shared" si="18"/>
        <v>2.1480658861027209E-3</v>
      </c>
      <c r="AL127" s="181">
        <f t="shared" si="19"/>
        <v>2.2088393472387505E-3</v>
      </c>
      <c r="AM127" s="181">
        <f>a_lin_6M+b_lin_6M*AI127</f>
        <v>2.0849828117031569E-3</v>
      </c>
      <c r="AN127" s="181">
        <f>a_quad_6M+b_quad_6M*AI127+c_quad_6M*AI127^2</f>
        <v>2.092405191752275E-3</v>
      </c>
    </row>
    <row r="128" spans="14:40" x14ac:dyDescent="0.2">
      <c r="N128" s="155"/>
      <c r="O128" s="155"/>
      <c r="AH128" s="183">
        <f>_xll.qlCalendarAdvance(Calendar,AH127,"1d","mf",,Trigger)</f>
        <v>42286</v>
      </c>
      <c r="AI128" s="169">
        <f>_xll.qlDayCounterYearFraction(DayCounter,SettlementDate,AH128,,,Trigger)</f>
        <v>0.48888888888888887</v>
      </c>
      <c r="AJ128" s="181">
        <f t="shared" si="17"/>
        <v>2.0477974016661158E-3</v>
      </c>
      <c r="AK128" s="181">
        <f t="shared" si="18"/>
        <v>2.1500319348171639E-3</v>
      </c>
      <c r="AL128" s="181">
        <f t="shared" si="19"/>
        <v>2.2079687435595853E-3</v>
      </c>
      <c r="AM128" s="181">
        <f>a_lin_6M+b_lin_6M*AI128</f>
        <v>2.0853383491600342E-3</v>
      </c>
      <c r="AN128" s="181">
        <f>a_quad_6M+b_quad_6M*AI128+c_quad_6M*AI128^2</f>
        <v>2.093004094187488E-3</v>
      </c>
    </row>
    <row r="129" spans="15:40" x14ac:dyDescent="0.2">
      <c r="O129" s="155"/>
      <c r="AH129" s="183">
        <f>_xll.qlCalendarAdvance(Calendar,AH128,"1d","mf",,Trigger)</f>
        <v>42289</v>
      </c>
      <c r="AI129" s="169">
        <f>_xll.qlDayCounterYearFraction(DayCounter,SettlementDate,AH129,,,Trigger)</f>
        <v>0.49722222222222223</v>
      </c>
      <c r="AJ129" s="181">
        <f t="shared" si="17"/>
        <v>2.0477974016661158E-3</v>
      </c>
      <c r="AK129" s="181">
        <f t="shared" si="18"/>
        <v>2.1559300809604939E-3</v>
      </c>
      <c r="AL129" s="181">
        <f t="shared" si="19"/>
        <v>2.2049065099645042E-3</v>
      </c>
      <c r="AM129" s="181">
        <f>a_lin_6M+b_lin_6M*AI129</f>
        <v>2.0864049615306672E-3</v>
      </c>
      <c r="AN129" s="181">
        <f>a_quad_6M+b_quad_6M*AI129+c_quad_6M*AI129^2</f>
        <v>2.0947922816677437E-3</v>
      </c>
    </row>
    <row r="130" spans="15:40" x14ac:dyDescent="0.2">
      <c r="O130" s="155"/>
      <c r="AH130" s="183">
        <f>_xll.qlCalendarAdvance(Calendar,AH129,"1d","mf",,Trigger)</f>
        <v>42290</v>
      </c>
      <c r="AI130" s="169">
        <f>_xll.qlDayCounterYearFraction(DayCounter,SettlementDate,AH130,,,Trigger)</f>
        <v>0.5</v>
      </c>
      <c r="AJ130" s="181">
        <f t="shared" si="17"/>
        <v>2.0477974016661158E-3</v>
      </c>
      <c r="AK130" s="181">
        <f t="shared" si="18"/>
        <v>2.1578961296749369E-3</v>
      </c>
      <c r="AL130" s="181">
        <f t="shared" si="19"/>
        <v>2.2037356245802817E-3</v>
      </c>
      <c r="AM130" s="181">
        <f>a_lin_6M+b_lin_6M*AI130</f>
        <v>2.0867604989875449E-3</v>
      </c>
      <c r="AN130" s="181">
        <f>a_quad_6M+b_quad_6M*AI130+c_quad_6M*AI130^2</f>
        <v>2.0953855042193676E-3</v>
      </c>
    </row>
    <row r="131" spans="15:40" x14ac:dyDescent="0.2">
      <c r="O131" s="155"/>
      <c r="AH131" s="183">
        <f>_xll.qlCalendarAdvance(Calendar,AH130,"1d","mf",,Trigger)</f>
        <v>42291</v>
      </c>
      <c r="AI131" s="169">
        <f>_xll.qlDayCounterYearFraction(DayCounter,SettlementDate,AH131,,,Trigger)</f>
        <v>0.50277777777777777</v>
      </c>
      <c r="AJ131" s="181">
        <f t="shared" si="17"/>
        <v>2.0477974016661158E-3</v>
      </c>
      <c r="AK131" s="181">
        <f t="shared" si="18"/>
        <v>2.1598621783893799E-3</v>
      </c>
      <c r="AL131" s="181">
        <f t="shared" si="19"/>
        <v>2.2024896687697949E-3</v>
      </c>
      <c r="AM131" s="181">
        <f>a_lin_6M+b_lin_6M*AI131</f>
        <v>2.0871160364444225E-3</v>
      </c>
      <c r="AN131" s="181">
        <f>a_quad_6M+b_quad_6M*AI131+c_quad_6M*AI131^2</f>
        <v>2.0959773068000946E-3</v>
      </c>
    </row>
    <row r="132" spans="15:40" x14ac:dyDescent="0.2">
      <c r="O132" s="155"/>
      <c r="AH132" s="187">
        <f>_xll.qlCalendarAdvance(Calendar,AH131,"1d","mf",,Trigger)</f>
        <v>42292</v>
      </c>
      <c r="AI132" s="174">
        <f>_xll.qlDayCounterYearFraction(DayCounter,SettlementDate,AH132,,,Trigger)</f>
        <v>0.50555555555555554</v>
      </c>
      <c r="AJ132" s="190">
        <f t="shared" si="17"/>
        <v>2.0477974016661158E-3</v>
      </c>
      <c r="AK132" s="190">
        <f t="shared" si="18"/>
        <v>2.1618282271038233E-3</v>
      </c>
      <c r="AL132" s="190">
        <f t="shared" si="19"/>
        <v>2.201168642533044E-3</v>
      </c>
      <c r="AM132" s="190">
        <f>a_lin_6M+b_lin_6M*AI132</f>
        <v>2.0874715739013002E-3</v>
      </c>
      <c r="AN132" s="190">
        <f>a_quad_6M+b_quad_6M*AI132+c_quad_6M*AI132^2</f>
        <v>2.0965676894099242E-3</v>
      </c>
    </row>
    <row r="133" spans="15:40" x14ac:dyDescent="0.2">
      <c r="O133" s="155"/>
    </row>
    <row r="134" spans="15:40" x14ac:dyDescent="0.2">
      <c r="O134" s="155"/>
    </row>
  </sheetData>
  <mergeCells count="5">
    <mergeCell ref="T3:T5"/>
    <mergeCell ref="T9:T10"/>
    <mergeCell ref="Z9:Z10"/>
    <mergeCell ref="AC2:AE2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"flat,linear,quadratic,linear best-fit,quadratic best-fit"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7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Euribor1YLastFixing_Quote</v>
      </c>
      <c r="D3" s="162">
        <f>_xll.qlCalendarAdvance(Calendar,_xll.qlLastFixingQuoteReferenceDate($C$3),_xll.qlInterestRateIndexFixingDays($D$10)&amp;"D","f",,LastFixingsTrigger)</f>
        <v>42110</v>
      </c>
      <c r="E3" s="162">
        <f>_xll.qlInterestRateIndexMaturity($D$10,D3)</f>
        <v>42478</v>
      </c>
      <c r="F3" s="163">
        <f>'1Y Delta'!W31</f>
        <v>3.3445411709299962E-3</v>
      </c>
      <c r="G3" s="164">
        <f>_xll.qlDayCounterYearFraction(DayCounter,SettlementDate,D3,,,Trigger)</f>
        <v>0</v>
      </c>
      <c r="H3" s="164">
        <f>_xll.qlDayCounterYearFraction(DayCounter,SettlementDate,E3,,,Trigger)</f>
        <v>1.0222222222222221</v>
      </c>
      <c r="I3" s="164">
        <f>H3-G3</f>
        <v>1.0222222222222221</v>
      </c>
      <c r="J3" s="164">
        <f>(H3^2-G3^2)/2</f>
        <v>0.52246913580246901</v>
      </c>
      <c r="K3" s="164">
        <f>(H3^3-G3^3)/3</f>
        <v>0.35605304069501592</v>
      </c>
      <c r="L3" s="165" t="b">
        <f>IF(D12="fixing",TRUE,FALSE)</f>
        <v>0</v>
      </c>
      <c r="N3" s="430" t="s">
        <v>107</v>
      </c>
      <c r="O3" s="141">
        <f t="array" ref="O3:O5">_xll.ohFilter(K3:K7,L3:L7)</f>
        <v>0.35605304069501592</v>
      </c>
      <c r="P3" s="147">
        <f t="array" ref="P3:P5">_xll.ohFilter(J3:J7,L3:L7)</f>
        <v>0.52246913580246901</v>
      </c>
      <c r="Q3" s="142">
        <f t="array" ref="Q3:Q5">_xll.ohFilter(I3:I7,L3:L7)</f>
        <v>1.0222222222222221</v>
      </c>
      <c r="R3" s="148"/>
      <c r="S3" s="143">
        <f t="array" ref="S3:S5">MMULT(W3:Y5,U3:U5)</f>
        <v>2.9096861440188679E-3</v>
      </c>
      <c r="T3" s="149"/>
      <c r="U3" s="144">
        <f t="array" ref="U3:U5">_xll.ohFilter(F3:F7,L3:L7)</f>
        <v>3.3445411709299962E-3</v>
      </c>
      <c r="W3" s="141">
        <f t="array" ref="W3:Y5">MINVERSE(O3:Q5)</f>
        <v>7.6621617692404458</v>
      </c>
      <c r="X3" s="147">
        <v>-15.28245380203696</v>
      </c>
      <c r="Y3" s="142">
        <v>7.6410557713054947</v>
      </c>
      <c r="AB3" s="178">
        <f>SettlementDate</f>
        <v>42110</v>
      </c>
      <c r="AC3" s="169">
        <f>_xll.qlDayCounterYearFraction(DayCounter,SettlementDate,AB3,,,Trigger)</f>
        <v>0</v>
      </c>
      <c r="AD3" s="194">
        <f t="shared" ref="AD3:AD66" si="0">$S$13</f>
        <v>3.2718337541706487E-3</v>
      </c>
      <c r="AE3" s="194">
        <f t="shared" ref="AE3:AE21" si="1">$S$10+$S$9*AC3</f>
        <v>3.4324917116261081E-3</v>
      </c>
      <c r="AF3" s="194">
        <f t="shared" ref="AF3:AF21" si="2">($S$5+$S$4*AC3+$S$3*AC3^2)</f>
        <v>4.3151563787304347E-3</v>
      </c>
    </row>
    <row r="4" spans="1:32" ht="12" customHeight="1" x14ac:dyDescent="0.2">
      <c r="A4" s="129">
        <v>0</v>
      </c>
      <c r="B4" s="129">
        <f>A4+12</f>
        <v>12</v>
      </c>
      <c r="C4" s="166" t="str">
        <f>"Delta("&amp;A4&amp;"M,"&amp;B4&amp;"M)"</f>
        <v>Delta(0M,12M)</v>
      </c>
      <c r="D4" s="167">
        <f>SettlementDate</f>
        <v>42110</v>
      </c>
      <c r="E4" s="167">
        <f>_xll.qlInterestRateIndexMaturity($D$10,D4)</f>
        <v>42478</v>
      </c>
      <c r="F4" s="168">
        <f t="array" ref="F4:F7">Delta1Y</f>
        <v>3.3445411709299962E-3</v>
      </c>
      <c r="G4" s="169">
        <f>_xll.qlDayCounterYearFraction(DayCounter,SettlementDate,D4,,,Trigger)</f>
        <v>0</v>
      </c>
      <c r="H4" s="169">
        <f>_xll.qlDayCounterYearFraction(DayCounter,SettlementDate,E4,,,Trigger)</f>
        <v>1.0222222222222221</v>
      </c>
      <c r="I4" s="169">
        <f>H4-G4</f>
        <v>1.0222222222222221</v>
      </c>
      <c r="J4" s="169">
        <f>(H4^2-G4^2)/2</f>
        <v>0.52246913580246901</v>
      </c>
      <c r="K4" s="169">
        <f>(H4^3-G4^3)/3</f>
        <v>0.35605304069501592</v>
      </c>
      <c r="L4" s="170" t="b">
        <f>IF(D12="fixing",FALSE,TRUE)</f>
        <v>1</v>
      </c>
      <c r="N4" s="430"/>
      <c r="O4" s="141">
        <v>0.68550674439871961</v>
      </c>
      <c r="P4" s="147">
        <v>0.78086419753086411</v>
      </c>
      <c r="Q4" s="142">
        <v>1.0222222222222221</v>
      </c>
      <c r="R4" s="150" t="s">
        <v>37</v>
      </c>
      <c r="S4" s="143">
        <v>-4.0241806199499686E-3</v>
      </c>
      <c r="T4" s="150" t="s">
        <v>38</v>
      </c>
      <c r="U4" s="144">
        <v>3.2633196479941811E-3</v>
      </c>
      <c r="W4" s="141">
        <v>-13.639299256259351</v>
      </c>
      <c r="X4" s="147">
        <v>23.3551715980749</v>
      </c>
      <c r="Y4" s="142">
        <v>-9.7423461084145035</v>
      </c>
      <c r="AB4" s="183">
        <f>_xll.qlCalendarAdvance(Calendar,AB3,"1d","mf",,Trigger)</f>
        <v>42111</v>
      </c>
      <c r="AC4" s="169">
        <f>_xll.qlDayCounterYearFraction(DayCounter,SettlementDate,AB4,,,Trigger)</f>
        <v>2.7777777777777779E-3</v>
      </c>
      <c r="AD4" s="181">
        <f t="shared" si="0"/>
        <v>3.2718337541706487E-3</v>
      </c>
      <c r="AE4" s="181">
        <f t="shared" si="1"/>
        <v>3.4316185705529807E-3</v>
      </c>
      <c r="AF4" s="181">
        <f t="shared" si="2"/>
        <v>4.3040005505125484E-3</v>
      </c>
    </row>
    <row r="5" spans="1:32" ht="12" customHeight="1" x14ac:dyDescent="0.2">
      <c r="A5" s="131">
        <v>3</v>
      </c>
      <c r="B5" s="129">
        <f t="shared" ref="B5:B7" si="3">A5+12</f>
        <v>15</v>
      </c>
      <c r="C5" s="166" t="str">
        <f>"Delta("&amp;A5&amp;"M,"&amp;B5&amp;"M)"</f>
        <v>Delta(3M,15M)</v>
      </c>
      <c r="D5" s="167">
        <f>_xll.qlCalendarAdvance(Calendar,SettlementDate,A5&amp;"M","f")</f>
        <v>42201</v>
      </c>
      <c r="E5" s="167">
        <f>_xll.qlInterestRateIndexMaturity($D$10,D5)</f>
        <v>42569</v>
      </c>
      <c r="F5" s="168">
        <v>3.2633196479941811E-3</v>
      </c>
      <c r="G5" s="169">
        <f>_xll.qlDayCounterYearFraction(DayCounter,SettlementDate,D5,,,Trigger)</f>
        <v>0.25277777777777777</v>
      </c>
      <c r="H5" s="169">
        <f>_xll.qlDayCounterYearFraction(DayCounter,SettlementDate,E5,,,Trigger)</f>
        <v>1.2749999999999999</v>
      </c>
      <c r="I5" s="169">
        <f>H5-G5</f>
        <v>1.0222222222222221</v>
      </c>
      <c r="J5" s="169">
        <f>(H5^2-G5^2)/2</f>
        <v>0.78086419753086411</v>
      </c>
      <c r="K5" s="169">
        <f>(H5^3-G5^3)/3</f>
        <v>0.68550674439871961</v>
      </c>
      <c r="L5" s="170" t="b">
        <v>1</v>
      </c>
      <c r="N5" s="430"/>
      <c r="O5" s="141">
        <v>1.1448796367741196</v>
      </c>
      <c r="P5" s="147">
        <v>1.0378510802469134</v>
      </c>
      <c r="Q5" s="142">
        <v>1.0194444444444444</v>
      </c>
      <c r="R5" s="131"/>
      <c r="S5" s="143">
        <v>4.3151563787304347E-3</v>
      </c>
      <c r="T5" s="150"/>
      <c r="U5" s="144">
        <v>3.5538024093730034E-3</v>
      </c>
      <c r="W5" s="141">
        <v>5.2806295752397023</v>
      </c>
      <c r="X5" s="147">
        <v>-6.6140140850884537</v>
      </c>
      <c r="Y5" s="142">
        <v>2.3179441406657784</v>
      </c>
      <c r="AB5" s="183">
        <f>_xll.qlCalendarAdvance(Calendar,AB4,"1d","mf",,Trigger)</f>
        <v>42114</v>
      </c>
      <c r="AC5" s="169">
        <f>_xll.qlDayCounterYearFraction(DayCounter,SettlementDate,AB5,,,Trigger)</f>
        <v>1.1111111111111112E-2</v>
      </c>
      <c r="AD5" s="181">
        <f t="shared" si="0"/>
        <v>3.2718337541706487E-3</v>
      </c>
      <c r="AE5" s="181">
        <f t="shared" si="1"/>
        <v>3.4289991473335979E-3</v>
      </c>
      <c r="AF5" s="181">
        <f t="shared" si="2"/>
        <v>4.2708024812425976E-3</v>
      </c>
    </row>
    <row r="6" spans="1:32" ht="12" customHeight="1" x14ac:dyDescent="0.2">
      <c r="A6" s="131">
        <v>6</v>
      </c>
      <c r="B6" s="132">
        <f t="shared" si="3"/>
        <v>18</v>
      </c>
      <c r="C6" s="166" t="str">
        <f>"Delta("&amp;A6&amp;"M,"&amp;B6&amp;"M)"</f>
        <v>Delta(6M,18M)</v>
      </c>
      <c r="D6" s="167">
        <f>_xll.qlCalendarAdvance(Calendar,SettlementDate,A6&amp;"M","f")</f>
        <v>42293</v>
      </c>
      <c r="E6" s="167">
        <f>_xll.qlInterestRateIndexMaturity($D$10,D6)</f>
        <v>42660</v>
      </c>
      <c r="F6" s="168">
        <v>3.5538024093730034E-3</v>
      </c>
      <c r="G6" s="169">
        <f>_xll.qlDayCounterYearFraction(DayCounter,SettlementDate,D6,,,Trigger)</f>
        <v>0.5083333333333333</v>
      </c>
      <c r="H6" s="169">
        <f>_xll.qlDayCounterYearFraction(DayCounter,SettlementDate,E6,,,Trigger)</f>
        <v>1.5277777777777777</v>
      </c>
      <c r="I6" s="169">
        <f>H6-G6</f>
        <v>1.0194444444444444</v>
      </c>
      <c r="J6" s="169">
        <f>(H6^2-G6^2)/2</f>
        <v>1.0378510802469134</v>
      </c>
      <c r="K6" s="169">
        <f>(H6^3-G6^3)/3</f>
        <v>1.1448796367741196</v>
      </c>
      <c r="L6" s="170" t="b">
        <v>1</v>
      </c>
      <c r="S6" s="145"/>
      <c r="T6" s="138"/>
      <c r="U6" s="139"/>
      <c r="AB6" s="183">
        <f>_xll.qlCalendarAdvance(Calendar,AB5,"1d","mf",,Trigger)</f>
        <v>42115</v>
      </c>
      <c r="AC6" s="169">
        <f>_xll.qlDayCounterYearFraction(DayCounter,SettlementDate,AB6,,,Trigger)</f>
        <v>1.3888888888888888E-2</v>
      </c>
      <c r="AD6" s="181">
        <f t="shared" si="0"/>
        <v>3.2718337541706487E-3</v>
      </c>
      <c r="AE6" s="181">
        <f t="shared" si="1"/>
        <v>3.4281260062604705E-3</v>
      </c>
      <c r="AF6" s="181">
        <f t="shared" si="2"/>
        <v>4.2598262632805159E-3</v>
      </c>
    </row>
    <row r="7" spans="1:32" ht="12" customHeight="1" x14ac:dyDescent="0.2">
      <c r="A7" s="131">
        <v>12</v>
      </c>
      <c r="B7" s="132">
        <f t="shared" si="3"/>
        <v>24</v>
      </c>
      <c r="C7" s="171" t="str">
        <f>"Delta("&amp;A7&amp;"M,"&amp;B7&amp;"M)"</f>
        <v>Delta(12M,24M)</v>
      </c>
      <c r="D7" s="172">
        <f>_xll.qlCalendarAdvance(Calendar,SettlementDate,A7&amp;"M","f")</f>
        <v>42478</v>
      </c>
      <c r="E7" s="172">
        <f>_xll.qlInterestRateIndexMaturity($D$10,D7)</f>
        <v>42843</v>
      </c>
      <c r="F7" s="173">
        <v>3.8285721741260501E-3</v>
      </c>
      <c r="G7" s="174">
        <f>_xll.qlDayCounterYearFraction(DayCounter,SettlementDate,D7,,,Trigger)</f>
        <v>1.0222222222222221</v>
      </c>
      <c r="H7" s="174">
        <f>_xll.qlDayCounterYearFraction(DayCounter,SettlementDate,E7,,,Trigger)</f>
        <v>2.036111111111111</v>
      </c>
      <c r="I7" s="174">
        <f>H7-G7</f>
        <v>1.0138888888888888</v>
      </c>
      <c r="J7" s="174">
        <f>(H7^2-G7^2)/2</f>
        <v>1.5504050925925927</v>
      </c>
      <c r="K7" s="174">
        <f>(H7^3-G7^3)/3</f>
        <v>2.4576817915523548</v>
      </c>
      <c r="L7" s="175" t="b">
        <v>0</v>
      </c>
      <c r="S7" s="145"/>
      <c r="T7" s="138"/>
      <c r="U7" s="139"/>
      <c r="AB7" s="183">
        <f>_xll.qlCalendarAdvance(Calendar,AB6,"1d","mf",,Trigger)</f>
        <v>42116</v>
      </c>
      <c r="AC7" s="169">
        <f>_xll.qlDayCounterYearFraction(DayCounter,SettlementDate,AB7,,,Trigger)</f>
        <v>1.6666666666666666E-2</v>
      </c>
      <c r="AD7" s="181">
        <f t="shared" si="0"/>
        <v>3.2718337541706487E-3</v>
      </c>
      <c r="AE7" s="181">
        <f t="shared" si="1"/>
        <v>3.4272528651873432E-3</v>
      </c>
      <c r="AF7" s="181">
        <f t="shared" si="2"/>
        <v>4.248894947882385E-3</v>
      </c>
    </row>
    <row r="8" spans="1:32" ht="12" customHeight="1" x14ac:dyDescent="0.2"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42117</v>
      </c>
      <c r="AC8" s="169">
        <f>_xll.qlDayCounterYearFraction(DayCounter,SettlementDate,AB8,,,Trigger)</f>
        <v>1.9444444444444445E-2</v>
      </c>
      <c r="AD8" s="181">
        <f t="shared" si="0"/>
        <v>3.2718337541706487E-3</v>
      </c>
      <c r="AE8" s="181">
        <f t="shared" si="1"/>
        <v>3.4263797241142154E-3</v>
      </c>
      <c r="AF8" s="181">
        <f t="shared" si="2"/>
        <v>4.2380085350482042E-3</v>
      </c>
    </row>
    <row r="9" spans="1:32" ht="12" customHeight="1" x14ac:dyDescent="0.2">
      <c r="C9" s="156" t="s">
        <v>159</v>
      </c>
      <c r="D9" s="191" t="s">
        <v>27</v>
      </c>
      <c r="N9" s="429" t="s">
        <v>108</v>
      </c>
      <c r="O9" s="140"/>
      <c r="P9" s="141">
        <f t="array" ref="P9:P10">_xll.ohFilter(J3:J7,L3:L7)</f>
        <v>0.52246913580246901</v>
      </c>
      <c r="Q9" s="142">
        <f t="array" ref="Q9:Q10">_xll.ohFilter(I3:I7,L3:L7)</f>
        <v>1.0222222222222221</v>
      </c>
      <c r="R9" s="431" t="s">
        <v>37</v>
      </c>
      <c r="S9" s="143">
        <f t="array" ref="S9:S10">MMULT(W9:X10,U9:U10)</f>
        <v>-3.1433078632589831E-4</v>
      </c>
      <c r="T9" s="431" t="s">
        <v>38</v>
      </c>
      <c r="U9" s="144">
        <f t="array" ref="U9:U10">_xll.ohFilter(F3:F7,L3:L7)</f>
        <v>3.3445411709299962E-3</v>
      </c>
      <c r="W9" s="141">
        <f t="array" ref="W9:X10">MINVERSE(P9:Q10)</f>
        <v>-3.8700430004777822</v>
      </c>
      <c r="X9" s="142">
        <v>3.8700430004777817</v>
      </c>
      <c r="AB9" s="183">
        <f>_xll.qlCalendarAdvance(Calendar,AB8,"1d","mf",,Trigger)</f>
        <v>42118</v>
      </c>
      <c r="AC9" s="169">
        <f>_xll.qlDayCounterYearFraction(DayCounter,SettlementDate,AB9,,,Trigger)</f>
        <v>2.2222222222222223E-2</v>
      </c>
      <c r="AD9" s="181">
        <f t="shared" si="0"/>
        <v>3.2718337541706487E-3</v>
      </c>
      <c r="AE9" s="181">
        <f t="shared" si="1"/>
        <v>3.4255065830410881E-3</v>
      </c>
      <c r="AF9" s="181">
        <f t="shared" si="2"/>
        <v>4.2271670247779761E-3</v>
      </c>
    </row>
    <row r="10" spans="1:32" ht="12" customHeight="1" x14ac:dyDescent="0.2">
      <c r="C10" s="156" t="s">
        <v>121</v>
      </c>
      <c r="D10" s="191" t="str">
        <f>PROPER(Currency)&amp;IborType&amp;D9</f>
        <v>Euribor1Y</v>
      </c>
      <c r="N10" s="429"/>
      <c r="O10" s="140"/>
      <c r="P10" s="141">
        <v>0.78086419753086411</v>
      </c>
      <c r="Q10" s="142">
        <v>1.0222222222222221</v>
      </c>
      <c r="R10" s="431"/>
      <c r="S10" s="143">
        <v>3.4324917116261081E-3</v>
      </c>
      <c r="T10" s="431"/>
      <c r="U10" s="144">
        <v>3.2633196479941811E-3</v>
      </c>
      <c r="W10" s="141">
        <v>2.9562828475871945</v>
      </c>
      <c r="X10" s="142">
        <v>-1.978021978021977</v>
      </c>
      <c r="AB10" s="183">
        <f>_xll.qlCalendarAdvance(Calendar,AB9,"1d","mf",,Trigger)</f>
        <v>42121</v>
      </c>
      <c r="AC10" s="169">
        <f>_xll.qlDayCounterYearFraction(DayCounter,SettlementDate,AB10,,,Trigger)</f>
        <v>3.0555555555555555E-2</v>
      </c>
      <c r="AD10" s="181">
        <f t="shared" si="0"/>
        <v>3.2718337541706487E-3</v>
      </c>
      <c r="AE10" s="181">
        <f t="shared" si="1"/>
        <v>3.4228871598217057E-3</v>
      </c>
      <c r="AF10" s="181">
        <f t="shared" si="2"/>
        <v>4.1949119093509938E-3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42122</v>
      </c>
      <c r="AC11" s="169">
        <f>_xll.qlDayCounterYearFraction(DayCounter,SettlementDate,AB11,,,Trigger)</f>
        <v>3.3333333333333333E-2</v>
      </c>
      <c r="AD11" s="181">
        <f t="shared" si="0"/>
        <v>3.2718337541706487E-3</v>
      </c>
      <c r="AE11" s="181">
        <f t="shared" si="1"/>
        <v>3.4220140187485779E-3</v>
      </c>
      <c r="AF11" s="181">
        <f t="shared" si="2"/>
        <v>4.1842500093365676E-3</v>
      </c>
    </row>
    <row r="12" spans="1:32" ht="12" customHeight="1" x14ac:dyDescent="0.2">
      <c r="C12" s="156" t="s">
        <v>149</v>
      </c>
      <c r="D12" s="191" t="s">
        <v>156</v>
      </c>
      <c r="S12" s="146" t="s">
        <v>35</v>
      </c>
      <c r="T12" s="138"/>
      <c r="U12" s="139"/>
      <c r="AB12" s="183">
        <f>_xll.qlCalendarAdvance(Calendar,AB11,"1d","mf",,Trigger)</f>
        <v>42123</v>
      </c>
      <c r="AC12" s="169">
        <f>_xll.qlDayCounterYearFraction(DayCounter,SettlementDate,AB12,,,Trigger)</f>
        <v>3.6111111111111108E-2</v>
      </c>
      <c r="AD12" s="181">
        <f t="shared" si="0"/>
        <v>3.2718337541706487E-3</v>
      </c>
      <c r="AE12" s="181">
        <f t="shared" si="1"/>
        <v>3.4211408776754506E-3</v>
      </c>
      <c r="AF12" s="181">
        <f t="shared" si="2"/>
        <v>4.1736330118860932E-3</v>
      </c>
    </row>
    <row r="13" spans="1:32" ht="12" customHeight="1" x14ac:dyDescent="0.2">
      <c r="J13" s="158" t="str">
        <f>"Synthetic Deposits "&amp;D9</f>
        <v>Synthetic Deposits 1Y</v>
      </c>
      <c r="K13" s="158"/>
      <c r="L13" s="158"/>
      <c r="N13" s="151" t="s">
        <v>109</v>
      </c>
      <c r="Q13" s="152">
        <f t="array" ref="Q13">_xll.ohFilter(I3:I7,L3:L7)</f>
        <v>1.0222222222222221</v>
      </c>
      <c r="R13" s="151" t="s">
        <v>37</v>
      </c>
      <c r="S13" s="143">
        <f>MMULT(W13,U13)</f>
        <v>3.2718337541706487E-3</v>
      </c>
      <c r="T13" s="151" t="s">
        <v>38</v>
      </c>
      <c r="U13" s="144">
        <f t="array" ref="U13">_xll.ohFilter(F3:F7,L3:L7)</f>
        <v>3.3445411709299962E-3</v>
      </c>
      <c r="W13" s="152">
        <f>MINVERSE(Q13)</f>
        <v>0.97826086956521752</v>
      </c>
      <c r="AB13" s="183">
        <f>_xll.qlCalendarAdvance(Calendar,AB12,"1d","mf",,Trigger)</f>
        <v>42124</v>
      </c>
      <c r="AC13" s="169">
        <f>_xll.qlDayCounterYearFraction(DayCounter,SettlementDate,AB13,,,Trigger)</f>
        <v>3.888888888888889E-2</v>
      </c>
      <c r="AD13" s="181">
        <f t="shared" si="0"/>
        <v>3.2718337541706487E-3</v>
      </c>
      <c r="AE13" s="181">
        <f t="shared" si="1"/>
        <v>3.4202677366023232E-3</v>
      </c>
      <c r="AF13" s="181">
        <f t="shared" si="2"/>
        <v>4.1630609169995697E-3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7" t="s">
        <v>143</v>
      </c>
      <c r="G14" s="157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42128</v>
      </c>
      <c r="AC14" s="169">
        <f>_xll.qlDayCounterYearFraction(DayCounter,SettlementDate,AB14,,,Trigger)</f>
        <v>0.05</v>
      </c>
      <c r="AD14" s="181">
        <f t="shared" si="0"/>
        <v>3.2718337541706487E-3</v>
      </c>
      <c r="AE14" s="181">
        <f t="shared" si="1"/>
        <v>3.4167751723098131E-3</v>
      </c>
      <c r="AF14" s="181">
        <f t="shared" si="2"/>
        <v>4.1212215630929833E-3</v>
      </c>
    </row>
    <row r="15" spans="1:32" ht="12" customHeight="1" x14ac:dyDescent="0.2">
      <c r="C15" s="176" t="s">
        <v>43</v>
      </c>
      <c r="D15" s="177">
        <f t="shared" ref="D15:D30" si="4">SettlementDate</f>
        <v>42110</v>
      </c>
      <c r="E15" s="178">
        <f>_xll.qlCalendarAdvance(Calendar,SettlementDate,C15,"Following",,Trigger)</f>
        <v>42111</v>
      </c>
      <c r="F15" s="179">
        <f>_xll.qlDayCounterYearFraction(DayCounter,D15,E15,,,Trigger)</f>
        <v>2.7777777777777779E-3</v>
      </c>
      <c r="G15" s="206">
        <f>_xll.qlYieldTSDiscount(Discounting,D15,,AllTriggers)</f>
        <v>1</v>
      </c>
      <c r="H15" s="180">
        <f>_xll.qlYieldTSDiscount(Discounting,E15,,AllTriggers)</f>
        <v>1.000002261326409</v>
      </c>
      <c r="I15" s="207">
        <f>(G15/H15-1)/F15</f>
        <v>-8.1407566635771644E-4</v>
      </c>
      <c r="J15" s="181">
        <f>((1+I15*F15)*EXP($S$13*F15)-1)/F15</f>
        <v>2.4577655570734436E-3</v>
      </c>
      <c r="K15" s="181">
        <f>((1+F15*I15)*EXP($S$10*F15+0.5*$S$9*F15^2)-1)/F15</f>
        <v>2.6179880734478189E-3</v>
      </c>
      <c r="L15" s="181">
        <f>((1+F15*I15)*EXP($S$5*F15+0.5*$S$4*F15^2+1/3*$S$3*F15^3)-1)/F15</f>
        <v>3.4955151061666356E-3</v>
      </c>
      <c r="AB15" s="183">
        <f>_xll.qlCalendarAdvance(Calendar,AB14,"1d","mf",,Trigger)</f>
        <v>42129</v>
      </c>
      <c r="AC15" s="169">
        <f>_xll.qlDayCounterYearFraction(DayCounter,SettlementDate,AB15,,,Trigger)</f>
        <v>5.2777777777777778E-2</v>
      </c>
      <c r="AD15" s="181">
        <f t="shared" si="0"/>
        <v>3.2718337541706487E-3</v>
      </c>
      <c r="AE15" s="181">
        <f t="shared" si="1"/>
        <v>3.4159020312366857E-3</v>
      </c>
      <c r="AF15" s="181">
        <f t="shared" si="2"/>
        <v>4.1108739810262144E-3</v>
      </c>
    </row>
    <row r="16" spans="1:32" ht="12" customHeight="1" x14ac:dyDescent="0.2">
      <c r="C16" s="182" t="s">
        <v>44</v>
      </c>
      <c r="D16" s="167">
        <f>SettlementDate</f>
        <v>42110</v>
      </c>
      <c r="E16" s="183">
        <f>_xll.qlCalendarAdvance(Calendar,SettlementDate,C16,"Following",,Trigger)</f>
        <v>42117</v>
      </c>
      <c r="F16" s="169">
        <f>_xll.qlDayCounterYearFraction(DayCounter,D16,E16,,,Trigger)</f>
        <v>1.9444444444444445E-2</v>
      </c>
      <c r="G16" s="208">
        <f>_xll.qlYieldTSDiscount(Discounting,D16,,AllTriggers)</f>
        <v>1</v>
      </c>
      <c r="H16" s="184">
        <f>_xll.qlYieldTSDiscount(Discounting,E16,,AllTriggers)</f>
        <v>1.0000163336001151</v>
      </c>
      <c r="I16" s="207">
        <f t="shared" ref="I16:I18" si="5">(G16/H16-1)/F16</f>
        <v>-8.399999999803802E-4</v>
      </c>
      <c r="J16" s="181">
        <f t="shared" ref="J16:J18" si="6">((1+I16*F16)*EXP($S$13*F16)-1)/F16</f>
        <v>2.4318843901267278E-3</v>
      </c>
      <c r="K16" s="181">
        <f t="shared" ref="K16:K18" si="7">((1+F16*I16)*EXP($S$10*F16+0.5*$S$9*F16^2)-1)/F16</f>
        <v>2.5894940477945638E-3</v>
      </c>
      <c r="L16" s="181">
        <f t="shared" ref="L16:L18" si="8">((1+F16*I16)*EXP($S$5*F16+0.5*$S$4*F16^2+1/3*$S$3*F16^3)-1)/F16</f>
        <v>3.4365070549556365E-3</v>
      </c>
      <c r="AB16" s="183">
        <f>_xll.qlCalendarAdvance(Calendar,AB15,"1d","mf",,Trigger)</f>
        <v>42130</v>
      </c>
      <c r="AC16" s="169">
        <f>_xll.qlDayCounterYearFraction(DayCounter,SettlementDate,AB16,,,Trigger)</f>
        <v>5.5555555555555552E-2</v>
      </c>
      <c r="AD16" s="181">
        <f t="shared" si="0"/>
        <v>3.2718337541706487E-3</v>
      </c>
      <c r="AE16" s="181">
        <f t="shared" si="1"/>
        <v>3.415028890163558E-3</v>
      </c>
      <c r="AF16" s="181">
        <f t="shared" si="2"/>
        <v>4.1005713015233956E-3</v>
      </c>
    </row>
    <row r="17" spans="3:32" ht="12" customHeight="1" x14ac:dyDescent="0.2">
      <c r="C17" s="182" t="s">
        <v>45</v>
      </c>
      <c r="D17" s="167">
        <f t="shared" si="4"/>
        <v>42110</v>
      </c>
      <c r="E17" s="183">
        <f>_xll.qlCalendarAdvance(Calendar,SettlementDate,C17,"Following",,Trigger)</f>
        <v>42124</v>
      </c>
      <c r="F17" s="169">
        <f>_xll.qlDayCounterYearFraction(DayCounter,D17,E17,,,Trigger)</f>
        <v>3.888888888888889E-2</v>
      </c>
      <c r="G17" s="208">
        <f>_xll.qlYieldTSDiscount(Discounting,D17,,AllTriggers)</f>
        <v>1</v>
      </c>
      <c r="H17" s="184">
        <f>_xll.qlYieldTSDiscount(Discounting,E17,,AllTriggers)</f>
        <v>1.0000346123091548</v>
      </c>
      <c r="I17" s="207">
        <f t="shared" si="5"/>
        <v>-8.9000000188204406E-4</v>
      </c>
      <c r="J17" s="181">
        <f t="shared" si="6"/>
        <v>2.3819286628690151E-3</v>
      </c>
      <c r="K17" s="181">
        <f t="shared" si="7"/>
        <v>2.5364894129533055E-3</v>
      </c>
      <c r="L17" s="181">
        <f t="shared" si="8"/>
        <v>3.3485778462529125E-3</v>
      </c>
      <c r="AB17" s="183">
        <f>_xll.qlCalendarAdvance(Calendar,AB16,"1d","mf",,Trigger)</f>
        <v>42131</v>
      </c>
      <c r="AC17" s="169">
        <f>_xll.qlDayCounterYearFraction(DayCounter,SettlementDate,AB17,,,Trigger)</f>
        <v>5.8333333333333334E-2</v>
      </c>
      <c r="AD17" s="181">
        <f t="shared" si="0"/>
        <v>3.2718337541706487E-3</v>
      </c>
      <c r="AE17" s="181">
        <f t="shared" si="1"/>
        <v>3.4141557490904306E-3</v>
      </c>
      <c r="AF17" s="181">
        <f t="shared" si="2"/>
        <v>4.0903135245845285E-3</v>
      </c>
    </row>
    <row r="18" spans="3:32" ht="12" customHeight="1" x14ac:dyDescent="0.2">
      <c r="C18" s="182" t="s">
        <v>46</v>
      </c>
      <c r="D18" s="167">
        <f t="shared" si="4"/>
        <v>42110</v>
      </c>
      <c r="E18" s="183">
        <f>_xll.qlCalendarAdvance(Calendar,SettlementDate,C18,"Following",,Trigger)</f>
        <v>42131</v>
      </c>
      <c r="F18" s="169">
        <f>_xll.qlDayCounterYearFraction(DayCounter,D18,E18,,,Trigger)</f>
        <v>5.8333333333333334E-2</v>
      </c>
      <c r="G18" s="208">
        <f>_xll.qlYieldTSDiscount(Discounting,D18,,AllTriggers)</f>
        <v>1</v>
      </c>
      <c r="H18" s="184">
        <f>_xll.qlYieldTSDiscount(Discounting,E18,,AllTriggers)</f>
        <v>1.0000455020703813</v>
      </c>
      <c r="I18" s="207">
        <f t="shared" si="5"/>
        <v>-7.8000000063622413E-4</v>
      </c>
      <c r="J18" s="181">
        <f t="shared" si="6"/>
        <v>2.4919971168925669E-3</v>
      </c>
      <c r="K18" s="181">
        <f t="shared" si="7"/>
        <v>2.6435097840974259E-3</v>
      </c>
      <c r="L18" s="181">
        <f t="shared" si="8"/>
        <v>3.4214084168710762E-3</v>
      </c>
      <c r="AB18" s="183">
        <f>_xll.qlCalendarAdvance(Calendar,AB17,"1d","mf",,Trigger)</f>
        <v>42132</v>
      </c>
      <c r="AC18" s="169">
        <f>_xll.qlDayCounterYearFraction(DayCounter,SettlementDate,AB18,,,Trigger)</f>
        <v>6.1111111111111109E-2</v>
      </c>
      <c r="AD18" s="181">
        <f t="shared" si="0"/>
        <v>3.2718337541706487E-3</v>
      </c>
      <c r="AE18" s="181">
        <f t="shared" si="1"/>
        <v>3.4132826080173033E-3</v>
      </c>
      <c r="AF18" s="181">
        <f t="shared" si="2"/>
        <v>4.0801006502096124E-3</v>
      </c>
    </row>
    <row r="19" spans="3:32" ht="12" customHeight="1" x14ac:dyDescent="0.2">
      <c r="C19" s="182" t="s">
        <v>40</v>
      </c>
      <c r="D19" s="167">
        <f t="shared" si="4"/>
        <v>42110</v>
      </c>
      <c r="E19" s="183">
        <f>_xll.qlCalendarAdvance(Calendar,SettlementDate,C19,"Following",,Trigger)</f>
        <v>42142</v>
      </c>
      <c r="F19" s="169">
        <f>_xll.qlDayCounterYearFraction(DayCounter,D19,E19,,,Trigger)</f>
        <v>8.8888888888888892E-2</v>
      </c>
      <c r="G19" s="208">
        <f>_xll.qlYieldTSDiscount(Discounting,D19,,AllTriggers)</f>
        <v>1</v>
      </c>
      <c r="H19" s="184">
        <f>_xll.qlYieldTSDiscount(Discounting,E19,,AllTriggers)</f>
        <v>1.0000773393142086</v>
      </c>
      <c r="I19" s="207">
        <f t="shared" ref="I19:I30" si="9">(G19/H19-1)/F19</f>
        <v>-8.6999999964323949E-4</v>
      </c>
      <c r="J19" s="181">
        <f t="shared" ref="J19:J30" si="10">((1+I19*F19)*EXP($S$13*F19)-1)/F19</f>
        <v>2.4020565152063633E-3</v>
      </c>
      <c r="K19" s="181">
        <f t="shared" ref="K19:K30" si="11">((1+F19*I19)*EXP($S$10*F19+0.5*$S$9*F19^2)-1)/F19</f>
        <v>2.5487764922166312E-3</v>
      </c>
      <c r="L19" s="181">
        <f t="shared" ref="L19:L30" si="12">((1+F19*I19)*EXP($S$5*F19+0.5*$S$4*F19^2+1/3*$S$3*F19^3)-1)/F19</f>
        <v>3.2744100665493825E-3</v>
      </c>
      <c r="AB19" s="183">
        <f>_xll.qlCalendarAdvance(Calendar,AB18,"1d","mf",,Trigger)</f>
        <v>42135</v>
      </c>
      <c r="AC19" s="169">
        <f>_xll.qlDayCounterYearFraction(DayCounter,SettlementDate,AB19,,,Trigger)</f>
        <v>6.9444444444444448E-2</v>
      </c>
      <c r="AD19" s="181">
        <f t="shared" si="0"/>
        <v>3.2718337541706487E-3</v>
      </c>
      <c r="AE19" s="181">
        <f t="shared" si="1"/>
        <v>3.4106631847979209E-3</v>
      </c>
      <c r="AF19" s="181">
        <f t="shared" si="2"/>
        <v>4.0497314424685679E-3</v>
      </c>
    </row>
    <row r="20" spans="3:32" ht="12" customHeight="1" x14ac:dyDescent="0.2">
      <c r="C20" s="182" t="s">
        <v>47</v>
      </c>
      <c r="D20" s="167">
        <f t="shared" si="4"/>
        <v>42110</v>
      </c>
      <c r="E20" s="183">
        <f>_xll.qlCalendarAdvance(Calendar,SettlementDate,C20,"Following",,Trigger)</f>
        <v>42171</v>
      </c>
      <c r="F20" s="169">
        <f>_xll.qlDayCounterYearFraction(DayCounter,D20,E20,,,Trigger)</f>
        <v>0.16944444444444445</v>
      </c>
      <c r="G20" s="208">
        <f>_xll.qlYieldTSDiscount(Discounting,D20,,AllTriggers)</f>
        <v>1</v>
      </c>
      <c r="H20" s="184">
        <f>_xll.qlYieldTSDiscount(Discounting,E20,,AllTriggers)</f>
        <v>1.0001605222997145</v>
      </c>
      <c r="I20" s="207">
        <f t="shared" si="9"/>
        <v>-9.4719267408072854E-4</v>
      </c>
      <c r="J20" s="181">
        <f t="shared" si="10"/>
        <v>2.3250229267287098E-3</v>
      </c>
      <c r="K20" s="181">
        <f t="shared" si="11"/>
        <v>2.4591044055887754E-3</v>
      </c>
      <c r="L20" s="181">
        <f t="shared" si="12"/>
        <v>3.0555879806958668E-3</v>
      </c>
      <c r="AB20" s="183">
        <f>_xll.qlCalendarAdvance(Calendar,AB19,"1d","mf",,Trigger)</f>
        <v>42136</v>
      </c>
      <c r="AC20" s="169">
        <f>_xll.qlDayCounterYearFraction(DayCounter,SettlementDate,AB20,,,Trigger)</f>
        <v>7.2222222222222215E-2</v>
      </c>
      <c r="AD20" s="181">
        <f t="shared" si="0"/>
        <v>3.2718337541706487E-3</v>
      </c>
      <c r="AE20" s="181">
        <f t="shared" si="1"/>
        <v>3.4097900437247931E-3</v>
      </c>
      <c r="AF20" s="181">
        <f t="shared" si="2"/>
        <v>4.0396981783494545E-3</v>
      </c>
    </row>
    <row r="21" spans="3:32" ht="12" customHeight="1" x14ac:dyDescent="0.2">
      <c r="C21" s="182" t="s">
        <v>41</v>
      </c>
      <c r="D21" s="167">
        <f t="shared" si="4"/>
        <v>42110</v>
      </c>
      <c r="E21" s="183">
        <f>_xll.qlCalendarAdvance(Calendar,SettlementDate,C21,"Following",,Trigger)</f>
        <v>42201</v>
      </c>
      <c r="F21" s="169">
        <f>_xll.qlDayCounterYearFraction(DayCounter,D21,E21,,,Trigger)</f>
        <v>0.25277777777777777</v>
      </c>
      <c r="G21" s="208">
        <f>_xll.qlYieldTSDiscount(Discounting,D21,,AllTriggers)</f>
        <v>1</v>
      </c>
      <c r="H21" s="184">
        <f>_xll.qlYieldTSDiscount(Discounting,E21,,AllTriggers)</f>
        <v>1.0002739540974652</v>
      </c>
      <c r="I21" s="207">
        <f t="shared" si="9"/>
        <v>-1.0834776283750328E-3</v>
      </c>
      <c r="J21" s="181">
        <f t="shared" si="10"/>
        <v>2.1888130213593331E-3</v>
      </c>
      <c r="K21" s="181">
        <f t="shared" si="11"/>
        <v>2.3098118179196007E-3</v>
      </c>
      <c r="L21" s="181">
        <f t="shared" si="12"/>
        <v>2.7858721115495665E-3</v>
      </c>
      <c r="AB21" s="183">
        <f>_xll.qlCalendarAdvance(Calendar,AB20,"1d","mf",,Trigger)</f>
        <v>42137</v>
      </c>
      <c r="AC21" s="169">
        <f>_xll.qlDayCounterYearFraction(DayCounter,SettlementDate,AB21,,,Trigger)</f>
        <v>7.4999999999999997E-2</v>
      </c>
      <c r="AD21" s="181">
        <f t="shared" si="0"/>
        <v>3.2718337541706487E-3</v>
      </c>
      <c r="AE21" s="181">
        <f t="shared" si="1"/>
        <v>3.4089169026516658E-3</v>
      </c>
      <c r="AF21" s="181">
        <f t="shared" si="2"/>
        <v>4.0297098167942939E-3</v>
      </c>
    </row>
    <row r="22" spans="3:32" ht="12" customHeight="1" x14ac:dyDescent="0.2">
      <c r="C22" s="182" t="s">
        <v>48</v>
      </c>
      <c r="D22" s="167">
        <f t="shared" si="4"/>
        <v>42110</v>
      </c>
      <c r="E22" s="183">
        <f>_xll.qlCalendarAdvance(Calendar,SettlementDate,C22,"Following",,Trigger)</f>
        <v>42233</v>
      </c>
      <c r="F22" s="169">
        <f>_xll.qlDayCounterYearFraction(DayCounter,D22,E22,,,Trigger)</f>
        <v>0.34166666666666667</v>
      </c>
      <c r="G22" s="208">
        <f>_xll.qlYieldTSDiscount(Discounting,D22,,AllTriggers)</f>
        <v>1</v>
      </c>
      <c r="H22" s="184">
        <f>_xll.qlYieldTSDiscount(Discounting,E22,,AllTriggers)</f>
        <v>1.0004030503323569</v>
      </c>
      <c r="I22" s="207">
        <f t="shared" si="9"/>
        <v>-1.1791842387377488E-3</v>
      </c>
      <c r="J22" s="181">
        <f t="shared" si="10"/>
        <v>2.0931600307044365E-3</v>
      </c>
      <c r="K22" s="181">
        <f t="shared" si="11"/>
        <v>2.2001982616641118E-3</v>
      </c>
      <c r="L22" s="181">
        <f t="shared" si="12"/>
        <v>2.5626133682922457E-3</v>
      </c>
      <c r="AB22" s="183">
        <f>_xll.qlCalendarAdvance(Calendar,AB21,"1d","mf",,Trigger)</f>
        <v>42138</v>
      </c>
      <c r="AC22" s="169">
        <f>_xll.qlDayCounterYearFraction(DayCounter,SettlementDate,AB22,,,Trigger)</f>
        <v>7.7777777777777779E-2</v>
      </c>
      <c r="AD22" s="181">
        <f t="shared" si="0"/>
        <v>3.2718337541706487E-3</v>
      </c>
      <c r="AE22" s="181">
        <f t="shared" ref="AE22:AE85" si="13">$S$10+$S$9*AC22</f>
        <v>3.408043761578538E-3</v>
      </c>
      <c r="AF22" s="181">
        <f t="shared" ref="AF22:AF85" si="14">($S$5+$S$4*AC22+$S$3*AC22^2)</f>
        <v>4.0197663578030824E-3</v>
      </c>
    </row>
    <row r="23" spans="3:32" ht="12" customHeight="1" x14ac:dyDescent="0.2">
      <c r="C23" s="182" t="s">
        <v>49</v>
      </c>
      <c r="D23" s="167">
        <f t="shared" si="4"/>
        <v>42110</v>
      </c>
      <c r="E23" s="183">
        <f>_xll.qlCalendarAdvance(Calendar,SettlementDate,C23,"Following",,Trigger)</f>
        <v>42263</v>
      </c>
      <c r="F23" s="169">
        <f>_xll.qlDayCounterYearFraction(DayCounter,D23,E23,,,Trigger)</f>
        <v>0.42499999999999999</v>
      </c>
      <c r="G23" s="208">
        <f>_xll.qlYieldTSDiscount(Discounting,D23,,AllTriggers)</f>
        <v>1</v>
      </c>
      <c r="H23" s="184">
        <f>_xll.qlYieldTSDiscount(Discounting,E23,,AllTriggers)</f>
        <v>1.0005255957935155</v>
      </c>
      <c r="I23" s="207">
        <f t="shared" si="9"/>
        <v>-1.2360463239939367E-3</v>
      </c>
      <c r="J23" s="181">
        <f t="shared" si="10"/>
        <v>2.0363433211233266E-3</v>
      </c>
      <c r="K23" s="181">
        <f t="shared" si="11"/>
        <v>2.1302890933567612E-3</v>
      </c>
      <c r="L23" s="181">
        <f t="shared" si="12"/>
        <v>2.4000574796587291E-3</v>
      </c>
      <c r="AB23" s="183">
        <f>_xll.qlCalendarAdvance(Calendar,AB22,"1d","mf",,Trigger)</f>
        <v>42139</v>
      </c>
      <c r="AC23" s="169">
        <f>_xll.qlDayCounterYearFraction(DayCounter,SettlementDate,AB23,,,Trigger)</f>
        <v>8.0555555555555561E-2</v>
      </c>
      <c r="AD23" s="181">
        <f t="shared" si="0"/>
        <v>3.2718337541706487E-3</v>
      </c>
      <c r="AE23" s="181">
        <f t="shared" si="13"/>
        <v>3.4071706205054107E-3</v>
      </c>
      <c r="AF23" s="181">
        <f t="shared" si="14"/>
        <v>4.0098678013758219E-3</v>
      </c>
    </row>
    <row r="24" spans="3:32" ht="12" customHeight="1" x14ac:dyDescent="0.2">
      <c r="C24" s="182" t="s">
        <v>42</v>
      </c>
      <c r="D24" s="167">
        <f t="shared" si="4"/>
        <v>42110</v>
      </c>
      <c r="E24" s="183">
        <f>_xll.qlCalendarAdvance(Calendar,SettlementDate,C24,"Following",,Trigger)</f>
        <v>42293</v>
      </c>
      <c r="F24" s="169">
        <f>_xll.qlDayCounterYearFraction(DayCounter,D24,E24,,,Trigger)</f>
        <v>0.5083333333333333</v>
      </c>
      <c r="G24" s="208">
        <f>_xll.qlYieldTSDiscount(Discounting,D24,,AllTriggers)</f>
        <v>1</v>
      </c>
      <c r="H24" s="184">
        <f>_xll.qlYieldTSDiscount(Discounting,E24,,AllTriggers)</f>
        <v>1.0006455992998595</v>
      </c>
      <c r="I24" s="207">
        <f t="shared" si="9"/>
        <v>-1.2692120071766133E-3</v>
      </c>
      <c r="J24" s="181">
        <f t="shared" si="10"/>
        <v>2.0032313966243777E-3</v>
      </c>
      <c r="K24" s="181">
        <f t="shared" si="11"/>
        <v>2.0840808498572031E-3</v>
      </c>
      <c r="L24" s="181">
        <f t="shared" si="12"/>
        <v>2.2746599101811779E-3</v>
      </c>
      <c r="AB24" s="183">
        <f>_xll.qlCalendarAdvance(Calendar,AB23,"1d","mf",,Trigger)</f>
        <v>42142</v>
      </c>
      <c r="AC24" s="169">
        <f>_xll.qlDayCounterYearFraction(DayCounter,SettlementDate,AB24,,,Trigger)</f>
        <v>8.8888888888888892E-2</v>
      </c>
      <c r="AD24" s="181">
        <f t="shared" si="0"/>
        <v>3.2718337541706487E-3</v>
      </c>
      <c r="AE24" s="181">
        <f t="shared" si="13"/>
        <v>3.4045511972860282E-3</v>
      </c>
      <c r="AF24" s="181">
        <f t="shared" si="14"/>
        <v>3.9804415474777467E-3</v>
      </c>
    </row>
    <row r="25" spans="3:32" ht="12" customHeight="1" x14ac:dyDescent="0.2">
      <c r="C25" s="182" t="s">
        <v>50</v>
      </c>
      <c r="D25" s="167">
        <f t="shared" si="4"/>
        <v>42110</v>
      </c>
      <c r="E25" s="183">
        <f>_xll.qlCalendarAdvance(Calendar,SettlementDate,C25,"Following",,Trigger)</f>
        <v>42324</v>
      </c>
      <c r="F25" s="169">
        <f>_xll.qlDayCounterYearFraction(DayCounter,D25,E25,,,Trigger)</f>
        <v>0.59444444444444444</v>
      </c>
      <c r="G25" s="208">
        <f>_xll.qlYieldTSDiscount(Discounting,D25,,AllTriggers)</f>
        <v>1</v>
      </c>
      <c r="H25" s="184">
        <f>_xll.qlYieldTSDiscount(Discounting,E25,,AllTriggers)</f>
        <v>1.0007733568878137</v>
      </c>
      <c r="I25" s="207">
        <f t="shared" si="9"/>
        <v>-1.2999688639237781E-3</v>
      </c>
      <c r="J25" s="181">
        <f t="shared" si="10"/>
        <v>1.972517886835422E-3</v>
      </c>
      <c r="K25" s="181">
        <f t="shared" si="11"/>
        <v>2.0398299274160883E-3</v>
      </c>
      <c r="L25" s="181">
        <f t="shared" si="12"/>
        <v>2.1627244009860369E-3</v>
      </c>
      <c r="AB25" s="183">
        <f>_xll.qlCalendarAdvance(Calendar,AB24,"1d","mf",,Trigger)</f>
        <v>42143</v>
      </c>
      <c r="AC25" s="169">
        <f>_xll.qlDayCounterYearFraction(DayCounter,SettlementDate,AB25,,,Trigger)</f>
        <v>9.166666666666666E-2</v>
      </c>
      <c r="AD25" s="181">
        <f t="shared" si="0"/>
        <v>3.2718337541706487E-3</v>
      </c>
      <c r="AE25" s="181">
        <f t="shared" si="13"/>
        <v>3.4036780562129009E-3</v>
      </c>
      <c r="AF25" s="181">
        <f t="shared" si="14"/>
        <v>3.9707226013062907E-3</v>
      </c>
    </row>
    <row r="26" spans="3:32" ht="12" customHeight="1" x14ac:dyDescent="0.2">
      <c r="C26" s="182" t="s">
        <v>51</v>
      </c>
      <c r="D26" s="167">
        <f t="shared" si="4"/>
        <v>42110</v>
      </c>
      <c r="E26" s="183">
        <f>_xll.qlCalendarAdvance(Calendar,SettlementDate,C26,"Following",,Trigger)</f>
        <v>42354</v>
      </c>
      <c r="F26" s="169">
        <f>_xll.qlDayCounterYearFraction(DayCounter,D26,E26,,,Trigger)</f>
        <v>0.67777777777777781</v>
      </c>
      <c r="G26" s="208">
        <f>_xll.qlYieldTSDiscount(Discounting,D26,,AllTriggers)</f>
        <v>1</v>
      </c>
      <c r="H26" s="184">
        <f>_xll.qlYieldTSDiscount(Discounting,E26,,AllTriggers)</f>
        <v>1.000905085145986</v>
      </c>
      <c r="I26" s="207">
        <f t="shared" si="9"/>
        <v>-1.3341639948504982E-3</v>
      </c>
      <c r="J26" s="181">
        <f t="shared" si="10"/>
        <v>1.938338319541652E-3</v>
      </c>
      <c r="K26" s="181">
        <f t="shared" si="11"/>
        <v>1.9925451807380995E-3</v>
      </c>
      <c r="L26" s="181">
        <f t="shared" si="12"/>
        <v>2.063633718066637E-3</v>
      </c>
      <c r="AB26" s="183">
        <f>_xll.qlCalendarAdvance(Calendar,AB25,"1d","mf",,Trigger)</f>
        <v>42144</v>
      </c>
      <c r="AC26" s="169">
        <f>_xll.qlDayCounterYearFraction(DayCounter,SettlementDate,AB26,,,Trigger)</f>
        <v>9.4444444444444442E-2</v>
      </c>
      <c r="AD26" s="181">
        <f t="shared" si="0"/>
        <v>3.2718337541706487E-3</v>
      </c>
      <c r="AE26" s="181">
        <f t="shared" si="13"/>
        <v>3.4028049151397731E-3</v>
      </c>
      <c r="AF26" s="181">
        <f t="shared" si="14"/>
        <v>3.9610485576987847E-3</v>
      </c>
    </row>
    <row r="27" spans="3:32" ht="12" customHeight="1" x14ac:dyDescent="0.2">
      <c r="C27" s="182" t="s">
        <v>52</v>
      </c>
      <c r="D27" s="167">
        <f t="shared" si="4"/>
        <v>42110</v>
      </c>
      <c r="E27" s="183">
        <f>_xll.qlCalendarAdvance(Calendar,SettlementDate,C27,"Following",,Trigger)</f>
        <v>42387</v>
      </c>
      <c r="F27" s="169">
        <f>_xll.qlDayCounterYearFraction(DayCounter,D27,E27,,,Trigger)</f>
        <v>0.76944444444444449</v>
      </c>
      <c r="G27" s="208">
        <f>_xll.qlYieldTSDiscount(Discounting,D27,,AllTriggers)</f>
        <v>1</v>
      </c>
      <c r="H27" s="184">
        <f>_xll.qlYieldTSDiscount(Discounting,E27,,AllTriggers)</f>
        <v>1.0010443880817568</v>
      </c>
      <c r="I27" s="207">
        <f t="shared" si="9"/>
        <v>-1.3559113731971223E-3</v>
      </c>
      <c r="J27" s="181">
        <f t="shared" si="10"/>
        <v>1.9166264510966622E-3</v>
      </c>
      <c r="K27" s="181">
        <f t="shared" si="11"/>
        <v>1.9564135662904769E-3</v>
      </c>
      <c r="L27" s="181">
        <f t="shared" si="12"/>
        <v>1.98608296624019E-3</v>
      </c>
      <c r="AB27" s="183">
        <f>_xll.qlCalendarAdvance(Calendar,AB26,"1d","mf",,Trigger)</f>
        <v>42145</v>
      </c>
      <c r="AC27" s="169">
        <f>_xll.qlDayCounterYearFraction(DayCounter,SettlementDate,AB27,,,Trigger)</f>
        <v>9.7222222222222224E-2</v>
      </c>
      <c r="AD27" s="181">
        <f t="shared" si="0"/>
        <v>3.2718337541706487E-3</v>
      </c>
      <c r="AE27" s="181">
        <f t="shared" si="13"/>
        <v>3.4019317740666458E-3</v>
      </c>
      <c r="AF27" s="181">
        <f t="shared" si="14"/>
        <v>3.9514194166552297E-3</v>
      </c>
    </row>
    <row r="28" spans="3:32" ht="12" customHeight="1" x14ac:dyDescent="0.2">
      <c r="C28" s="182" t="s">
        <v>53</v>
      </c>
      <c r="D28" s="167">
        <f t="shared" si="4"/>
        <v>42110</v>
      </c>
      <c r="E28" s="183">
        <f>_xll.qlCalendarAdvance(Calendar,SettlementDate,C28,"Following",,Trigger)</f>
        <v>42416</v>
      </c>
      <c r="F28" s="169">
        <f>_xll.qlDayCounterYearFraction(DayCounter,D28,E28,,,Trigger)</f>
        <v>0.85</v>
      </c>
      <c r="G28" s="208">
        <f>_xll.qlYieldTSDiscount(Discounting,D28,,AllTriggers)</f>
        <v>1</v>
      </c>
      <c r="H28" s="184">
        <f>_xll.qlYieldTSDiscount(Discounting,E28,,AllTriggers)</f>
        <v>1.0011829966318</v>
      </c>
      <c r="I28" s="207">
        <f t="shared" si="9"/>
        <v>-1.3901162404638581E-3</v>
      </c>
      <c r="J28" s="181">
        <f t="shared" si="10"/>
        <v>1.8823999394215589E-3</v>
      </c>
      <c r="K28" s="181">
        <f t="shared" si="11"/>
        <v>1.9095109334409846E-3</v>
      </c>
      <c r="L28" s="181">
        <f t="shared" si="12"/>
        <v>1.9162497734919312E-3</v>
      </c>
      <c r="AB28" s="183">
        <f>_xll.qlCalendarAdvance(Calendar,AB27,"1d","mf",,Trigger)</f>
        <v>42146</v>
      </c>
      <c r="AC28" s="169">
        <f>_xll.qlDayCounterYearFraction(DayCounter,SettlementDate,AB28,,,Trigger)</f>
        <v>0.1</v>
      </c>
      <c r="AD28" s="181">
        <f t="shared" si="0"/>
        <v>3.2718337541706487E-3</v>
      </c>
      <c r="AE28" s="181">
        <f t="shared" si="13"/>
        <v>3.4010586329935181E-3</v>
      </c>
      <c r="AF28" s="181">
        <f t="shared" si="14"/>
        <v>3.9418351781756265E-3</v>
      </c>
    </row>
    <row r="29" spans="3:32" ht="12" customHeight="1" x14ac:dyDescent="0.2">
      <c r="C29" s="182" t="s">
        <v>54</v>
      </c>
      <c r="D29" s="167">
        <f t="shared" si="4"/>
        <v>42110</v>
      </c>
      <c r="E29" s="183">
        <f>_xll.qlCalendarAdvance(Calendar,SettlementDate,C29,"Following",,Trigger)</f>
        <v>42445</v>
      </c>
      <c r="F29" s="169">
        <f>_xll.qlDayCounterYearFraction(DayCounter,D29,E29,,,Trigger)</f>
        <v>0.93055555555555558</v>
      </c>
      <c r="G29" s="208">
        <f>_xll.qlYieldTSDiscount(Discounting,D29,,AllTriggers)</f>
        <v>1</v>
      </c>
      <c r="H29" s="184">
        <f>_xll.qlYieldTSDiscount(Discounting,E29,,AllTriggers)</f>
        <v>1.0013205744627667</v>
      </c>
      <c r="I29" s="207">
        <f t="shared" si="9"/>
        <v>-1.417253207415925E-3</v>
      </c>
      <c r="J29" s="181">
        <f t="shared" si="10"/>
        <v>1.8552447784463012E-3</v>
      </c>
      <c r="K29" s="181">
        <f t="shared" si="11"/>
        <v>1.8696765749592428E-3</v>
      </c>
      <c r="L29" s="181">
        <f t="shared" si="12"/>
        <v>1.8660893711368984E-3</v>
      </c>
      <c r="AB29" s="183">
        <f>_xll.qlCalendarAdvance(Calendar,AB28,"1d","mf",,Trigger)</f>
        <v>42149</v>
      </c>
      <c r="AC29" s="169">
        <f>_xll.qlDayCounterYearFraction(DayCounter,SettlementDate,AB29,,,Trigger)</f>
        <v>0.10833333333333334</v>
      </c>
      <c r="AD29" s="181">
        <f t="shared" si="0"/>
        <v>3.2718337541706487E-3</v>
      </c>
      <c r="AE29" s="181">
        <f t="shared" si="13"/>
        <v>3.3984392097741356E-3</v>
      </c>
      <c r="AF29" s="181">
        <f t="shared" si="14"/>
        <v>3.9133518781205206E-3</v>
      </c>
    </row>
    <row r="30" spans="3:32" ht="12" customHeight="1" x14ac:dyDescent="0.2">
      <c r="C30" s="186" t="s">
        <v>55</v>
      </c>
      <c r="D30" s="172">
        <f t="shared" si="4"/>
        <v>42110</v>
      </c>
      <c r="E30" s="187">
        <f>_xll.qlCalendarAdvance(Calendar,SettlementDate,C30,"Following",,Trigger)</f>
        <v>42478</v>
      </c>
      <c r="F30" s="174">
        <f>_xll.qlDayCounterYearFraction(DayCounter,D30,E30,,,Trigger)</f>
        <v>1.0222222222222221</v>
      </c>
      <c r="G30" s="210">
        <f>_xll.qlYieldTSDiscount(Discounting,D30,,AllTriggers)</f>
        <v>1</v>
      </c>
      <c r="H30" s="188">
        <f>_xll.qlYieldTSDiscount(Discounting,E30,,AllTriggers)</f>
        <v>1.0014767112880343</v>
      </c>
      <c r="I30" s="211">
        <f t="shared" si="9"/>
        <v>-1.4424787440850166E-3</v>
      </c>
      <c r="J30" s="190">
        <f t="shared" si="10"/>
        <v>1.8300000000001288E-3</v>
      </c>
      <c r="K30" s="190">
        <f t="shared" si="11"/>
        <v>1.8300000000001288E-3</v>
      </c>
      <c r="L30" s="190">
        <f t="shared" si="12"/>
        <v>1.8300000000001288E-3</v>
      </c>
      <c r="AB30" s="183">
        <f>_xll.qlCalendarAdvance(Calendar,AB29,"1d","mf",,Trigger)</f>
        <v>42150</v>
      </c>
      <c r="AC30" s="169">
        <f>_xll.qlDayCounterYearFraction(DayCounter,SettlementDate,AB30,,,Trigger)</f>
        <v>0.1111111111111111</v>
      </c>
      <c r="AD30" s="181">
        <f t="shared" si="0"/>
        <v>3.2718337541706487E-3</v>
      </c>
      <c r="AE30" s="181">
        <f t="shared" si="13"/>
        <v>3.3975660687010083E-3</v>
      </c>
      <c r="AF30" s="181">
        <f t="shared" si="14"/>
        <v>3.9039472498967201E-3</v>
      </c>
    </row>
    <row r="31" spans="3:32" ht="12" customHeight="1" x14ac:dyDescent="0.2">
      <c r="AB31" s="183">
        <f>_xll.qlCalendarAdvance(Calendar,AB30,"1d","mf",,Trigger)</f>
        <v>42151</v>
      </c>
      <c r="AC31" s="169">
        <f>_xll.qlDayCounterYearFraction(DayCounter,SettlementDate,AB31,,,Trigger)</f>
        <v>0.11388888888888889</v>
      </c>
      <c r="AD31" s="181">
        <f t="shared" si="0"/>
        <v>3.2718337541706487E-3</v>
      </c>
      <c r="AE31" s="181">
        <f t="shared" si="13"/>
        <v>3.396692927627881E-3</v>
      </c>
      <c r="AF31" s="181">
        <f t="shared" si="14"/>
        <v>3.8945875242368711E-3</v>
      </c>
    </row>
    <row r="32" spans="3:32" ht="12" customHeight="1" x14ac:dyDescent="0.2">
      <c r="C32" s="156" t="s">
        <v>123</v>
      </c>
      <c r="AB32" s="183">
        <f>_xll.qlCalendarAdvance(Calendar,AB31,"1d","mf",,Trigger)</f>
        <v>42152</v>
      </c>
      <c r="AC32" s="169">
        <f>_xll.qlDayCounterYearFraction(DayCounter,SettlementDate,AB32,,,Trigger)</f>
        <v>0.11666666666666667</v>
      </c>
      <c r="AD32" s="181">
        <f t="shared" si="0"/>
        <v>3.2718337541706487E-3</v>
      </c>
      <c r="AE32" s="181">
        <f t="shared" si="13"/>
        <v>3.3958197865547532E-3</v>
      </c>
      <c r="AF32" s="181">
        <f t="shared" si="14"/>
        <v>3.8852727011409729E-3</v>
      </c>
    </row>
    <row r="33" spans="3:32" x14ac:dyDescent="0.2">
      <c r="C33" s="193" t="s">
        <v>108</v>
      </c>
      <c r="AB33" s="183">
        <f>_xll.qlCalendarAdvance(Calendar,AB32,"1d","mf",,Trigger)</f>
        <v>42153</v>
      </c>
      <c r="AC33" s="169">
        <f>_xll.qlDayCounterYearFraction(DayCounter,SettlementDate,AB33,,,Trigger)</f>
        <v>0.11944444444444445</v>
      </c>
      <c r="AD33" s="181">
        <f t="shared" si="0"/>
        <v>3.2718337541706487E-3</v>
      </c>
      <c r="AE33" s="181">
        <f t="shared" si="13"/>
        <v>3.3949466454816259E-3</v>
      </c>
      <c r="AF33" s="181">
        <f t="shared" si="14"/>
        <v>3.8760027806090253E-3</v>
      </c>
    </row>
    <row r="34" spans="3:32" x14ac:dyDescent="0.2">
      <c r="C34" s="181">
        <f t="shared" ref="C34:C49" si="15">IF($C$33="FLAT",J15,IF($C$33="linear",K15,L15))</f>
        <v>2.6179880734478189E-3</v>
      </c>
      <c r="AB34" s="183">
        <f>_xll.qlCalendarAdvance(Calendar,AB33,"1d","mf",,Trigger)</f>
        <v>42156</v>
      </c>
      <c r="AC34" s="169">
        <f>_xll.qlDayCounterYearFraction(DayCounter,SettlementDate,AB34,,,Trigger)</f>
        <v>0.12777777777777777</v>
      </c>
      <c r="AD34" s="181">
        <f t="shared" si="0"/>
        <v>3.2718337541706487E-3</v>
      </c>
      <c r="AE34" s="181">
        <f t="shared" si="13"/>
        <v>3.3923272222622434E-3</v>
      </c>
      <c r="AF34" s="181">
        <f t="shared" si="14"/>
        <v>3.8484624343968887E-3</v>
      </c>
    </row>
    <row r="35" spans="3:32" x14ac:dyDescent="0.2">
      <c r="C35" s="181">
        <f t="shared" si="15"/>
        <v>2.5894940477945638E-3</v>
      </c>
      <c r="AB35" s="183">
        <f>_xll.qlCalendarAdvance(Calendar,AB34,"1d","mf",,Trigger)</f>
        <v>42157</v>
      </c>
      <c r="AC35" s="169">
        <f>_xll.qlDayCounterYearFraction(DayCounter,SettlementDate,AB35,,,Trigger)</f>
        <v>0.13055555555555556</v>
      </c>
      <c r="AD35" s="181">
        <f t="shared" si="0"/>
        <v>3.2718337541706487E-3</v>
      </c>
      <c r="AE35" s="181">
        <f t="shared" si="13"/>
        <v>3.3914540811891157E-3</v>
      </c>
      <c r="AF35" s="181">
        <f t="shared" si="14"/>
        <v>3.8393721241207447E-3</v>
      </c>
    </row>
    <row r="36" spans="3:32" x14ac:dyDescent="0.2">
      <c r="C36" s="181">
        <f t="shared" si="15"/>
        <v>2.5364894129533055E-3</v>
      </c>
      <c r="AB36" s="183">
        <f>_xll.qlCalendarAdvance(Calendar,AB35,"1d","mf",,Trigger)</f>
        <v>42158</v>
      </c>
      <c r="AC36" s="169">
        <f>_xll.qlDayCounterYearFraction(DayCounter,SettlementDate,AB36,,,Trigger)</f>
        <v>0.13333333333333333</v>
      </c>
      <c r="AD36" s="181">
        <f t="shared" si="0"/>
        <v>3.2718337541706487E-3</v>
      </c>
      <c r="AE36" s="181">
        <f t="shared" si="13"/>
        <v>3.3905809401159883E-3</v>
      </c>
      <c r="AF36" s="181">
        <f t="shared" si="14"/>
        <v>3.8303267164085521E-3</v>
      </c>
    </row>
    <row r="37" spans="3:32" x14ac:dyDescent="0.2">
      <c r="C37" s="181">
        <f t="shared" si="15"/>
        <v>2.6435097840974259E-3</v>
      </c>
      <c r="AB37" s="183">
        <f>_xll.qlCalendarAdvance(Calendar,AB36,"1d","mf",,Trigger)</f>
        <v>42159</v>
      </c>
      <c r="AC37" s="169">
        <f>_xll.qlDayCounterYearFraction(DayCounter,SettlementDate,AB37,,,Trigger)</f>
        <v>0.1361111111111111</v>
      </c>
      <c r="AD37" s="181">
        <f t="shared" si="0"/>
        <v>3.2718337541706487E-3</v>
      </c>
      <c r="AE37" s="181">
        <f t="shared" si="13"/>
        <v>3.389707799042861E-3</v>
      </c>
      <c r="AF37" s="181">
        <f t="shared" si="14"/>
        <v>3.8213262112603104E-3</v>
      </c>
    </row>
    <row r="38" spans="3:32" x14ac:dyDescent="0.2">
      <c r="C38" s="181">
        <f t="shared" si="15"/>
        <v>2.5487764922166312E-3</v>
      </c>
      <c r="AB38" s="183">
        <f>_xll.qlCalendarAdvance(Calendar,AB37,"1d","mf",,Trigger)</f>
        <v>42160</v>
      </c>
      <c r="AC38" s="169">
        <f>_xll.qlDayCounterYearFraction(DayCounter,SettlementDate,AB38,,,Trigger)</f>
        <v>0.1388888888888889</v>
      </c>
      <c r="AD38" s="181">
        <f t="shared" si="0"/>
        <v>3.2718337541706487E-3</v>
      </c>
      <c r="AE38" s="181">
        <f t="shared" si="13"/>
        <v>3.3888346579697332E-3</v>
      </c>
      <c r="AF38" s="181">
        <f t="shared" si="14"/>
        <v>3.8123706086760191E-3</v>
      </c>
    </row>
    <row r="39" spans="3:32" x14ac:dyDescent="0.2">
      <c r="C39" s="181">
        <f t="shared" si="15"/>
        <v>2.4591044055887754E-3</v>
      </c>
      <c r="AB39" s="183">
        <f>_xll.qlCalendarAdvance(Calendar,AB38,"1d","mf",,Trigger)</f>
        <v>42163</v>
      </c>
      <c r="AC39" s="169">
        <f>_xll.qlDayCounterYearFraction(DayCounter,SettlementDate,AB39,,,Trigger)</f>
        <v>0.14722222222222223</v>
      </c>
      <c r="AD39" s="181">
        <f t="shared" si="0"/>
        <v>3.2718337541706487E-3</v>
      </c>
      <c r="AE39" s="181">
        <f t="shared" si="13"/>
        <v>3.3862152347503508E-3</v>
      </c>
      <c r="AF39" s="181">
        <f t="shared" si="14"/>
        <v>3.7857732163068514E-3</v>
      </c>
    </row>
    <row r="40" spans="3:32" x14ac:dyDescent="0.2">
      <c r="C40" s="181">
        <f t="shared" si="15"/>
        <v>2.3098118179196007E-3</v>
      </c>
      <c r="AB40" s="183">
        <f>_xll.qlCalendarAdvance(Calendar,AB39,"1d","mf",,Trigger)</f>
        <v>42164</v>
      </c>
      <c r="AC40" s="169">
        <f>_xll.qlDayCounterYearFraction(DayCounter,SettlementDate,AB40,,,Trigger)</f>
        <v>0.15</v>
      </c>
      <c r="AD40" s="181">
        <f t="shared" si="0"/>
        <v>3.2718337541706487E-3</v>
      </c>
      <c r="AE40" s="181">
        <f t="shared" si="13"/>
        <v>3.3853420936772235E-3</v>
      </c>
      <c r="AF40" s="181">
        <f t="shared" si="14"/>
        <v>3.7769972239783639E-3</v>
      </c>
    </row>
    <row r="41" spans="3:32" x14ac:dyDescent="0.2">
      <c r="C41" s="181">
        <f t="shared" si="15"/>
        <v>2.2001982616641118E-3</v>
      </c>
      <c r="AB41" s="183">
        <f>_xll.qlCalendarAdvance(Calendar,AB40,"1d","mf",,Trigger)</f>
        <v>42165</v>
      </c>
      <c r="AC41" s="169">
        <f>_xll.qlDayCounterYearFraction(DayCounter,SettlementDate,AB41,,,Trigger)</f>
        <v>0.15277777777777779</v>
      </c>
      <c r="AD41" s="181">
        <f t="shared" si="0"/>
        <v>3.2718337541706487E-3</v>
      </c>
      <c r="AE41" s="181">
        <f t="shared" si="13"/>
        <v>3.3844689526040957E-3</v>
      </c>
      <c r="AF41" s="181">
        <f t="shared" si="14"/>
        <v>3.7682661342138273E-3</v>
      </c>
    </row>
    <row r="42" spans="3:32" x14ac:dyDescent="0.2">
      <c r="C42" s="181">
        <f t="shared" si="15"/>
        <v>2.1302890933567612E-3</v>
      </c>
      <c r="AB42" s="183">
        <f>_xll.qlCalendarAdvance(Calendar,AB41,"1d","mf",,Trigger)</f>
        <v>42166</v>
      </c>
      <c r="AC42" s="169">
        <f>_xll.qlDayCounterYearFraction(DayCounter,SettlementDate,AB42,,,Trigger)</f>
        <v>0.15555555555555556</v>
      </c>
      <c r="AD42" s="181">
        <f t="shared" si="0"/>
        <v>3.2718337541706487E-3</v>
      </c>
      <c r="AE42" s="181">
        <f t="shared" si="13"/>
        <v>3.3835958115309684E-3</v>
      </c>
      <c r="AF42" s="181">
        <f t="shared" si="14"/>
        <v>3.759579947013242E-3</v>
      </c>
    </row>
    <row r="43" spans="3:32" ht="11.25" customHeight="1" x14ac:dyDescent="0.2">
      <c r="C43" s="181">
        <f t="shared" si="15"/>
        <v>2.0840808498572031E-3</v>
      </c>
      <c r="M43" s="153"/>
      <c r="AB43" s="183">
        <f>_xll.qlCalendarAdvance(Calendar,AB42,"1d","mf",,Trigger)</f>
        <v>42167</v>
      </c>
      <c r="AC43" s="169">
        <f>_xll.qlDayCounterYearFraction(DayCounter,SettlementDate,AB43,,,Trigger)</f>
        <v>0.15833333333333333</v>
      </c>
      <c r="AD43" s="181">
        <f t="shared" si="0"/>
        <v>3.2718337541706487E-3</v>
      </c>
      <c r="AE43" s="181">
        <f t="shared" si="13"/>
        <v>3.3827226704578406E-3</v>
      </c>
      <c r="AF43" s="181">
        <f t="shared" si="14"/>
        <v>3.7509386623766068E-3</v>
      </c>
    </row>
    <row r="44" spans="3:32" x14ac:dyDescent="0.2">
      <c r="C44" s="181">
        <f t="shared" si="15"/>
        <v>2.0398299274160883E-3</v>
      </c>
      <c r="M44" s="153"/>
      <c r="AB44" s="183">
        <f>_xll.qlCalendarAdvance(Calendar,AB43,"1d","mf",,Trigger)</f>
        <v>42170</v>
      </c>
      <c r="AC44" s="169">
        <f>_xll.qlDayCounterYearFraction(DayCounter,SettlementDate,AB44,,,Trigger)</f>
        <v>0.16666666666666666</v>
      </c>
      <c r="AD44" s="181">
        <f t="shared" si="0"/>
        <v>3.2718337541706487E-3</v>
      </c>
      <c r="AE44" s="181">
        <f t="shared" si="13"/>
        <v>3.3801032472384582E-3</v>
      </c>
      <c r="AF44" s="181">
        <f t="shared" si="14"/>
        <v>3.7252842238504088E-3</v>
      </c>
    </row>
    <row r="45" spans="3:32" x14ac:dyDescent="0.2">
      <c r="C45" s="181">
        <f t="shared" si="15"/>
        <v>1.9925451807380995E-3</v>
      </c>
      <c r="M45" s="153"/>
      <c r="AB45" s="183">
        <f>_xll.qlCalendarAdvance(Calendar,AB44,"1d","mf",,Trigger)</f>
        <v>42171</v>
      </c>
      <c r="AC45" s="169">
        <f>_xll.qlDayCounterYearFraction(DayCounter,SettlementDate,AB45,,,Trigger)</f>
        <v>0.16944444444444445</v>
      </c>
      <c r="AD45" s="181">
        <f t="shared" si="0"/>
        <v>3.2718337541706487E-3</v>
      </c>
      <c r="AE45" s="181">
        <f t="shared" si="13"/>
        <v>3.3792301061653309E-3</v>
      </c>
      <c r="AF45" s="181">
        <f t="shared" si="14"/>
        <v>3.7168225494695773E-3</v>
      </c>
    </row>
    <row r="46" spans="3:32" x14ac:dyDescent="0.2">
      <c r="C46" s="181">
        <f t="shared" si="15"/>
        <v>1.9564135662904769E-3</v>
      </c>
      <c r="M46" s="153"/>
      <c r="AB46" s="183">
        <f>_xll.qlCalendarAdvance(Calendar,AB45,"1d","mf",,Trigger)</f>
        <v>42172</v>
      </c>
      <c r="AC46" s="169">
        <f>_xll.qlDayCounterYearFraction(DayCounter,SettlementDate,AB46,,,Trigger)</f>
        <v>0.17222222222222222</v>
      </c>
      <c r="AD46" s="181">
        <f t="shared" si="0"/>
        <v>3.2718337541706487E-3</v>
      </c>
      <c r="AE46" s="181">
        <f t="shared" si="13"/>
        <v>3.3783569650922035E-3</v>
      </c>
      <c r="AF46" s="181">
        <f t="shared" si="14"/>
        <v>3.7084057776526971E-3</v>
      </c>
    </row>
    <row r="47" spans="3:32" x14ac:dyDescent="0.2">
      <c r="C47" s="181">
        <f t="shared" si="15"/>
        <v>1.9095109334409846E-3</v>
      </c>
      <c r="M47" s="153"/>
      <c r="AB47" s="183">
        <f>_xll.qlCalendarAdvance(Calendar,AB46,"1d","mf",,Trigger)</f>
        <v>42173</v>
      </c>
      <c r="AC47" s="169">
        <f>_xll.qlDayCounterYearFraction(DayCounter,SettlementDate,AB47,,,Trigger)</f>
        <v>0.17499999999999999</v>
      </c>
      <c r="AD47" s="181">
        <f t="shared" si="0"/>
        <v>3.2718337541706487E-3</v>
      </c>
      <c r="AE47" s="181">
        <f t="shared" si="13"/>
        <v>3.3774838240190758E-3</v>
      </c>
      <c r="AF47" s="181">
        <f t="shared" si="14"/>
        <v>3.7000339083997683E-3</v>
      </c>
    </row>
    <row r="48" spans="3:32" x14ac:dyDescent="0.2">
      <c r="C48" s="181">
        <f t="shared" si="15"/>
        <v>1.8696765749592428E-3</v>
      </c>
      <c r="AB48" s="183">
        <f>_xll.qlCalendarAdvance(Calendar,AB47,"1d","mf",,Trigger)</f>
        <v>42174</v>
      </c>
      <c r="AC48" s="169">
        <f>_xll.qlDayCounterYearFraction(DayCounter,SettlementDate,AB48,,,Trigger)</f>
        <v>0.17777777777777778</v>
      </c>
      <c r="AD48" s="181">
        <f t="shared" si="0"/>
        <v>3.2718337541706487E-3</v>
      </c>
      <c r="AE48" s="181">
        <f t="shared" si="13"/>
        <v>3.3766106829459484E-3</v>
      </c>
      <c r="AF48" s="181">
        <f t="shared" si="14"/>
        <v>3.69170694171079E-3</v>
      </c>
    </row>
    <row r="49" spans="3:32" x14ac:dyDescent="0.2">
      <c r="C49" s="190">
        <f t="shared" si="15"/>
        <v>1.8300000000001288E-3</v>
      </c>
      <c r="AB49" s="183">
        <f>_xll.qlCalendarAdvance(Calendar,AB48,"1d","mf",,Trigger)</f>
        <v>42177</v>
      </c>
      <c r="AC49" s="169">
        <f>_xll.qlDayCounterYearFraction(DayCounter,SettlementDate,AB49,,,Trigger)</f>
        <v>0.18611111111111112</v>
      </c>
      <c r="AD49" s="181">
        <f t="shared" si="0"/>
        <v>3.2718337541706487E-3</v>
      </c>
      <c r="AE49" s="181">
        <f t="shared" si="13"/>
        <v>3.373991259726566E-3</v>
      </c>
      <c r="AF49" s="181">
        <f t="shared" si="14"/>
        <v>3.6669954570275605E-3</v>
      </c>
    </row>
    <row r="50" spans="3:32" x14ac:dyDescent="0.2">
      <c r="I50" s="154"/>
      <c r="J50" s="154"/>
      <c r="AB50" s="183">
        <f>_xll.qlCalendarAdvance(Calendar,AB49,"1d","mf",,Trigger)</f>
        <v>42178</v>
      </c>
      <c r="AC50" s="169">
        <f>_xll.qlDayCounterYearFraction(DayCounter,SettlementDate,AB50,,,Trigger)</f>
        <v>0.18888888888888888</v>
      </c>
      <c r="AD50" s="181">
        <f t="shared" si="0"/>
        <v>3.2718337541706487E-3</v>
      </c>
      <c r="AE50" s="181">
        <f t="shared" si="13"/>
        <v>3.3731181186534382E-3</v>
      </c>
      <c r="AF50" s="181">
        <f t="shared" si="14"/>
        <v>3.6588481005943854E-3</v>
      </c>
    </row>
    <row r="51" spans="3:32" x14ac:dyDescent="0.2">
      <c r="AB51" s="183">
        <f>_xll.qlCalendarAdvance(Calendar,AB50,"1d","mf",,Trigger)</f>
        <v>42179</v>
      </c>
      <c r="AC51" s="169">
        <f>_xll.qlDayCounterYearFraction(DayCounter,SettlementDate,AB51,,,Trigger)</f>
        <v>0.19166666666666668</v>
      </c>
      <c r="AD51" s="181">
        <f t="shared" si="0"/>
        <v>3.2718337541706487E-3</v>
      </c>
      <c r="AE51" s="181">
        <f t="shared" si="13"/>
        <v>3.3722449775803109E-3</v>
      </c>
      <c r="AF51" s="181">
        <f t="shared" si="14"/>
        <v>3.6507456467251616E-3</v>
      </c>
    </row>
    <row r="52" spans="3:32" x14ac:dyDescent="0.2">
      <c r="AB52" s="183">
        <f>_xll.qlCalendarAdvance(Calendar,AB51,"1d","mf",,Trigger)</f>
        <v>42180</v>
      </c>
      <c r="AC52" s="169">
        <f>_xll.qlDayCounterYearFraction(DayCounter,SettlementDate,AB52,,,Trigger)</f>
        <v>0.19444444444444445</v>
      </c>
      <c r="AD52" s="181">
        <f t="shared" si="0"/>
        <v>3.2718337541706487E-3</v>
      </c>
      <c r="AE52" s="181">
        <f t="shared" si="13"/>
        <v>3.3713718365071836E-3</v>
      </c>
      <c r="AF52" s="181">
        <f t="shared" si="14"/>
        <v>3.6426880954198888E-3</v>
      </c>
    </row>
    <row r="53" spans="3:32" x14ac:dyDescent="0.2">
      <c r="AB53" s="183">
        <f>_xll.qlCalendarAdvance(Calendar,AB52,"1d","mf",,Trigger)</f>
        <v>42181</v>
      </c>
      <c r="AC53" s="169">
        <f>_xll.qlDayCounterYearFraction(DayCounter,SettlementDate,AB53,,,Trigger)</f>
        <v>0.19722222222222222</v>
      </c>
      <c r="AD53" s="181">
        <f t="shared" si="0"/>
        <v>3.2718337541706487E-3</v>
      </c>
      <c r="AE53" s="181">
        <f t="shared" si="13"/>
        <v>3.3704986954340558E-3</v>
      </c>
      <c r="AF53" s="181">
        <f t="shared" si="14"/>
        <v>3.6346754466785665E-3</v>
      </c>
    </row>
    <row r="54" spans="3:32" x14ac:dyDescent="0.2">
      <c r="AB54" s="183">
        <f>_xll.qlCalendarAdvance(Calendar,AB53,"1d","mf",,Trigger)</f>
        <v>42184</v>
      </c>
      <c r="AC54" s="169">
        <f>_xll.qlDayCounterYearFraction(DayCounter,SettlementDate,AB54,,,Trigger)</f>
        <v>0.20555555555555555</v>
      </c>
      <c r="AD54" s="181">
        <f t="shared" si="0"/>
        <v>3.2718337541706487E-3</v>
      </c>
      <c r="AE54" s="181">
        <f t="shared" si="13"/>
        <v>3.3678792722146734E-3</v>
      </c>
      <c r="AF54" s="181">
        <f t="shared" si="14"/>
        <v>3.6109069158383063E-3</v>
      </c>
    </row>
    <row r="55" spans="3:32" x14ac:dyDescent="0.2">
      <c r="AB55" s="183">
        <f>_xll.qlCalendarAdvance(Calendar,AB54,"1d","mf",,Trigger)</f>
        <v>42185</v>
      </c>
      <c r="AC55" s="169">
        <f>_xll.qlDayCounterYearFraction(DayCounter,SettlementDate,AB55,,,Trigger)</f>
        <v>0.20833333333333334</v>
      </c>
      <c r="AD55" s="181">
        <f t="shared" si="0"/>
        <v>3.2718337541706487E-3</v>
      </c>
      <c r="AE55" s="181">
        <f t="shared" si="13"/>
        <v>3.3670061311415461E-3</v>
      </c>
      <c r="AF55" s="181">
        <f t="shared" si="14"/>
        <v>3.6030738773527877E-3</v>
      </c>
    </row>
    <row r="56" spans="3:32" x14ac:dyDescent="0.2">
      <c r="AB56" s="183">
        <f>_xll.qlCalendarAdvance(Calendar,AB55,"1d","mf",,Trigger)</f>
        <v>42186</v>
      </c>
      <c r="AC56" s="169">
        <f>_xll.qlDayCounterYearFraction(DayCounter,SettlementDate,AB56,,,Trigger)</f>
        <v>0.21111111111111111</v>
      </c>
      <c r="AD56" s="181">
        <f t="shared" si="0"/>
        <v>3.2718337541706487E-3</v>
      </c>
      <c r="AE56" s="181">
        <f t="shared" si="13"/>
        <v>3.3661329900684183E-3</v>
      </c>
      <c r="AF56" s="181">
        <f t="shared" si="14"/>
        <v>3.5952857414312204E-3</v>
      </c>
    </row>
    <row r="57" spans="3:32" x14ac:dyDescent="0.2">
      <c r="AB57" s="183">
        <f>_xll.qlCalendarAdvance(Calendar,AB56,"1d","mf",,Trigger)</f>
        <v>42187</v>
      </c>
      <c r="AC57" s="169">
        <f>_xll.qlDayCounterYearFraction(DayCounter,SettlementDate,AB57,,,Trigger)</f>
        <v>0.21388888888888888</v>
      </c>
      <c r="AD57" s="181">
        <f t="shared" si="0"/>
        <v>3.2718337541706487E-3</v>
      </c>
      <c r="AE57" s="181">
        <f t="shared" si="13"/>
        <v>3.365259848995291E-3</v>
      </c>
      <c r="AF57" s="181">
        <f t="shared" si="14"/>
        <v>3.587542508073604E-3</v>
      </c>
    </row>
    <row r="58" spans="3:32" x14ac:dyDescent="0.2">
      <c r="AB58" s="183">
        <f>_xll.qlCalendarAdvance(Calendar,AB57,"1d","mf",,Trigger)</f>
        <v>42188</v>
      </c>
      <c r="AC58" s="169">
        <f>_xll.qlDayCounterYearFraction(DayCounter,SettlementDate,AB58,,,Trigger)</f>
        <v>0.21666666666666667</v>
      </c>
      <c r="AD58" s="181">
        <f t="shared" si="0"/>
        <v>3.2718337541706487E-3</v>
      </c>
      <c r="AE58" s="181">
        <f t="shared" si="13"/>
        <v>3.3643867079221636E-3</v>
      </c>
      <c r="AF58" s="181">
        <f t="shared" si="14"/>
        <v>3.5798441772799386E-3</v>
      </c>
    </row>
    <row r="59" spans="3:32" x14ac:dyDescent="0.2">
      <c r="AB59" s="183">
        <f>_xll.qlCalendarAdvance(Calendar,AB58,"1d","mf",,Trigger)</f>
        <v>42191</v>
      </c>
      <c r="AC59" s="169">
        <f>_xll.qlDayCounterYearFraction(DayCounter,SettlementDate,AB59,,,Trigger)</f>
        <v>0.22500000000000001</v>
      </c>
      <c r="AD59" s="181">
        <f t="shared" si="0"/>
        <v>3.2718337541706487E-3</v>
      </c>
      <c r="AE59" s="181">
        <f t="shared" si="13"/>
        <v>3.3617672847027808E-3</v>
      </c>
      <c r="AF59" s="181">
        <f t="shared" si="14"/>
        <v>3.5570186002826473E-3</v>
      </c>
    </row>
    <row r="60" spans="3:32" x14ac:dyDescent="0.2">
      <c r="AB60" s="183">
        <f>_xll.qlCalendarAdvance(Calendar,AB59,"1d","mf",,Trigger)</f>
        <v>42192</v>
      </c>
      <c r="AC60" s="169">
        <f>_xll.qlDayCounterYearFraction(DayCounter,SettlementDate,AB60,,,Trigger)</f>
        <v>0.22777777777777777</v>
      </c>
      <c r="AD60" s="181">
        <f t="shared" si="0"/>
        <v>3.2718337541706487E-3</v>
      </c>
      <c r="AE60" s="181">
        <f t="shared" si="13"/>
        <v>3.3608941436296534E-3</v>
      </c>
      <c r="AF60" s="181">
        <f t="shared" si="14"/>
        <v>3.5494998797447851E-3</v>
      </c>
    </row>
    <row r="61" spans="3:32" x14ac:dyDescent="0.2">
      <c r="AB61" s="183">
        <f>_xll.qlCalendarAdvance(Calendar,AB60,"1d","mf",,Trigger)</f>
        <v>42193</v>
      </c>
      <c r="AC61" s="169">
        <f>_xll.qlDayCounterYearFraction(DayCounter,SettlementDate,AB61,,,Trigger)</f>
        <v>0.23055555555555557</v>
      </c>
      <c r="AD61" s="181">
        <f t="shared" si="0"/>
        <v>3.2718337541706487E-3</v>
      </c>
      <c r="AE61" s="181">
        <f t="shared" si="13"/>
        <v>3.3600210025565261E-3</v>
      </c>
      <c r="AF61" s="181">
        <f t="shared" si="14"/>
        <v>3.5420260617708738E-3</v>
      </c>
    </row>
    <row r="62" spans="3:32" x14ac:dyDescent="0.2">
      <c r="AB62" s="183">
        <f>_xll.qlCalendarAdvance(Calendar,AB61,"1d","mf",,Trigger)</f>
        <v>42194</v>
      </c>
      <c r="AC62" s="169">
        <f>_xll.qlDayCounterYearFraction(DayCounter,SettlementDate,AB62,,,Trigger)</f>
        <v>0.23333333333333334</v>
      </c>
      <c r="AD62" s="181">
        <f t="shared" si="0"/>
        <v>3.2718337541706487E-3</v>
      </c>
      <c r="AE62" s="181">
        <f t="shared" si="13"/>
        <v>3.3591478614833983E-3</v>
      </c>
      <c r="AF62" s="181">
        <f t="shared" si="14"/>
        <v>3.5345971463609138E-3</v>
      </c>
    </row>
    <row r="63" spans="3:32" x14ac:dyDescent="0.2">
      <c r="AB63" s="183">
        <f>_xll.qlCalendarAdvance(Calendar,AB62,"1d","mf",,Trigger)</f>
        <v>42195</v>
      </c>
      <c r="AC63" s="169">
        <f>_xll.qlDayCounterYearFraction(DayCounter,SettlementDate,AB63,,,Trigger)</f>
        <v>0.2361111111111111</v>
      </c>
      <c r="AD63" s="181">
        <f t="shared" si="0"/>
        <v>3.2718337541706487E-3</v>
      </c>
      <c r="AE63" s="181">
        <f t="shared" si="13"/>
        <v>3.358274720410271E-3</v>
      </c>
      <c r="AF63" s="181">
        <f t="shared" si="14"/>
        <v>3.5272131335149044E-3</v>
      </c>
    </row>
    <row r="64" spans="3:32" x14ac:dyDescent="0.2">
      <c r="AB64" s="183">
        <f>_xll.qlCalendarAdvance(Calendar,AB63,"1d","mf",,Trigger)</f>
        <v>42198</v>
      </c>
      <c r="AC64" s="169">
        <f>_xll.qlDayCounterYearFraction(DayCounter,SettlementDate,AB64,,,Trigger)</f>
        <v>0.24444444444444444</v>
      </c>
      <c r="AD64" s="181">
        <f t="shared" si="0"/>
        <v>3.2718337541706487E-3</v>
      </c>
      <c r="AE64" s="181">
        <f t="shared" si="13"/>
        <v>3.3556552971908886E-3</v>
      </c>
      <c r="AF64" s="181">
        <f t="shared" si="14"/>
        <v>3.505330510360582E-3</v>
      </c>
    </row>
    <row r="65" spans="9:32" x14ac:dyDescent="0.2">
      <c r="AB65" s="183">
        <f>_xll.qlCalendarAdvance(Calendar,AB64,"1d","mf",,Trigger)</f>
        <v>42199</v>
      </c>
      <c r="AC65" s="169">
        <f>_xll.qlDayCounterYearFraction(DayCounter,SettlementDate,AB65,,,Trigger)</f>
        <v>0.24722222222222223</v>
      </c>
      <c r="AD65" s="181">
        <f t="shared" si="0"/>
        <v>3.2718337541706487E-3</v>
      </c>
      <c r="AE65" s="181">
        <f t="shared" si="13"/>
        <v>3.3547821561177608E-3</v>
      </c>
      <c r="AF65" s="181">
        <f t="shared" si="14"/>
        <v>3.4981261077703762E-3</v>
      </c>
    </row>
    <row r="66" spans="9:32" x14ac:dyDescent="0.2">
      <c r="AB66" s="183">
        <f>_xll.qlCalendarAdvance(Calendar,AB65,"1d","mf",,Trigger)</f>
        <v>42200</v>
      </c>
      <c r="AC66" s="169">
        <f>_xll.qlDayCounterYearFraction(DayCounter,SettlementDate,AB66,,,Trigger)</f>
        <v>0.25</v>
      </c>
      <c r="AD66" s="181">
        <f t="shared" si="0"/>
        <v>3.2718337541706487E-3</v>
      </c>
      <c r="AE66" s="181">
        <f t="shared" si="13"/>
        <v>3.3539090150446335E-3</v>
      </c>
      <c r="AF66" s="181">
        <f t="shared" si="14"/>
        <v>3.4909666077441218E-3</v>
      </c>
    </row>
    <row r="67" spans="9:32" x14ac:dyDescent="0.2">
      <c r="AB67" s="183">
        <f>_xll.qlCalendarAdvance(Calendar,AB66,"1d","mf",,Trigger)</f>
        <v>42201</v>
      </c>
      <c r="AC67" s="169">
        <f>_xll.qlDayCounterYearFraction(DayCounter,SettlementDate,AB67,,,Trigger)</f>
        <v>0.25277777777777777</v>
      </c>
      <c r="AD67" s="181">
        <f t="shared" ref="AD67:AD130" si="16">$S$13</f>
        <v>3.2718337541706487E-3</v>
      </c>
      <c r="AE67" s="181">
        <f t="shared" si="13"/>
        <v>3.3530358739715061E-3</v>
      </c>
      <c r="AF67" s="181">
        <f t="shared" si="14"/>
        <v>3.4838520102818179E-3</v>
      </c>
    </row>
    <row r="68" spans="9:32" x14ac:dyDescent="0.2">
      <c r="AB68" s="183">
        <f>_xll.qlCalendarAdvance(Calendar,AB67,"1d","mf",,Trigger)</f>
        <v>42202</v>
      </c>
      <c r="AC68" s="169">
        <f>_xll.qlDayCounterYearFraction(DayCounter,SettlementDate,AB68,,,Trigger)</f>
        <v>0.25555555555555554</v>
      </c>
      <c r="AD68" s="181">
        <f t="shared" si="16"/>
        <v>3.2718337541706487E-3</v>
      </c>
      <c r="AE68" s="181">
        <f t="shared" si="13"/>
        <v>3.3521627328983784E-3</v>
      </c>
      <c r="AF68" s="181">
        <f t="shared" si="14"/>
        <v>3.4767823153834653E-3</v>
      </c>
    </row>
    <row r="69" spans="9:32" x14ac:dyDescent="0.2">
      <c r="I69" s="154"/>
      <c r="AB69" s="183">
        <f>_xll.qlCalendarAdvance(Calendar,AB68,"1d","mf",,Trigger)</f>
        <v>42205</v>
      </c>
      <c r="AC69" s="169">
        <f>_xll.qlDayCounterYearFraction(DayCounter,SettlementDate,AB69,,,Trigger)</f>
        <v>0.2638888888888889</v>
      </c>
      <c r="AD69" s="181">
        <f t="shared" si="16"/>
        <v>3.2718337541706487E-3</v>
      </c>
      <c r="AE69" s="181">
        <f t="shared" si="13"/>
        <v>3.349543309678996E-3</v>
      </c>
      <c r="AF69" s="181">
        <f t="shared" si="14"/>
        <v>3.4558426460721122E-3</v>
      </c>
    </row>
    <row r="70" spans="9:32" x14ac:dyDescent="0.2">
      <c r="I70" s="154"/>
      <c r="AB70" s="183">
        <f>_xll.qlCalendarAdvance(Calendar,AB69,"1d","mf",,Trigger)</f>
        <v>42206</v>
      </c>
      <c r="AC70" s="169">
        <f>_xll.qlDayCounterYearFraction(DayCounter,SettlementDate,AB70,,,Trigger)</f>
        <v>0.26666666666666666</v>
      </c>
      <c r="AD70" s="181">
        <f t="shared" si="16"/>
        <v>3.2718337541706487E-3</v>
      </c>
      <c r="AE70" s="181">
        <f t="shared" si="13"/>
        <v>3.3486701686058686E-3</v>
      </c>
      <c r="AF70" s="181">
        <f t="shared" si="14"/>
        <v>3.4489525614295625E-3</v>
      </c>
    </row>
    <row r="71" spans="9:32" x14ac:dyDescent="0.2">
      <c r="I71" s="154"/>
      <c r="AB71" s="183">
        <f>_xll.qlCalendarAdvance(Calendar,AB70,"1d","mf",,Trigger)</f>
        <v>42207</v>
      </c>
      <c r="AC71" s="169">
        <f>_xll.qlDayCounterYearFraction(DayCounter,SettlementDate,AB71,,,Trigger)</f>
        <v>0.26944444444444443</v>
      </c>
      <c r="AD71" s="181">
        <f t="shared" si="16"/>
        <v>3.2718337541706487E-3</v>
      </c>
      <c r="AE71" s="181">
        <f t="shared" si="13"/>
        <v>3.3477970275327409E-3</v>
      </c>
      <c r="AF71" s="181">
        <f t="shared" si="14"/>
        <v>3.4421073793509641E-3</v>
      </c>
    </row>
    <row r="72" spans="9:32" x14ac:dyDescent="0.2">
      <c r="I72" s="154"/>
      <c r="AB72" s="183">
        <f>_xll.qlCalendarAdvance(Calendar,AB71,"1d","mf",,Trigger)</f>
        <v>42208</v>
      </c>
      <c r="AC72" s="169">
        <f>_xll.qlDayCounterYearFraction(DayCounter,SettlementDate,AB72,,,Trigger)</f>
        <v>0.2722222222222222</v>
      </c>
      <c r="AD72" s="181">
        <f t="shared" si="16"/>
        <v>3.2718337541706487E-3</v>
      </c>
      <c r="AE72" s="181">
        <f t="shared" si="13"/>
        <v>3.3469238864596135E-3</v>
      </c>
      <c r="AF72" s="181">
        <f t="shared" si="14"/>
        <v>3.435307099836317E-3</v>
      </c>
    </row>
    <row r="73" spans="9:32" x14ac:dyDescent="0.2">
      <c r="I73" s="154"/>
      <c r="AB73" s="183">
        <f>_xll.qlCalendarAdvance(Calendar,AB72,"1d","mf",,Trigger)</f>
        <v>42209</v>
      </c>
      <c r="AC73" s="169">
        <f>_xll.qlDayCounterYearFraction(DayCounter,SettlementDate,AB73,,,Trigger)</f>
        <v>0.27500000000000002</v>
      </c>
      <c r="AD73" s="181">
        <f t="shared" si="16"/>
        <v>3.2718337541706487E-3</v>
      </c>
      <c r="AE73" s="181">
        <f t="shared" si="13"/>
        <v>3.3460507453864862E-3</v>
      </c>
      <c r="AF73" s="181">
        <f t="shared" si="14"/>
        <v>3.42855172288562E-3</v>
      </c>
    </row>
    <row r="74" spans="9:32" x14ac:dyDescent="0.2">
      <c r="I74" s="154"/>
      <c r="AB74" s="183">
        <f>_xll.qlCalendarAdvance(Calendar,AB73,"1d","mf",,Trigger)</f>
        <v>42212</v>
      </c>
      <c r="AC74" s="169">
        <f>_xll.qlDayCounterYearFraction(DayCounter,SettlementDate,AB74,,,Trigger)</f>
        <v>0.28333333333333333</v>
      </c>
      <c r="AD74" s="181">
        <f t="shared" si="16"/>
        <v>3.2718337541706487E-3</v>
      </c>
      <c r="AE74" s="181">
        <f t="shared" si="13"/>
        <v>3.3434313221671033E-3</v>
      </c>
      <c r="AF74" s="181">
        <f t="shared" si="14"/>
        <v>3.4085550074172358E-3</v>
      </c>
    </row>
    <row r="75" spans="9:32" x14ac:dyDescent="0.2">
      <c r="I75" s="154"/>
      <c r="J75" s="154"/>
      <c r="AB75" s="183">
        <f>_xll.qlCalendarAdvance(Calendar,AB74,"1d","mf",,Trigger)</f>
        <v>42213</v>
      </c>
      <c r="AC75" s="169">
        <f>_xll.qlDayCounterYearFraction(DayCounter,SettlementDate,AB75,,,Trigger)</f>
        <v>0.28611111111111109</v>
      </c>
      <c r="AD75" s="181">
        <f t="shared" si="16"/>
        <v>3.2718337541706487E-3</v>
      </c>
      <c r="AE75" s="181">
        <f t="shared" si="13"/>
        <v>3.342558181093976E-3</v>
      </c>
      <c r="AF75" s="181">
        <f t="shared" si="14"/>
        <v>3.4019792407223434E-3</v>
      </c>
    </row>
    <row r="76" spans="9:32" x14ac:dyDescent="0.2">
      <c r="I76" s="154"/>
      <c r="J76" s="154"/>
      <c r="AB76" s="183">
        <f>_xll.qlCalendarAdvance(Calendar,AB75,"1d","mf",,Trigger)</f>
        <v>42214</v>
      </c>
      <c r="AC76" s="169">
        <f>_xll.qlDayCounterYearFraction(DayCounter,SettlementDate,AB76,,,Trigger)</f>
        <v>0.28888888888888886</v>
      </c>
      <c r="AD76" s="181">
        <f t="shared" si="16"/>
        <v>3.2718337541706487E-3</v>
      </c>
      <c r="AE76" s="181">
        <f t="shared" si="13"/>
        <v>3.3416850400208487E-3</v>
      </c>
      <c r="AF76" s="181">
        <f t="shared" si="14"/>
        <v>3.395448376591401E-3</v>
      </c>
    </row>
    <row r="77" spans="9:32" x14ac:dyDescent="0.2">
      <c r="I77" s="154"/>
      <c r="J77" s="154"/>
      <c r="AB77" s="183">
        <f>_xll.qlCalendarAdvance(Calendar,AB76,"1d","mf",,Trigger)</f>
        <v>42215</v>
      </c>
      <c r="AC77" s="169">
        <f>_xll.qlDayCounterYearFraction(DayCounter,SettlementDate,AB77,,,Trigger)</f>
        <v>0.29166666666666669</v>
      </c>
      <c r="AD77" s="181">
        <f t="shared" si="16"/>
        <v>3.2718337541706487E-3</v>
      </c>
      <c r="AE77" s="181">
        <f t="shared" si="13"/>
        <v>3.3408118989477209E-3</v>
      </c>
      <c r="AF77" s="181">
        <f t="shared" si="14"/>
        <v>3.3889624150244099E-3</v>
      </c>
    </row>
    <row r="78" spans="9:32" x14ac:dyDescent="0.2">
      <c r="I78" s="154"/>
      <c r="J78" s="154"/>
      <c r="AB78" s="183">
        <f>_xll.qlCalendarAdvance(Calendar,AB77,"1d","mf",,Trigger)</f>
        <v>42216</v>
      </c>
      <c r="AC78" s="169">
        <f>_xll.qlDayCounterYearFraction(DayCounter,SettlementDate,AB78,,,Trigger)</f>
        <v>0.29444444444444445</v>
      </c>
      <c r="AD78" s="181">
        <f t="shared" si="16"/>
        <v>3.2718337541706487E-3</v>
      </c>
      <c r="AE78" s="181">
        <f t="shared" si="13"/>
        <v>3.3399387578745936E-3</v>
      </c>
      <c r="AF78" s="181">
        <f t="shared" si="14"/>
        <v>3.3825213560213702E-3</v>
      </c>
    </row>
    <row r="79" spans="9:32" x14ac:dyDescent="0.2">
      <c r="I79" s="154"/>
      <c r="J79" s="154"/>
      <c r="AB79" s="183">
        <f>_xll.qlCalendarAdvance(Calendar,AB78,"1d","mf",,Trigger)</f>
        <v>42219</v>
      </c>
      <c r="AC79" s="169">
        <f>_xll.qlDayCounterYearFraction(DayCounter,SettlementDate,AB79,,,Trigger)</f>
        <v>0.30277777777777776</v>
      </c>
      <c r="AD79" s="181">
        <f t="shared" si="16"/>
        <v>3.2718337541706487E-3</v>
      </c>
      <c r="AE79" s="181">
        <f t="shared" si="13"/>
        <v>3.3373193346552111E-3</v>
      </c>
      <c r="AF79" s="181">
        <f t="shared" si="14"/>
        <v>3.363467594395955E-3</v>
      </c>
    </row>
    <row r="80" spans="9:32" x14ac:dyDescent="0.2">
      <c r="I80" s="154"/>
      <c r="J80" s="154"/>
      <c r="AB80" s="183">
        <f>_xll.qlCalendarAdvance(Calendar,AB79,"1d","mf",,Trigger)</f>
        <v>42220</v>
      </c>
      <c r="AC80" s="169">
        <f>_xll.qlDayCounterYearFraction(DayCounter,SettlementDate,AB80,,,Trigger)</f>
        <v>0.30555555555555558</v>
      </c>
      <c r="AD80" s="181">
        <f t="shared" si="16"/>
        <v>3.2718337541706487E-3</v>
      </c>
      <c r="AE80" s="181">
        <f t="shared" si="13"/>
        <v>3.3364461935820834E-3</v>
      </c>
      <c r="AF80" s="181">
        <f t="shared" si="14"/>
        <v>3.3572061456487181E-3</v>
      </c>
    </row>
    <row r="81" spans="9:32" x14ac:dyDescent="0.2">
      <c r="I81" s="154"/>
      <c r="J81" s="154"/>
      <c r="AB81" s="183">
        <f>_xll.qlCalendarAdvance(Calendar,AB80,"1d","mf",,Trigger)</f>
        <v>42221</v>
      </c>
      <c r="AC81" s="169">
        <f>_xll.qlDayCounterYearFraction(DayCounter,SettlementDate,AB81,,,Trigger)</f>
        <v>0.30833333333333335</v>
      </c>
      <c r="AD81" s="181">
        <f t="shared" si="16"/>
        <v>3.2718337541706487E-3</v>
      </c>
      <c r="AE81" s="181">
        <f t="shared" si="13"/>
        <v>3.335573052508956E-3</v>
      </c>
      <c r="AF81" s="181">
        <f t="shared" si="14"/>
        <v>3.3509895994654326E-3</v>
      </c>
    </row>
    <row r="82" spans="9:32" x14ac:dyDescent="0.2">
      <c r="I82" s="154"/>
      <c r="J82" s="154"/>
      <c r="AB82" s="183">
        <f>_xll.qlCalendarAdvance(Calendar,AB81,"1d","mf",,Trigger)</f>
        <v>42222</v>
      </c>
      <c r="AC82" s="169">
        <f>_xll.qlDayCounterYearFraction(DayCounter,SettlementDate,AB82,,,Trigger)</f>
        <v>0.31111111111111112</v>
      </c>
      <c r="AD82" s="181">
        <f t="shared" si="16"/>
        <v>3.2718337541706487E-3</v>
      </c>
      <c r="AE82" s="181">
        <f t="shared" si="13"/>
        <v>3.3346999114358287E-3</v>
      </c>
      <c r="AF82" s="181">
        <f t="shared" si="14"/>
        <v>3.3448179558460979E-3</v>
      </c>
    </row>
    <row r="83" spans="9:32" x14ac:dyDescent="0.2">
      <c r="I83" s="154"/>
      <c r="J83" s="154"/>
      <c r="AB83" s="183">
        <f>_xll.qlCalendarAdvance(Calendar,AB82,"1d","mf",,Trigger)</f>
        <v>42223</v>
      </c>
      <c r="AC83" s="169">
        <f>_xll.qlDayCounterYearFraction(DayCounter,SettlementDate,AB83,,,Trigger)</f>
        <v>0.31388888888888888</v>
      </c>
      <c r="AD83" s="181">
        <f t="shared" si="16"/>
        <v>3.2718337541706487E-3</v>
      </c>
      <c r="AE83" s="181">
        <f t="shared" si="13"/>
        <v>3.333826770362701E-3</v>
      </c>
      <c r="AF83" s="181">
        <f t="shared" si="14"/>
        <v>3.3386912147907138E-3</v>
      </c>
    </row>
    <row r="84" spans="9:32" x14ac:dyDescent="0.2">
      <c r="I84" s="154"/>
      <c r="J84" s="154"/>
      <c r="AB84" s="183">
        <f>_xll.qlCalendarAdvance(Calendar,AB83,"1d","mf",,Trigger)</f>
        <v>42226</v>
      </c>
      <c r="AC84" s="169">
        <f>_xll.qlDayCounterYearFraction(DayCounter,SettlementDate,AB84,,,Trigger)</f>
        <v>0.32222222222222224</v>
      </c>
      <c r="AD84" s="181">
        <f t="shared" si="16"/>
        <v>3.2718337541706487E-3</v>
      </c>
      <c r="AE84" s="181">
        <f t="shared" si="13"/>
        <v>3.3312073471433185E-3</v>
      </c>
      <c r="AF84" s="181">
        <f t="shared" si="14"/>
        <v>3.3205804070082679E-3</v>
      </c>
    </row>
    <row r="85" spans="9:32" x14ac:dyDescent="0.2">
      <c r="I85" s="154"/>
      <c r="J85" s="154"/>
      <c r="AB85" s="183">
        <f>_xll.qlCalendarAdvance(Calendar,AB84,"1d","mf",,Trigger)</f>
        <v>42227</v>
      </c>
      <c r="AC85" s="169">
        <f>_xll.qlDayCounterYearFraction(DayCounter,SettlementDate,AB85,,,Trigger)</f>
        <v>0.32500000000000001</v>
      </c>
      <c r="AD85" s="181">
        <f t="shared" si="16"/>
        <v>3.2718337541706487E-3</v>
      </c>
      <c r="AE85" s="181">
        <f t="shared" si="13"/>
        <v>3.3303342060701912E-3</v>
      </c>
      <c r="AF85" s="181">
        <f t="shared" si="14"/>
        <v>3.3146332762086879E-3</v>
      </c>
    </row>
    <row r="86" spans="9:32" x14ac:dyDescent="0.2">
      <c r="I86" s="154"/>
      <c r="J86" s="154"/>
      <c r="AB86" s="183">
        <f>_xll.qlCalendarAdvance(Calendar,AB85,"1d","mf",,Trigger)</f>
        <v>42228</v>
      </c>
      <c r="AC86" s="169">
        <f>_xll.qlDayCounterYearFraction(DayCounter,SettlementDate,AB86,,,Trigger)</f>
        <v>0.32777777777777778</v>
      </c>
      <c r="AD86" s="181">
        <f t="shared" si="16"/>
        <v>3.2718337541706487E-3</v>
      </c>
      <c r="AE86" s="181">
        <f t="shared" ref="AE86:AE145" si="17">$S$10+$S$9*AC86</f>
        <v>3.3294610649970634E-3</v>
      </c>
      <c r="AF86" s="181">
        <f t="shared" ref="AF86:AF145" si="18">($S$5+$S$4*AC86+$S$3*AC86^2)</f>
        <v>3.3087310479730588E-3</v>
      </c>
    </row>
    <row r="87" spans="9:32" x14ac:dyDescent="0.2">
      <c r="I87" s="154"/>
      <c r="J87" s="154"/>
      <c r="AB87" s="183">
        <f>_xll.qlCalendarAdvance(Calendar,AB86,"1d","mf",,Trigger)</f>
        <v>42229</v>
      </c>
      <c r="AC87" s="169">
        <f>_xll.qlDayCounterYearFraction(DayCounter,SettlementDate,AB87,,,Trigger)</f>
        <v>0.33055555555555555</v>
      </c>
      <c r="AD87" s="181">
        <f t="shared" si="16"/>
        <v>3.2718337541706487E-3</v>
      </c>
      <c r="AE87" s="181">
        <f t="shared" si="17"/>
        <v>3.3285879239239361E-3</v>
      </c>
      <c r="AF87" s="181">
        <f t="shared" si="18"/>
        <v>3.3028737223013797E-3</v>
      </c>
    </row>
    <row r="88" spans="9:32" x14ac:dyDescent="0.2">
      <c r="I88" s="154"/>
      <c r="J88" s="154"/>
      <c r="AB88" s="183">
        <f>_xll.qlCalendarAdvance(Calendar,AB87,"1d","mf",,Trigger)</f>
        <v>42230</v>
      </c>
      <c r="AC88" s="169">
        <f>_xll.qlDayCounterYearFraction(DayCounter,SettlementDate,AB88,,,Trigger)</f>
        <v>0.33333333333333331</v>
      </c>
      <c r="AD88" s="181">
        <f t="shared" si="16"/>
        <v>3.2718337541706487E-3</v>
      </c>
      <c r="AE88" s="181">
        <f t="shared" si="17"/>
        <v>3.3277147828508088E-3</v>
      </c>
      <c r="AF88" s="181">
        <f t="shared" si="18"/>
        <v>3.2970612991936529E-3</v>
      </c>
    </row>
    <row r="89" spans="9:32" x14ac:dyDescent="0.2">
      <c r="I89" s="154"/>
      <c r="J89" s="154"/>
      <c r="AB89" s="183">
        <f>_xll.qlCalendarAdvance(Calendar,AB88,"1d","mf",,Trigger)</f>
        <v>42233</v>
      </c>
      <c r="AC89" s="169">
        <f>_xll.qlDayCounterYearFraction(DayCounter,SettlementDate,AB89,,,Trigger)</f>
        <v>0.34166666666666667</v>
      </c>
      <c r="AD89" s="181">
        <f t="shared" si="16"/>
        <v>3.2718337541706487E-3</v>
      </c>
      <c r="AE89" s="181">
        <f t="shared" si="17"/>
        <v>3.3250953596314263E-3</v>
      </c>
      <c r="AF89" s="181">
        <f t="shared" si="18"/>
        <v>3.2798934452541758E-3</v>
      </c>
    </row>
    <row r="90" spans="9:32" x14ac:dyDescent="0.2">
      <c r="I90" s="154"/>
      <c r="J90" s="154"/>
      <c r="AB90" s="183">
        <f>_xll.qlCalendarAdvance(Calendar,AB89,"1d","mf",,Trigger)</f>
        <v>42234</v>
      </c>
      <c r="AC90" s="169">
        <f>_xll.qlDayCounterYearFraction(DayCounter,SettlementDate,AB90,,,Trigger)</f>
        <v>0.34444444444444444</v>
      </c>
      <c r="AD90" s="181">
        <f t="shared" si="16"/>
        <v>3.2718337541706487E-3</v>
      </c>
      <c r="AE90" s="181">
        <f t="shared" si="17"/>
        <v>3.3242222185582986E-3</v>
      </c>
      <c r="AF90" s="181">
        <f t="shared" si="18"/>
        <v>3.2742606324022519E-3</v>
      </c>
    </row>
    <row r="91" spans="9:32" x14ac:dyDescent="0.2">
      <c r="I91" s="154"/>
      <c r="J91" s="154"/>
      <c r="AB91" s="183">
        <f>_xll.qlCalendarAdvance(Calendar,AB90,"1d","mf",,Trigger)</f>
        <v>42235</v>
      </c>
      <c r="AC91" s="169">
        <f>_xll.qlDayCounterYearFraction(DayCounter,SettlementDate,AB91,,,Trigger)</f>
        <v>0.34722222222222221</v>
      </c>
      <c r="AD91" s="181">
        <f t="shared" si="16"/>
        <v>3.2718337541706487E-3</v>
      </c>
      <c r="AE91" s="181">
        <f t="shared" si="17"/>
        <v>3.3233490774851712E-3</v>
      </c>
      <c r="AF91" s="181">
        <f t="shared" si="18"/>
        <v>3.2686727221142792E-3</v>
      </c>
    </row>
    <row r="92" spans="9:32" x14ac:dyDescent="0.2">
      <c r="I92" s="154"/>
      <c r="J92" s="154"/>
      <c r="AB92" s="183">
        <f>_xll.qlCalendarAdvance(Calendar,AB91,"1d","mf",,Trigger)</f>
        <v>42236</v>
      </c>
      <c r="AC92" s="169">
        <f>_xll.qlDayCounterYearFraction(DayCounter,SettlementDate,AB92,,,Trigger)</f>
        <v>0.35</v>
      </c>
      <c r="AD92" s="181">
        <f t="shared" si="16"/>
        <v>3.2718337541706487E-3</v>
      </c>
      <c r="AE92" s="181">
        <f t="shared" si="17"/>
        <v>3.3224759364120435E-3</v>
      </c>
      <c r="AF92" s="181">
        <f t="shared" si="18"/>
        <v>3.263129714390257E-3</v>
      </c>
    </row>
    <row r="93" spans="9:32" x14ac:dyDescent="0.2">
      <c r="I93" s="154"/>
      <c r="J93" s="154"/>
      <c r="AB93" s="183">
        <f>_xll.qlCalendarAdvance(Calendar,AB92,"1d","mf",,Trigger)</f>
        <v>42237</v>
      </c>
      <c r="AC93" s="169">
        <f>_xll.qlDayCounterYearFraction(DayCounter,SettlementDate,AB93,,,Trigger)</f>
        <v>0.3527777777777778</v>
      </c>
      <c r="AD93" s="181">
        <f t="shared" si="16"/>
        <v>3.2718337541706487E-3</v>
      </c>
      <c r="AE93" s="181">
        <f t="shared" si="17"/>
        <v>3.3216027953389161E-3</v>
      </c>
      <c r="AF93" s="181">
        <f t="shared" si="18"/>
        <v>3.2576316092301858E-3</v>
      </c>
    </row>
    <row r="94" spans="9:32" x14ac:dyDescent="0.2">
      <c r="I94" s="154"/>
      <c r="J94" s="154"/>
      <c r="AB94" s="183">
        <f>_xll.qlCalendarAdvance(Calendar,AB93,"1d","mf",,Trigger)</f>
        <v>42240</v>
      </c>
      <c r="AC94" s="169">
        <f>_xll.qlDayCounterYearFraction(DayCounter,SettlementDate,AB94,,,Trigger)</f>
        <v>0.3611111111111111</v>
      </c>
      <c r="AD94" s="181">
        <f t="shared" si="16"/>
        <v>3.2718337541706487E-3</v>
      </c>
      <c r="AE94" s="181">
        <f t="shared" si="17"/>
        <v>3.3189833721195337E-3</v>
      </c>
      <c r="AF94" s="181">
        <f t="shared" si="18"/>
        <v>3.2414067091336776E-3</v>
      </c>
    </row>
    <row r="95" spans="9:32" x14ac:dyDescent="0.2">
      <c r="I95" s="154"/>
      <c r="J95" s="154"/>
      <c r="AB95" s="183">
        <f>_xll.qlCalendarAdvance(Calendar,AB94,"1d","mf",,Trigger)</f>
        <v>42241</v>
      </c>
      <c r="AC95" s="169">
        <f>_xll.qlDayCounterYearFraction(DayCounter,SettlementDate,AB95,,,Trigger)</f>
        <v>0.36388888888888887</v>
      </c>
      <c r="AD95" s="181">
        <f t="shared" si="16"/>
        <v>3.2718337541706487E-3</v>
      </c>
      <c r="AE95" s="181">
        <f t="shared" si="17"/>
        <v>3.3181102310464064E-3</v>
      </c>
      <c r="AF95" s="181">
        <f t="shared" si="18"/>
        <v>3.2360882142294109E-3</v>
      </c>
    </row>
    <row r="96" spans="9:32" x14ac:dyDescent="0.2">
      <c r="I96" s="154"/>
      <c r="J96" s="154"/>
      <c r="AB96" s="183">
        <f>_xll.qlCalendarAdvance(Calendar,AB95,"1d","mf",,Trigger)</f>
        <v>42242</v>
      </c>
      <c r="AC96" s="169">
        <f>_xll.qlDayCounterYearFraction(DayCounter,SettlementDate,AB96,,,Trigger)</f>
        <v>0.36666666666666664</v>
      </c>
      <c r="AD96" s="181">
        <f t="shared" si="16"/>
        <v>3.2718337541706487E-3</v>
      </c>
      <c r="AE96" s="181">
        <f t="shared" si="17"/>
        <v>3.3172370899732786E-3</v>
      </c>
      <c r="AF96" s="181">
        <f t="shared" si="18"/>
        <v>3.2308146218890939E-3</v>
      </c>
    </row>
    <row r="97" spans="9:32" x14ac:dyDescent="0.2">
      <c r="I97" s="154"/>
      <c r="J97" s="154"/>
      <c r="AB97" s="183">
        <f>_xll.qlCalendarAdvance(Calendar,AB96,"1d","mf",,Trigger)</f>
        <v>42243</v>
      </c>
      <c r="AC97" s="169">
        <f>_xll.qlDayCounterYearFraction(DayCounter,SettlementDate,AB97,,,Trigger)</f>
        <v>0.36944444444444446</v>
      </c>
      <c r="AD97" s="181">
        <f t="shared" si="16"/>
        <v>3.2718337541706487E-3</v>
      </c>
      <c r="AE97" s="181">
        <f t="shared" si="17"/>
        <v>3.3163639489001513E-3</v>
      </c>
      <c r="AF97" s="181">
        <f t="shared" si="18"/>
        <v>3.2255859321127281E-3</v>
      </c>
    </row>
    <row r="98" spans="9:32" x14ac:dyDescent="0.2">
      <c r="I98" s="154"/>
      <c r="J98" s="154"/>
      <c r="AB98" s="183">
        <f>_xll.qlCalendarAdvance(Calendar,AB97,"1d","mf",,Trigger)</f>
        <v>42244</v>
      </c>
      <c r="AC98" s="169">
        <f>_xll.qlDayCounterYearFraction(DayCounter,SettlementDate,AB98,,,Trigger)</f>
        <v>0.37222222222222223</v>
      </c>
      <c r="AD98" s="181">
        <f t="shared" si="16"/>
        <v>3.2718337541706487E-3</v>
      </c>
      <c r="AE98" s="181">
        <f t="shared" si="17"/>
        <v>3.3154908078270235E-3</v>
      </c>
      <c r="AF98" s="181">
        <f t="shared" si="18"/>
        <v>3.2204021449003133E-3</v>
      </c>
    </row>
    <row r="99" spans="9:32" x14ac:dyDescent="0.2">
      <c r="I99" s="154"/>
      <c r="J99" s="154"/>
      <c r="AB99" s="183">
        <f>_xll.qlCalendarAdvance(Calendar,AB98,"1d","mf",,Trigger)</f>
        <v>42247</v>
      </c>
      <c r="AC99" s="169">
        <f>_xll.qlDayCounterYearFraction(DayCounter,SettlementDate,AB99,,,Trigger)</f>
        <v>0.38055555555555554</v>
      </c>
      <c r="AD99" s="181">
        <f t="shared" si="16"/>
        <v>3.2718337541706487E-3</v>
      </c>
      <c r="AE99" s="181">
        <f t="shared" si="17"/>
        <v>3.3128713846076411E-3</v>
      </c>
      <c r="AF99" s="181">
        <f t="shared" si="18"/>
        <v>3.2051201986467749E-3</v>
      </c>
    </row>
    <row r="100" spans="9:32" x14ac:dyDescent="0.2">
      <c r="I100" s="154"/>
      <c r="J100" s="154"/>
      <c r="AB100" s="183">
        <f>_xll.qlCalendarAdvance(Calendar,AB99,"1d","mf",,Trigger)</f>
        <v>42248</v>
      </c>
      <c r="AC100" s="169">
        <f>_xll.qlDayCounterYearFraction(DayCounter,SettlementDate,AB100,,,Trigger)</f>
        <v>0.38333333333333336</v>
      </c>
      <c r="AD100" s="181">
        <f t="shared" si="16"/>
        <v>3.2718337541706487E-3</v>
      </c>
      <c r="AE100" s="181">
        <f t="shared" si="17"/>
        <v>3.3119982435345138E-3</v>
      </c>
      <c r="AF100" s="181">
        <f t="shared" si="18"/>
        <v>3.2001160216901638E-3</v>
      </c>
    </row>
    <row r="101" spans="9:32" x14ac:dyDescent="0.2">
      <c r="I101" s="154"/>
      <c r="J101" s="154"/>
      <c r="AB101" s="183">
        <f>_xll.qlCalendarAdvance(Calendar,AB100,"1d","mf",,Trigger)</f>
        <v>42249</v>
      </c>
      <c r="AC101" s="169">
        <f>_xll.qlDayCounterYearFraction(DayCounter,SettlementDate,AB101,,,Trigger)</f>
        <v>0.38611111111111113</v>
      </c>
      <c r="AD101" s="181">
        <f t="shared" si="16"/>
        <v>3.2718337541706487E-3</v>
      </c>
      <c r="AE101" s="181">
        <f t="shared" si="17"/>
        <v>3.311125102461386E-3</v>
      </c>
      <c r="AF101" s="181">
        <f t="shared" si="18"/>
        <v>3.1951567472975032E-3</v>
      </c>
    </row>
    <row r="102" spans="9:32" x14ac:dyDescent="0.2">
      <c r="I102" s="154"/>
      <c r="J102" s="154"/>
      <c r="AB102" s="183">
        <f>_xll.qlCalendarAdvance(Calendar,AB101,"1d","mf",,Trigger)</f>
        <v>42250</v>
      </c>
      <c r="AC102" s="169">
        <f>_xll.qlDayCounterYearFraction(DayCounter,SettlementDate,AB102,,,Trigger)</f>
        <v>0.3888888888888889</v>
      </c>
      <c r="AD102" s="181">
        <f t="shared" si="16"/>
        <v>3.2718337541706487E-3</v>
      </c>
      <c r="AE102" s="181">
        <f t="shared" si="17"/>
        <v>3.3102519613882587E-3</v>
      </c>
      <c r="AF102" s="181">
        <f t="shared" si="18"/>
        <v>3.1902423754687943E-3</v>
      </c>
    </row>
    <row r="103" spans="9:32" x14ac:dyDescent="0.2">
      <c r="I103" s="154"/>
      <c r="J103" s="154"/>
      <c r="AB103" s="183">
        <f>_xll.qlCalendarAdvance(Calendar,AB102,"1d","mf",,Trigger)</f>
        <v>42251</v>
      </c>
      <c r="AC103" s="169">
        <f>_xll.qlDayCounterYearFraction(DayCounter,SettlementDate,AB103,,,Trigger)</f>
        <v>0.39166666666666666</v>
      </c>
      <c r="AD103" s="181">
        <f t="shared" si="16"/>
        <v>3.2718337541706487E-3</v>
      </c>
      <c r="AE103" s="181">
        <f t="shared" si="17"/>
        <v>3.3093788203151313E-3</v>
      </c>
      <c r="AF103" s="181">
        <f t="shared" si="18"/>
        <v>3.185372906204036E-3</v>
      </c>
    </row>
    <row r="104" spans="9:32" x14ac:dyDescent="0.2">
      <c r="I104" s="154"/>
      <c r="J104" s="154"/>
      <c r="AB104" s="183">
        <f>_xll.qlCalendarAdvance(Calendar,AB103,"1d","mf",,Trigger)</f>
        <v>42254</v>
      </c>
      <c r="AC104" s="169">
        <f>_xll.qlDayCounterYearFraction(DayCounter,SettlementDate,AB104,,,Trigger)</f>
        <v>0.4</v>
      </c>
      <c r="AD104" s="181">
        <f t="shared" si="16"/>
        <v>3.2718337541706487E-3</v>
      </c>
      <c r="AE104" s="181">
        <f t="shared" si="17"/>
        <v>3.3067593970957489E-3</v>
      </c>
      <c r="AF104" s="181">
        <f t="shared" si="18"/>
        <v>3.171033913793466E-3</v>
      </c>
    </row>
    <row r="105" spans="9:32" x14ac:dyDescent="0.2">
      <c r="I105" s="154"/>
      <c r="J105" s="154"/>
      <c r="AB105" s="183">
        <f>_xll.qlCalendarAdvance(Calendar,AB104,"1d","mf",,Trigger)</f>
        <v>42255</v>
      </c>
      <c r="AC105" s="169">
        <f>_xll.qlDayCounterYearFraction(DayCounter,SettlementDate,AB105,,,Trigger)</f>
        <v>0.40277777777777779</v>
      </c>
      <c r="AD105" s="181">
        <f t="shared" si="16"/>
        <v>3.2718337541706487E-3</v>
      </c>
      <c r="AE105" s="181">
        <f t="shared" si="17"/>
        <v>3.3058862560226211E-3</v>
      </c>
      <c r="AF105" s="181">
        <f t="shared" si="18"/>
        <v>3.1663440547845113E-3</v>
      </c>
    </row>
    <row r="106" spans="9:32" x14ac:dyDescent="0.2">
      <c r="I106" s="154"/>
      <c r="J106" s="154"/>
      <c r="AB106" s="183">
        <f>_xll.qlCalendarAdvance(Calendar,AB105,"1d","mf",,Trigger)</f>
        <v>42256</v>
      </c>
      <c r="AC106" s="169">
        <f>_xll.qlDayCounterYearFraction(DayCounter,SettlementDate,AB106,,,Trigger)</f>
        <v>0.40555555555555556</v>
      </c>
      <c r="AD106" s="181">
        <f t="shared" si="16"/>
        <v>3.2718337541706487E-3</v>
      </c>
      <c r="AE106" s="181">
        <f t="shared" si="17"/>
        <v>3.3050131149494938E-3</v>
      </c>
      <c r="AF106" s="181">
        <f t="shared" si="18"/>
        <v>3.1616990983395076E-3</v>
      </c>
    </row>
    <row r="107" spans="9:32" x14ac:dyDescent="0.2">
      <c r="I107" s="154"/>
      <c r="J107" s="154"/>
      <c r="AB107" s="183">
        <f>_xll.qlCalendarAdvance(Calendar,AB106,"1d","mf",,Trigger)</f>
        <v>42257</v>
      </c>
      <c r="AC107" s="169">
        <f>_xll.qlDayCounterYearFraction(DayCounter,SettlementDate,AB107,,,Trigger)</f>
        <v>0.40833333333333333</v>
      </c>
      <c r="AD107" s="181">
        <f t="shared" si="16"/>
        <v>3.2718337541706487E-3</v>
      </c>
      <c r="AE107" s="181">
        <f t="shared" si="17"/>
        <v>3.304139973876366E-3</v>
      </c>
      <c r="AF107" s="181">
        <f t="shared" si="18"/>
        <v>3.1570990444584543E-3</v>
      </c>
    </row>
    <row r="108" spans="9:32" x14ac:dyDescent="0.2">
      <c r="I108" s="154"/>
      <c r="J108" s="154"/>
      <c r="AB108" s="183">
        <f>_xll.qlCalendarAdvance(Calendar,AB107,"1d","mf",,Trigger)</f>
        <v>42258</v>
      </c>
      <c r="AC108" s="169">
        <f>_xll.qlDayCounterYearFraction(DayCounter,SettlementDate,AB108,,,Trigger)</f>
        <v>0.41111111111111109</v>
      </c>
      <c r="AD108" s="181">
        <f t="shared" si="16"/>
        <v>3.2718337541706487E-3</v>
      </c>
      <c r="AE108" s="181">
        <f t="shared" si="17"/>
        <v>3.3032668328032387E-3</v>
      </c>
      <c r="AF108" s="181">
        <f t="shared" si="18"/>
        <v>3.1525438931413528E-3</v>
      </c>
    </row>
    <row r="109" spans="9:32" x14ac:dyDescent="0.2">
      <c r="I109" s="154"/>
      <c r="J109" s="154"/>
      <c r="AB109" s="183">
        <f>_xll.qlCalendarAdvance(Calendar,AB108,"1d","mf",,Trigger)</f>
        <v>42261</v>
      </c>
      <c r="AC109" s="169">
        <f>_xll.qlDayCounterYearFraction(DayCounter,SettlementDate,AB109,,,Trigger)</f>
        <v>0.41944444444444445</v>
      </c>
      <c r="AD109" s="181">
        <f t="shared" si="16"/>
        <v>3.2718337541706487E-3</v>
      </c>
      <c r="AE109" s="181">
        <f t="shared" si="17"/>
        <v>3.3006474095838563E-3</v>
      </c>
      <c r="AF109" s="181">
        <f t="shared" si="18"/>
        <v>3.1391478545737522E-3</v>
      </c>
    </row>
    <row r="110" spans="9:32" x14ac:dyDescent="0.2">
      <c r="I110" s="154"/>
      <c r="J110" s="154"/>
      <c r="AB110" s="183">
        <f>_xll.qlCalendarAdvance(Calendar,AB109,"1d","mf",,Trigger)</f>
        <v>42262</v>
      </c>
      <c r="AC110" s="169">
        <f>_xll.qlDayCounterYearFraction(DayCounter,SettlementDate,AB110,,,Trigger)</f>
        <v>0.42222222222222222</v>
      </c>
      <c r="AD110" s="181">
        <f t="shared" si="16"/>
        <v>3.2718337541706487E-3</v>
      </c>
      <c r="AE110" s="181">
        <f t="shared" si="17"/>
        <v>3.299774268510729E-3</v>
      </c>
      <c r="AF110" s="181">
        <f t="shared" si="18"/>
        <v>3.1347723135124535E-3</v>
      </c>
    </row>
    <row r="111" spans="9:32" x14ac:dyDescent="0.2">
      <c r="I111" s="154"/>
      <c r="J111" s="154"/>
      <c r="AB111" s="183">
        <f>_xll.qlCalendarAdvance(Calendar,AB110,"1d","mf",,Trigger)</f>
        <v>42263</v>
      </c>
      <c r="AC111" s="169">
        <f>_xll.qlDayCounterYearFraction(DayCounter,SettlementDate,AB111,,,Trigger)</f>
        <v>0.42499999999999999</v>
      </c>
      <c r="AD111" s="181">
        <f t="shared" si="16"/>
        <v>3.2718337541706487E-3</v>
      </c>
      <c r="AE111" s="181">
        <f t="shared" si="17"/>
        <v>3.2989011274376012E-3</v>
      </c>
      <c r="AF111" s="181">
        <f t="shared" si="18"/>
        <v>3.1304416750151062E-3</v>
      </c>
    </row>
    <row r="112" spans="9:32" x14ac:dyDescent="0.2">
      <c r="I112" s="154"/>
      <c r="J112" s="154"/>
      <c r="AB112" s="183">
        <f>_xll.qlCalendarAdvance(Calendar,AB111,"1d","mf",,Trigger)</f>
        <v>42264</v>
      </c>
      <c r="AC112" s="169">
        <f>_xll.qlDayCounterYearFraction(DayCounter,SettlementDate,AB112,,,Trigger)</f>
        <v>0.42777777777777776</v>
      </c>
      <c r="AD112" s="181">
        <f t="shared" si="16"/>
        <v>3.2718337541706487E-3</v>
      </c>
      <c r="AE112" s="181">
        <f t="shared" si="17"/>
        <v>3.2980279863644739E-3</v>
      </c>
      <c r="AF112" s="181">
        <f t="shared" si="18"/>
        <v>3.1261559390817098E-3</v>
      </c>
    </row>
    <row r="113" spans="9:32" x14ac:dyDescent="0.2">
      <c r="I113" s="154"/>
      <c r="J113" s="154"/>
      <c r="AB113" s="183">
        <f>_xll.qlCalendarAdvance(Calendar,AB112,"1d","mf",,Trigger)</f>
        <v>42265</v>
      </c>
      <c r="AC113" s="169">
        <f>_xll.qlDayCounterYearFraction(DayCounter,SettlementDate,AB113,,,Trigger)</f>
        <v>0.43055555555555558</v>
      </c>
      <c r="AD113" s="181">
        <f t="shared" si="16"/>
        <v>3.2718337541706487E-3</v>
      </c>
      <c r="AE113" s="181">
        <f t="shared" si="17"/>
        <v>3.2971548452913461E-3</v>
      </c>
      <c r="AF113" s="181">
        <f t="shared" si="18"/>
        <v>3.1219151057122639E-3</v>
      </c>
    </row>
    <row r="114" spans="9:32" x14ac:dyDescent="0.2">
      <c r="I114" s="154"/>
      <c r="J114" s="154"/>
      <c r="AB114" s="183">
        <f>_xll.qlCalendarAdvance(Calendar,AB113,"1d","mf",,Trigger)</f>
        <v>42268</v>
      </c>
      <c r="AC114" s="169">
        <f>_xll.qlDayCounterYearFraction(DayCounter,SettlementDate,AB114,,,Trigger)</f>
        <v>0.43888888888888888</v>
      </c>
      <c r="AD114" s="181">
        <f t="shared" si="16"/>
        <v>3.2718337541706487E-3</v>
      </c>
      <c r="AE114" s="181">
        <f t="shared" si="17"/>
        <v>3.2945354220719637E-3</v>
      </c>
      <c r="AF114" s="181">
        <f t="shared" si="18"/>
        <v>3.1094620209876321E-3</v>
      </c>
    </row>
    <row r="115" spans="9:32" x14ac:dyDescent="0.2">
      <c r="I115" s="154"/>
      <c r="J115" s="154"/>
      <c r="AB115" s="183">
        <f>_xll.qlCalendarAdvance(Calendar,AB114,"1d","mf",,Trigger)</f>
        <v>42269</v>
      </c>
      <c r="AC115" s="169">
        <f>_xll.qlDayCounterYearFraction(DayCounter,SettlementDate,AB115,,,Trigger)</f>
        <v>0.44166666666666665</v>
      </c>
      <c r="AD115" s="181">
        <f t="shared" si="16"/>
        <v>3.2718337541706487E-3</v>
      </c>
      <c r="AE115" s="181">
        <f t="shared" si="17"/>
        <v>3.2936622809988363E-3</v>
      </c>
      <c r="AF115" s="181">
        <f t="shared" si="18"/>
        <v>3.1054007978739903E-3</v>
      </c>
    </row>
    <row r="116" spans="9:32" x14ac:dyDescent="0.2">
      <c r="I116" s="154"/>
      <c r="J116" s="154"/>
      <c r="AB116" s="183">
        <f>_xll.qlCalendarAdvance(Calendar,AB115,"1d","mf",,Trigger)</f>
        <v>42270</v>
      </c>
      <c r="AC116" s="169">
        <f>_xll.qlDayCounterYearFraction(DayCounter,SettlementDate,AB116,,,Trigger)</f>
        <v>0.44444444444444442</v>
      </c>
      <c r="AD116" s="181">
        <f t="shared" si="16"/>
        <v>3.2718337541706487E-3</v>
      </c>
      <c r="AE116" s="181">
        <f t="shared" si="17"/>
        <v>3.292789139925709E-3</v>
      </c>
      <c r="AF116" s="181">
        <f t="shared" si="18"/>
        <v>3.1013844773242994E-3</v>
      </c>
    </row>
    <row r="117" spans="9:32" x14ac:dyDescent="0.2">
      <c r="I117" s="154"/>
      <c r="J117" s="154"/>
      <c r="AB117" s="183">
        <f>_xll.qlCalendarAdvance(Calendar,AB116,"1d","mf",,Trigger)</f>
        <v>42271</v>
      </c>
      <c r="AC117" s="169">
        <f>_xll.qlDayCounterYearFraction(DayCounter,SettlementDate,AB117,,,Trigger)</f>
        <v>0.44722222222222224</v>
      </c>
      <c r="AD117" s="181">
        <f t="shared" si="16"/>
        <v>3.2718337541706487E-3</v>
      </c>
      <c r="AE117" s="181">
        <f t="shared" si="17"/>
        <v>3.2919159988525812E-3</v>
      </c>
      <c r="AF117" s="181">
        <f t="shared" si="18"/>
        <v>3.0974130593385586E-3</v>
      </c>
    </row>
    <row r="118" spans="9:32" x14ac:dyDescent="0.2">
      <c r="I118" s="154"/>
      <c r="J118" s="154"/>
      <c r="AB118" s="183">
        <f>_xll.qlCalendarAdvance(Calendar,AB117,"1d","mf",,Trigger)</f>
        <v>42272</v>
      </c>
      <c r="AC118" s="169">
        <f>_xll.qlDayCounterYearFraction(DayCounter,SettlementDate,AB118,,,Trigger)</f>
        <v>0.45</v>
      </c>
      <c r="AD118" s="181">
        <f t="shared" si="16"/>
        <v>3.2718337541706487E-3</v>
      </c>
      <c r="AE118" s="181">
        <f t="shared" si="17"/>
        <v>3.2910428577794539E-3</v>
      </c>
      <c r="AF118" s="181">
        <f t="shared" si="18"/>
        <v>3.0934865439167696E-3</v>
      </c>
    </row>
    <row r="119" spans="9:32" x14ac:dyDescent="0.2">
      <c r="I119" s="154"/>
      <c r="J119" s="154"/>
      <c r="AB119" s="183">
        <f>_xll.qlCalendarAdvance(Calendar,AB118,"1d","mf",,Trigger)</f>
        <v>42275</v>
      </c>
      <c r="AC119" s="169">
        <f>_xll.qlDayCounterYearFraction(DayCounter,SettlementDate,AB119,,,Trigger)</f>
        <v>0.45833333333333331</v>
      </c>
      <c r="AD119" s="181">
        <f t="shared" si="16"/>
        <v>3.2718337541706487E-3</v>
      </c>
      <c r="AE119" s="181">
        <f t="shared" si="17"/>
        <v>3.2884234345600715E-3</v>
      </c>
      <c r="AF119" s="181">
        <f t="shared" si="18"/>
        <v>3.0819764130351071E-3</v>
      </c>
    </row>
    <row r="120" spans="9:32" x14ac:dyDescent="0.2">
      <c r="I120" s="154"/>
      <c r="J120" s="154"/>
      <c r="AB120" s="183">
        <f>_xll.qlCalendarAdvance(Calendar,AB119,"1d","mf",,Trigger)</f>
        <v>42276</v>
      </c>
      <c r="AC120" s="169">
        <f>_xll.qlDayCounterYearFraction(DayCounter,SettlementDate,AB120,,,Trigger)</f>
        <v>0.46111111111111114</v>
      </c>
      <c r="AD120" s="181">
        <f t="shared" si="16"/>
        <v>3.2718337541706487E-3</v>
      </c>
      <c r="AE120" s="181">
        <f t="shared" si="17"/>
        <v>3.2875502934869437E-3</v>
      </c>
      <c r="AF120" s="181">
        <f t="shared" si="18"/>
        <v>3.0782295078691214E-3</v>
      </c>
    </row>
    <row r="121" spans="9:32" x14ac:dyDescent="0.2">
      <c r="I121" s="154"/>
      <c r="J121" s="154"/>
      <c r="AB121" s="183">
        <f>_xll.qlCalendarAdvance(Calendar,AB120,"1d","mf",,Trigger)</f>
        <v>42277</v>
      </c>
      <c r="AC121" s="169">
        <f>_xll.qlDayCounterYearFraction(DayCounter,SettlementDate,AB121,,,Trigger)</f>
        <v>0.46388888888888891</v>
      </c>
      <c r="AD121" s="181">
        <f t="shared" si="16"/>
        <v>3.2718337541706487E-3</v>
      </c>
      <c r="AE121" s="181">
        <f t="shared" si="17"/>
        <v>3.2866771524138164E-3</v>
      </c>
      <c r="AF121" s="181">
        <f t="shared" si="18"/>
        <v>3.0745275052670865E-3</v>
      </c>
    </row>
    <row r="122" spans="9:32" x14ac:dyDescent="0.2">
      <c r="I122" s="155"/>
      <c r="J122" s="154"/>
      <c r="AB122" s="183">
        <f>_xll.qlCalendarAdvance(Calendar,AB121,"1d","mf",,Trigger)</f>
        <v>42278</v>
      </c>
      <c r="AC122" s="169">
        <f>_xll.qlDayCounterYearFraction(DayCounter,SettlementDate,AB122,,,Trigger)</f>
        <v>0.46666666666666667</v>
      </c>
      <c r="AD122" s="181">
        <f t="shared" si="16"/>
        <v>3.2718337541706487E-3</v>
      </c>
      <c r="AE122" s="181">
        <f t="shared" si="17"/>
        <v>3.2858040113406886E-3</v>
      </c>
      <c r="AF122" s="181">
        <f t="shared" si="18"/>
        <v>3.070870405229003E-3</v>
      </c>
    </row>
    <row r="123" spans="9:32" x14ac:dyDescent="0.2">
      <c r="I123" s="155"/>
      <c r="J123" s="154"/>
      <c r="AB123" s="183">
        <f>_xll.qlCalendarAdvance(Calendar,AB122,"1d","mf",,Trigger)</f>
        <v>42279</v>
      </c>
      <c r="AC123" s="169">
        <f>_xll.qlDayCounterYearFraction(DayCounter,SettlementDate,AB123,,,Trigger)</f>
        <v>0.46944444444444444</v>
      </c>
      <c r="AD123" s="181">
        <f t="shared" si="16"/>
        <v>3.2718337541706487E-3</v>
      </c>
      <c r="AE123" s="181">
        <f t="shared" si="17"/>
        <v>3.2849308702675613E-3</v>
      </c>
      <c r="AF123" s="181">
        <f t="shared" si="18"/>
        <v>3.06725820775487E-3</v>
      </c>
    </row>
    <row r="124" spans="9:32" x14ac:dyDescent="0.2">
      <c r="I124" s="155"/>
      <c r="J124" s="154"/>
      <c r="AB124" s="183">
        <f>_xll.qlCalendarAdvance(Calendar,AB123,"1d","mf",,Trigger)</f>
        <v>42282</v>
      </c>
      <c r="AC124" s="169">
        <f>_xll.qlDayCounterYearFraction(DayCounter,SettlementDate,AB124,,,Trigger)</f>
        <v>0.4777777777777778</v>
      </c>
      <c r="AD124" s="181">
        <f t="shared" si="16"/>
        <v>3.2718337541706487E-3</v>
      </c>
      <c r="AE124" s="181">
        <f t="shared" si="17"/>
        <v>3.2823114470481789E-3</v>
      </c>
      <c r="AF124" s="181">
        <f t="shared" si="18"/>
        <v>3.0566910307161764E-3</v>
      </c>
    </row>
    <row r="125" spans="9:32" x14ac:dyDescent="0.2">
      <c r="I125" s="155"/>
      <c r="J125" s="154"/>
      <c r="AB125" s="183">
        <f>_xll.qlCalendarAdvance(Calendar,AB124,"1d","mf",,Trigger)</f>
        <v>42283</v>
      </c>
      <c r="AC125" s="169">
        <f>_xll.qlDayCounterYearFraction(DayCounter,SettlementDate,AB125,,,Trigger)</f>
        <v>0.48055555555555557</v>
      </c>
      <c r="AD125" s="181">
        <f t="shared" si="16"/>
        <v>3.2718337541706487E-3</v>
      </c>
      <c r="AE125" s="181">
        <f t="shared" si="17"/>
        <v>3.2814383059750515E-3</v>
      </c>
      <c r="AF125" s="181">
        <f t="shared" si="18"/>
        <v>3.0532584434978475E-3</v>
      </c>
    </row>
    <row r="126" spans="9:32" x14ac:dyDescent="0.2">
      <c r="I126" s="155"/>
      <c r="J126" s="154"/>
      <c r="AB126" s="183">
        <f>_xll.qlCalendarAdvance(Calendar,AB125,"1d","mf",,Trigger)</f>
        <v>42284</v>
      </c>
      <c r="AC126" s="169">
        <f>_xll.qlDayCounterYearFraction(DayCounter,SettlementDate,AB126,,,Trigger)</f>
        <v>0.48333333333333334</v>
      </c>
      <c r="AD126" s="181">
        <f t="shared" si="16"/>
        <v>3.2718337541706487E-3</v>
      </c>
      <c r="AE126" s="181">
        <f t="shared" si="17"/>
        <v>3.2805651649019238E-3</v>
      </c>
      <c r="AF126" s="181">
        <f t="shared" si="18"/>
        <v>3.0498707588434686E-3</v>
      </c>
    </row>
    <row r="127" spans="9:32" x14ac:dyDescent="0.2">
      <c r="I127" s="155"/>
      <c r="J127" s="154"/>
      <c r="AB127" s="183">
        <f>_xll.qlCalendarAdvance(Calendar,AB126,"1d","mf",,Trigger)</f>
        <v>42285</v>
      </c>
      <c r="AC127" s="169">
        <f>_xll.qlDayCounterYearFraction(DayCounter,SettlementDate,AB127,,,Trigger)</f>
        <v>0.4861111111111111</v>
      </c>
      <c r="AD127" s="181">
        <f t="shared" si="16"/>
        <v>3.2718337541706487E-3</v>
      </c>
      <c r="AE127" s="181">
        <f t="shared" si="17"/>
        <v>3.2796920238287964E-3</v>
      </c>
      <c r="AF127" s="181">
        <f t="shared" si="18"/>
        <v>3.0465279767530416E-3</v>
      </c>
    </row>
    <row r="128" spans="9:32" x14ac:dyDescent="0.2">
      <c r="I128" s="155"/>
      <c r="J128" s="155"/>
      <c r="AB128" s="183">
        <f>_xll.qlCalendarAdvance(Calendar,AB127,"1d","mf",,Trigger)</f>
        <v>42286</v>
      </c>
      <c r="AC128" s="169">
        <f>_xll.qlDayCounterYearFraction(DayCounter,SettlementDate,AB128,,,Trigger)</f>
        <v>0.48888888888888887</v>
      </c>
      <c r="AD128" s="181">
        <f t="shared" si="16"/>
        <v>3.2718337541706487E-3</v>
      </c>
      <c r="AE128" s="181">
        <f t="shared" si="17"/>
        <v>3.2788188827556691E-3</v>
      </c>
      <c r="AF128" s="181">
        <f t="shared" si="18"/>
        <v>3.0432300972265645E-3</v>
      </c>
    </row>
    <row r="129" spans="9:32" x14ac:dyDescent="0.2">
      <c r="I129" s="155"/>
      <c r="J129" s="155"/>
      <c r="AB129" s="183">
        <f>_xll.qlCalendarAdvance(Calendar,AB128,"1d","mf",,Trigger)</f>
        <v>42289</v>
      </c>
      <c r="AC129" s="169">
        <f>_xll.qlDayCounterYearFraction(DayCounter,SettlementDate,AB129,,,Trigger)</f>
        <v>0.49722222222222223</v>
      </c>
      <c r="AD129" s="181">
        <f t="shared" si="16"/>
        <v>3.2718337541706487E-3</v>
      </c>
      <c r="AE129" s="181">
        <f t="shared" si="17"/>
        <v>3.2761994595362862E-3</v>
      </c>
      <c r="AF129" s="181">
        <f t="shared" si="18"/>
        <v>3.0336058740308403E-3</v>
      </c>
    </row>
    <row r="130" spans="9:32" x14ac:dyDescent="0.2">
      <c r="I130" s="155"/>
      <c r="J130" s="155"/>
      <c r="AB130" s="183">
        <f>_xll.qlCalendarAdvance(Calendar,AB129,"1d","mf",,Trigger)</f>
        <v>42290</v>
      </c>
      <c r="AC130" s="169">
        <f>_xll.qlDayCounterYearFraction(DayCounter,SettlementDate,AB130,,,Trigger)</f>
        <v>0.5</v>
      </c>
      <c r="AD130" s="181">
        <f t="shared" si="16"/>
        <v>3.2718337541706487E-3</v>
      </c>
      <c r="AE130" s="181">
        <f t="shared" si="17"/>
        <v>3.2753263184631589E-3</v>
      </c>
      <c r="AF130" s="181">
        <f t="shared" si="18"/>
        <v>3.0304876047601674E-3</v>
      </c>
    </row>
    <row r="131" spans="9:32" x14ac:dyDescent="0.2">
      <c r="I131" s="155"/>
      <c r="J131" s="155"/>
      <c r="AB131" s="183">
        <f>_xll.qlCalendarAdvance(Calendar,AB130,"1d","mf",,Trigger)</f>
        <v>42291</v>
      </c>
      <c r="AC131" s="169">
        <f>_xll.qlDayCounterYearFraction(DayCounter,SettlementDate,AB131,,,Trigger)</f>
        <v>0.50277777777777777</v>
      </c>
      <c r="AD131" s="181">
        <f t="shared" ref="AD131:AD194" si="19">$S$13</f>
        <v>3.2718337541706487E-3</v>
      </c>
      <c r="AE131" s="181">
        <f t="shared" si="17"/>
        <v>3.2744531773900316E-3</v>
      </c>
      <c r="AF131" s="181">
        <f t="shared" si="18"/>
        <v>3.0274142380534454E-3</v>
      </c>
    </row>
    <row r="132" spans="9:32" x14ac:dyDescent="0.2">
      <c r="I132" s="155"/>
      <c r="J132" s="155"/>
      <c r="AB132" s="183">
        <f>_xll.qlCalendarAdvance(Calendar,AB131,"1d","mf",,Trigger)</f>
        <v>42292</v>
      </c>
      <c r="AC132" s="169">
        <f>_xll.qlDayCounterYearFraction(DayCounter,SettlementDate,AB132,,,Trigger)</f>
        <v>0.50555555555555554</v>
      </c>
      <c r="AD132" s="181">
        <f t="shared" si="19"/>
        <v>3.2718337541706487E-3</v>
      </c>
      <c r="AE132" s="181">
        <f t="shared" si="17"/>
        <v>3.2735800363169038E-3</v>
      </c>
      <c r="AF132" s="181">
        <f t="shared" si="18"/>
        <v>3.0243857739106744E-3</v>
      </c>
    </row>
    <row r="133" spans="9:32" x14ac:dyDescent="0.2">
      <c r="I133" s="155"/>
      <c r="J133" s="155"/>
      <c r="AB133" s="183">
        <f>_xll.qlCalendarAdvance(Calendar,AB132,"1d","mf",,Trigger)</f>
        <v>42293</v>
      </c>
      <c r="AC133" s="169">
        <f>_xll.qlDayCounterYearFraction(DayCounter,SettlementDate,AB133,,,Trigger)</f>
        <v>0.5083333333333333</v>
      </c>
      <c r="AD133" s="181">
        <f t="shared" si="19"/>
        <v>3.2718337541706487E-3</v>
      </c>
      <c r="AE133" s="181">
        <f t="shared" si="17"/>
        <v>3.2727068952437765E-3</v>
      </c>
      <c r="AF133" s="181">
        <f t="shared" si="18"/>
        <v>3.0214022123318538E-3</v>
      </c>
    </row>
    <row r="134" spans="9:32" x14ac:dyDescent="0.2">
      <c r="I134" s="155"/>
      <c r="J134" s="155"/>
      <c r="AB134" s="183">
        <f>_xll.qlCalendarAdvance(Calendar,AB133,"1d","mf",,Trigger)</f>
        <v>42296</v>
      </c>
      <c r="AC134" s="169">
        <f>_xll.qlDayCounterYearFraction(DayCounter,SettlementDate,AB134,,,Trigger)</f>
        <v>0.51666666666666672</v>
      </c>
      <c r="AD134" s="181">
        <f t="shared" si="19"/>
        <v>3.2718337541706487E-3</v>
      </c>
      <c r="AE134" s="181">
        <f t="shared" si="17"/>
        <v>3.270087472024394E-3</v>
      </c>
      <c r="AF134" s="181">
        <f t="shared" si="18"/>
        <v>3.0127209429790989E-3</v>
      </c>
    </row>
    <row r="135" spans="9:32" x14ac:dyDescent="0.2">
      <c r="I135" s="155"/>
      <c r="J135" s="155"/>
      <c r="AB135" s="183">
        <f>_xll.qlCalendarAdvance(Calendar,AB134,"1d","mf",,Trigger)</f>
        <v>42297</v>
      </c>
      <c r="AC135" s="169">
        <f>_xll.qlDayCounterYearFraction(DayCounter,SettlementDate,AB135,,,Trigger)</f>
        <v>0.51944444444444449</v>
      </c>
      <c r="AD135" s="181">
        <f t="shared" si="19"/>
        <v>3.2718337541706487E-3</v>
      </c>
      <c r="AE135" s="181">
        <f t="shared" si="17"/>
        <v>3.2692143309512663E-3</v>
      </c>
      <c r="AF135" s="181">
        <f t="shared" si="18"/>
        <v>3.0099169916560824E-3</v>
      </c>
    </row>
    <row r="136" spans="9:32" x14ac:dyDescent="0.2">
      <c r="I136" s="155"/>
      <c r="J136" s="155"/>
      <c r="AB136" s="183">
        <f>_xll.qlCalendarAdvance(Calendar,AB135,"1d","mf",,Trigger)</f>
        <v>42298</v>
      </c>
      <c r="AC136" s="169">
        <f>_xll.qlDayCounterYearFraction(DayCounter,SettlementDate,AB136,,,Trigger)</f>
        <v>0.52222222222222225</v>
      </c>
      <c r="AD136" s="181">
        <f t="shared" si="19"/>
        <v>3.2718337541706487E-3</v>
      </c>
      <c r="AE136" s="181">
        <f t="shared" si="17"/>
        <v>3.2683411898781389E-3</v>
      </c>
      <c r="AF136" s="181">
        <f t="shared" si="18"/>
        <v>3.0071579428970164E-3</v>
      </c>
    </row>
    <row r="137" spans="9:32" x14ac:dyDescent="0.2">
      <c r="I137" s="155"/>
      <c r="J137" s="155"/>
      <c r="AB137" s="183">
        <f>_xll.qlCalendarAdvance(Calendar,AB136,"1d","mf",,Trigger)</f>
        <v>42299</v>
      </c>
      <c r="AC137" s="169">
        <f>_xll.qlDayCounterYearFraction(DayCounter,SettlementDate,AB137,,,Trigger)</f>
        <v>0.52500000000000002</v>
      </c>
      <c r="AD137" s="181">
        <f t="shared" si="19"/>
        <v>3.2718337541706487E-3</v>
      </c>
      <c r="AE137" s="181">
        <f t="shared" si="17"/>
        <v>3.2674680488050116E-3</v>
      </c>
      <c r="AF137" s="181">
        <f t="shared" si="18"/>
        <v>3.0044437967019014E-3</v>
      </c>
    </row>
    <row r="138" spans="9:32" x14ac:dyDescent="0.2">
      <c r="J138" s="155"/>
      <c r="AB138" s="183">
        <f>_xll.qlCalendarAdvance(Calendar,AB137,"1d","mf",,Trigger)</f>
        <v>42300</v>
      </c>
      <c r="AC138" s="169">
        <f>_xll.qlDayCounterYearFraction(DayCounter,SettlementDate,AB138,,,Trigger)</f>
        <v>0.52777777777777779</v>
      </c>
      <c r="AD138" s="181">
        <f t="shared" si="19"/>
        <v>3.2718337541706487E-3</v>
      </c>
      <c r="AE138" s="181">
        <f t="shared" si="17"/>
        <v>3.2665949077318839E-3</v>
      </c>
      <c r="AF138" s="181">
        <f t="shared" si="18"/>
        <v>3.0017745530707377E-3</v>
      </c>
    </row>
    <row r="139" spans="9:32" x14ac:dyDescent="0.2">
      <c r="J139" s="155"/>
      <c r="AB139" s="183">
        <f>_xll.qlCalendarAdvance(Calendar,AB138,"1d","mf",,Trigger)</f>
        <v>42303</v>
      </c>
      <c r="AC139" s="169">
        <f>_xll.qlDayCounterYearFraction(DayCounter,SettlementDate,AB139,,,Trigger)</f>
        <v>0.53611111111111109</v>
      </c>
      <c r="AD139" s="181">
        <f t="shared" si="19"/>
        <v>3.2718337541706487E-3</v>
      </c>
      <c r="AE139" s="181">
        <f t="shared" si="17"/>
        <v>3.2639754845125014E-3</v>
      </c>
      <c r="AF139" s="181">
        <f t="shared" si="18"/>
        <v>2.9940362375609512E-3</v>
      </c>
    </row>
    <row r="140" spans="9:32" x14ac:dyDescent="0.2">
      <c r="J140" s="155"/>
      <c r="AB140" s="183">
        <f>_xll.qlCalendarAdvance(Calendar,AB139,"1d","mf",,Trigger)</f>
        <v>42304</v>
      </c>
      <c r="AC140" s="169">
        <f>_xll.qlDayCounterYearFraction(DayCounter,SettlementDate,AB140,,,Trigger)</f>
        <v>0.53888888888888886</v>
      </c>
      <c r="AD140" s="181">
        <f t="shared" si="19"/>
        <v>3.2718337541706487E-3</v>
      </c>
      <c r="AE140" s="181">
        <f t="shared" si="17"/>
        <v>3.2631023434393741E-3</v>
      </c>
      <c r="AF140" s="181">
        <f t="shared" si="18"/>
        <v>2.9915466041855912E-3</v>
      </c>
    </row>
    <row r="141" spans="9:32" x14ac:dyDescent="0.2">
      <c r="J141" s="155"/>
      <c r="AB141" s="183">
        <f>_xll.qlCalendarAdvance(Calendar,AB140,"1d","mf",,Trigger)</f>
        <v>42305</v>
      </c>
      <c r="AC141" s="169">
        <f>_xll.qlDayCounterYearFraction(DayCounter,SettlementDate,AB141,,,Trigger)</f>
        <v>0.54166666666666663</v>
      </c>
      <c r="AD141" s="181">
        <f t="shared" si="19"/>
        <v>3.2718337541706487E-3</v>
      </c>
      <c r="AE141" s="181">
        <f t="shared" si="17"/>
        <v>3.2622292023662463E-3</v>
      </c>
      <c r="AF141" s="181">
        <f t="shared" si="18"/>
        <v>2.9891018733741821E-3</v>
      </c>
    </row>
    <row r="142" spans="9:32" x14ac:dyDescent="0.2">
      <c r="J142" s="155"/>
      <c r="AB142" s="183">
        <f>_xll.qlCalendarAdvance(Calendar,AB141,"1d","mf",,Trigger)</f>
        <v>42306</v>
      </c>
      <c r="AC142" s="169">
        <f>_xll.qlDayCounterYearFraction(DayCounter,SettlementDate,AB142,,,Trigger)</f>
        <v>0.5444444444444444</v>
      </c>
      <c r="AD142" s="181">
        <f t="shared" si="19"/>
        <v>3.2718337541706487E-3</v>
      </c>
      <c r="AE142" s="181">
        <f t="shared" si="17"/>
        <v>3.261356061293119E-3</v>
      </c>
      <c r="AF142" s="181">
        <f t="shared" si="18"/>
        <v>2.9867020451267239E-3</v>
      </c>
    </row>
    <row r="143" spans="9:32" x14ac:dyDescent="0.2">
      <c r="J143" s="155"/>
      <c r="AB143" s="183">
        <f>_xll.qlCalendarAdvance(Calendar,AB142,"1d","mf",,Trigger)</f>
        <v>42307</v>
      </c>
      <c r="AC143" s="169">
        <f>_xll.qlDayCounterYearFraction(DayCounter,SettlementDate,AB143,,,Trigger)</f>
        <v>0.54722222222222228</v>
      </c>
      <c r="AD143" s="181">
        <f t="shared" si="19"/>
        <v>3.2718337541706487E-3</v>
      </c>
      <c r="AE143" s="181">
        <f t="shared" si="17"/>
        <v>3.2604829202199917E-3</v>
      </c>
      <c r="AF143" s="181">
        <f t="shared" si="18"/>
        <v>2.9843471194432162E-3</v>
      </c>
    </row>
    <row r="144" spans="9:32" x14ac:dyDescent="0.2">
      <c r="AB144" s="183">
        <f>_xll.qlCalendarAdvance(Calendar,AB143,"1d","mf",,Trigger)</f>
        <v>42310</v>
      </c>
      <c r="AC144" s="169">
        <f>_xll.qlDayCounterYearFraction(DayCounter,SettlementDate,AB144,,,Trigger)</f>
        <v>0.55555555555555558</v>
      </c>
      <c r="AD144" s="181">
        <f t="shared" si="19"/>
        <v>3.2718337541706487E-3</v>
      </c>
      <c r="AE144" s="181">
        <f t="shared" si="17"/>
        <v>3.2578634970006088E-3</v>
      </c>
      <c r="AF144" s="181">
        <f t="shared" si="18"/>
        <v>2.9775517577763991E-3</v>
      </c>
    </row>
    <row r="145" spans="28:32" x14ac:dyDescent="0.2">
      <c r="AB145" s="183">
        <f>_xll.qlCalendarAdvance(Calendar,AB144,"1d","mf",,Trigger)</f>
        <v>42311</v>
      </c>
      <c r="AC145" s="169">
        <f>_xll.qlDayCounterYearFraction(DayCounter,SettlementDate,AB145,,,Trigger)</f>
        <v>0.55833333333333335</v>
      </c>
      <c r="AD145" s="181">
        <f t="shared" si="19"/>
        <v>3.2718337541706487E-3</v>
      </c>
      <c r="AE145" s="181">
        <f t="shared" si="17"/>
        <v>3.2569903559274815E-3</v>
      </c>
      <c r="AF145" s="181">
        <f t="shared" si="18"/>
        <v>2.9753764423486951E-3</v>
      </c>
    </row>
    <row r="146" spans="28:32" x14ac:dyDescent="0.2">
      <c r="AB146" s="183">
        <f>_xll.qlCalendarAdvance(Calendar,AB145,"1d","mf",,Trigger)</f>
        <v>42312</v>
      </c>
      <c r="AC146" s="169">
        <f>_xll.qlDayCounterYearFraction(DayCounter,SettlementDate,AB146,,,Trigger)</f>
        <v>0.56111111111111112</v>
      </c>
      <c r="AD146" s="181">
        <f t="shared" si="19"/>
        <v>3.2718337541706487E-3</v>
      </c>
      <c r="AE146" s="181">
        <f t="shared" ref="AE146:AE187" si="20">$S$10+$S$9*AC146</f>
        <v>3.2561172148543541E-3</v>
      </c>
      <c r="AF146" s="181">
        <f t="shared" ref="AF146:AF187" si="21">($S$5+$S$4*AC146+$S$3*AC146^2)</f>
        <v>2.9732460294849424E-3</v>
      </c>
    </row>
    <row r="147" spans="28:32" x14ac:dyDescent="0.2">
      <c r="AB147" s="183">
        <f>_xll.qlCalendarAdvance(Calendar,AB146,"1d","mf",,Trigger)</f>
        <v>42313</v>
      </c>
      <c r="AC147" s="169">
        <f>_xll.qlDayCounterYearFraction(DayCounter,SettlementDate,AB147,,,Trigger)</f>
        <v>0.56388888888888888</v>
      </c>
      <c r="AD147" s="181">
        <f t="shared" si="19"/>
        <v>3.2718337541706487E-3</v>
      </c>
      <c r="AE147" s="181">
        <f t="shared" si="20"/>
        <v>3.2552440737812264E-3</v>
      </c>
      <c r="AF147" s="181">
        <f t="shared" si="21"/>
        <v>2.9711605191851398E-3</v>
      </c>
    </row>
    <row r="148" spans="28:32" x14ac:dyDescent="0.2">
      <c r="AB148" s="183">
        <f>_xll.qlCalendarAdvance(Calendar,AB147,"1d","mf",,Trigger)</f>
        <v>42314</v>
      </c>
      <c r="AC148" s="169">
        <f>_xll.qlDayCounterYearFraction(DayCounter,SettlementDate,AB148,,,Trigger)</f>
        <v>0.56666666666666665</v>
      </c>
      <c r="AD148" s="181">
        <f t="shared" si="19"/>
        <v>3.2718337541706487E-3</v>
      </c>
      <c r="AE148" s="181">
        <f t="shared" si="20"/>
        <v>3.254370932708099E-3</v>
      </c>
      <c r="AF148" s="181">
        <f t="shared" si="21"/>
        <v>2.969119911449289E-3</v>
      </c>
    </row>
    <row r="149" spans="28:32" x14ac:dyDescent="0.2">
      <c r="AB149" s="183">
        <f>_xll.qlCalendarAdvance(Calendar,AB148,"1d","mf",,Trigger)</f>
        <v>42317</v>
      </c>
      <c r="AC149" s="169">
        <f>_xll.qlDayCounterYearFraction(DayCounter,SettlementDate,AB149,,,Trigger)</f>
        <v>0.57499999999999996</v>
      </c>
      <c r="AD149" s="181">
        <f t="shared" si="19"/>
        <v>3.2718337541706487E-3</v>
      </c>
      <c r="AE149" s="181">
        <f t="shared" si="20"/>
        <v>3.2517515094887166E-3</v>
      </c>
      <c r="AF149" s="181">
        <f t="shared" si="21"/>
        <v>2.9632675036254412E-3</v>
      </c>
    </row>
    <row r="150" spans="28:32" x14ac:dyDescent="0.2">
      <c r="AB150" s="183">
        <f>_xll.qlCalendarAdvance(Calendar,AB149,"1d","mf",,Trigger)</f>
        <v>42318</v>
      </c>
      <c r="AC150" s="169">
        <f>_xll.qlDayCounterYearFraction(DayCounter,SettlementDate,AB150,,,Trigger)</f>
        <v>0.57777777777777772</v>
      </c>
      <c r="AD150" s="181">
        <f t="shared" si="19"/>
        <v>3.2718337541706487E-3</v>
      </c>
      <c r="AE150" s="181">
        <f t="shared" si="20"/>
        <v>3.2508783684155888E-3</v>
      </c>
      <c r="AF150" s="181">
        <f t="shared" si="21"/>
        <v>2.9614065061453936E-3</v>
      </c>
    </row>
    <row r="151" spans="28:32" x14ac:dyDescent="0.2">
      <c r="AB151" s="183">
        <f>_xll.qlCalendarAdvance(Calendar,AB150,"1d","mf",,Trigger)</f>
        <v>42319</v>
      </c>
      <c r="AC151" s="169">
        <f>_xll.qlDayCounterYearFraction(DayCounter,SettlementDate,AB151,,,Trigger)</f>
        <v>0.5805555555555556</v>
      </c>
      <c r="AD151" s="181">
        <f t="shared" si="19"/>
        <v>3.2718337541706487E-3</v>
      </c>
      <c r="AE151" s="181">
        <f t="shared" si="20"/>
        <v>3.2500052273424615E-3</v>
      </c>
      <c r="AF151" s="181">
        <f t="shared" si="21"/>
        <v>2.9595904112292969E-3</v>
      </c>
    </row>
    <row r="152" spans="28:32" x14ac:dyDescent="0.2">
      <c r="AB152" s="183">
        <f>_xll.qlCalendarAdvance(Calendar,AB151,"1d","mf",,Trigger)</f>
        <v>42320</v>
      </c>
      <c r="AC152" s="169">
        <f>_xll.qlDayCounterYearFraction(DayCounter,SettlementDate,AB152,,,Trigger)</f>
        <v>0.58333333333333337</v>
      </c>
      <c r="AD152" s="181">
        <f t="shared" si="19"/>
        <v>3.2718337541706487E-3</v>
      </c>
      <c r="AE152" s="181">
        <f t="shared" si="20"/>
        <v>3.2491320862693342E-3</v>
      </c>
      <c r="AF152" s="181">
        <f t="shared" si="21"/>
        <v>2.9578192188771512E-3</v>
      </c>
    </row>
    <row r="153" spans="28:32" x14ac:dyDescent="0.2">
      <c r="AB153" s="183">
        <f>_xll.qlCalendarAdvance(Calendar,AB152,"1d","mf",,Trigger)</f>
        <v>42321</v>
      </c>
      <c r="AC153" s="169">
        <f>_xll.qlDayCounterYearFraction(DayCounter,SettlementDate,AB153,,,Trigger)</f>
        <v>0.58611111111111114</v>
      </c>
      <c r="AD153" s="181">
        <f t="shared" si="19"/>
        <v>3.2718337541706487E-3</v>
      </c>
      <c r="AE153" s="181">
        <f t="shared" si="20"/>
        <v>3.2482589451962064E-3</v>
      </c>
      <c r="AF153" s="181">
        <f t="shared" si="21"/>
        <v>2.9560929290889564E-3</v>
      </c>
    </row>
    <row r="154" spans="28:32" x14ac:dyDescent="0.2">
      <c r="AB154" s="183">
        <f>_xll.qlCalendarAdvance(Calendar,AB153,"1d","mf",,Trigger)</f>
        <v>42324</v>
      </c>
      <c r="AC154" s="169">
        <f>_xll.qlDayCounterYearFraction(DayCounter,SettlementDate,AB154,,,Trigger)</f>
        <v>0.59444444444444444</v>
      </c>
      <c r="AD154" s="181">
        <f t="shared" si="19"/>
        <v>3.2718337541706487E-3</v>
      </c>
      <c r="AE154" s="181">
        <f t="shared" si="20"/>
        <v>3.245639521976824E-3</v>
      </c>
      <c r="AF154" s="181">
        <f t="shared" si="21"/>
        <v>2.9511834751080775E-3</v>
      </c>
    </row>
    <row r="155" spans="28:32" x14ac:dyDescent="0.2">
      <c r="AB155" s="183">
        <f>_xll.qlCalendarAdvance(Calendar,AB154,"1d","mf",,Trigger)</f>
        <v>42325</v>
      </c>
      <c r="AC155" s="169">
        <f>_xll.qlDayCounterYearFraction(DayCounter,SettlementDate,AB155,,,Trigger)</f>
        <v>0.59722222222222221</v>
      </c>
      <c r="AD155" s="181">
        <f t="shared" si="19"/>
        <v>3.2718337541706487E-3</v>
      </c>
      <c r="AE155" s="181">
        <f t="shared" si="20"/>
        <v>3.2447663809036967E-3</v>
      </c>
      <c r="AF155" s="181">
        <f t="shared" si="21"/>
        <v>2.9496367955756863E-3</v>
      </c>
    </row>
    <row r="156" spans="28:32" x14ac:dyDescent="0.2">
      <c r="AB156" s="183">
        <f>_xll.qlCalendarAdvance(Calendar,AB155,"1d","mf",,Trigger)</f>
        <v>42326</v>
      </c>
      <c r="AC156" s="169">
        <f>_xll.qlDayCounterYearFraction(DayCounter,SettlementDate,AB156,,,Trigger)</f>
        <v>0.6</v>
      </c>
      <c r="AD156" s="181">
        <f t="shared" si="19"/>
        <v>3.2718337541706487E-3</v>
      </c>
      <c r="AE156" s="181">
        <f t="shared" si="20"/>
        <v>3.2438932398305689E-3</v>
      </c>
      <c r="AF156" s="181">
        <f t="shared" si="21"/>
        <v>2.9481350186072461E-3</v>
      </c>
    </row>
    <row r="157" spans="28:32" x14ac:dyDescent="0.2">
      <c r="AB157" s="183">
        <f>_xll.qlCalendarAdvance(Calendar,AB156,"1d","mf",,Trigger)</f>
        <v>42327</v>
      </c>
      <c r="AC157" s="169">
        <f>_xll.qlDayCounterYearFraction(DayCounter,SettlementDate,AB157,,,Trigger)</f>
        <v>0.60277777777777775</v>
      </c>
      <c r="AD157" s="181">
        <f t="shared" si="19"/>
        <v>3.2718337541706487E-3</v>
      </c>
      <c r="AE157" s="181">
        <f t="shared" si="20"/>
        <v>3.2430200987574416E-3</v>
      </c>
      <c r="AF157" s="181">
        <f t="shared" si="21"/>
        <v>2.9466781442027568E-3</v>
      </c>
    </row>
    <row r="158" spans="28:32" x14ac:dyDescent="0.2">
      <c r="AB158" s="183">
        <f>_xll.qlCalendarAdvance(Calendar,AB157,"1d","mf",,Trigger)</f>
        <v>42328</v>
      </c>
      <c r="AC158" s="169">
        <f>_xll.qlDayCounterYearFraction(DayCounter,SettlementDate,AB158,,,Trigger)</f>
        <v>0.60555555555555551</v>
      </c>
      <c r="AD158" s="181">
        <f t="shared" si="19"/>
        <v>3.2718337541706487E-3</v>
      </c>
      <c r="AE158" s="181">
        <f t="shared" si="20"/>
        <v>3.2421469576843142E-3</v>
      </c>
      <c r="AF158" s="181">
        <f t="shared" si="21"/>
        <v>2.945266172362218E-3</v>
      </c>
    </row>
    <row r="159" spans="28:32" x14ac:dyDescent="0.2">
      <c r="AB159" s="183">
        <f>_xll.qlCalendarAdvance(Calendar,AB158,"1d","mf",,Trigger)</f>
        <v>42331</v>
      </c>
      <c r="AC159" s="169">
        <f>_xll.qlDayCounterYearFraction(DayCounter,SettlementDate,AB159,,,Trigger)</f>
        <v>0.61388888888888893</v>
      </c>
      <c r="AD159" s="181">
        <f t="shared" si="19"/>
        <v>3.2718337541706487E-3</v>
      </c>
      <c r="AE159" s="181">
        <f t="shared" si="20"/>
        <v>3.2395275344649314E-3</v>
      </c>
      <c r="AF159" s="181">
        <f t="shared" si="21"/>
        <v>2.9412996722243084E-3</v>
      </c>
    </row>
    <row r="160" spans="28:32" x14ac:dyDescent="0.2">
      <c r="AB160" s="183">
        <f>_xll.qlCalendarAdvance(Calendar,AB159,"1d","mf",,Trigger)</f>
        <v>42332</v>
      </c>
      <c r="AC160" s="169">
        <f>_xll.qlDayCounterYearFraction(DayCounter,SettlementDate,AB160,,,Trigger)</f>
        <v>0.6166666666666667</v>
      </c>
      <c r="AD160" s="181">
        <f t="shared" si="19"/>
        <v>3.2718337541706487E-3</v>
      </c>
      <c r="AE160" s="181">
        <f t="shared" si="20"/>
        <v>3.238654393391804E-3</v>
      </c>
      <c r="AF160" s="181">
        <f t="shared" si="21"/>
        <v>2.9400673106395737E-3</v>
      </c>
    </row>
    <row r="161" spans="28:32" x14ac:dyDescent="0.2">
      <c r="AB161" s="183">
        <f>_xll.qlCalendarAdvance(Calendar,AB160,"1d","mf",,Trigger)</f>
        <v>42333</v>
      </c>
      <c r="AC161" s="169">
        <f>_xll.qlDayCounterYearFraction(DayCounter,SettlementDate,AB161,,,Trigger)</f>
        <v>0.61944444444444446</v>
      </c>
      <c r="AD161" s="181">
        <f t="shared" si="19"/>
        <v>3.2718337541706487E-3</v>
      </c>
      <c r="AE161" s="181">
        <f t="shared" si="20"/>
        <v>3.2377812523186767E-3</v>
      </c>
      <c r="AF161" s="181">
        <f t="shared" si="21"/>
        <v>2.9388798516187895E-3</v>
      </c>
    </row>
    <row r="162" spans="28:32" x14ac:dyDescent="0.2">
      <c r="AB162" s="183">
        <f>_xll.qlCalendarAdvance(Calendar,AB161,"1d","mf",,Trigger)</f>
        <v>42334</v>
      </c>
      <c r="AC162" s="169">
        <f>_xll.qlDayCounterYearFraction(DayCounter,SettlementDate,AB162,,,Trigger)</f>
        <v>0.62222222222222223</v>
      </c>
      <c r="AD162" s="181">
        <f t="shared" si="19"/>
        <v>3.2718337541706487E-3</v>
      </c>
      <c r="AE162" s="181">
        <f t="shared" si="20"/>
        <v>3.2369081112455489E-3</v>
      </c>
      <c r="AF162" s="181">
        <f t="shared" si="21"/>
        <v>2.9377372951619567E-3</v>
      </c>
    </row>
    <row r="163" spans="28:32" x14ac:dyDescent="0.2">
      <c r="AB163" s="183">
        <f>_xll.qlCalendarAdvance(Calendar,AB162,"1d","mf",,Trigger)</f>
        <v>42335</v>
      </c>
      <c r="AC163" s="169">
        <f>_xll.qlDayCounterYearFraction(DayCounter,SettlementDate,AB163,,,Trigger)</f>
        <v>0.625</v>
      </c>
      <c r="AD163" s="181">
        <f t="shared" si="19"/>
        <v>3.2718337541706487E-3</v>
      </c>
      <c r="AE163" s="181">
        <f t="shared" si="20"/>
        <v>3.2360349701724216E-3</v>
      </c>
      <c r="AF163" s="181">
        <f t="shared" si="21"/>
        <v>2.9366396412690747E-3</v>
      </c>
    </row>
    <row r="164" spans="28:32" x14ac:dyDescent="0.2">
      <c r="AB164" s="183">
        <f>_xll.qlCalendarAdvance(Calendar,AB163,"1d","mf",,Trigger)</f>
        <v>42338</v>
      </c>
      <c r="AC164" s="169">
        <f>_xll.qlDayCounterYearFraction(DayCounter,SettlementDate,AB164,,,Trigger)</f>
        <v>0.6333333333333333</v>
      </c>
      <c r="AD164" s="181">
        <f t="shared" si="19"/>
        <v>3.2718337541706487E-3</v>
      </c>
      <c r="AE164" s="181">
        <f t="shared" si="20"/>
        <v>3.2334155469530392E-3</v>
      </c>
      <c r="AF164" s="181">
        <f t="shared" si="21"/>
        <v>2.9336160949741336E-3</v>
      </c>
    </row>
    <row r="165" spans="28:32" x14ac:dyDescent="0.2">
      <c r="AB165" s="183">
        <f>_xll.qlCalendarAdvance(Calendar,AB164,"1d","mf",,Trigger)</f>
        <v>42339</v>
      </c>
      <c r="AC165" s="169">
        <f>_xll.qlDayCounterYearFraction(DayCounter,SettlementDate,AB165,,,Trigger)</f>
        <v>0.63611111111111107</v>
      </c>
      <c r="AD165" s="181">
        <f t="shared" si="19"/>
        <v>3.2718337541706487E-3</v>
      </c>
      <c r="AE165" s="181">
        <f t="shared" si="20"/>
        <v>3.2325424058799119E-3</v>
      </c>
      <c r="AF165" s="181">
        <f t="shared" si="21"/>
        <v>2.9326980513370553E-3</v>
      </c>
    </row>
    <row r="166" spans="28:32" x14ac:dyDescent="0.2">
      <c r="AB166" s="183">
        <f>_xll.qlCalendarAdvance(Calendar,AB165,"1d","mf",,Trigger)</f>
        <v>42340</v>
      </c>
      <c r="AC166" s="169">
        <f>_xll.qlDayCounterYearFraction(DayCounter,SettlementDate,AB166,,,Trigger)</f>
        <v>0.63888888888888884</v>
      </c>
      <c r="AD166" s="181">
        <f t="shared" si="19"/>
        <v>3.2718337541706487E-3</v>
      </c>
      <c r="AE166" s="181">
        <f t="shared" si="20"/>
        <v>3.2316692648067841E-3</v>
      </c>
      <c r="AF166" s="181">
        <f t="shared" si="21"/>
        <v>2.931824910263928E-3</v>
      </c>
    </row>
    <row r="167" spans="28:32" x14ac:dyDescent="0.2">
      <c r="AB167" s="183">
        <f>_xll.qlCalendarAdvance(Calendar,AB166,"1d","mf",,Trigger)</f>
        <v>42341</v>
      </c>
      <c r="AC167" s="169">
        <f>_xll.qlDayCounterYearFraction(DayCounter,SettlementDate,AB167,,,Trigger)</f>
        <v>0.64166666666666672</v>
      </c>
      <c r="AD167" s="181">
        <f t="shared" si="19"/>
        <v>3.2718337541706487E-3</v>
      </c>
      <c r="AE167" s="181">
        <f t="shared" si="20"/>
        <v>3.2307961237336568E-3</v>
      </c>
      <c r="AF167" s="181">
        <f t="shared" si="21"/>
        <v>2.9309966717547516E-3</v>
      </c>
    </row>
    <row r="168" spans="28:32" x14ac:dyDescent="0.2">
      <c r="AB168" s="183">
        <f>_xll.qlCalendarAdvance(Calendar,AB167,"1d","mf",,Trigger)</f>
        <v>42342</v>
      </c>
      <c r="AC168" s="169">
        <f>_xll.qlDayCounterYearFraction(DayCounter,SettlementDate,AB168,,,Trigger)</f>
        <v>0.64444444444444449</v>
      </c>
      <c r="AD168" s="181">
        <f t="shared" si="19"/>
        <v>3.2718337541706487E-3</v>
      </c>
      <c r="AE168" s="181">
        <f t="shared" si="20"/>
        <v>3.229922982660529E-3</v>
      </c>
      <c r="AF168" s="181">
        <f t="shared" si="21"/>
        <v>2.9302133358095257E-3</v>
      </c>
    </row>
    <row r="169" spans="28:32" x14ac:dyDescent="0.2">
      <c r="AB169" s="183">
        <f>_xll.qlCalendarAdvance(Calendar,AB168,"1d","mf",,Trigger)</f>
        <v>42345</v>
      </c>
      <c r="AC169" s="169">
        <f>_xll.qlDayCounterYearFraction(DayCounter,SettlementDate,AB169,,,Trigger)</f>
        <v>0.65277777777777779</v>
      </c>
      <c r="AD169" s="181">
        <f t="shared" si="19"/>
        <v>3.2718337541706487E-3</v>
      </c>
      <c r="AE169" s="181">
        <f t="shared" si="20"/>
        <v>3.2273035594411466E-3</v>
      </c>
      <c r="AF169" s="181">
        <f t="shared" si="21"/>
        <v>2.9281327433575539E-3</v>
      </c>
    </row>
    <row r="170" spans="28:32" x14ac:dyDescent="0.2">
      <c r="AB170" s="183">
        <f>_xll.qlCalendarAdvance(Calendar,AB169,"1d","mf",,Trigger)</f>
        <v>42346</v>
      </c>
      <c r="AC170" s="169">
        <f>_xll.qlDayCounterYearFraction(DayCounter,SettlementDate,AB170,,,Trigger)</f>
        <v>0.65555555555555556</v>
      </c>
      <c r="AD170" s="181">
        <f t="shared" si="19"/>
        <v>3.2718337541706487E-3</v>
      </c>
      <c r="AE170" s="181">
        <f t="shared" si="20"/>
        <v>3.2264304183680192E-3</v>
      </c>
      <c r="AF170" s="181">
        <f t="shared" si="21"/>
        <v>2.9275290176681316E-3</v>
      </c>
    </row>
    <row r="171" spans="28:32" x14ac:dyDescent="0.2">
      <c r="AB171" s="183">
        <f>_xll.qlCalendarAdvance(Calendar,AB170,"1d","mf",,Trigger)</f>
        <v>42347</v>
      </c>
      <c r="AC171" s="169">
        <f>_xll.qlDayCounterYearFraction(DayCounter,SettlementDate,AB171,,,Trigger)</f>
        <v>0.65833333333333333</v>
      </c>
      <c r="AD171" s="181">
        <f t="shared" si="19"/>
        <v>3.2718337541706487E-3</v>
      </c>
      <c r="AE171" s="181">
        <f t="shared" si="20"/>
        <v>3.2255572772948915E-3</v>
      </c>
      <c r="AF171" s="181">
        <f t="shared" si="21"/>
        <v>2.9269701945426607E-3</v>
      </c>
    </row>
    <row r="172" spans="28:32" x14ac:dyDescent="0.2">
      <c r="AB172" s="183">
        <f>_xll.qlCalendarAdvance(Calendar,AB171,"1d","mf",,Trigger)</f>
        <v>42348</v>
      </c>
      <c r="AC172" s="169">
        <f>_xll.qlDayCounterYearFraction(DayCounter,SettlementDate,AB172,,,Trigger)</f>
        <v>0.66111111111111109</v>
      </c>
      <c r="AD172" s="181">
        <f t="shared" si="19"/>
        <v>3.2718337541706487E-3</v>
      </c>
      <c r="AE172" s="181">
        <f t="shared" si="20"/>
        <v>3.2246841362217641E-3</v>
      </c>
      <c r="AF172" s="181">
        <f t="shared" si="21"/>
        <v>2.9264562739811403E-3</v>
      </c>
    </row>
    <row r="173" spans="28:32" x14ac:dyDescent="0.2">
      <c r="AB173" s="183">
        <f>_xll.qlCalendarAdvance(Calendar,AB172,"1d","mf",,Trigger)</f>
        <v>42349</v>
      </c>
      <c r="AC173" s="169">
        <f>_xll.qlDayCounterYearFraction(DayCounter,SettlementDate,AB173,,,Trigger)</f>
        <v>0.66388888888888886</v>
      </c>
      <c r="AD173" s="181">
        <f t="shared" si="19"/>
        <v>3.2718337541706487E-3</v>
      </c>
      <c r="AE173" s="181">
        <f t="shared" si="20"/>
        <v>3.2238109951486368E-3</v>
      </c>
      <c r="AF173" s="181">
        <f t="shared" si="21"/>
        <v>2.9259872559835708E-3</v>
      </c>
    </row>
    <row r="174" spans="28:32" x14ac:dyDescent="0.2">
      <c r="AB174" s="183">
        <f>_xll.qlCalendarAdvance(Calendar,AB173,"1d","mf",,Trigger)</f>
        <v>42352</v>
      </c>
      <c r="AC174" s="169">
        <f>_xll.qlDayCounterYearFraction(DayCounter,SettlementDate,AB174,,,Trigger)</f>
        <v>0.67222222222222228</v>
      </c>
      <c r="AD174" s="181">
        <f t="shared" si="19"/>
        <v>3.2718337541706487E-3</v>
      </c>
      <c r="AE174" s="181">
        <f t="shared" si="20"/>
        <v>3.2211915719292544E-3</v>
      </c>
      <c r="AF174" s="181">
        <f t="shared" si="21"/>
        <v>2.9248496173745683E-3</v>
      </c>
    </row>
    <row r="175" spans="28:32" x14ac:dyDescent="0.2">
      <c r="AB175" s="183">
        <f>_xll.qlCalendarAdvance(Calendar,AB174,"1d","mf",,Trigger)</f>
        <v>42353</v>
      </c>
      <c r="AC175" s="169">
        <f>_xll.qlDayCounterYearFraction(DayCounter,SettlementDate,AB175,,,Trigger)</f>
        <v>0.67500000000000004</v>
      </c>
      <c r="AD175" s="181">
        <f t="shared" si="19"/>
        <v>3.2718337541706487E-3</v>
      </c>
      <c r="AE175" s="181">
        <f t="shared" si="20"/>
        <v>3.2203184308561266E-3</v>
      </c>
      <c r="AF175" s="181">
        <f t="shared" si="21"/>
        <v>2.9245602096328025E-3</v>
      </c>
    </row>
    <row r="176" spans="28:32" x14ac:dyDescent="0.2">
      <c r="AB176" s="183">
        <f>_xll.qlCalendarAdvance(Calendar,AB175,"1d","mf",,Trigger)</f>
        <v>42354</v>
      </c>
      <c r="AC176" s="169">
        <f>_xll.qlDayCounterYearFraction(DayCounter,SettlementDate,AB176,,,Trigger)</f>
        <v>0.67777777777777781</v>
      </c>
      <c r="AD176" s="181">
        <f t="shared" si="19"/>
        <v>3.2718337541706487E-3</v>
      </c>
      <c r="AE176" s="181">
        <f t="shared" si="20"/>
        <v>3.2194452897829993E-3</v>
      </c>
      <c r="AF176" s="181">
        <f t="shared" si="21"/>
        <v>2.9243157044549876E-3</v>
      </c>
    </row>
    <row r="177" spans="28:32" x14ac:dyDescent="0.2">
      <c r="AB177" s="183">
        <f>_xll.qlCalendarAdvance(Calendar,AB176,"1d","mf",,Trigger)</f>
        <v>42355</v>
      </c>
      <c r="AC177" s="169">
        <f>_xll.qlDayCounterYearFraction(DayCounter,SettlementDate,AB177,,,Trigger)</f>
        <v>0.68055555555555558</v>
      </c>
      <c r="AD177" s="181">
        <f t="shared" si="19"/>
        <v>3.2718337541706487E-3</v>
      </c>
      <c r="AE177" s="181">
        <f t="shared" si="20"/>
        <v>3.2185721487098715E-3</v>
      </c>
      <c r="AF177" s="181">
        <f t="shared" si="21"/>
        <v>2.9241161018411241E-3</v>
      </c>
    </row>
    <row r="178" spans="28:32" x14ac:dyDescent="0.2">
      <c r="AB178" s="183">
        <f>_xll.qlCalendarAdvance(Calendar,AB177,"1d","mf",,Trigger)</f>
        <v>42356</v>
      </c>
      <c r="AC178" s="169">
        <f>_xll.qlDayCounterYearFraction(DayCounter,SettlementDate,AB178,,,Trigger)</f>
        <v>0.68333333333333335</v>
      </c>
      <c r="AD178" s="181">
        <f t="shared" si="19"/>
        <v>3.2718337541706487E-3</v>
      </c>
      <c r="AE178" s="181">
        <f t="shared" si="20"/>
        <v>3.2176990076367442E-3</v>
      </c>
      <c r="AF178" s="181">
        <f t="shared" si="21"/>
        <v>2.9239614017912106E-3</v>
      </c>
    </row>
    <row r="179" spans="28:32" x14ac:dyDescent="0.2">
      <c r="AB179" s="183">
        <f>_xll.qlCalendarAdvance(Calendar,AB178,"1d","mf",,Trigger)</f>
        <v>42359</v>
      </c>
      <c r="AC179" s="169">
        <f>_xll.qlDayCounterYearFraction(DayCounter,SettlementDate,AB179,,,Trigger)</f>
        <v>0.69166666666666665</v>
      </c>
      <c r="AD179" s="181">
        <f t="shared" si="19"/>
        <v>3.2718337541706487E-3</v>
      </c>
      <c r="AE179" s="181">
        <f t="shared" si="20"/>
        <v>3.2150795844173618E-3</v>
      </c>
      <c r="AF179" s="181">
        <f t="shared" si="21"/>
        <v>2.9237667170251775E-3</v>
      </c>
    </row>
    <row r="180" spans="28:32" x14ac:dyDescent="0.2">
      <c r="AB180" s="183">
        <f>_xll.qlCalendarAdvance(Calendar,AB179,"1d","mf",,Trigger)</f>
        <v>42360</v>
      </c>
      <c r="AC180" s="169">
        <f>_xll.qlDayCounterYearFraction(DayCounter,SettlementDate,AB180,,,Trigger)</f>
        <v>0.69444444444444442</v>
      </c>
      <c r="AD180" s="181">
        <f t="shared" si="19"/>
        <v>3.2718337541706487E-3</v>
      </c>
      <c r="AE180" s="181">
        <f t="shared" si="20"/>
        <v>3.2142064433442344E-3</v>
      </c>
      <c r="AF180" s="181">
        <f t="shared" si="21"/>
        <v>2.9237916272310681E-3</v>
      </c>
    </row>
    <row r="181" spans="28:32" x14ac:dyDescent="0.2">
      <c r="AB181" s="183">
        <f>_xll.qlCalendarAdvance(Calendar,AB180,"1d","mf",,Trigger)</f>
        <v>42361</v>
      </c>
      <c r="AC181" s="169">
        <f>_xll.qlDayCounterYearFraction(DayCounter,SettlementDate,AB181,,,Trigger)</f>
        <v>0.69722222222222219</v>
      </c>
      <c r="AD181" s="181">
        <f t="shared" si="19"/>
        <v>3.2718337541706487E-3</v>
      </c>
      <c r="AE181" s="181">
        <f t="shared" si="20"/>
        <v>3.2133333022711067E-3</v>
      </c>
      <c r="AF181" s="181">
        <f t="shared" si="21"/>
        <v>2.9238614400009097E-3</v>
      </c>
    </row>
    <row r="182" spans="28:32" x14ac:dyDescent="0.2">
      <c r="AB182" s="183">
        <f>_xll.qlCalendarAdvance(Calendar,AB181,"1d","mf",,Trigger)</f>
        <v>42362</v>
      </c>
      <c r="AC182" s="169">
        <f>_xll.qlDayCounterYearFraction(DayCounter,SettlementDate,AB182,,,Trigger)</f>
        <v>0.7</v>
      </c>
      <c r="AD182" s="181">
        <f t="shared" si="19"/>
        <v>3.2718337541706487E-3</v>
      </c>
      <c r="AE182" s="181">
        <f t="shared" si="20"/>
        <v>3.2124601611979793E-3</v>
      </c>
      <c r="AF182" s="181">
        <f t="shared" si="21"/>
        <v>2.9239761553347021E-3</v>
      </c>
    </row>
    <row r="183" spans="28:32" x14ac:dyDescent="0.2">
      <c r="AB183" s="183">
        <f>_xll.qlCalendarAdvance(Calendar,AB182,"1d","mf",,Trigger)</f>
        <v>42366</v>
      </c>
      <c r="AC183" s="169">
        <f>_xll.qlDayCounterYearFraction(DayCounter,SettlementDate,AB183,,,Trigger)</f>
        <v>0.71111111111111114</v>
      </c>
      <c r="AD183" s="181">
        <f t="shared" si="19"/>
        <v>3.2718337541706487E-3</v>
      </c>
      <c r="AE183" s="181">
        <f t="shared" si="20"/>
        <v>3.2089675969054691E-3</v>
      </c>
      <c r="AF183" s="181">
        <f t="shared" si="21"/>
        <v>2.9248840423093808E-3</v>
      </c>
    </row>
    <row r="184" spans="28:32" x14ac:dyDescent="0.2">
      <c r="AB184" s="183">
        <f>_xll.qlCalendarAdvance(Calendar,AB183,"1d","mf",,Trigger)</f>
        <v>42367</v>
      </c>
      <c r="AC184" s="169">
        <f>_xll.qlDayCounterYearFraction(DayCounter,SettlementDate,AB184,,,Trigger)</f>
        <v>0.71388888888888891</v>
      </c>
      <c r="AD184" s="181">
        <f t="shared" si="19"/>
        <v>3.2718337541706487E-3</v>
      </c>
      <c r="AE184" s="181">
        <f t="shared" si="20"/>
        <v>3.2080944558323418E-3</v>
      </c>
      <c r="AF184" s="181">
        <f t="shared" si="21"/>
        <v>2.9252232704629283E-3</v>
      </c>
    </row>
    <row r="185" spans="28:32" x14ac:dyDescent="0.2">
      <c r="AB185" s="183">
        <f>_xll.qlCalendarAdvance(Calendar,AB184,"1d","mf",,Trigger)</f>
        <v>42368</v>
      </c>
      <c r="AC185" s="169">
        <f>_xll.qlDayCounterYearFraction(DayCounter,SettlementDate,AB185,,,Trigger)</f>
        <v>0.71666666666666667</v>
      </c>
      <c r="AD185" s="181">
        <f t="shared" si="19"/>
        <v>3.2718337541706487E-3</v>
      </c>
      <c r="AE185" s="181">
        <f t="shared" si="20"/>
        <v>3.207221314759214E-3</v>
      </c>
      <c r="AF185" s="181">
        <f t="shared" si="21"/>
        <v>2.9256074011804259E-3</v>
      </c>
    </row>
    <row r="186" spans="28:32" x14ac:dyDescent="0.2">
      <c r="AB186" s="183">
        <f>_xll.qlCalendarAdvance(Calendar,AB185,"1d","mf",,Trigger)</f>
        <v>42369</v>
      </c>
      <c r="AC186" s="169">
        <f>_xll.qlDayCounterYearFraction(DayCounter,SettlementDate,AB186,,,Trigger)</f>
        <v>0.71944444444444444</v>
      </c>
      <c r="AD186" s="181">
        <f t="shared" si="19"/>
        <v>3.2718337541706487E-3</v>
      </c>
      <c r="AE186" s="181">
        <f t="shared" si="20"/>
        <v>3.2063481736860867E-3</v>
      </c>
      <c r="AF186" s="181">
        <f t="shared" si="21"/>
        <v>2.9260364344618744E-3</v>
      </c>
    </row>
    <row r="187" spans="28:32" x14ac:dyDescent="0.2">
      <c r="AB187" s="183">
        <f>_xll.qlCalendarAdvance(Calendar,AB186,"1d","mf",,Trigger)</f>
        <v>42373</v>
      </c>
      <c r="AC187" s="169">
        <f>_xll.qlDayCounterYearFraction(DayCounter,SettlementDate,AB187,,,Trigger)</f>
        <v>0.73055555555555551</v>
      </c>
      <c r="AD187" s="181">
        <f t="shared" si="19"/>
        <v>3.2718337541706487E-3</v>
      </c>
      <c r="AE187" s="181">
        <f t="shared" si="20"/>
        <v>3.2028556093935769E-3</v>
      </c>
      <c r="AF187" s="181">
        <f t="shared" si="21"/>
        <v>2.9282015932271784E-3</v>
      </c>
    </row>
    <row r="188" spans="28:32" x14ac:dyDescent="0.2">
      <c r="AB188" s="183">
        <f>_xll.qlCalendarAdvance(Calendar,AB187,"1d","mf",,Trigger)</f>
        <v>42374</v>
      </c>
      <c r="AC188" s="169">
        <f>_xll.qlDayCounterYearFraction(DayCounter,SettlementDate,AB188,,,Trigger)</f>
        <v>0.73333333333333328</v>
      </c>
      <c r="AD188" s="181">
        <f t="shared" si="19"/>
        <v>3.2718337541706487E-3</v>
      </c>
      <c r="AE188" s="181">
        <f t="shared" ref="AE188:AE251" si="22">$S$10+$S$9*AC188</f>
        <v>3.2019824683204492E-3</v>
      </c>
      <c r="AF188" s="181">
        <f t="shared" ref="AF188:AF251" si="23">($S$5+$S$4*AC188+$S$3*AC188^2)</f>
        <v>2.9288551393283823E-3</v>
      </c>
    </row>
    <row r="189" spans="28:32" x14ac:dyDescent="0.2">
      <c r="AB189" s="183">
        <f>_xll.qlCalendarAdvance(Calendar,AB188,"1d","mf",,Trigger)</f>
        <v>42375</v>
      </c>
      <c r="AC189" s="169">
        <f>_xll.qlDayCounterYearFraction(DayCounter,SettlementDate,AB189,,,Trigger)</f>
        <v>0.73611111111111116</v>
      </c>
      <c r="AD189" s="181">
        <f t="shared" si="19"/>
        <v>3.2718337541706487E-3</v>
      </c>
      <c r="AE189" s="181">
        <f t="shared" si="22"/>
        <v>3.2011093272473218E-3</v>
      </c>
      <c r="AF189" s="181">
        <f t="shared" si="23"/>
        <v>2.9295535879935368E-3</v>
      </c>
    </row>
    <row r="190" spans="28:32" x14ac:dyDescent="0.2">
      <c r="AB190" s="183">
        <f>_xll.qlCalendarAdvance(Calendar,AB189,"1d","mf",,Trigger)</f>
        <v>42376</v>
      </c>
      <c r="AC190" s="169">
        <f>_xll.qlDayCounterYearFraction(DayCounter,SettlementDate,AB190,,,Trigger)</f>
        <v>0.73888888888888893</v>
      </c>
      <c r="AD190" s="181">
        <f t="shared" si="19"/>
        <v>3.2718337541706487E-3</v>
      </c>
      <c r="AE190" s="181">
        <f t="shared" si="22"/>
        <v>3.2002361861741945E-3</v>
      </c>
      <c r="AF190" s="181">
        <f t="shared" si="23"/>
        <v>2.9302969392226421E-3</v>
      </c>
    </row>
    <row r="191" spans="28:32" x14ac:dyDescent="0.2">
      <c r="AB191" s="183">
        <f>_xll.qlCalendarAdvance(Calendar,AB190,"1d","mf",,Trigger)</f>
        <v>42377</v>
      </c>
      <c r="AC191" s="169">
        <f>_xll.qlDayCounterYearFraction(DayCounter,SettlementDate,AB191,,,Trigger)</f>
        <v>0.7416666666666667</v>
      </c>
      <c r="AD191" s="181">
        <f t="shared" si="19"/>
        <v>3.2718337541706487E-3</v>
      </c>
      <c r="AE191" s="181">
        <f t="shared" si="22"/>
        <v>3.1993630451010668E-3</v>
      </c>
      <c r="AF191" s="181">
        <f t="shared" si="23"/>
        <v>2.931085193015698E-3</v>
      </c>
    </row>
    <row r="192" spans="28:32" x14ac:dyDescent="0.2">
      <c r="AB192" s="183">
        <f>_xll.qlCalendarAdvance(Calendar,AB191,"1d","mf",,Trigger)</f>
        <v>42380</v>
      </c>
      <c r="AC192" s="169">
        <f>_xll.qlDayCounterYearFraction(DayCounter,SettlementDate,AB192,,,Trigger)</f>
        <v>0.75</v>
      </c>
      <c r="AD192" s="181">
        <f t="shared" si="19"/>
        <v>3.2718337541706487E-3</v>
      </c>
      <c r="AE192" s="181">
        <f t="shared" si="22"/>
        <v>3.1967436218816843E-3</v>
      </c>
      <c r="AF192" s="181">
        <f t="shared" si="23"/>
        <v>2.9337193697785715E-3</v>
      </c>
    </row>
    <row r="193" spans="28:32" x14ac:dyDescent="0.2">
      <c r="AB193" s="183">
        <f>_xll.qlCalendarAdvance(Calendar,AB192,"1d","mf",,Trigger)</f>
        <v>42381</v>
      </c>
      <c r="AC193" s="169">
        <f>_xll.qlDayCounterYearFraction(DayCounter,SettlementDate,AB193,,,Trigger)</f>
        <v>0.75277777777777777</v>
      </c>
      <c r="AD193" s="181">
        <f t="shared" si="19"/>
        <v>3.2718337541706487E-3</v>
      </c>
      <c r="AE193" s="181">
        <f t="shared" si="22"/>
        <v>3.195870480808557E-3</v>
      </c>
      <c r="AF193" s="181">
        <f t="shared" si="23"/>
        <v>2.9346872338274314E-3</v>
      </c>
    </row>
    <row r="194" spans="28:32" x14ac:dyDescent="0.2">
      <c r="AB194" s="183">
        <f>_xll.qlCalendarAdvance(Calendar,AB193,"1d","mf",,Trigger)</f>
        <v>42382</v>
      </c>
      <c r="AC194" s="169">
        <f>_xll.qlDayCounterYearFraction(DayCounter,SettlementDate,AB194,,,Trigger)</f>
        <v>0.75555555555555554</v>
      </c>
      <c r="AD194" s="181">
        <f t="shared" si="19"/>
        <v>3.2718337541706487E-3</v>
      </c>
      <c r="AE194" s="181">
        <f t="shared" si="22"/>
        <v>3.1949973397354292E-3</v>
      </c>
      <c r="AF194" s="181">
        <f t="shared" si="23"/>
        <v>2.9357000004402419E-3</v>
      </c>
    </row>
    <row r="195" spans="28:32" x14ac:dyDescent="0.2">
      <c r="AB195" s="183">
        <f>_xll.qlCalendarAdvance(Calendar,AB194,"1d","mf",,Trigger)</f>
        <v>42383</v>
      </c>
      <c r="AC195" s="169">
        <f>_xll.qlDayCounterYearFraction(DayCounter,SettlementDate,AB195,,,Trigger)</f>
        <v>0.7583333333333333</v>
      </c>
      <c r="AD195" s="181">
        <f t="shared" ref="AD195:AD257" si="24">$S$13</f>
        <v>3.2718337541706487E-3</v>
      </c>
      <c r="AE195" s="181">
        <f t="shared" si="22"/>
        <v>3.1941241986623019E-3</v>
      </c>
      <c r="AF195" s="181">
        <f t="shared" si="23"/>
        <v>2.9367576696170032E-3</v>
      </c>
    </row>
    <row r="196" spans="28:32" x14ac:dyDescent="0.2">
      <c r="AB196" s="183">
        <f>_xll.qlCalendarAdvance(Calendar,AB195,"1d","mf",,Trigger)</f>
        <v>42384</v>
      </c>
      <c r="AC196" s="169">
        <f>_xll.qlDayCounterYearFraction(DayCounter,SettlementDate,AB196,,,Trigger)</f>
        <v>0.76111111111111107</v>
      </c>
      <c r="AD196" s="181">
        <f t="shared" si="24"/>
        <v>3.2718337541706487E-3</v>
      </c>
      <c r="AE196" s="181">
        <f t="shared" si="22"/>
        <v>3.1932510575891741E-3</v>
      </c>
      <c r="AF196" s="181">
        <f t="shared" si="23"/>
        <v>2.9378602413577155E-3</v>
      </c>
    </row>
    <row r="197" spans="28:32" x14ac:dyDescent="0.2">
      <c r="AB197" s="183">
        <f>_xll.qlCalendarAdvance(Calendar,AB196,"1d","mf",,Trigger)</f>
        <v>42387</v>
      </c>
      <c r="AC197" s="169">
        <f>_xll.qlDayCounterYearFraction(DayCounter,SettlementDate,AB197,,,Trigger)</f>
        <v>0.76944444444444449</v>
      </c>
      <c r="AD197" s="181">
        <f t="shared" si="24"/>
        <v>3.2718337541706487E-3</v>
      </c>
      <c r="AE197" s="181">
        <f t="shared" si="22"/>
        <v>3.1906316343697917E-3</v>
      </c>
      <c r="AF197" s="181">
        <f t="shared" si="23"/>
        <v>2.9414373719635588E-3</v>
      </c>
    </row>
    <row r="198" spans="28:32" x14ac:dyDescent="0.2">
      <c r="AB198" s="183">
        <f>_xll.qlCalendarAdvance(Calendar,AB197,"1d","mf",,Trigger)</f>
        <v>42388</v>
      </c>
      <c r="AC198" s="169">
        <f>_xll.qlDayCounterYearFraction(DayCounter,SettlementDate,AB198,,,Trigger)</f>
        <v>0.77222222222222225</v>
      </c>
      <c r="AD198" s="181">
        <f t="shared" si="24"/>
        <v>3.2718337541706487E-3</v>
      </c>
      <c r="AE198" s="181">
        <f t="shared" si="22"/>
        <v>3.1897584932966644E-3</v>
      </c>
      <c r="AF198" s="181">
        <f t="shared" si="23"/>
        <v>2.9427195539600743E-3</v>
      </c>
    </row>
    <row r="199" spans="28:32" x14ac:dyDescent="0.2">
      <c r="AB199" s="183">
        <f>_xll.qlCalendarAdvance(Calendar,AB198,"1d","mf",,Trigger)</f>
        <v>42389</v>
      </c>
      <c r="AC199" s="169">
        <f>_xll.qlDayCounterYearFraction(DayCounter,SettlementDate,AB199,,,Trigger)</f>
        <v>0.77500000000000002</v>
      </c>
      <c r="AD199" s="181">
        <f t="shared" si="24"/>
        <v>3.2718337541706487E-3</v>
      </c>
      <c r="AE199" s="181">
        <f t="shared" si="22"/>
        <v>3.188885352223537E-3</v>
      </c>
      <c r="AF199" s="181">
        <f t="shared" si="23"/>
        <v>2.9440466385205416E-3</v>
      </c>
    </row>
    <row r="200" spans="28:32" x14ac:dyDescent="0.2">
      <c r="AB200" s="183">
        <f>_xll.qlCalendarAdvance(Calendar,AB199,"1d","mf",,Trigger)</f>
        <v>42390</v>
      </c>
      <c r="AC200" s="169">
        <f>_xll.qlDayCounterYearFraction(DayCounter,SettlementDate,AB200,,,Trigger)</f>
        <v>0.77777777777777779</v>
      </c>
      <c r="AD200" s="181">
        <f t="shared" si="24"/>
        <v>3.2718337541706487E-3</v>
      </c>
      <c r="AE200" s="181">
        <f t="shared" si="22"/>
        <v>3.1880122111504093E-3</v>
      </c>
      <c r="AF200" s="181">
        <f t="shared" si="23"/>
        <v>2.9454186256449594E-3</v>
      </c>
    </row>
    <row r="201" spans="28:32" x14ac:dyDescent="0.2">
      <c r="AB201" s="183">
        <f>_xll.qlCalendarAdvance(Calendar,AB200,"1d","mf",,Trigger)</f>
        <v>42391</v>
      </c>
      <c r="AC201" s="169">
        <f>_xll.qlDayCounterYearFraction(DayCounter,SettlementDate,AB201,,,Trigger)</f>
        <v>0.78055555555555556</v>
      </c>
      <c r="AD201" s="181">
        <f t="shared" si="24"/>
        <v>3.2718337541706487E-3</v>
      </c>
      <c r="AE201" s="181">
        <f t="shared" si="22"/>
        <v>3.1871390700772819E-3</v>
      </c>
      <c r="AF201" s="181">
        <f t="shared" si="23"/>
        <v>2.9468355153333282E-3</v>
      </c>
    </row>
    <row r="202" spans="28:32" x14ac:dyDescent="0.2">
      <c r="AB202" s="183">
        <f>_xll.qlCalendarAdvance(Calendar,AB201,"1d","mf",,Trigger)</f>
        <v>42394</v>
      </c>
      <c r="AC202" s="169">
        <f>_xll.qlDayCounterYearFraction(DayCounter,SettlementDate,AB202,,,Trigger)</f>
        <v>0.78888888888888886</v>
      </c>
      <c r="AD202" s="181">
        <f t="shared" si="24"/>
        <v>3.2718337541706487E-3</v>
      </c>
      <c r="AE202" s="181">
        <f t="shared" si="22"/>
        <v>3.1845196468578995E-3</v>
      </c>
      <c r="AF202" s="181">
        <f t="shared" si="23"/>
        <v>2.9513555997821399E-3</v>
      </c>
    </row>
    <row r="203" spans="28:32" x14ac:dyDescent="0.2">
      <c r="AB203" s="183">
        <f>_xll.qlCalendarAdvance(Calendar,AB202,"1d","mf",,Trigger)</f>
        <v>42395</v>
      </c>
      <c r="AC203" s="169">
        <f>_xll.qlDayCounterYearFraction(DayCounter,SettlementDate,AB203,,,Trigger)</f>
        <v>0.79166666666666663</v>
      </c>
      <c r="AD203" s="181">
        <f t="shared" si="24"/>
        <v>3.2718337541706487E-3</v>
      </c>
      <c r="AE203" s="181">
        <f t="shared" si="22"/>
        <v>3.1836465057847717E-3</v>
      </c>
      <c r="AF203" s="181">
        <f t="shared" si="23"/>
        <v>2.9529520997263123E-3</v>
      </c>
    </row>
    <row r="204" spans="28:32" x14ac:dyDescent="0.2">
      <c r="AB204" s="183">
        <f>_xll.qlCalendarAdvance(Calendar,AB203,"1d","mf",,Trigger)</f>
        <v>42396</v>
      </c>
      <c r="AC204" s="169">
        <f>_xll.qlDayCounterYearFraction(DayCounter,SettlementDate,AB204,,,Trigger)</f>
        <v>0.7944444444444444</v>
      </c>
      <c r="AD204" s="181">
        <f t="shared" si="24"/>
        <v>3.2718337541706487E-3</v>
      </c>
      <c r="AE204" s="181">
        <f t="shared" si="22"/>
        <v>3.1827733647116444E-3</v>
      </c>
      <c r="AF204" s="181">
        <f t="shared" si="23"/>
        <v>2.954593502234436E-3</v>
      </c>
    </row>
    <row r="205" spans="28:32" x14ac:dyDescent="0.2">
      <c r="AB205" s="183">
        <f>_xll.qlCalendarAdvance(Calendar,AB204,"1d","mf",,Trigger)</f>
        <v>42397</v>
      </c>
      <c r="AC205" s="169">
        <f>_xll.qlDayCounterYearFraction(DayCounter,SettlementDate,AB205,,,Trigger)</f>
        <v>0.79722222222222228</v>
      </c>
      <c r="AD205" s="181">
        <f t="shared" si="24"/>
        <v>3.2718337541706487E-3</v>
      </c>
      <c r="AE205" s="181">
        <f t="shared" si="22"/>
        <v>3.1819002236385171E-3</v>
      </c>
      <c r="AF205" s="181">
        <f t="shared" si="23"/>
        <v>2.9562798073065103E-3</v>
      </c>
    </row>
    <row r="206" spans="28:32" x14ac:dyDescent="0.2">
      <c r="AB206" s="183">
        <f>_xll.qlCalendarAdvance(Calendar,AB205,"1d","mf",,Trigger)</f>
        <v>42398</v>
      </c>
      <c r="AC206" s="169">
        <f>_xll.qlDayCounterYearFraction(DayCounter,SettlementDate,AB206,,,Trigger)</f>
        <v>0.8</v>
      </c>
      <c r="AD206" s="181">
        <f t="shared" si="24"/>
        <v>3.2718337541706487E-3</v>
      </c>
      <c r="AE206" s="181">
        <f t="shared" si="22"/>
        <v>3.1810270825653893E-3</v>
      </c>
      <c r="AF206" s="181">
        <f t="shared" si="23"/>
        <v>2.958011014942535E-3</v>
      </c>
    </row>
    <row r="207" spans="28:32" x14ac:dyDescent="0.2">
      <c r="AB207" s="183">
        <f>_xll.qlCalendarAdvance(Calendar,AB206,"1d","mf",,Trigger)</f>
        <v>42401</v>
      </c>
      <c r="AC207" s="169">
        <f>_xll.qlDayCounterYearFraction(DayCounter,SettlementDate,AB207,,,Trigger)</f>
        <v>0.80833333333333335</v>
      </c>
      <c r="AD207" s="181">
        <f t="shared" si="24"/>
        <v>3.2718337541706487E-3</v>
      </c>
      <c r="AE207" s="181">
        <f t="shared" si="22"/>
        <v>3.1784076593460069E-3</v>
      </c>
      <c r="AF207" s="181">
        <f t="shared" si="23"/>
        <v>2.9634740532343161E-3</v>
      </c>
    </row>
    <row r="208" spans="28:32" x14ac:dyDescent="0.2">
      <c r="AB208" s="183">
        <f>_xll.qlCalendarAdvance(Calendar,AB207,"1d","mf",,Trigger)</f>
        <v>42402</v>
      </c>
      <c r="AC208" s="169">
        <f>_xll.qlDayCounterYearFraction(DayCounter,SettlementDate,AB208,,,Trigger)</f>
        <v>0.81111111111111112</v>
      </c>
      <c r="AD208" s="181">
        <f t="shared" si="24"/>
        <v>3.2718337541706487E-3</v>
      </c>
      <c r="AE208" s="181">
        <f t="shared" si="22"/>
        <v>3.1775345182728796E-3</v>
      </c>
      <c r="AF208" s="181">
        <f t="shared" si="23"/>
        <v>2.9653848711261453E-3</v>
      </c>
    </row>
    <row r="209" spans="28:32" x14ac:dyDescent="0.2">
      <c r="AB209" s="183">
        <f>_xll.qlCalendarAdvance(Calendar,AB208,"1d","mf",,Trigger)</f>
        <v>42403</v>
      </c>
      <c r="AC209" s="169">
        <f>_xll.qlDayCounterYearFraction(DayCounter,SettlementDate,AB209,,,Trigger)</f>
        <v>0.81388888888888888</v>
      </c>
      <c r="AD209" s="181">
        <f t="shared" si="24"/>
        <v>3.2718337541706487E-3</v>
      </c>
      <c r="AE209" s="181">
        <f t="shared" si="22"/>
        <v>3.1766613771997518E-3</v>
      </c>
      <c r="AF209" s="181">
        <f t="shared" si="23"/>
        <v>2.9673405915819247E-3</v>
      </c>
    </row>
    <row r="210" spans="28:32" x14ac:dyDescent="0.2">
      <c r="AB210" s="183">
        <f>_xll.qlCalendarAdvance(Calendar,AB209,"1d","mf",,Trigger)</f>
        <v>42404</v>
      </c>
      <c r="AC210" s="169">
        <f>_xll.qlDayCounterYearFraction(DayCounter,SettlementDate,AB210,,,Trigger)</f>
        <v>0.81666666666666665</v>
      </c>
      <c r="AD210" s="181">
        <f t="shared" si="24"/>
        <v>3.2718337541706487E-3</v>
      </c>
      <c r="AE210" s="181">
        <f t="shared" si="22"/>
        <v>3.1757882361266245E-3</v>
      </c>
      <c r="AF210" s="181">
        <f t="shared" si="23"/>
        <v>2.9693412146016554E-3</v>
      </c>
    </row>
    <row r="211" spans="28:32" x14ac:dyDescent="0.2">
      <c r="AB211" s="183">
        <f>_xll.qlCalendarAdvance(Calendar,AB210,"1d","mf",,Trigger)</f>
        <v>42405</v>
      </c>
      <c r="AC211" s="169">
        <f>_xll.qlDayCounterYearFraction(DayCounter,SettlementDate,AB211,,,Trigger)</f>
        <v>0.81944444444444442</v>
      </c>
      <c r="AD211" s="181">
        <f t="shared" si="24"/>
        <v>3.2718337541706487E-3</v>
      </c>
      <c r="AE211" s="181">
        <f t="shared" si="22"/>
        <v>3.1749150950534971E-3</v>
      </c>
      <c r="AF211" s="181">
        <f t="shared" si="23"/>
        <v>2.9713867401853365E-3</v>
      </c>
    </row>
    <row r="212" spans="28:32" x14ac:dyDescent="0.2">
      <c r="AB212" s="183">
        <f>_xll.qlCalendarAdvance(Calendar,AB211,"1d","mf",,Trigger)</f>
        <v>42408</v>
      </c>
      <c r="AC212" s="169">
        <f>_xll.qlDayCounterYearFraction(DayCounter,SettlementDate,AB212,,,Trigger)</f>
        <v>0.82777777777777772</v>
      </c>
      <c r="AD212" s="181">
        <f t="shared" si="24"/>
        <v>3.2718337541706487E-3</v>
      </c>
      <c r="AE212" s="181">
        <f t="shared" si="22"/>
        <v>3.1722956718341147E-3</v>
      </c>
      <c r="AF212" s="181">
        <f t="shared" si="23"/>
        <v>2.9777927323200865E-3</v>
      </c>
    </row>
    <row r="213" spans="28:32" x14ac:dyDescent="0.2">
      <c r="AB213" s="183">
        <f>_xll.qlCalendarAdvance(Calendar,AB212,"1d","mf",,Trigger)</f>
        <v>42409</v>
      </c>
      <c r="AC213" s="169">
        <f>_xll.qlDayCounterYearFraction(DayCounter,SettlementDate,AB213,,,Trigger)</f>
        <v>0.8305555555555556</v>
      </c>
      <c r="AD213" s="181">
        <f t="shared" si="24"/>
        <v>3.2718337541706487E-3</v>
      </c>
      <c r="AE213" s="181">
        <f t="shared" si="22"/>
        <v>3.1714225307609869E-3</v>
      </c>
      <c r="AF213" s="181">
        <f t="shared" si="23"/>
        <v>2.9800178681595722E-3</v>
      </c>
    </row>
    <row r="214" spans="28:32" x14ac:dyDescent="0.2">
      <c r="AB214" s="183">
        <f>_xll.qlCalendarAdvance(Calendar,AB213,"1d","mf",,Trigger)</f>
        <v>42410</v>
      </c>
      <c r="AC214" s="169">
        <f>_xll.qlDayCounterYearFraction(DayCounter,SettlementDate,AB214,,,Trigger)</f>
        <v>0.83333333333333337</v>
      </c>
      <c r="AD214" s="181">
        <f t="shared" si="24"/>
        <v>3.2718337541706487E-3</v>
      </c>
      <c r="AE214" s="181">
        <f t="shared" si="22"/>
        <v>3.1705493896878596E-3</v>
      </c>
      <c r="AF214" s="181">
        <f t="shared" si="23"/>
        <v>2.982287906563008E-3</v>
      </c>
    </row>
    <row r="215" spans="28:32" x14ac:dyDescent="0.2">
      <c r="AB215" s="183">
        <f>_xll.qlCalendarAdvance(Calendar,AB214,"1d","mf",,Trigger)</f>
        <v>42411</v>
      </c>
      <c r="AC215" s="169">
        <f>_xll.qlDayCounterYearFraction(DayCounter,SettlementDate,AB215,,,Trigger)</f>
        <v>0.83611111111111114</v>
      </c>
      <c r="AD215" s="181">
        <f t="shared" si="24"/>
        <v>3.2718337541706487E-3</v>
      </c>
      <c r="AE215" s="181">
        <f t="shared" si="22"/>
        <v>3.1696762486147318E-3</v>
      </c>
      <c r="AF215" s="181">
        <f t="shared" si="23"/>
        <v>2.9846028475303951E-3</v>
      </c>
    </row>
    <row r="216" spans="28:32" x14ac:dyDescent="0.2">
      <c r="AB216" s="183">
        <f>_xll.qlCalendarAdvance(Calendar,AB215,"1d","mf",,Trigger)</f>
        <v>42412</v>
      </c>
      <c r="AC216" s="169">
        <f>_xll.qlDayCounterYearFraction(DayCounter,SettlementDate,AB216,,,Trigger)</f>
        <v>0.83888888888888891</v>
      </c>
      <c r="AD216" s="181">
        <f t="shared" si="24"/>
        <v>3.2718337541706487E-3</v>
      </c>
      <c r="AE216" s="181">
        <f t="shared" si="22"/>
        <v>3.1688031075416045E-3</v>
      </c>
      <c r="AF216" s="181">
        <f t="shared" si="23"/>
        <v>2.9869626910617331E-3</v>
      </c>
    </row>
    <row r="217" spans="28:32" x14ac:dyDescent="0.2">
      <c r="AB217" s="183">
        <f>_xll.qlCalendarAdvance(Calendar,AB216,"1d","mf",,Trigger)</f>
        <v>42415</v>
      </c>
      <c r="AC217" s="169">
        <f>_xll.qlDayCounterYearFraction(DayCounter,SettlementDate,AB217,,,Trigger)</f>
        <v>0.84722222222222221</v>
      </c>
      <c r="AD217" s="181">
        <f t="shared" si="24"/>
        <v>3.2718337541706487E-3</v>
      </c>
      <c r="AE217" s="181">
        <f t="shared" si="22"/>
        <v>3.1661836843222221E-3</v>
      </c>
      <c r="AF217" s="181">
        <f t="shared" si="23"/>
        <v>2.9943116370394519E-3</v>
      </c>
    </row>
    <row r="218" spans="28:32" x14ac:dyDescent="0.2">
      <c r="AB218" s="183">
        <f>_xll.qlCalendarAdvance(Calendar,AB217,"1d","mf",,Trigger)</f>
        <v>42416</v>
      </c>
      <c r="AC218" s="169">
        <f>_xll.qlDayCounterYearFraction(DayCounter,SettlementDate,AB218,,,Trigger)</f>
        <v>0.85</v>
      </c>
      <c r="AD218" s="181">
        <f t="shared" si="24"/>
        <v>3.2718337541706487E-3</v>
      </c>
      <c r="AE218" s="181">
        <f t="shared" si="22"/>
        <v>3.1653105432490943E-3</v>
      </c>
      <c r="AF218" s="181">
        <f t="shared" si="23"/>
        <v>2.9968510908265932E-3</v>
      </c>
    </row>
    <row r="219" spans="28:32" x14ac:dyDescent="0.2">
      <c r="AB219" s="183">
        <f>_xll.qlCalendarAdvance(Calendar,AB218,"1d","mf",,Trigger)</f>
        <v>42417</v>
      </c>
      <c r="AC219" s="169">
        <f>_xll.qlDayCounterYearFraction(DayCounter,SettlementDate,AB219,,,Trigger)</f>
        <v>0.85277777777777775</v>
      </c>
      <c r="AD219" s="181">
        <f t="shared" si="24"/>
        <v>3.2718337541706487E-3</v>
      </c>
      <c r="AE219" s="181">
        <f t="shared" si="22"/>
        <v>3.164437402175967E-3</v>
      </c>
      <c r="AF219" s="181">
        <f t="shared" si="23"/>
        <v>2.9994354471776859E-3</v>
      </c>
    </row>
    <row r="220" spans="28:32" x14ac:dyDescent="0.2">
      <c r="AB220" s="183">
        <f>_xll.qlCalendarAdvance(Calendar,AB219,"1d","mf",,Trigger)</f>
        <v>42418</v>
      </c>
      <c r="AC220" s="169">
        <f>_xll.qlDayCounterYearFraction(DayCounter,SettlementDate,AB220,,,Trigger)</f>
        <v>0.85555555555555551</v>
      </c>
      <c r="AD220" s="181">
        <f t="shared" si="24"/>
        <v>3.2718337541706487E-3</v>
      </c>
      <c r="AE220" s="181">
        <f t="shared" si="22"/>
        <v>3.1635642611028397E-3</v>
      </c>
      <c r="AF220" s="181">
        <f t="shared" si="23"/>
        <v>3.002064706092729E-3</v>
      </c>
    </row>
    <row r="221" spans="28:32" x14ac:dyDescent="0.2">
      <c r="AB221" s="183">
        <f>_xll.qlCalendarAdvance(Calendar,AB220,"1d","mf",,Trigger)</f>
        <v>42419</v>
      </c>
      <c r="AC221" s="169">
        <f>_xll.qlDayCounterYearFraction(DayCounter,SettlementDate,AB221,,,Trigger)</f>
        <v>0.85833333333333328</v>
      </c>
      <c r="AD221" s="181">
        <f t="shared" si="24"/>
        <v>3.2718337541706487E-3</v>
      </c>
      <c r="AE221" s="181">
        <f t="shared" si="22"/>
        <v>3.1626911200297119E-3</v>
      </c>
      <c r="AF221" s="181">
        <f t="shared" si="23"/>
        <v>3.0047388675717235E-3</v>
      </c>
    </row>
    <row r="222" spans="28:32" x14ac:dyDescent="0.2">
      <c r="AB222" s="183">
        <f>_xll.qlCalendarAdvance(Calendar,AB221,"1d","mf",,Trigger)</f>
        <v>42422</v>
      </c>
      <c r="AC222" s="169">
        <f>_xll.qlDayCounterYearFraction(DayCounter,SettlementDate,AB222,,,Trigger)</f>
        <v>0.8666666666666667</v>
      </c>
      <c r="AD222" s="181">
        <f t="shared" si="24"/>
        <v>3.2718337541706487E-3</v>
      </c>
      <c r="AE222" s="181">
        <f t="shared" si="22"/>
        <v>3.1600716968103295E-3</v>
      </c>
      <c r="AF222" s="181">
        <f t="shared" si="23"/>
        <v>3.0130307673924116E-3</v>
      </c>
    </row>
    <row r="223" spans="28:32" x14ac:dyDescent="0.2">
      <c r="AB223" s="183">
        <f>_xll.qlCalendarAdvance(Calendar,AB222,"1d","mf",,Trigger)</f>
        <v>42423</v>
      </c>
      <c r="AC223" s="169">
        <f>_xll.qlDayCounterYearFraction(DayCounter,SettlementDate,AB223,,,Trigger)</f>
        <v>0.86944444444444446</v>
      </c>
      <c r="AD223" s="181">
        <f t="shared" si="24"/>
        <v>3.2718337541706487E-3</v>
      </c>
      <c r="AE223" s="181">
        <f t="shared" si="22"/>
        <v>3.1591985557372021E-3</v>
      </c>
      <c r="AF223" s="181">
        <f t="shared" si="23"/>
        <v>3.0158845391272094E-3</v>
      </c>
    </row>
    <row r="224" spans="28:32" x14ac:dyDescent="0.2">
      <c r="AB224" s="183">
        <f>_xll.qlCalendarAdvance(Calendar,AB223,"1d","mf",,Trigger)</f>
        <v>42424</v>
      </c>
      <c r="AC224" s="169">
        <f>_xll.qlDayCounterYearFraction(DayCounter,SettlementDate,AB224,,,Trigger)</f>
        <v>0.87222222222222223</v>
      </c>
      <c r="AD224" s="181">
        <f t="shared" si="24"/>
        <v>3.2718337541706487E-3</v>
      </c>
      <c r="AE224" s="181">
        <f t="shared" si="22"/>
        <v>3.1583254146640744E-3</v>
      </c>
      <c r="AF224" s="181">
        <f t="shared" si="23"/>
        <v>3.0187832134259585E-3</v>
      </c>
    </row>
    <row r="225" spans="28:32" x14ac:dyDescent="0.2">
      <c r="AB225" s="183">
        <f>_xll.qlCalendarAdvance(Calendar,AB224,"1d","mf",,Trigger)</f>
        <v>42425</v>
      </c>
      <c r="AC225" s="169">
        <f>_xll.qlDayCounterYearFraction(DayCounter,SettlementDate,AB225,,,Trigger)</f>
        <v>0.875</v>
      </c>
      <c r="AD225" s="181">
        <f t="shared" si="24"/>
        <v>3.2718337541706487E-3</v>
      </c>
      <c r="AE225" s="181">
        <f t="shared" si="22"/>
        <v>3.157452273590947E-3</v>
      </c>
      <c r="AF225" s="181">
        <f t="shared" si="23"/>
        <v>3.0217267902886581E-3</v>
      </c>
    </row>
    <row r="226" spans="28:32" x14ac:dyDescent="0.2">
      <c r="AB226" s="183">
        <f>_xll.qlCalendarAdvance(Calendar,AB225,"1d","mf",,Trigger)</f>
        <v>42426</v>
      </c>
      <c r="AC226" s="169">
        <f>_xll.qlDayCounterYearFraction(DayCounter,SettlementDate,AB226,,,Trigger)</f>
        <v>0.87777777777777777</v>
      </c>
      <c r="AD226" s="181">
        <f t="shared" si="24"/>
        <v>3.2718337541706487E-3</v>
      </c>
      <c r="AE226" s="181">
        <f t="shared" si="22"/>
        <v>3.1565791325178197E-3</v>
      </c>
      <c r="AF226" s="181">
        <f t="shared" si="23"/>
        <v>3.0247152697153086E-3</v>
      </c>
    </row>
    <row r="227" spans="28:32" x14ac:dyDescent="0.2">
      <c r="AB227" s="183">
        <f>_xll.qlCalendarAdvance(Calendar,AB226,"1d","mf",,Trigger)</f>
        <v>42429</v>
      </c>
      <c r="AC227" s="169">
        <f>_xll.qlDayCounterYearFraction(DayCounter,SettlementDate,AB227,,,Trigger)</f>
        <v>0.88611111111111107</v>
      </c>
      <c r="AD227" s="181">
        <f t="shared" si="24"/>
        <v>3.2718337541706487E-3</v>
      </c>
      <c r="AE227" s="181">
        <f t="shared" si="22"/>
        <v>3.1539597092984373E-3</v>
      </c>
      <c r="AF227" s="181">
        <f t="shared" si="23"/>
        <v>3.0339501233789656E-3</v>
      </c>
    </row>
    <row r="228" spans="28:32" x14ac:dyDescent="0.2">
      <c r="AB228" s="183">
        <f>_xll.qlCalendarAdvance(Calendar,AB227,"1d","mf",,Trigger)</f>
        <v>42430</v>
      </c>
      <c r="AC228" s="169">
        <f>_xll.qlDayCounterYearFraction(DayCounter,SettlementDate,AB228,,,Trigger)</f>
        <v>0.88888888888888884</v>
      </c>
      <c r="AD228" s="181">
        <f t="shared" si="24"/>
        <v>3.2718337541706487E-3</v>
      </c>
      <c r="AE228" s="181">
        <f t="shared" si="22"/>
        <v>3.1530865682253095E-3</v>
      </c>
      <c r="AF228" s="181">
        <f t="shared" si="23"/>
        <v>3.0371182130614202E-3</v>
      </c>
    </row>
    <row r="229" spans="28:32" x14ac:dyDescent="0.2">
      <c r="AB229" s="183">
        <f>_xll.qlCalendarAdvance(Calendar,AB228,"1d","mf",,Trigger)</f>
        <v>42431</v>
      </c>
      <c r="AC229" s="169">
        <f>_xll.qlDayCounterYearFraction(DayCounter,SettlementDate,AB229,,,Trigger)</f>
        <v>0.89166666666666672</v>
      </c>
      <c r="AD229" s="181">
        <f t="shared" si="24"/>
        <v>3.2718337541706487E-3</v>
      </c>
      <c r="AE229" s="181">
        <f t="shared" si="22"/>
        <v>3.1522134271521822E-3</v>
      </c>
      <c r="AF229" s="181">
        <f t="shared" si="23"/>
        <v>3.0403312053078253E-3</v>
      </c>
    </row>
    <row r="230" spans="28:32" x14ac:dyDescent="0.2">
      <c r="AB230" s="183">
        <f>_xll.qlCalendarAdvance(Calendar,AB229,"1d","mf",,Trigger)</f>
        <v>42432</v>
      </c>
      <c r="AC230" s="169">
        <f>_xll.qlDayCounterYearFraction(DayCounter,SettlementDate,AB230,,,Trigger)</f>
        <v>0.89444444444444449</v>
      </c>
      <c r="AD230" s="181">
        <f t="shared" si="24"/>
        <v>3.2718337541706487E-3</v>
      </c>
      <c r="AE230" s="181">
        <f t="shared" si="22"/>
        <v>3.1513402860790544E-3</v>
      </c>
      <c r="AF230" s="181">
        <f t="shared" si="23"/>
        <v>3.0435891001181813E-3</v>
      </c>
    </row>
    <row r="231" spans="28:32" x14ac:dyDescent="0.2">
      <c r="AB231" s="183">
        <f>_xll.qlCalendarAdvance(Calendar,AB230,"1d","mf",,Trigger)</f>
        <v>42433</v>
      </c>
      <c r="AC231" s="169">
        <f>_xll.qlDayCounterYearFraction(DayCounter,SettlementDate,AB231,,,Trigger)</f>
        <v>0.89722222222222225</v>
      </c>
      <c r="AD231" s="181">
        <f t="shared" si="24"/>
        <v>3.2718337541706487E-3</v>
      </c>
      <c r="AE231" s="181">
        <f t="shared" si="22"/>
        <v>3.1504671450059271E-3</v>
      </c>
      <c r="AF231" s="181">
        <f t="shared" si="23"/>
        <v>3.0468918974924882E-3</v>
      </c>
    </row>
    <row r="232" spans="28:32" x14ac:dyDescent="0.2">
      <c r="AB232" s="183">
        <f>_xll.qlCalendarAdvance(Calendar,AB231,"1d","mf",,Trigger)</f>
        <v>42436</v>
      </c>
      <c r="AC232" s="169">
        <f>_xll.qlDayCounterYearFraction(DayCounter,SettlementDate,AB232,,,Trigger)</f>
        <v>0.90555555555555556</v>
      </c>
      <c r="AD232" s="181">
        <f t="shared" si="24"/>
        <v>3.2718337541706487E-3</v>
      </c>
      <c r="AE232" s="181">
        <f t="shared" si="22"/>
        <v>3.1478477217865447E-3</v>
      </c>
      <c r="AF232" s="181">
        <f t="shared" si="23"/>
        <v>3.0570697049991146E-3</v>
      </c>
    </row>
    <row r="233" spans="28:32" x14ac:dyDescent="0.2">
      <c r="AB233" s="183">
        <f>_xll.qlCalendarAdvance(Calendar,AB232,"1d","mf",,Trigger)</f>
        <v>42437</v>
      </c>
      <c r="AC233" s="169">
        <f>_xll.qlDayCounterYearFraction(DayCounter,SettlementDate,AB233,,,Trigger)</f>
        <v>0.90833333333333333</v>
      </c>
      <c r="AD233" s="181">
        <f t="shared" si="24"/>
        <v>3.2718337541706487E-3</v>
      </c>
      <c r="AE233" s="181">
        <f t="shared" si="22"/>
        <v>3.1469745807134169E-3</v>
      </c>
      <c r="AF233" s="181">
        <f t="shared" si="23"/>
        <v>3.0605521126292252E-3</v>
      </c>
    </row>
    <row r="234" spans="28:32" x14ac:dyDescent="0.2">
      <c r="AB234" s="183">
        <f>_xll.qlCalendarAdvance(Calendar,AB233,"1d","mf",,Trigger)</f>
        <v>42438</v>
      </c>
      <c r="AC234" s="169">
        <f>_xll.qlDayCounterYearFraction(DayCounter,SettlementDate,AB234,,,Trigger)</f>
        <v>0.91111111111111109</v>
      </c>
      <c r="AD234" s="181">
        <f t="shared" si="24"/>
        <v>3.2718337541706487E-3</v>
      </c>
      <c r="AE234" s="181">
        <f t="shared" si="22"/>
        <v>3.1461014396402896E-3</v>
      </c>
      <c r="AF234" s="181">
        <f t="shared" si="23"/>
        <v>3.0640794228232863E-3</v>
      </c>
    </row>
    <row r="235" spans="28:32" x14ac:dyDescent="0.2">
      <c r="AB235" s="183">
        <f>_xll.qlCalendarAdvance(Calendar,AB234,"1d","mf",,Trigger)</f>
        <v>42439</v>
      </c>
      <c r="AC235" s="169">
        <f>_xll.qlDayCounterYearFraction(DayCounter,SettlementDate,AB235,,,Trigger)</f>
        <v>0.91388888888888886</v>
      </c>
      <c r="AD235" s="181">
        <f t="shared" si="24"/>
        <v>3.2718337541706487E-3</v>
      </c>
      <c r="AE235" s="181">
        <f t="shared" si="22"/>
        <v>3.1452282985671622E-3</v>
      </c>
      <c r="AF235" s="181">
        <f t="shared" si="23"/>
        <v>3.0676516355812988E-3</v>
      </c>
    </row>
    <row r="236" spans="28:32" x14ac:dyDescent="0.2">
      <c r="AB236" s="183">
        <f>_xll.qlCalendarAdvance(Calendar,AB235,"1d","mf",,Trigger)</f>
        <v>42440</v>
      </c>
      <c r="AC236" s="169">
        <f>_xll.qlDayCounterYearFraction(DayCounter,SettlementDate,AB236,,,Trigger)</f>
        <v>0.91666666666666663</v>
      </c>
      <c r="AD236" s="181">
        <f t="shared" si="24"/>
        <v>3.2718337541706487E-3</v>
      </c>
      <c r="AE236" s="181">
        <f t="shared" si="22"/>
        <v>3.1443551574940345E-3</v>
      </c>
      <c r="AF236" s="181">
        <f t="shared" si="23"/>
        <v>3.0712687509032621E-3</v>
      </c>
    </row>
    <row r="237" spans="28:32" x14ac:dyDescent="0.2">
      <c r="AB237" s="183">
        <f>_xll.qlCalendarAdvance(Calendar,AB236,"1d","mf",,Trigger)</f>
        <v>42443</v>
      </c>
      <c r="AC237" s="169">
        <f>_xll.qlDayCounterYearFraction(DayCounter,SettlementDate,AB237,,,Trigger)</f>
        <v>0.92500000000000004</v>
      </c>
      <c r="AD237" s="181">
        <f t="shared" si="24"/>
        <v>3.2718337541706487E-3</v>
      </c>
      <c r="AE237" s="181">
        <f t="shared" si="22"/>
        <v>3.141735734274652E-3</v>
      </c>
      <c r="AF237" s="181">
        <f t="shared" si="23"/>
        <v>3.0823895122528574E-3</v>
      </c>
    </row>
    <row r="238" spans="28:32" x14ac:dyDescent="0.2">
      <c r="AB238" s="183">
        <f>_xll.qlCalendarAdvance(Calendar,AB237,"1d","mf",,Trigger)</f>
        <v>42444</v>
      </c>
      <c r="AC238" s="169">
        <f>_xll.qlDayCounterYearFraction(DayCounter,SettlementDate,AB238,,,Trigger)</f>
        <v>0.92777777777777781</v>
      </c>
      <c r="AD238" s="181">
        <f t="shared" si="24"/>
        <v>3.2718337541706487E-3</v>
      </c>
      <c r="AE238" s="181">
        <f t="shared" si="22"/>
        <v>3.1408625932015247E-3</v>
      </c>
      <c r="AF238" s="181">
        <f t="shared" si="23"/>
        <v>3.0861862378306244E-3</v>
      </c>
    </row>
    <row r="239" spans="28:32" x14ac:dyDescent="0.2">
      <c r="AB239" s="183">
        <f>_xll.qlCalendarAdvance(Calendar,AB238,"1d","mf",,Trigger)</f>
        <v>42445</v>
      </c>
      <c r="AC239" s="169">
        <f>_xll.qlDayCounterYearFraction(DayCounter,SettlementDate,AB239,,,Trigger)</f>
        <v>0.93055555555555558</v>
      </c>
      <c r="AD239" s="181">
        <f t="shared" si="24"/>
        <v>3.2718337541706487E-3</v>
      </c>
      <c r="AE239" s="181">
        <f t="shared" si="22"/>
        <v>3.1399894521283969E-3</v>
      </c>
      <c r="AF239" s="181">
        <f t="shared" si="23"/>
        <v>3.0900278659723424E-3</v>
      </c>
    </row>
    <row r="240" spans="28:32" x14ac:dyDescent="0.2">
      <c r="AB240" s="183">
        <f>_xll.qlCalendarAdvance(Calendar,AB239,"1d","mf",,Trigger)</f>
        <v>42446</v>
      </c>
      <c r="AC240" s="169">
        <f>_xll.qlDayCounterYearFraction(DayCounter,SettlementDate,AB240,,,Trigger)</f>
        <v>0.93333333333333335</v>
      </c>
      <c r="AD240" s="181">
        <f t="shared" si="24"/>
        <v>3.2718337541706487E-3</v>
      </c>
      <c r="AE240" s="181">
        <f t="shared" si="22"/>
        <v>3.1391163110552696E-3</v>
      </c>
      <c r="AF240" s="181">
        <f t="shared" si="23"/>
        <v>3.0939143966780113E-3</v>
      </c>
    </row>
    <row r="241" spans="28:32" x14ac:dyDescent="0.2">
      <c r="AB241" s="183">
        <f>_xll.qlCalendarAdvance(Calendar,AB240,"1d","mf",,Trigger)</f>
        <v>42447</v>
      </c>
      <c r="AC241" s="169">
        <f>_xll.qlDayCounterYearFraction(DayCounter,SettlementDate,AB241,,,Trigger)</f>
        <v>0.93611111111111112</v>
      </c>
      <c r="AD241" s="181">
        <f t="shared" si="24"/>
        <v>3.2718337541706487E-3</v>
      </c>
      <c r="AE241" s="181">
        <f t="shared" si="22"/>
        <v>3.1382431699821423E-3</v>
      </c>
      <c r="AF241" s="181">
        <f t="shared" si="23"/>
        <v>3.0978458299476311E-3</v>
      </c>
    </row>
    <row r="242" spans="28:32" x14ac:dyDescent="0.2">
      <c r="AB242" s="183">
        <f>_xll.qlCalendarAdvance(Calendar,AB241,"1d","mf",,Trigger)</f>
        <v>42450</v>
      </c>
      <c r="AC242" s="169">
        <f>_xll.qlDayCounterYearFraction(DayCounter,SettlementDate,AB242,,,Trigger)</f>
        <v>0.94444444444444442</v>
      </c>
      <c r="AD242" s="181">
        <f t="shared" si="24"/>
        <v>3.2718337541706487E-3</v>
      </c>
      <c r="AE242" s="181">
        <f t="shared" si="22"/>
        <v>3.1356237467627598E-3</v>
      </c>
      <c r="AF242" s="181">
        <f t="shared" si="23"/>
        <v>3.1099095451401952E-3</v>
      </c>
    </row>
    <row r="243" spans="28:32" x14ac:dyDescent="0.2">
      <c r="AB243" s="183">
        <f>_xll.qlCalendarAdvance(Calendar,AB242,"1d","mf",,Trigger)</f>
        <v>42451</v>
      </c>
      <c r="AC243" s="169">
        <f>_xll.qlDayCounterYearFraction(DayCounter,SettlementDate,AB243,,,Trigger)</f>
        <v>0.94722222222222219</v>
      </c>
      <c r="AD243" s="181">
        <f t="shared" si="24"/>
        <v>3.2718337541706487E-3</v>
      </c>
      <c r="AE243" s="181">
        <f t="shared" si="22"/>
        <v>3.1347506056896321E-3</v>
      </c>
      <c r="AF243" s="181">
        <f t="shared" si="23"/>
        <v>3.1140205886656188E-3</v>
      </c>
    </row>
    <row r="244" spans="28:32" x14ac:dyDescent="0.2">
      <c r="AB244" s="183">
        <f>_xll.qlCalendarAdvance(Calendar,AB243,"1d","mf",,Trigger)</f>
        <v>42452</v>
      </c>
      <c r="AC244" s="169">
        <f>_xll.qlDayCounterYearFraction(DayCounter,SettlementDate,AB244,,,Trigger)</f>
        <v>0.95</v>
      </c>
      <c r="AD244" s="181">
        <f t="shared" si="24"/>
        <v>3.2718337541706487E-3</v>
      </c>
      <c r="AE244" s="181">
        <f t="shared" si="22"/>
        <v>3.1338774646165047E-3</v>
      </c>
      <c r="AF244" s="181">
        <f t="shared" si="23"/>
        <v>3.1181765347549932E-3</v>
      </c>
    </row>
    <row r="245" spans="28:32" x14ac:dyDescent="0.2">
      <c r="AB245" s="183">
        <f>_xll.qlCalendarAdvance(Calendar,AB244,"1d","mf",,Trigger)</f>
        <v>42453</v>
      </c>
      <c r="AC245" s="169">
        <f>_xll.qlDayCounterYearFraction(DayCounter,SettlementDate,AB245,,,Trigger)</f>
        <v>0.95277777777777772</v>
      </c>
      <c r="AD245" s="181">
        <f t="shared" si="24"/>
        <v>3.2718337541706487E-3</v>
      </c>
      <c r="AE245" s="181">
        <f t="shared" si="22"/>
        <v>3.133004323543377E-3</v>
      </c>
      <c r="AF245" s="181">
        <f t="shared" si="23"/>
        <v>3.1223773834083176E-3</v>
      </c>
    </row>
    <row r="246" spans="28:32" x14ac:dyDescent="0.2">
      <c r="AB246" s="183">
        <f>_xll.qlCalendarAdvance(Calendar,AB245,"1d","mf",,Trigger)</f>
        <v>42458</v>
      </c>
      <c r="AC246" s="169">
        <f>_xll.qlDayCounterYearFraction(DayCounter,SettlementDate,AB246,,,Trigger)</f>
        <v>0.96666666666666667</v>
      </c>
      <c r="AD246" s="181">
        <f t="shared" si="24"/>
        <v>3.2718337541706487E-3</v>
      </c>
      <c r="AE246" s="181">
        <f t="shared" si="22"/>
        <v>3.1286386181777395E-3</v>
      </c>
      <c r="AF246" s="181">
        <f t="shared" si="23"/>
        <v>3.1440551651342069E-3</v>
      </c>
    </row>
    <row r="247" spans="28:32" x14ac:dyDescent="0.2">
      <c r="AB247" s="183">
        <f>_xll.qlCalendarAdvance(Calendar,AB246,"1d","mf",,Trigger)</f>
        <v>42459</v>
      </c>
      <c r="AC247" s="169">
        <f>_xll.qlDayCounterYearFraction(DayCounter,SettlementDate,AB247,,,Trigger)</f>
        <v>0.96944444444444444</v>
      </c>
      <c r="AD247" s="181">
        <f t="shared" si="24"/>
        <v>3.2718337541706487E-3</v>
      </c>
      <c r="AE247" s="181">
        <f t="shared" si="22"/>
        <v>3.1277654771046121E-3</v>
      </c>
      <c r="AF247" s="181">
        <f t="shared" si="23"/>
        <v>3.1485254291712377E-3</v>
      </c>
    </row>
    <row r="248" spans="28:32" x14ac:dyDescent="0.2">
      <c r="AB248" s="183">
        <f>_xll.qlCalendarAdvance(Calendar,AB247,"1d","mf",,Trigger)</f>
        <v>42460</v>
      </c>
      <c r="AC248" s="169">
        <f>_xll.qlDayCounterYearFraction(DayCounter,SettlementDate,AB248,,,Trigger)</f>
        <v>0.97222222222222221</v>
      </c>
      <c r="AD248" s="181">
        <f t="shared" si="24"/>
        <v>3.2718337541706487E-3</v>
      </c>
      <c r="AE248" s="181">
        <f t="shared" si="22"/>
        <v>3.1268923360314848E-3</v>
      </c>
      <c r="AF248" s="181">
        <f t="shared" si="23"/>
        <v>3.1530405957722195E-3</v>
      </c>
    </row>
    <row r="249" spans="28:32" x14ac:dyDescent="0.2">
      <c r="AB249" s="183">
        <f>_xll.qlCalendarAdvance(Calendar,AB248,"1d","mf",,Trigger)</f>
        <v>42461</v>
      </c>
      <c r="AC249" s="169">
        <f>_xll.qlDayCounterYearFraction(DayCounter,SettlementDate,AB249,,,Trigger)</f>
        <v>0.97499999999999998</v>
      </c>
      <c r="AD249" s="181">
        <f t="shared" si="24"/>
        <v>3.2718337541706487E-3</v>
      </c>
      <c r="AE249" s="181">
        <f t="shared" si="22"/>
        <v>3.126019194958357E-3</v>
      </c>
      <c r="AF249" s="181">
        <f t="shared" si="23"/>
        <v>3.1576006649371518E-3</v>
      </c>
    </row>
    <row r="250" spans="28:32" x14ac:dyDescent="0.2">
      <c r="AB250" s="183">
        <f>_xll.qlCalendarAdvance(Calendar,AB249,"1d","mf",,Trigger)</f>
        <v>42464</v>
      </c>
      <c r="AC250" s="169">
        <f>_xll.qlDayCounterYearFraction(DayCounter,SettlementDate,AB250,,,Trigger)</f>
        <v>0.98333333333333328</v>
      </c>
      <c r="AD250" s="181">
        <f t="shared" si="24"/>
        <v>3.2718337541706487E-3</v>
      </c>
      <c r="AE250" s="181">
        <f t="shared" si="22"/>
        <v>3.1233997717389746E-3</v>
      </c>
      <c r="AF250" s="181">
        <f t="shared" si="23"/>
        <v>3.1715502878156541E-3</v>
      </c>
    </row>
    <row r="251" spans="28:32" x14ac:dyDescent="0.2">
      <c r="AB251" s="183">
        <f>_xll.qlCalendarAdvance(Calendar,AB250,"1d","mf",,Trigger)</f>
        <v>42465</v>
      </c>
      <c r="AC251" s="169">
        <f>_xll.qlDayCounterYearFraction(DayCounter,SettlementDate,AB251,,,Trigger)</f>
        <v>0.98611111111111116</v>
      </c>
      <c r="AD251" s="181">
        <f t="shared" si="24"/>
        <v>3.2718337541706487E-3</v>
      </c>
      <c r="AE251" s="181">
        <f t="shared" si="22"/>
        <v>3.1225266306658473E-3</v>
      </c>
      <c r="AF251" s="181">
        <f t="shared" si="23"/>
        <v>3.1762899672363905E-3</v>
      </c>
    </row>
    <row r="252" spans="28:32" x14ac:dyDescent="0.2">
      <c r="AB252" s="183">
        <f>_xll.qlCalendarAdvance(Calendar,AB251,"1d","mf",,Trigger)</f>
        <v>42466</v>
      </c>
      <c r="AC252" s="169">
        <f>_xll.qlDayCounterYearFraction(DayCounter,SettlementDate,AB252,,,Trigger)</f>
        <v>0.98888888888888893</v>
      </c>
      <c r="AD252" s="181">
        <f t="shared" si="24"/>
        <v>3.2718337541706487E-3</v>
      </c>
      <c r="AE252" s="181">
        <f t="shared" ref="AE252:AE257" si="25">$S$10+$S$9*AC252</f>
        <v>3.1216534895927199E-3</v>
      </c>
      <c r="AF252" s="181">
        <f t="shared" ref="AF252:AF257" si="26">($S$5+$S$4*AC252+$S$3*AC252^2)</f>
        <v>3.1810745492210769E-3</v>
      </c>
    </row>
    <row r="253" spans="28:32" x14ac:dyDescent="0.2">
      <c r="AB253" s="183">
        <f>_xll.qlCalendarAdvance(Calendar,AB252,"1d","mf",,Trigger)</f>
        <v>42467</v>
      </c>
      <c r="AC253" s="169">
        <f>_xll.qlDayCounterYearFraction(DayCounter,SettlementDate,AB253,,,Trigger)</f>
        <v>0.9916666666666667</v>
      </c>
      <c r="AD253" s="181">
        <f t="shared" si="24"/>
        <v>3.2718337541706487E-3</v>
      </c>
      <c r="AE253" s="181">
        <f t="shared" si="25"/>
        <v>3.1207803485195922E-3</v>
      </c>
      <c r="AF253" s="181">
        <f t="shared" si="26"/>
        <v>3.1859040337697151E-3</v>
      </c>
    </row>
    <row r="254" spans="28:32" x14ac:dyDescent="0.2">
      <c r="AB254" s="183">
        <f>_xll.qlCalendarAdvance(Calendar,AB253,"1d","mf",,Trigger)</f>
        <v>42468</v>
      </c>
      <c r="AC254" s="169">
        <f>_xll.qlDayCounterYearFraction(DayCounter,SettlementDate,AB254,,,Trigger)</f>
        <v>0.99444444444444446</v>
      </c>
      <c r="AD254" s="181">
        <f t="shared" si="24"/>
        <v>3.2718337541706487E-3</v>
      </c>
      <c r="AE254" s="181">
        <f t="shared" si="25"/>
        <v>3.1199072074464648E-3</v>
      </c>
      <c r="AF254" s="181">
        <f t="shared" si="26"/>
        <v>3.1907784208823034E-3</v>
      </c>
    </row>
    <row r="255" spans="28:32" x14ac:dyDescent="0.2">
      <c r="AB255" s="183">
        <f>_xll.qlCalendarAdvance(Calendar,AB254,"1d","mf",,Trigger)</f>
        <v>42471</v>
      </c>
      <c r="AC255" s="169">
        <f>_xll.qlDayCounterYearFraction(DayCounter,SettlementDate,AB255,,,Trigger)</f>
        <v>1.0027777777777778</v>
      </c>
      <c r="AD255" s="181">
        <f t="shared" si="24"/>
        <v>3.2718337541706487E-3</v>
      </c>
      <c r="AE255" s="181">
        <f t="shared" si="25"/>
        <v>3.1172877842270824E-3</v>
      </c>
      <c r="AF255" s="181">
        <f t="shared" si="26"/>
        <v>3.2056709976037755E-3</v>
      </c>
    </row>
    <row r="256" spans="28:32" x14ac:dyDescent="0.2">
      <c r="AB256" s="183">
        <f>_xll.qlCalendarAdvance(Calendar,AB255,"1d","mf",,Trigger)</f>
        <v>42472</v>
      </c>
      <c r="AC256" s="169">
        <f>_xll.qlDayCounterYearFraction(DayCounter,SettlementDate,AB256,,,Trigger)</f>
        <v>1.0055555555555555</v>
      </c>
      <c r="AD256" s="181">
        <f t="shared" si="24"/>
        <v>3.2718337541706487E-3</v>
      </c>
      <c r="AE256" s="181">
        <f t="shared" si="25"/>
        <v>3.1164146431539546E-3</v>
      </c>
      <c r="AF256" s="181">
        <f t="shared" si="26"/>
        <v>3.2107249949721679E-3</v>
      </c>
    </row>
    <row r="257" spans="28:32" x14ac:dyDescent="0.2">
      <c r="AB257" s="187">
        <f>_xll.qlCalendarAdvance(Calendar,AB256,"1d","mf",,Trigger)</f>
        <v>42473</v>
      </c>
      <c r="AC257" s="174">
        <f>_xll.qlDayCounterYearFraction(DayCounter,SettlementDate,AB257,,,Trigger)</f>
        <v>1.0083333333333333</v>
      </c>
      <c r="AD257" s="190">
        <f t="shared" si="24"/>
        <v>3.2718337541706487E-3</v>
      </c>
      <c r="AE257" s="190">
        <f t="shared" si="25"/>
        <v>3.1155415020808273E-3</v>
      </c>
      <c r="AF257" s="190">
        <f t="shared" si="26"/>
        <v>3.2158238949045108E-3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221" bestFit="1" customWidth="1"/>
    <col min="2" max="2" width="20.1640625" style="221" customWidth="1"/>
    <col min="3" max="3" width="17.6640625" style="221" hidden="1" customWidth="1" outlineLevel="1"/>
    <col min="4" max="4" width="20.1640625" style="221" customWidth="1" collapsed="1"/>
    <col min="5" max="5" width="20.1640625" style="221" customWidth="1"/>
    <col min="6" max="8" width="10.5" style="221" bestFit="1" customWidth="1"/>
    <col min="9" max="9" width="17.6640625" style="221" bestFit="1" customWidth="1"/>
    <col min="10" max="10" width="9.33203125" style="221"/>
    <col min="11" max="15" width="9.33203125" style="222"/>
    <col min="16" max="16" width="2.83203125" style="221" customWidth="1"/>
    <col min="17" max="17" width="27.5" style="221" bestFit="1" customWidth="1"/>
    <col min="18" max="18" width="20.1640625" style="221" hidden="1" customWidth="1"/>
    <col min="19" max="19" width="20.1640625" style="221" bestFit="1" customWidth="1"/>
    <col min="20" max="20" width="20.1640625" style="221" customWidth="1"/>
    <col min="21" max="21" width="20.1640625" style="221" hidden="1" customWidth="1"/>
    <col min="22" max="22" width="10" style="221" bestFit="1" customWidth="1"/>
    <col min="23" max="23" width="9.33203125" style="221" customWidth="1"/>
    <col min="24" max="24" width="10" style="221" bestFit="1" customWidth="1"/>
    <col min="25" max="25" width="9.33203125" style="221"/>
    <col min="26" max="26" width="2.83203125" style="221" customWidth="1"/>
    <col min="27" max="16384" width="9.33203125" style="221"/>
  </cols>
  <sheetData>
    <row r="1" spans="1:29" ht="22.5" x14ac:dyDescent="0.2">
      <c r="A1" s="220"/>
      <c r="B1" s="220" t="s">
        <v>90</v>
      </c>
      <c r="C1" s="220"/>
      <c r="D1" s="220" t="s">
        <v>91</v>
      </c>
      <c r="E1" s="220" t="s">
        <v>92</v>
      </c>
      <c r="F1" s="220" t="s">
        <v>34</v>
      </c>
      <c r="G1" s="220" t="s">
        <v>93</v>
      </c>
      <c r="H1" s="220" t="s">
        <v>94</v>
      </c>
    </row>
    <row r="2" spans="1:29" x14ac:dyDescent="0.2">
      <c r="A2" s="225">
        <v>0</v>
      </c>
      <c r="B2" s="226">
        <f>_xll.qlInterestRateIndexFixingDate(IborIndex1Y,D2)</f>
        <v>42108</v>
      </c>
      <c r="C2" s="225" t="str">
        <f>_xll.qlMakeDatedOIS(,D2,E2,OvernightIndex,0,DayCounter,0)</f>
        <v>obj_005fe#0001</v>
      </c>
      <c r="D2" s="226">
        <f>_xll.qlCalendarAdvance(Calendar,SettlementDate,A2&amp;"M","mf")</f>
        <v>42110</v>
      </c>
      <c r="E2" s="226">
        <f>_xll.qlInterestRateIndexMaturity(IborIndex1Y,D2)</f>
        <v>42478</v>
      </c>
      <c r="F2" s="227">
        <f>_xll.qlOvernightIndexedSwapFairRate(C2,_xll.ohTrigger(InterestRatesTrigger))</f>
        <v>-1.4425017208157327E-3</v>
      </c>
      <c r="G2" s="228">
        <f>_xll.qlInterpolationInterpolate(BasisInterpolator,D2,TRUE,F2)</f>
        <v>3.2724787440851456E-3</v>
      </c>
      <c r="H2" s="227">
        <f t="shared" ref="H2:H33" si="0">F2+G2</f>
        <v>1.8299770232694129E-3</v>
      </c>
      <c r="AA2" s="223"/>
      <c r="AB2" s="223"/>
      <c r="AC2" s="224"/>
    </row>
    <row r="3" spans="1:29" x14ac:dyDescent="0.2">
      <c r="A3" s="229">
        <v>1</v>
      </c>
      <c r="B3" s="230">
        <f>_xll.qlInterestRateIndexFixingDate(IborIndex1Y,D3)</f>
        <v>42138</v>
      </c>
      <c r="C3" s="229" t="str">
        <f>_xll.qlMakeDatedOIS(,D3,E3,OvernightIndex,0,DayCounter,0)</f>
        <v>obj_005d9#0001</v>
      </c>
      <c r="D3" s="230">
        <f>_xll.qlCalendarAdvance(Calendar,SettlementDate,A3&amp;"M","mf")</f>
        <v>42142</v>
      </c>
      <c r="E3" s="230">
        <f>_xll.qlInterestRateIndexMaturity(IborIndex1Y,D3)</f>
        <v>42508</v>
      </c>
      <c r="F3" s="231">
        <f>_xll.qlOvernightIndexedSwapFairRate(C3,_xll.ohTrigger(InterestRatesTrigger))</f>
        <v>-1.5133948003554492E-3</v>
      </c>
      <c r="G3" s="232">
        <f>_xll.qlInterpolationInterpolate(BasisInterpolator,D3,TRUE,F3)</f>
        <v>3.2598163037481408E-3</v>
      </c>
      <c r="H3" s="231">
        <f t="shared" si="0"/>
        <v>1.7464215033926916E-3</v>
      </c>
      <c r="AA3" s="223"/>
      <c r="AB3" s="223"/>
      <c r="AC3" s="224"/>
    </row>
    <row r="4" spans="1:29" x14ac:dyDescent="0.2">
      <c r="A4" s="229">
        <v>2</v>
      </c>
      <c r="B4" s="230">
        <f>_xll.qlInterestRateIndexFixingDate(IborIndex1Y,D4)</f>
        <v>42167</v>
      </c>
      <c r="C4" s="229" t="str">
        <f>_xll.qlMakeDatedOIS(,D4,E4,OvernightIndex,0,DayCounter,0)</f>
        <v>obj_005f5#0001</v>
      </c>
      <c r="D4" s="230">
        <f>_xll.qlCalendarAdvance(Calendar,SettlementDate,A4&amp;"M","mf")</f>
        <v>42171</v>
      </c>
      <c r="E4" s="230">
        <f>_xll.qlInterestRateIndexMaturity(IborIndex1Y,D4)</f>
        <v>42537</v>
      </c>
      <c r="F4" s="231">
        <f>_xll.qlOvernightIndexedSwapFairRate(C4,_xll.ohTrigger(InterestRatesTrigger))</f>
        <v>-1.5685731572138463E-3</v>
      </c>
      <c r="G4" s="232">
        <f>_xll.qlInterpolationInterpolate(BasisInterpolator,D4,TRUE,F4)</f>
        <v>3.2486451993071932E-3</v>
      </c>
      <c r="H4" s="231">
        <f t="shared" si="0"/>
        <v>1.6800720420933469E-3</v>
      </c>
      <c r="AA4" s="223"/>
      <c r="AB4" s="223"/>
      <c r="AC4" s="224"/>
    </row>
    <row r="5" spans="1:29" x14ac:dyDescent="0.2">
      <c r="A5" s="229">
        <v>3</v>
      </c>
      <c r="B5" s="230">
        <f>_xll.qlInterestRateIndexFixingDate(IborIndex1Y,D5)</f>
        <v>42199</v>
      </c>
      <c r="C5" s="229" t="str">
        <f>_xll.qlMakeDatedOIS(,D5,E5,OvernightIndex,0,DayCounter,0)</f>
        <v>obj_005fd#0001</v>
      </c>
      <c r="D5" s="230">
        <f>_xll.qlCalendarAdvance(Calendar,SettlementDate,A5&amp;"M","mf")</f>
        <v>42201</v>
      </c>
      <c r="E5" s="230">
        <f>_xll.qlInterestRateIndexMaturity(IborIndex1Y,D5)</f>
        <v>42569</v>
      </c>
      <c r="F5" s="231">
        <f>_xll.qlOvernightIndexedSwapFairRate(C5,_xll.ohTrigger(InterestRatesTrigger))</f>
        <v>-1.6028377337832639E-3</v>
      </c>
      <c r="G5" s="232">
        <f>_xll.qlInterpolationInterpolate(BasisInterpolator,D5,TRUE,F5)</f>
        <v>3.23769114623203E-3</v>
      </c>
      <c r="H5" s="231">
        <f t="shared" si="0"/>
        <v>1.634853412448766E-3</v>
      </c>
      <c r="AA5" s="223"/>
      <c r="AB5" s="223"/>
      <c r="AC5" s="224"/>
    </row>
    <row r="6" spans="1:29" x14ac:dyDescent="0.2">
      <c r="A6" s="229">
        <v>4</v>
      </c>
      <c r="B6" s="230">
        <f>_xll.qlInterestRateIndexFixingDate(IborIndex1Y,D6)</f>
        <v>42229</v>
      </c>
      <c r="C6" s="229" t="str">
        <f>_xll.qlMakeDatedOIS(,D6,E6,OvernightIndex,0,DayCounter,0)</f>
        <v>obj_005f1#0001</v>
      </c>
      <c r="D6" s="230">
        <f>_xll.qlCalendarAdvance(Calendar,SettlementDate,A6&amp;"M","mf")</f>
        <v>42233</v>
      </c>
      <c r="E6" s="230">
        <f>_xll.qlInterestRateIndexMaturity(IborIndex1Y,D6)</f>
        <v>42599</v>
      </c>
      <c r="F6" s="231">
        <f>_xll.qlOvernightIndexedSwapFairRate(C6,_xll.ohTrigger(InterestRatesTrigger))</f>
        <v>-1.6274629761014287E-3</v>
      </c>
      <c r="G6" s="232">
        <f>_xll.qlInterpolationInterpolate(BasisInterpolator,D6,TRUE,F6)</f>
        <v>3.2270157706086391E-3</v>
      </c>
      <c r="H6" s="231">
        <f t="shared" si="0"/>
        <v>1.5995527945072104E-3</v>
      </c>
      <c r="AA6" s="223"/>
      <c r="AB6" s="223"/>
      <c r="AC6" s="224"/>
    </row>
    <row r="7" spans="1:29" x14ac:dyDescent="0.2">
      <c r="A7" s="229">
        <v>5</v>
      </c>
      <c r="B7" s="230">
        <f>_xll.qlInterestRateIndexFixingDate(IborIndex1Y,D7)</f>
        <v>42261</v>
      </c>
      <c r="C7" s="229" t="str">
        <f>_xll.qlMakeDatedOIS(,D7,E7,OvernightIndex,0,DayCounter,0)</f>
        <v>obj_005f0#0001</v>
      </c>
      <c r="D7" s="230">
        <f>_xll.qlCalendarAdvance(Calendar,SettlementDate,A7&amp;"M","mf")</f>
        <v>42263</v>
      </c>
      <c r="E7" s="230">
        <f>_xll.qlInterestRateIndexMaturity(IborIndex1Y,D7)</f>
        <v>42629</v>
      </c>
      <c r="F7" s="231">
        <f>_xll.qlOvernightIndexedSwapFairRate(C7,_xll.ohTrigger(InterestRatesTrigger))</f>
        <v>-1.6488099230272926E-3</v>
      </c>
      <c r="G7" s="232">
        <f>_xll.qlInterpolationInterpolate(BasisInterpolator,D7,TRUE,F7)</f>
        <v>3.2182699370641174E-3</v>
      </c>
      <c r="H7" s="231">
        <f t="shared" si="0"/>
        <v>1.5694600140368248E-3</v>
      </c>
      <c r="AA7" s="223"/>
      <c r="AB7" s="223"/>
      <c r="AC7" s="224"/>
    </row>
    <row r="8" spans="1:29" x14ac:dyDescent="0.2">
      <c r="A8" s="229">
        <v>6</v>
      </c>
      <c r="B8" s="230">
        <f>_xll.qlInterestRateIndexFixingDate(IborIndex1Y,D8)</f>
        <v>42291</v>
      </c>
      <c r="C8" s="229" t="str">
        <f>_xll.qlMakeDatedOIS(,D8,E8,OvernightIndex,0,DayCounter,0)</f>
        <v>obj_005e1#0001</v>
      </c>
      <c r="D8" s="230">
        <f>_xll.qlCalendarAdvance(Calendar,SettlementDate,A8&amp;"M","mf")</f>
        <v>42293</v>
      </c>
      <c r="E8" s="230">
        <f>_xll.qlInterestRateIndexMaturity(IborIndex1Y,D8)</f>
        <v>42660</v>
      </c>
      <c r="F8" s="231">
        <f>_xll.qlOvernightIndexedSwapFairRate(C8,_xll.ohTrigger(InterestRatesTrigger))</f>
        <v>-1.6748059897794259E-3</v>
      </c>
      <c r="G8" s="232">
        <f>_xll.qlInterpolationInterpolate(BasisInterpolator,D8,TRUE,F8)</f>
        <v>3.2110519491098345E-3</v>
      </c>
      <c r="H8" s="231">
        <f t="shared" si="0"/>
        <v>1.5362459593304086E-3</v>
      </c>
      <c r="AA8" s="223"/>
      <c r="AB8" s="223"/>
      <c r="AC8" s="224"/>
    </row>
    <row r="9" spans="1:29" x14ac:dyDescent="0.2">
      <c r="A9" s="229">
        <v>7</v>
      </c>
      <c r="B9" s="230">
        <f>_xll.qlInterestRateIndexFixingDate(IborIndex1Y,D9)</f>
        <v>42320</v>
      </c>
      <c r="C9" s="229" t="str">
        <f>_xll.qlMakeDatedOIS(,D9,E9,OvernightIndex,0,DayCounter,0)</f>
        <v>obj_005fa#0001</v>
      </c>
      <c r="D9" s="230">
        <f>_xll.qlCalendarAdvance(Calendar,SettlementDate,A9&amp;"M","mf")</f>
        <v>42324</v>
      </c>
      <c r="E9" s="230">
        <f>_xll.qlInterestRateIndexMaturity(IborIndex1Y,D9)</f>
        <v>42690</v>
      </c>
      <c r="F9" s="231">
        <f>_xll.qlOvernightIndexedSwapFairRate(C9,_xll.ohTrigger(InterestRatesTrigger))</f>
        <v>-1.7011620584950027E-3</v>
      </c>
      <c r="G9" s="232">
        <f>_xll.qlInterpolationInterpolate(BasisInterpolator,D9,TRUE,F9)</f>
        <v>3.2055166680278178E-3</v>
      </c>
      <c r="H9" s="231">
        <f t="shared" si="0"/>
        <v>1.5043546095328151E-3</v>
      </c>
      <c r="I9" s="224"/>
      <c r="AA9" s="223"/>
      <c r="AB9" s="223"/>
      <c r="AC9" s="224"/>
    </row>
    <row r="10" spans="1:29" x14ac:dyDescent="0.2">
      <c r="A10" s="229">
        <v>8</v>
      </c>
      <c r="B10" s="230">
        <f>_xll.qlInterestRateIndexFixingDate(IborIndex1Y,D10)</f>
        <v>42352</v>
      </c>
      <c r="C10" s="229" t="str">
        <f>_xll.qlMakeDatedOIS(,D10,E10,OvernightIndex,0,DayCounter,0)</f>
        <v>obj_005e6#0001</v>
      </c>
      <c r="D10" s="230">
        <f>_xll.qlCalendarAdvance(Calendar,SettlementDate,A10&amp;"M","mf")</f>
        <v>42354</v>
      </c>
      <c r="E10" s="230">
        <f>_xll.qlInterestRateIndexMaturity(IborIndex1Y,D10)</f>
        <v>42720</v>
      </c>
      <c r="F10" s="231">
        <f>_xll.qlOvernightIndexedSwapFairRate(C10,_xll.ohTrigger(InterestRatesTrigger))</f>
        <v>-1.7195417586983294E-3</v>
      </c>
      <c r="G10" s="232">
        <f>_xll.qlInterpolationInterpolate(BasisInterpolator,D10,TRUE,F10)</f>
        <v>3.2023291633697009E-3</v>
      </c>
      <c r="H10" s="231">
        <f t="shared" si="0"/>
        <v>1.4827874046713714E-3</v>
      </c>
      <c r="I10" s="224"/>
      <c r="AA10" s="223"/>
      <c r="AB10" s="223"/>
      <c r="AC10" s="224"/>
    </row>
    <row r="11" spans="1:29" x14ac:dyDescent="0.2">
      <c r="A11" s="229">
        <v>9</v>
      </c>
      <c r="B11" s="230">
        <f>_xll.qlInterestRateIndexFixingDate(IborIndex1Y,D11)</f>
        <v>42383</v>
      </c>
      <c r="C11" s="229" t="str">
        <f>_xll.qlMakeDatedOIS(,D11,E11,OvernightIndex,0,DayCounter,0)</f>
        <v>obj_005f9#0001</v>
      </c>
      <c r="D11" s="230">
        <f>_xll.qlCalendarAdvance(Calendar,SettlementDate,A11&amp;"M","mf")</f>
        <v>42387</v>
      </c>
      <c r="E11" s="230">
        <f>_xll.qlInterestRateIndexMaturity(IborIndex1Y,D11)</f>
        <v>42753</v>
      </c>
      <c r="F11" s="231">
        <f>_xll.qlOvernightIndexedSwapFairRate(C11,_xll.ohTrigger(InterestRatesTrigger))</f>
        <v>-1.7324868637726577E-3</v>
      </c>
      <c r="G11" s="232">
        <f>_xll.qlInterpolationInterpolate(BasisInterpolator,D11,TRUE,F11)</f>
        <v>3.2016486736437971E-3</v>
      </c>
      <c r="H11" s="231">
        <f t="shared" si="0"/>
        <v>1.4691618098711394E-3</v>
      </c>
      <c r="I11" s="224"/>
      <c r="AA11" s="223"/>
      <c r="AB11" s="223"/>
      <c r="AC11" s="224"/>
    </row>
    <row r="12" spans="1:29" x14ac:dyDescent="0.2">
      <c r="A12" s="229">
        <v>10</v>
      </c>
      <c r="B12" s="230">
        <f>_xll.qlInterestRateIndexFixingDate(IborIndex1Y,D12)</f>
        <v>42412</v>
      </c>
      <c r="C12" s="229" t="str">
        <f>_xll.qlMakeDatedOIS(,D12,E12,OvernightIndex,0,DayCounter,0)</f>
        <v>obj_005f2#0001</v>
      </c>
      <c r="D12" s="230">
        <f>_xll.qlCalendarAdvance(Calendar,SettlementDate,A12&amp;"M","mf")</f>
        <v>42416</v>
      </c>
      <c r="E12" s="230">
        <f>_xll.qlInterestRateIndexMaturity(IborIndex1Y,D12)</f>
        <v>42782</v>
      </c>
      <c r="F12" s="231">
        <f>_xll.qlOvernightIndexedSwapFairRate(C12,_xll.ohTrigger(InterestRatesTrigger))</f>
        <v>-1.727688968441243E-3</v>
      </c>
      <c r="G12" s="232">
        <f>_xll.qlInterpolationInterpolate(BasisInterpolator,D12,TRUE,F12)</f>
        <v>3.2038003938451957E-3</v>
      </c>
      <c r="H12" s="231">
        <f t="shared" si="0"/>
        <v>1.4761114254039527E-3</v>
      </c>
      <c r="I12" s="224"/>
      <c r="AA12" s="223"/>
      <c r="AB12" s="223"/>
      <c r="AC12" s="224"/>
    </row>
    <row r="13" spans="1:29" x14ac:dyDescent="0.2">
      <c r="A13" s="233">
        <v>11</v>
      </c>
      <c r="B13" s="234">
        <f>_xll.qlInterestRateIndexFixingDate(IborIndex1Y,D13)</f>
        <v>42443</v>
      </c>
      <c r="C13" s="233" t="str">
        <f>_xll.qlMakeDatedOIS(,D13,E13,OvernightIndex,0,DayCounter,0)</f>
        <v>obj_005d8#0001</v>
      </c>
      <c r="D13" s="234">
        <f>_xll.qlCalendarAdvance(Calendar,SettlementDate,A13&amp;"M","mf")</f>
        <v>42445</v>
      </c>
      <c r="E13" s="234">
        <f>_xll.qlInterestRateIndexMaturity(IborIndex1Y,D13)</f>
        <v>42810</v>
      </c>
      <c r="F13" s="235">
        <f>_xll.qlOvernightIndexedSwapFairRate(C13,_xll.ohTrigger(InterestRatesTrigger))</f>
        <v>-1.7174626400986224E-3</v>
      </c>
      <c r="G13" s="236">
        <f>_xll.qlInterpolationInterpolate(BasisInterpolator,D13,TRUE,F13)</f>
        <v>3.2088074876941292E-3</v>
      </c>
      <c r="H13" s="235">
        <f t="shared" si="0"/>
        <v>1.4913448475955067E-3</v>
      </c>
      <c r="I13" s="224"/>
      <c r="AA13" s="223"/>
      <c r="AB13" s="223"/>
      <c r="AC13" s="224"/>
    </row>
    <row r="14" spans="1:29" x14ac:dyDescent="0.2">
      <c r="A14" s="225">
        <v>12</v>
      </c>
      <c r="B14" s="226">
        <f>_xll.qlInterestRateIndexFixingDate(IborIndex1Y,D14)</f>
        <v>42474</v>
      </c>
      <c r="C14" s="225" t="str">
        <f>_xll.qlMakeDatedOIS(,D14,E14,OvernightIndex,0,DayCounter,0)</f>
        <v>obj_005ec#0001</v>
      </c>
      <c r="D14" s="226">
        <f>_xll.qlCalendarAdvance(Calendar,SettlementDate,A14&amp;"M","mf")</f>
        <v>42478</v>
      </c>
      <c r="E14" s="226">
        <f>_xll.qlInterestRateIndexMaturity(IborIndex1Y,D14)</f>
        <v>42843</v>
      </c>
      <c r="F14" s="227">
        <f>_xll.qlOvernightIndexedSwapFairRate(C14,_xll.ohTrigger(InterestRatesTrigger))</f>
        <v>-1.6983228208736481E-3</v>
      </c>
      <c r="G14" s="228">
        <f>_xll.qlInterpolationInterpolate(BasisInterpolator,D14,TRUE,F14)</f>
        <v>3.2183228208737509E-3</v>
      </c>
      <c r="H14" s="227">
        <f t="shared" si="0"/>
        <v>1.5200000000001029E-3</v>
      </c>
      <c r="I14" s="224"/>
      <c r="AA14" s="223"/>
      <c r="AB14" s="223"/>
      <c r="AC14" s="224"/>
    </row>
    <row r="15" spans="1:29" x14ac:dyDescent="0.2">
      <c r="A15" s="229">
        <v>13</v>
      </c>
      <c r="B15" s="230">
        <f>_xll.qlInterestRateIndexFixingDate(IborIndex1Y,D15)</f>
        <v>42502</v>
      </c>
      <c r="C15" s="229" t="str">
        <f>_xll.qlMakeDatedOIS(,D15,E15,OvernightIndex,0,DayCounter,0)</f>
        <v>obj_00604#0001</v>
      </c>
      <c r="D15" s="230">
        <f>_xll.qlCalendarAdvance(Calendar,SettlementDate,A15&amp;"M","mf")</f>
        <v>42506</v>
      </c>
      <c r="E15" s="230">
        <f>_xll.qlInterestRateIndexMaturity(IborIndex1Y,D15)</f>
        <v>42871</v>
      </c>
      <c r="F15" s="231">
        <f>_xll.qlOvernightIndexedSwapFairRate(C15,_xll.ohTrigger(InterestRatesTrigger))</f>
        <v>-1.6766650379493205E-3</v>
      </c>
      <c r="G15" s="232">
        <f>_xll.qlInterpolationInterpolate(BasisInterpolator,D15,TRUE,F15)</f>
        <v>3.2297767145379299E-3</v>
      </c>
      <c r="H15" s="231">
        <f t="shared" si="0"/>
        <v>1.5531116765886094E-3</v>
      </c>
      <c r="I15" s="224"/>
      <c r="AA15" s="223"/>
      <c r="AB15" s="223"/>
      <c r="AC15" s="224"/>
    </row>
    <row r="16" spans="1:29" x14ac:dyDescent="0.2">
      <c r="A16" s="229">
        <v>14</v>
      </c>
      <c r="B16" s="230">
        <f>_xll.qlInterestRateIndexFixingDate(IborIndex1Y,D16)</f>
        <v>42535</v>
      </c>
      <c r="C16" s="229" t="str">
        <f>_xll.qlMakeDatedOIS(,D16,E16,OvernightIndex,0,DayCounter,0)</f>
        <v>obj_005ef#0001</v>
      </c>
      <c r="D16" s="230">
        <f>_xll.qlCalendarAdvance(Calendar,SettlementDate,A16&amp;"M","mf")</f>
        <v>42537</v>
      </c>
      <c r="E16" s="230">
        <f>_xll.qlInterestRateIndexMaturity(IborIndex1Y,D16)</f>
        <v>42902</v>
      </c>
      <c r="F16" s="231">
        <f>_xll.qlOvernightIndexedSwapFairRate(C16,_xll.ohTrigger(InterestRatesTrigger))</f>
        <v>-1.6440481440711467E-3</v>
      </c>
      <c r="G16" s="232">
        <f>_xll.qlInterpolationInterpolate(BasisInterpolator,D16,TRUE,F16)</f>
        <v>3.2458270135355682E-3</v>
      </c>
      <c r="H16" s="231">
        <f t="shared" si="0"/>
        <v>1.6017788694644216E-3</v>
      </c>
      <c r="I16" s="224"/>
      <c r="AA16" s="223"/>
      <c r="AB16" s="223"/>
      <c r="AC16" s="224"/>
    </row>
    <row r="17" spans="1:29" x14ac:dyDescent="0.2">
      <c r="A17" s="229">
        <v>15</v>
      </c>
      <c r="B17" s="230">
        <f>_xll.qlInterestRateIndexFixingDate(IborIndex1Y,D17)</f>
        <v>42565</v>
      </c>
      <c r="C17" s="229" t="str">
        <f>_xll.qlMakeDatedOIS(,D17,E17,OvernightIndex,0,DayCounter,0)</f>
        <v>obj_005e4#0001</v>
      </c>
      <c r="D17" s="230">
        <f>_xll.qlCalendarAdvance(Calendar,SettlementDate,A17&amp;"M","mf")</f>
        <v>42569</v>
      </c>
      <c r="E17" s="230">
        <f>_xll.qlInterestRateIndexMaturity(IborIndex1Y,D17)</f>
        <v>42934</v>
      </c>
      <c r="F17" s="231">
        <f>_xll.qlOvernightIndexedSwapFairRate(C17,_xll.ohTrigger(InterestRatesTrigger))</f>
        <v>-1.599996647612123E-3</v>
      </c>
      <c r="G17" s="232">
        <f>_xll.qlInterpolationInterpolate(BasisInterpolator,D17,TRUE,F17)</f>
        <v>3.2656881300574202E-3</v>
      </c>
      <c r="H17" s="231">
        <f t="shared" si="0"/>
        <v>1.6656914824452972E-3</v>
      </c>
      <c r="I17" s="224"/>
      <c r="AA17" s="223"/>
      <c r="AB17" s="223"/>
      <c r="AC17" s="224"/>
    </row>
    <row r="18" spans="1:29" x14ac:dyDescent="0.2">
      <c r="A18" s="229">
        <v>16</v>
      </c>
      <c r="B18" s="230">
        <f>_xll.qlInterestRateIndexFixingDate(IborIndex1Y,D18)</f>
        <v>42594</v>
      </c>
      <c r="C18" s="229" t="str">
        <f>_xll.qlMakeDatedOIS(,D18,E18,OvernightIndex,0,DayCounter,0)</f>
        <v>obj_005f4#0001</v>
      </c>
      <c r="D18" s="230">
        <f>_xll.qlCalendarAdvance(Calendar,SettlementDate,A18&amp;"M","mf")</f>
        <v>42598</v>
      </c>
      <c r="E18" s="230">
        <f>_xll.qlInterestRateIndexMaturity(IborIndex1Y,D18)</f>
        <v>42963</v>
      </c>
      <c r="F18" s="231">
        <f>_xll.qlOvernightIndexedSwapFairRate(C18,_xll.ohTrigger(InterestRatesTrigger))</f>
        <v>-1.5558453547540095E-3</v>
      </c>
      <c r="G18" s="232">
        <f>_xll.qlInterpolationInterpolate(BasisInterpolator,D18,TRUE,F18)</f>
        <v>3.2862037347846924E-3</v>
      </c>
      <c r="H18" s="231">
        <f t="shared" si="0"/>
        <v>1.7303583800306829E-3</v>
      </c>
      <c r="I18" s="224"/>
      <c r="AA18" s="223"/>
      <c r="AB18" s="223"/>
      <c r="AC18" s="224"/>
    </row>
    <row r="19" spans="1:29" x14ac:dyDescent="0.2">
      <c r="A19" s="229">
        <v>17</v>
      </c>
      <c r="B19" s="230">
        <f>_xll.qlInterestRateIndexFixingDate(IborIndex1Y,D19)</f>
        <v>42627</v>
      </c>
      <c r="C19" s="229" t="str">
        <f>_xll.qlMakeDatedOIS(,D19,E19,OvernightIndex,0,DayCounter,0)</f>
        <v>obj_00602#0001</v>
      </c>
      <c r="D19" s="230">
        <f>_xll.qlCalendarAdvance(Calendar,SettlementDate,A19&amp;"M","mf")</f>
        <v>42629</v>
      </c>
      <c r="E19" s="230">
        <f>_xll.qlInterestRateIndexMaturity(IborIndex1Y,D19)</f>
        <v>42996</v>
      </c>
      <c r="F19" s="231">
        <f>_xll.qlOvernightIndexedSwapFairRate(C19,_xll.ohTrigger(InterestRatesTrigger))</f>
        <v>-1.5005834103754641E-3</v>
      </c>
      <c r="G19" s="232">
        <f>_xll.qlInterpolationInterpolate(BasisInterpolator,D19,TRUE,F19)</f>
        <v>3.3103878009239371E-3</v>
      </c>
      <c r="H19" s="231">
        <f t="shared" si="0"/>
        <v>1.809804390548473E-3</v>
      </c>
      <c r="I19" s="224"/>
      <c r="AA19" s="223"/>
      <c r="AB19" s="223"/>
      <c r="AC19" s="224"/>
    </row>
    <row r="20" spans="1:29" x14ac:dyDescent="0.2">
      <c r="A20" s="229">
        <v>18</v>
      </c>
      <c r="B20" s="230">
        <f>_xll.qlInterestRateIndexFixingDate(IborIndex1Y,D20)</f>
        <v>42656</v>
      </c>
      <c r="C20" s="229" t="str">
        <f>_xll.qlMakeDatedOIS(,D20,E20,OvernightIndex,0,DayCounter,0)</f>
        <v>obj_00603#0001</v>
      </c>
      <c r="D20" s="230">
        <f>_xll.qlCalendarAdvance(Calendar,SettlementDate,A20&amp;"M","mf")</f>
        <v>42660</v>
      </c>
      <c r="E20" s="230">
        <f>_xll.qlInterestRateIndexMaturity(IborIndex1Y,D20)</f>
        <v>43025</v>
      </c>
      <c r="F20" s="231">
        <f>_xll.qlOvernightIndexedSwapFairRate(C20,_xll.ohTrigger(InterestRatesTrigger))</f>
        <v>-1.4409593015844871E-3</v>
      </c>
      <c r="G20" s="232">
        <f>_xll.qlInterpolationInterpolate(BasisInterpolator,D20,TRUE,F20)</f>
        <v>3.3364995813119106E-3</v>
      </c>
      <c r="H20" s="231">
        <f t="shared" si="0"/>
        <v>1.8955402797274235E-3</v>
      </c>
      <c r="I20" s="224"/>
      <c r="AA20" s="223"/>
      <c r="AB20" s="223"/>
      <c r="AC20" s="224"/>
    </row>
    <row r="21" spans="1:29" x14ac:dyDescent="0.2">
      <c r="A21" s="229">
        <v>19</v>
      </c>
      <c r="B21" s="230">
        <f>_xll.qlInterestRateIndexFixingDate(IborIndex1Y,D21)</f>
        <v>42688</v>
      </c>
      <c r="C21" s="229" t="str">
        <f>_xll.qlMakeDatedOIS(,D21,E21,OvernightIndex,0,DayCounter,0)</f>
        <v>obj_005e2#0001</v>
      </c>
      <c r="D21" s="230">
        <f>_xll.qlCalendarAdvance(Calendar,SettlementDate,A21&amp;"M","mf")</f>
        <v>42690</v>
      </c>
      <c r="E21" s="230">
        <f>_xll.qlInterestRateIndexMaturity(IborIndex1Y,D21)</f>
        <v>43055</v>
      </c>
      <c r="F21" s="231">
        <f>_xll.qlOvernightIndexedSwapFairRate(C21,_xll.ohTrigger(InterestRatesTrigger))</f>
        <v>-1.3702856258753311E-3</v>
      </c>
      <c r="G21" s="232">
        <f>_xll.qlInterpolationInterpolate(BasisInterpolator,D21,TRUE,F21)</f>
        <v>3.3632184881560207E-3</v>
      </c>
      <c r="H21" s="231">
        <f t="shared" si="0"/>
        <v>1.9929328622806898E-3</v>
      </c>
      <c r="I21" s="224"/>
      <c r="AA21" s="223"/>
      <c r="AB21" s="223"/>
      <c r="AC21" s="224"/>
    </row>
    <row r="22" spans="1:29" x14ac:dyDescent="0.2">
      <c r="A22" s="229">
        <v>20</v>
      </c>
      <c r="B22" s="230">
        <f>_xll.qlInterestRateIndexFixingDate(IborIndex1Y,D22)</f>
        <v>42718</v>
      </c>
      <c r="C22" s="229" t="str">
        <f>_xll.qlMakeDatedOIS(,D22,E22,OvernightIndex,0,DayCounter,0)</f>
        <v>obj_005ee#0001</v>
      </c>
      <c r="D22" s="230">
        <f>_xll.qlCalendarAdvance(Calendar,SettlementDate,A22&amp;"M","mf")</f>
        <v>42720</v>
      </c>
      <c r="E22" s="230">
        <f>_xll.qlInterestRateIndexMaturity(IborIndex1Y,D22)</f>
        <v>43087</v>
      </c>
      <c r="F22" s="231">
        <f>_xll.qlOvernightIndexedSwapFairRate(C22,_xll.ohTrigger(InterestRatesTrigger))</f>
        <v>-1.2894132427915008E-3</v>
      </c>
      <c r="G22" s="232">
        <f>_xll.qlInterpolationInterpolate(BasisInterpolator,D22,TRUE,F22)</f>
        <v>3.3909875315424158E-3</v>
      </c>
      <c r="H22" s="231">
        <f t="shared" si="0"/>
        <v>2.1015742887509148E-3</v>
      </c>
      <c r="I22" s="224"/>
      <c r="AA22" s="223"/>
      <c r="AB22" s="223"/>
      <c r="AC22" s="224"/>
    </row>
    <row r="23" spans="1:29" x14ac:dyDescent="0.2">
      <c r="A23" s="229">
        <v>21</v>
      </c>
      <c r="B23" s="230">
        <f>_xll.qlInterestRateIndexFixingDate(IborIndex1Y,D23)</f>
        <v>42747</v>
      </c>
      <c r="C23" s="229" t="str">
        <f>_xll.qlMakeDatedOIS(,D23,E23,OvernightIndex,0,DayCounter,0)</f>
        <v>obj_005e7#0001</v>
      </c>
      <c r="D23" s="230">
        <f>_xll.qlCalendarAdvance(Calendar,SettlementDate,A23&amp;"M","mf")</f>
        <v>42751</v>
      </c>
      <c r="E23" s="230">
        <f>_xll.qlInterestRateIndexMaturity(IborIndex1Y,D23)</f>
        <v>43116</v>
      </c>
      <c r="F23" s="231">
        <f>_xll.qlOvernightIndexedSwapFairRate(C23,_xll.ohTrigger(InterestRatesTrigger))</f>
        <v>-1.2158903594266181E-3</v>
      </c>
      <c r="G23" s="232">
        <f>_xll.qlInterpolationInterpolate(BasisInterpolator,D23,TRUE,F23)</f>
        <v>3.4203909065812625E-3</v>
      </c>
      <c r="H23" s="231">
        <f t="shared" si="0"/>
        <v>2.2045005471546444E-3</v>
      </c>
      <c r="I23" s="224"/>
      <c r="AA23" s="223"/>
      <c r="AB23" s="223"/>
      <c r="AC23" s="224"/>
    </row>
    <row r="24" spans="1:29" x14ac:dyDescent="0.2">
      <c r="A24" s="229">
        <v>22</v>
      </c>
      <c r="B24" s="230">
        <f>_xll.qlInterestRateIndexFixingDate(IborIndex1Y,D24)</f>
        <v>42780</v>
      </c>
      <c r="C24" s="229" t="str">
        <f>_xll.qlMakeDatedOIS(,D24,E24,OvernightIndex,0,DayCounter,0)</f>
        <v>obj_005e9#0001</v>
      </c>
      <c r="D24" s="230">
        <f>_xll.qlCalendarAdvance(Calendar,SettlementDate,A24&amp;"M","mf")</f>
        <v>42782</v>
      </c>
      <c r="E24" s="230">
        <f>_xll.qlInterestRateIndexMaturity(IborIndex1Y,D24)</f>
        <v>43147</v>
      </c>
      <c r="F24" s="231">
        <f>_xll.qlOvernightIndexedSwapFairRate(C24,_xll.ohTrigger(InterestRatesTrigger))</f>
        <v>-1.1315409494814521E-3</v>
      </c>
      <c r="G24" s="232">
        <f>_xll.qlInterpolationInterpolate(BasisInterpolator,D24,TRUE,F24)</f>
        <v>3.4501091922983485E-3</v>
      </c>
      <c r="H24" s="231">
        <f t="shared" si="0"/>
        <v>2.3185682428168964E-3</v>
      </c>
      <c r="I24" s="224"/>
      <c r="AA24" s="223"/>
      <c r="AB24" s="223"/>
      <c r="AC24" s="224"/>
    </row>
    <row r="25" spans="1:29" x14ac:dyDescent="0.2">
      <c r="A25" s="233">
        <v>23</v>
      </c>
      <c r="B25" s="234">
        <f>_xll.qlInterestRateIndexFixingDate(IborIndex1Y,D25)</f>
        <v>42808</v>
      </c>
      <c r="C25" s="233" t="str">
        <f>_xll.qlMakeDatedOIS(,D25,E25,OvernightIndex,0,DayCounter,0)</f>
        <v>obj_005f3#0001</v>
      </c>
      <c r="D25" s="234">
        <f>_xll.qlCalendarAdvance(Calendar,SettlementDate,A25&amp;"M","mf")</f>
        <v>42810</v>
      </c>
      <c r="E25" s="234">
        <f>_xll.qlInterestRateIndexMaturity(IborIndex1Y,D25)</f>
        <v>43175</v>
      </c>
      <c r="F25" s="235">
        <f>_xll.qlOvernightIndexedSwapFairRate(C25,_xll.ohTrigger(InterestRatesTrigger))</f>
        <v>-1.0552282232655318E-3</v>
      </c>
      <c r="G25" s="236">
        <f>_xll.qlInterpolationInterpolate(BasisInterpolator,D25,TRUE,F25)</f>
        <v>3.4768813088665363E-3</v>
      </c>
      <c r="H25" s="235">
        <f t="shared" si="0"/>
        <v>2.4216530856010048E-3</v>
      </c>
      <c r="I25" s="224"/>
      <c r="AA25" s="223"/>
      <c r="AB25" s="223"/>
      <c r="AC25" s="224"/>
    </row>
    <row r="26" spans="1:29" x14ac:dyDescent="0.2">
      <c r="A26" s="225">
        <v>24</v>
      </c>
      <c r="B26" s="226">
        <f>_xll.qlInterestRateIndexFixingDate(IborIndex1Y,D26)</f>
        <v>42837</v>
      </c>
      <c r="C26" s="225" t="str">
        <f>_xll.qlMakeDatedOIS(,D26,E26,OvernightIndex,0,DayCounter,0)</f>
        <v>obj_005e0#0001</v>
      </c>
      <c r="D26" s="226">
        <f>_xll.qlCalendarAdvance(Calendar,SettlementDate,A26&amp;"M","mf")</f>
        <v>42843</v>
      </c>
      <c r="E26" s="226">
        <f>_xll.qlInterestRateIndexMaturity(IborIndex1Y,D26)</f>
        <v>43208</v>
      </c>
      <c r="F26" s="227">
        <f>_xll.qlOvernightIndexedSwapFairRate(C26,_xll.ohTrigger(InterestRatesTrigger))</f>
        <v>-9.6395702733237019E-4</v>
      </c>
      <c r="G26" s="228">
        <f>_xll.qlInterpolationInterpolate(BasisInterpolator,D26,TRUE,F26)</f>
        <v>3.5079240142413038E-3</v>
      </c>
      <c r="H26" s="227">
        <f t="shared" si="0"/>
        <v>2.5439669869089339E-3</v>
      </c>
      <c r="I26" s="224"/>
      <c r="AA26" s="223"/>
      <c r="AB26" s="223"/>
      <c r="AC26" s="224"/>
    </row>
    <row r="27" spans="1:29" x14ac:dyDescent="0.2">
      <c r="A27" s="229">
        <v>25</v>
      </c>
      <c r="B27" s="230">
        <f>_xll.qlInterestRateIndexFixingDate(IborIndex1Y,D27)</f>
        <v>42867</v>
      </c>
      <c r="C27" s="229" t="str">
        <f>_xll.qlMakeDatedOIS(,D27,E27,OvernightIndex,0,DayCounter,0)</f>
        <v>obj_005db#0001</v>
      </c>
      <c r="D27" s="230">
        <f>_xll.qlCalendarAdvance(Calendar,SettlementDate,A27&amp;"M","mf")</f>
        <v>42871</v>
      </c>
      <c r="E27" s="230">
        <f>_xll.qlInterestRateIndexMaturity(IborIndex1Y,D27)</f>
        <v>43236</v>
      </c>
      <c r="F27" s="231">
        <f>_xll.qlOvernightIndexedSwapFairRate(C27,_xll.ohTrigger(InterestRatesTrigger))</f>
        <v>-8.8459623315721204E-4</v>
      </c>
      <c r="G27" s="232">
        <f>_xll.qlInterpolationInterpolate(BasisInterpolator,D27,TRUE,F27)</f>
        <v>3.5335327203321145E-3</v>
      </c>
      <c r="H27" s="231">
        <f t="shared" si="0"/>
        <v>2.6489364871749026E-3</v>
      </c>
      <c r="I27" s="224"/>
      <c r="AA27" s="223"/>
      <c r="AB27" s="223"/>
      <c r="AC27" s="224"/>
    </row>
    <row r="28" spans="1:29" x14ac:dyDescent="0.2">
      <c r="A28" s="229">
        <v>26</v>
      </c>
      <c r="B28" s="230">
        <f>_xll.qlInterestRateIndexFixingDate(IborIndex1Y,D28)</f>
        <v>42900</v>
      </c>
      <c r="C28" s="229" t="str">
        <f>_xll.qlMakeDatedOIS(,D28,E28,OvernightIndex,0,DayCounter,0)</f>
        <v>obj_005df#0001</v>
      </c>
      <c r="D28" s="230">
        <f>_xll.qlCalendarAdvance(Calendar,SettlementDate,A28&amp;"M","mf")</f>
        <v>42902</v>
      </c>
      <c r="E28" s="230">
        <f>_xll.qlInterestRateIndexMaturity(IborIndex1Y,D28)</f>
        <v>43269</v>
      </c>
      <c r="F28" s="231">
        <f>_xll.qlOvernightIndexedSwapFairRate(C28,_xll.ohTrigger(InterestRatesTrigger))</f>
        <v>-7.9160033767916897E-4</v>
      </c>
      <c r="G28" s="232">
        <f>_xll.qlInterpolationInterpolate(BasisInterpolator,D28,TRUE,F28)</f>
        <v>3.5610310105816576E-3</v>
      </c>
      <c r="H28" s="231">
        <f t="shared" si="0"/>
        <v>2.7694306729024887E-3</v>
      </c>
      <c r="I28" s="224"/>
      <c r="AA28" s="223"/>
      <c r="AB28" s="223"/>
      <c r="AC28" s="224"/>
    </row>
    <row r="29" spans="1:29" x14ac:dyDescent="0.2">
      <c r="A29" s="229">
        <v>27</v>
      </c>
      <c r="B29" s="230">
        <f>_xll.qlInterestRateIndexFixingDate(IborIndex1Y,D29)</f>
        <v>42929</v>
      </c>
      <c r="C29" s="229" t="str">
        <f>_xll.qlMakeDatedOIS(,D29,E29,OvernightIndex,0,DayCounter,0)</f>
        <v>obj_005de#0001</v>
      </c>
      <c r="D29" s="230">
        <f>_xll.qlCalendarAdvance(Calendar,SettlementDate,A29&amp;"M","mf")</f>
        <v>42933</v>
      </c>
      <c r="E29" s="230">
        <f>_xll.qlInterestRateIndexMaturity(IborIndex1Y,D29)</f>
        <v>43298</v>
      </c>
      <c r="F29" s="231">
        <f>_xll.qlOvernightIndexedSwapFairRate(C29,_xll.ohTrigger(InterestRatesTrigger))</f>
        <v>-7.0281962799485548E-4</v>
      </c>
      <c r="G29" s="232">
        <f>_xll.qlInterpolationInterpolate(BasisInterpolator,D29,TRUE,F29)</f>
        <v>3.5876354490096997E-3</v>
      </c>
      <c r="H29" s="231">
        <f t="shared" si="0"/>
        <v>2.8848158210148444E-3</v>
      </c>
      <c r="I29" s="224"/>
      <c r="AA29" s="223"/>
      <c r="AB29" s="223"/>
      <c r="AC29" s="224"/>
    </row>
    <row r="30" spans="1:29" x14ac:dyDescent="0.2">
      <c r="A30" s="229">
        <v>28</v>
      </c>
      <c r="B30" s="230">
        <f>_xll.qlInterestRateIndexFixingDate(IborIndex1Y,D30)</f>
        <v>42961</v>
      </c>
      <c r="C30" s="229" t="str">
        <f>_xll.qlMakeDatedOIS(,D30,E30,OvernightIndex,0,DayCounter,0)</f>
        <v>obj_005dc#0001</v>
      </c>
      <c r="D30" s="230">
        <f>_xll.qlCalendarAdvance(Calendar,SettlementDate,A30&amp;"M","mf")</f>
        <v>42963</v>
      </c>
      <c r="E30" s="230">
        <f>_xll.qlInterestRateIndexMaturity(IborIndex1Y,D30)</f>
        <v>43328</v>
      </c>
      <c r="F30" s="231">
        <f>_xll.qlOvernightIndexedSwapFairRate(C30,_xll.ohTrigger(InterestRatesTrigger))</f>
        <v>-6.1233889877076856E-4</v>
      </c>
      <c r="G30" s="232">
        <f>_xll.qlInterpolationInterpolate(BasisInterpolator,D30,TRUE,F30)</f>
        <v>3.6125343007314546E-3</v>
      </c>
      <c r="H30" s="231">
        <f t="shared" si="0"/>
        <v>3.0001954019606859E-3</v>
      </c>
      <c r="I30" s="224"/>
      <c r="AA30" s="223"/>
      <c r="AB30" s="223"/>
      <c r="AC30" s="224"/>
    </row>
    <row r="31" spans="1:29" x14ac:dyDescent="0.2">
      <c r="A31" s="229">
        <v>29</v>
      </c>
      <c r="B31" s="230">
        <f>_xll.qlInterestRateIndexFixingDate(IborIndex1Y,D31)</f>
        <v>42992</v>
      </c>
      <c r="C31" s="229" t="str">
        <f>_xll.qlMakeDatedOIS(,D31,E31,OvernightIndex,0,DayCounter,0)</f>
        <v>obj_005fc#0001</v>
      </c>
      <c r="D31" s="230">
        <f>_xll.qlCalendarAdvance(Calendar,SettlementDate,A31&amp;"M","mf")</f>
        <v>42996</v>
      </c>
      <c r="E31" s="230">
        <f>_xll.qlInterestRateIndexMaturity(IborIndex1Y,D31)</f>
        <v>43361</v>
      </c>
      <c r="F31" s="231">
        <f>_xll.qlOvernightIndexedSwapFairRate(C31,_xll.ohTrigger(InterestRatesTrigger))</f>
        <v>-5.1127579485452904E-4</v>
      </c>
      <c r="G31" s="232">
        <f>_xll.qlInterpolationInterpolate(BasisInterpolator,D31,TRUE,F31)</f>
        <v>3.638964639201589E-3</v>
      </c>
      <c r="H31" s="231">
        <f t="shared" si="0"/>
        <v>3.1276888443470601E-3</v>
      </c>
      <c r="I31" s="224"/>
      <c r="AA31" s="223"/>
      <c r="AB31" s="223"/>
      <c r="AC31" s="224"/>
    </row>
    <row r="32" spans="1:29" x14ac:dyDescent="0.2">
      <c r="A32" s="229">
        <v>30</v>
      </c>
      <c r="B32" s="230">
        <f>_xll.qlInterestRateIndexFixingDate(IborIndex1Y,D32)</f>
        <v>43020</v>
      </c>
      <c r="C32" s="229" t="str">
        <f>_xll.qlMakeDatedOIS(,D32,E32,OvernightIndex,0,DayCounter,0)</f>
        <v>obj_005eb#0001</v>
      </c>
      <c r="D32" s="230">
        <f>_xll.qlCalendarAdvance(Calendar,SettlementDate,A32&amp;"M","mf")</f>
        <v>43024</v>
      </c>
      <c r="E32" s="230">
        <f>_xll.qlInterestRateIndexMaturity(IborIndex1Y,D32)</f>
        <v>43389</v>
      </c>
      <c r="F32" s="231">
        <f>_xll.qlOvernightIndexedSwapFairRate(C32,_xll.ohTrigger(InterestRatesTrigger))</f>
        <v>-4.2448446883278437E-4</v>
      </c>
      <c r="G32" s="232">
        <f>_xll.qlInterpolationInterpolate(BasisInterpolator,D32,TRUE,F32)</f>
        <v>3.6606064136109695E-3</v>
      </c>
      <c r="H32" s="231">
        <f t="shared" si="0"/>
        <v>3.2361219447781852E-3</v>
      </c>
      <c r="I32" s="224"/>
      <c r="AA32" s="223"/>
      <c r="AB32" s="223"/>
      <c r="AC32" s="224"/>
    </row>
    <row r="33" spans="1:29" x14ac:dyDescent="0.2">
      <c r="A33" s="229">
        <v>31</v>
      </c>
      <c r="B33" s="230">
        <f>_xll.qlInterestRateIndexFixingDate(IborIndex1Y,D33)</f>
        <v>43053</v>
      </c>
      <c r="C33" s="229" t="str">
        <f>_xll.qlMakeDatedOIS(,D33,E33,OvernightIndex,0,DayCounter,0)</f>
        <v>obj_005ea#0001</v>
      </c>
      <c r="D33" s="230">
        <f>_xll.qlCalendarAdvance(Calendar,SettlementDate,A33&amp;"M","mf")</f>
        <v>43055</v>
      </c>
      <c r="E33" s="230">
        <f>_xll.qlInterestRateIndexMaturity(IborIndex1Y,D33)</f>
        <v>43420</v>
      </c>
      <c r="F33" s="231">
        <f>_xll.qlOvernightIndexedSwapFairRate(C33,_xll.ohTrigger(InterestRatesTrigger))</f>
        <v>-3.2751744992350274E-4</v>
      </c>
      <c r="G33" s="232">
        <f>_xll.qlInterpolationInterpolate(BasisInterpolator,D33,TRUE,F33)</f>
        <v>3.6837311285331954E-3</v>
      </c>
      <c r="H33" s="231">
        <f t="shared" si="0"/>
        <v>3.3562136786096926E-3</v>
      </c>
      <c r="I33" s="224"/>
      <c r="AA33" s="223"/>
      <c r="AB33" s="223"/>
      <c r="AC33" s="224"/>
    </row>
    <row r="34" spans="1:29" x14ac:dyDescent="0.2">
      <c r="A34" s="229">
        <v>32</v>
      </c>
      <c r="B34" s="230">
        <f>_xll.qlInterestRateIndexFixingDate(IborIndex1Y,D34)</f>
        <v>43083</v>
      </c>
      <c r="C34" s="229" t="str">
        <f>_xll.qlMakeDatedOIS(,D34,E34,OvernightIndex,0,DayCounter,0)</f>
        <v>obj_00600#0001</v>
      </c>
      <c r="D34" s="230">
        <f>_xll.qlCalendarAdvance(Calendar,SettlementDate,A34&amp;"M","mf")</f>
        <v>43087</v>
      </c>
      <c r="E34" s="230">
        <f>_xll.qlInterestRateIndexMaturity(IborIndex1Y,D34)</f>
        <v>43452</v>
      </c>
      <c r="F34" s="231">
        <f>_xll.qlOvernightIndexedSwapFairRate(C34,_xll.ohTrigger(InterestRatesTrigger))</f>
        <v>-2.2671571330339793E-4</v>
      </c>
      <c r="G34" s="232">
        <f>_xll.qlInterpolationInterpolate(BasisInterpolator,D34,TRUE,F34)</f>
        <v>3.7066845428067262E-3</v>
      </c>
      <c r="H34" s="231">
        <f t="shared" ref="H34:H50" si="1">F34+G34</f>
        <v>3.4799688295033284E-3</v>
      </c>
      <c r="I34" s="224"/>
      <c r="AA34" s="223"/>
      <c r="AB34" s="223"/>
      <c r="AC34" s="224"/>
    </row>
    <row r="35" spans="1:29" x14ac:dyDescent="0.2">
      <c r="A35" s="229">
        <v>33</v>
      </c>
      <c r="B35" s="230">
        <f>_xll.qlInterestRateIndexFixingDate(IborIndex1Y,D35)</f>
        <v>43112</v>
      </c>
      <c r="C35" s="229" t="str">
        <f>_xll.qlMakeDatedOIS(,D35,E35,OvernightIndex,0,DayCounter,0)</f>
        <v>obj_005f8#0001</v>
      </c>
      <c r="D35" s="230">
        <f>_xll.qlCalendarAdvance(Calendar,SettlementDate,A35&amp;"M","mf")</f>
        <v>43116</v>
      </c>
      <c r="E35" s="230">
        <f>_xll.qlInterestRateIndexMaturity(IborIndex1Y,D35)</f>
        <v>43481</v>
      </c>
      <c r="F35" s="231">
        <f>_xll.qlOvernightIndexedSwapFairRate(C35,_xll.ohTrigger(InterestRatesTrigger))</f>
        <v>-1.349742762734349E-4</v>
      </c>
      <c r="G35" s="232">
        <f>_xll.qlInterpolationInterpolate(BasisInterpolator,D35,TRUE,F35)</f>
        <v>3.7266847618245228E-3</v>
      </c>
      <c r="H35" s="231">
        <f t="shared" si="1"/>
        <v>3.5917104855510877E-3</v>
      </c>
      <c r="I35" s="224"/>
      <c r="AA35" s="223"/>
      <c r="AB35" s="223"/>
      <c r="AC35" s="224"/>
    </row>
    <row r="36" spans="1:29" x14ac:dyDescent="0.2">
      <c r="A36" s="229">
        <v>34</v>
      </c>
      <c r="B36" s="230">
        <f>_xll.qlInterestRateIndexFixingDate(IborIndex1Y,D36)</f>
        <v>43145</v>
      </c>
      <c r="C36" s="229" t="str">
        <f>_xll.qlMakeDatedOIS(,D36,E36,OvernightIndex,0,DayCounter,0)</f>
        <v>obj_005e8#0001</v>
      </c>
      <c r="D36" s="230">
        <f>_xll.qlCalendarAdvance(Calendar,SettlementDate,A36&amp;"M","mf")</f>
        <v>43147</v>
      </c>
      <c r="E36" s="230">
        <f>_xll.qlInterestRateIndexMaturity(IborIndex1Y,D36)</f>
        <v>43514</v>
      </c>
      <c r="F36" s="231">
        <f>_xll.qlOvernightIndexedSwapFairRate(C36,_xll.ohTrigger(InterestRatesTrigger))</f>
        <v>-3.3592111171486404E-5</v>
      </c>
      <c r="G36" s="232">
        <f>_xll.qlInterpolationInterpolate(BasisInterpolator,D36,TRUE,F36)</f>
        <v>3.7472255203222092E-3</v>
      </c>
      <c r="H36" s="231">
        <f t="shared" si="1"/>
        <v>3.7136334091507229E-3</v>
      </c>
      <c r="I36" s="224"/>
      <c r="AA36" s="223"/>
      <c r="AB36" s="223"/>
      <c r="AC36" s="224"/>
    </row>
    <row r="37" spans="1:29" x14ac:dyDescent="0.2">
      <c r="A37" s="233">
        <v>35</v>
      </c>
      <c r="B37" s="234">
        <f>_xll.qlInterestRateIndexFixingDate(IborIndex1Y,D37)</f>
        <v>43173</v>
      </c>
      <c r="C37" s="233" t="str">
        <f>_xll.qlMakeDatedOIS(,D37,E37,OvernightIndex,0,DayCounter,0)</f>
        <v>obj_005d5#0001</v>
      </c>
      <c r="D37" s="234">
        <f>_xll.qlCalendarAdvance(Calendar,SettlementDate,A37&amp;"M","mf")</f>
        <v>43175</v>
      </c>
      <c r="E37" s="234">
        <f>_xll.qlInterestRateIndexMaturity(IborIndex1Y,D37)</f>
        <v>43542</v>
      </c>
      <c r="F37" s="235">
        <f>_xll.qlOvernightIndexedSwapFairRate(C37,_xll.ohTrigger(InterestRatesTrigger))</f>
        <v>5.5065470617876364E-5</v>
      </c>
      <c r="G37" s="236">
        <f>_xll.qlInterpolationInterpolate(BasisInterpolator,D37,TRUE,F37)</f>
        <v>3.7650366608736122E-3</v>
      </c>
      <c r="H37" s="235">
        <f t="shared" si="1"/>
        <v>3.8201021314914884E-3</v>
      </c>
      <c r="I37" s="224"/>
      <c r="AA37" s="223"/>
      <c r="AB37" s="223"/>
      <c r="AC37" s="224"/>
    </row>
    <row r="38" spans="1:29" x14ac:dyDescent="0.2">
      <c r="A38" s="225">
        <v>36</v>
      </c>
      <c r="B38" s="226">
        <f>_xll.qlInterestRateIndexFixingDate(IborIndex1Y,D38)</f>
        <v>43202</v>
      </c>
      <c r="C38" s="225" t="str">
        <f>_xll.qlMakeDatedOIS(,D38,E38,OvernightIndex,0,DayCounter,0)</f>
        <v>obj_005d7#0001</v>
      </c>
      <c r="D38" s="226">
        <f>_xll.qlCalendarAdvance(Calendar,SettlementDate,A38&amp;"M","mf")</f>
        <v>43206</v>
      </c>
      <c r="E38" s="226">
        <f>_xll.qlInterestRateIndexMaturity(IborIndex1Y,D38)</f>
        <v>43571</v>
      </c>
      <c r="F38" s="227">
        <f>_xll.qlOvernightIndexedSwapFairRate(C38,_xll.ohTrigger(InterestRatesTrigger))</f>
        <v>1.498111145405594E-4</v>
      </c>
      <c r="G38" s="228">
        <f>_xll.qlInterpolationInterpolate(BasisInterpolator,D38,TRUE,F38)</f>
        <v>3.78393846130669E-3</v>
      </c>
      <c r="H38" s="227">
        <f t="shared" si="1"/>
        <v>3.9337495758472495E-3</v>
      </c>
      <c r="I38" s="224"/>
      <c r="AA38" s="223"/>
      <c r="AB38" s="223"/>
      <c r="AC38" s="224"/>
    </row>
    <row r="39" spans="1:29" x14ac:dyDescent="0.2">
      <c r="A39" s="229">
        <v>37</v>
      </c>
      <c r="B39" s="230">
        <f>_xll.qlInterestRateIndexFixingDate(IborIndex1Y,D39)</f>
        <v>43234</v>
      </c>
      <c r="C39" s="229" t="str">
        <f>_xll.qlMakeDatedOIS(,D39,E39,OvernightIndex,0,DayCounter,0)</f>
        <v>obj_005f7#0001</v>
      </c>
      <c r="D39" s="230">
        <f>_xll.qlCalendarAdvance(Calendar,SettlementDate,A39&amp;"M","mf")</f>
        <v>43236</v>
      </c>
      <c r="E39" s="230">
        <f>_xll.qlInterestRateIndexMaturity(IborIndex1Y,D39)</f>
        <v>43601</v>
      </c>
      <c r="F39" s="231">
        <f>_xll.qlOvernightIndexedSwapFairRate(C39,_xll.ohTrigger(InterestRatesTrigger))</f>
        <v>2.4412160805850513E-4</v>
      </c>
      <c r="G39" s="232">
        <f>_xll.qlInterpolationInterpolate(BasisInterpolator,D39,TRUE,F39)</f>
        <v>3.8013896439584613E-3</v>
      </c>
      <c r="H39" s="231">
        <f t="shared" si="1"/>
        <v>4.0455112520169662E-3</v>
      </c>
      <c r="I39" s="224"/>
      <c r="AA39" s="223"/>
      <c r="AB39" s="223"/>
      <c r="AC39" s="224"/>
    </row>
    <row r="40" spans="1:29" x14ac:dyDescent="0.2">
      <c r="A40" s="229">
        <v>38</v>
      </c>
      <c r="B40" s="230">
        <f>_xll.qlInterestRateIndexFixingDate(IborIndex1Y,D40)</f>
        <v>43265</v>
      </c>
      <c r="C40" s="229" t="str">
        <f>_xll.qlMakeDatedOIS(,D40,E40,OvernightIndex,0,DayCounter,0)</f>
        <v>obj_005fb#0001</v>
      </c>
      <c r="D40" s="230">
        <f>_xll.qlCalendarAdvance(Calendar,SettlementDate,A40&amp;"M","mf")</f>
        <v>43269</v>
      </c>
      <c r="E40" s="230">
        <f>_xll.qlInterestRateIndexMaturity(IborIndex1Y,D40)</f>
        <v>43634</v>
      </c>
      <c r="F40" s="231">
        <f>_xll.qlOvernightIndexedSwapFairRate(C40,_xll.ohTrigger(InterestRatesTrigger))</f>
        <v>3.4783375805575882E-4</v>
      </c>
      <c r="G40" s="232">
        <f>_xll.qlInterpolationInterpolate(BasisInterpolator,D40,TRUE,F40)</f>
        <v>3.8194763185779527E-3</v>
      </c>
      <c r="H40" s="231">
        <f t="shared" si="1"/>
        <v>4.1673100766337111E-3</v>
      </c>
      <c r="I40" s="224"/>
      <c r="AA40" s="223"/>
      <c r="AB40" s="223"/>
      <c r="AC40" s="224"/>
    </row>
    <row r="41" spans="1:29" x14ac:dyDescent="0.2">
      <c r="A41" s="229">
        <v>39</v>
      </c>
      <c r="B41" s="230">
        <f>_xll.qlInterestRateIndexFixingDate(IborIndex1Y,D41)</f>
        <v>43293</v>
      </c>
      <c r="C41" s="229" t="str">
        <f>_xll.qlMakeDatedOIS(,D41,E41,OvernightIndex,0,DayCounter,0)</f>
        <v>obj_005d4#0001</v>
      </c>
      <c r="D41" s="230">
        <f>_xll.qlCalendarAdvance(Calendar,SettlementDate,A41&amp;"M","mf")</f>
        <v>43297</v>
      </c>
      <c r="E41" s="230">
        <f>_xll.qlInterestRateIndexMaturity(IborIndex1Y,D41)</f>
        <v>43662</v>
      </c>
      <c r="F41" s="231">
        <f>_xll.qlOvernightIndexedSwapFairRate(C41,_xll.ohTrigger(InterestRatesTrigger))</f>
        <v>4.3626819377774875E-4</v>
      </c>
      <c r="G41" s="232">
        <f>_xll.qlInterpolationInterpolate(BasisInterpolator,D41,TRUE,F41)</f>
        <v>3.8337628351572724E-3</v>
      </c>
      <c r="H41" s="231">
        <f t="shared" si="1"/>
        <v>4.2700310289350216E-3</v>
      </c>
      <c r="I41" s="224"/>
      <c r="AA41" s="223"/>
      <c r="AB41" s="223"/>
      <c r="AC41" s="224"/>
    </row>
    <row r="42" spans="1:29" x14ac:dyDescent="0.2">
      <c r="A42" s="229">
        <v>40</v>
      </c>
      <c r="B42" s="230">
        <f>_xll.qlInterestRateIndexFixingDate(IborIndex1Y,D42)</f>
        <v>43326</v>
      </c>
      <c r="C42" s="229" t="str">
        <f>_xll.qlMakeDatedOIS(,D42,E42,OvernightIndex,0,DayCounter,0)</f>
        <v>obj_005f6#0001</v>
      </c>
      <c r="D42" s="230">
        <f>_xll.qlCalendarAdvance(Calendar,SettlementDate,A42&amp;"M","mf")</f>
        <v>43328</v>
      </c>
      <c r="E42" s="230">
        <f>_xll.qlInterestRateIndexMaturity(IborIndex1Y,D42)</f>
        <v>43693</v>
      </c>
      <c r="F42" s="231">
        <f>_xll.qlOvernightIndexedSwapFairRate(C42,_xll.ohTrigger(InterestRatesTrigger))</f>
        <v>5.3514352475057846E-4</v>
      </c>
      <c r="G42" s="232">
        <f>_xll.qlInterpolationInterpolate(BasisInterpolator,D42,TRUE,F42)</f>
        <v>3.8482848423799366E-3</v>
      </c>
      <c r="H42" s="231">
        <f t="shared" si="1"/>
        <v>4.3834283671305152E-3</v>
      </c>
      <c r="I42" s="224"/>
      <c r="AA42" s="223"/>
      <c r="AB42" s="223"/>
      <c r="AC42" s="224"/>
    </row>
    <row r="43" spans="1:29" x14ac:dyDescent="0.2">
      <c r="A43" s="229">
        <v>41</v>
      </c>
      <c r="B43" s="230">
        <f>_xll.qlInterestRateIndexFixingDate(IborIndex1Y,D43)</f>
        <v>43356</v>
      </c>
      <c r="C43" s="229" t="str">
        <f>_xll.qlMakeDatedOIS(,D43,E43,OvernightIndex,0,DayCounter,0)</f>
        <v>obj_005e3#0001</v>
      </c>
      <c r="D43" s="230">
        <f>_xll.qlCalendarAdvance(Calendar,SettlementDate,A43&amp;"M","mf")</f>
        <v>43360</v>
      </c>
      <c r="E43" s="230">
        <f>_xll.qlInterestRateIndexMaturity(IborIndex1Y,D43)</f>
        <v>43725</v>
      </c>
      <c r="F43" s="231">
        <f>_xll.qlOvernightIndexedSwapFairRate(C43,_xll.ohTrigger(InterestRatesTrigger))</f>
        <v>6.3881675295842408E-4</v>
      </c>
      <c r="G43" s="232">
        <f>_xll.qlInterpolationInterpolate(BasisInterpolator,D43,TRUE,F43)</f>
        <v>3.8616728152133873E-3</v>
      </c>
      <c r="H43" s="231">
        <f t="shared" si="1"/>
        <v>4.5004895681718116E-3</v>
      </c>
      <c r="I43" s="224"/>
      <c r="AA43" s="223"/>
      <c r="AB43" s="223"/>
      <c r="AC43" s="224"/>
    </row>
    <row r="44" spans="1:29" x14ac:dyDescent="0.2">
      <c r="A44" s="229">
        <v>42</v>
      </c>
      <c r="B44" s="230">
        <f>_xll.qlInterestRateIndexFixingDate(IborIndex1Y,D44)</f>
        <v>43385</v>
      </c>
      <c r="C44" s="229" t="str">
        <f>_xll.qlMakeDatedOIS(,D44,E44,OvernightIndex,0,DayCounter,0)</f>
        <v>obj_00601#0001</v>
      </c>
      <c r="D44" s="230">
        <f>_xll.qlCalendarAdvance(Calendar,SettlementDate,A44&amp;"M","mf")</f>
        <v>43389</v>
      </c>
      <c r="E44" s="230">
        <f>_xll.qlInterestRateIndexMaturity(IborIndex1Y,D44)</f>
        <v>43754</v>
      </c>
      <c r="F44" s="231">
        <f>_xll.qlOvernightIndexedSwapFairRate(C44,_xll.ohTrigger(InterestRatesTrigger))</f>
        <v>7.3466458651969175E-4</v>
      </c>
      <c r="G44" s="232">
        <f>_xll.qlInterpolationInterpolate(BasisInterpolator,D44,TRUE,F44)</f>
        <v>3.8722443983048144E-3</v>
      </c>
      <c r="H44" s="231">
        <f t="shared" si="1"/>
        <v>4.6069089848245065E-3</v>
      </c>
      <c r="I44" s="224"/>
      <c r="AA44" s="223"/>
      <c r="AB44" s="223"/>
      <c r="AC44" s="224"/>
    </row>
    <row r="45" spans="1:29" x14ac:dyDescent="0.2">
      <c r="A45" s="229">
        <v>43</v>
      </c>
      <c r="B45" s="230">
        <f>_xll.qlInterestRateIndexFixingDate(IborIndex1Y,D45)</f>
        <v>43418</v>
      </c>
      <c r="C45" s="229" t="str">
        <f>_xll.qlMakeDatedOIS(,D45,E45,OvernightIndex,0,DayCounter,0)</f>
        <v>obj_005e5#0001</v>
      </c>
      <c r="D45" s="230">
        <f>_xll.qlCalendarAdvance(Calendar,SettlementDate,A45&amp;"M","mf")</f>
        <v>43420</v>
      </c>
      <c r="E45" s="230">
        <f>_xll.qlInterestRateIndexMaturity(IborIndex1Y,D45)</f>
        <v>43787</v>
      </c>
      <c r="F45" s="231">
        <f>_xll.qlOvernightIndexedSwapFairRate(C45,_xll.ohTrigger(InterestRatesTrigger))</f>
        <v>8.4326644169827828E-4</v>
      </c>
      <c r="G45" s="232">
        <f>_xll.qlInterpolationInterpolate(BasisInterpolator,D45,TRUE,F45)</f>
        <v>3.8817403779998314E-3</v>
      </c>
      <c r="H45" s="231">
        <f t="shared" si="1"/>
        <v>4.7250068196981101E-3</v>
      </c>
      <c r="I45" s="224"/>
      <c r="AA45" s="223"/>
      <c r="AB45" s="223"/>
      <c r="AC45" s="224"/>
    </row>
    <row r="46" spans="1:29" x14ac:dyDescent="0.2">
      <c r="A46" s="229">
        <v>44</v>
      </c>
      <c r="B46" s="230">
        <f>_xll.qlInterestRateIndexFixingDate(IborIndex1Y,D46)</f>
        <v>43447</v>
      </c>
      <c r="C46" s="229" t="str">
        <f>_xll.qlMakeDatedOIS(,D46,E46,OvernightIndex,0,DayCounter,0)</f>
        <v>obj_005ed#0001</v>
      </c>
      <c r="D46" s="230">
        <f>_xll.qlCalendarAdvance(Calendar,SettlementDate,A46&amp;"M","mf")</f>
        <v>43451</v>
      </c>
      <c r="E46" s="230">
        <f>_xll.qlInterestRateIndexMaturity(IborIndex1Y,D46)</f>
        <v>43816</v>
      </c>
      <c r="F46" s="231">
        <f>_xll.qlOvernightIndexedSwapFairRate(C46,_xll.ohTrigger(InterestRatesTrigger))</f>
        <v>9.4768042299909572E-4</v>
      </c>
      <c r="G46" s="232">
        <f>_xll.qlInterpolationInterpolate(BasisInterpolator,D46,TRUE,F46)</f>
        <v>3.8892048221043957E-3</v>
      </c>
      <c r="H46" s="231">
        <f t="shared" si="1"/>
        <v>4.8368852451034913E-3</v>
      </c>
      <c r="I46" s="224"/>
      <c r="AA46" s="223"/>
      <c r="AB46" s="223"/>
      <c r="AC46" s="224"/>
    </row>
    <row r="47" spans="1:29" x14ac:dyDescent="0.2">
      <c r="A47" s="229">
        <v>45</v>
      </c>
      <c r="B47" s="230">
        <f>_xll.qlInterestRateIndexFixingDate(IborIndex1Y,D47)</f>
        <v>43479</v>
      </c>
      <c r="C47" s="229" t="str">
        <f>_xll.qlMakeDatedOIS(,D47,E47,OvernightIndex,0,DayCounter,0)</f>
        <v>obj_005d6#0001</v>
      </c>
      <c r="D47" s="230">
        <f>_xll.qlCalendarAdvance(Calendar,SettlementDate,A47&amp;"M","mf")</f>
        <v>43481</v>
      </c>
      <c r="E47" s="230">
        <f>_xll.qlInterestRateIndexMaturity(IborIndex1Y,D47)</f>
        <v>43846</v>
      </c>
      <c r="F47" s="231">
        <f>_xll.qlOvernightIndexedSwapFairRate(C47,_xll.ohTrigger(InterestRatesTrigger))</f>
        <v>1.0557064501043735E-3</v>
      </c>
      <c r="G47" s="232">
        <f>_xll.qlInterpolationInterpolate(BasisInterpolator,D47,TRUE,F47)</f>
        <v>3.8943337189285467E-3</v>
      </c>
      <c r="H47" s="231">
        <f t="shared" si="1"/>
        <v>4.9500401690329206E-3</v>
      </c>
      <c r="I47" s="224"/>
      <c r="AA47" s="223"/>
      <c r="AB47" s="223"/>
      <c r="AC47" s="224"/>
    </row>
    <row r="48" spans="1:29" x14ac:dyDescent="0.2">
      <c r="A48" s="229">
        <v>46</v>
      </c>
      <c r="B48" s="230">
        <f>_xll.qlInterestRateIndexFixingDate(IborIndex1Y,D48)</f>
        <v>43510</v>
      </c>
      <c r="C48" s="229" t="str">
        <f>_xll.qlMakeDatedOIS(,D48,E48,OvernightIndex,0,DayCounter,0)</f>
        <v>obj_005dd#0001</v>
      </c>
      <c r="D48" s="230">
        <f>_xll.qlCalendarAdvance(Calendar,SettlementDate,A48&amp;"M","mf")</f>
        <v>43514</v>
      </c>
      <c r="E48" s="230">
        <f>_xll.qlInterestRateIndexMaturity(IborIndex1Y,D48)</f>
        <v>43879</v>
      </c>
      <c r="F48" s="231">
        <f>_xll.qlOvernightIndexedSwapFairRate(C48,_xll.ohTrigger(InterestRatesTrigger))</f>
        <v>1.1790386784237502E-3</v>
      </c>
      <c r="G48" s="232">
        <f>_xll.qlInterpolationInterpolate(BasisInterpolator,D48,TRUE,F48)</f>
        <v>3.8974094588461066E-3</v>
      </c>
      <c r="H48" s="231">
        <f t="shared" si="1"/>
        <v>5.0764481372698568E-3</v>
      </c>
      <c r="I48" s="224"/>
      <c r="AA48" s="223"/>
      <c r="AB48" s="223"/>
      <c r="AC48" s="224"/>
    </row>
    <row r="49" spans="1:29" x14ac:dyDescent="0.2">
      <c r="A49" s="233">
        <v>47</v>
      </c>
      <c r="B49" s="234">
        <f>_xll.qlInterestRateIndexFixingDate(IborIndex1Y,D49)</f>
        <v>43538</v>
      </c>
      <c r="C49" s="233" t="str">
        <f>_xll.qlMakeDatedOIS(,D49,E49,OvernightIndex,0,DayCounter,0)</f>
        <v>obj_005da#0001</v>
      </c>
      <c r="D49" s="234">
        <f>_xll.qlCalendarAdvance(Calendar,SettlementDate,A49&amp;"M","mf")</f>
        <v>43542</v>
      </c>
      <c r="E49" s="234">
        <f>_xll.qlInterestRateIndexMaturity(IborIndex1Y,D49)</f>
        <v>43908</v>
      </c>
      <c r="F49" s="235">
        <f>_xll.qlOvernightIndexedSwapFairRate(C49,_xll.ohTrigger(InterestRatesTrigger))</f>
        <v>1.2900051534118163E-3</v>
      </c>
      <c r="G49" s="236">
        <f>_xll.qlInterpolationInterpolate(BasisInterpolator,D49,TRUE,F49)</f>
        <v>3.8977629043950401E-3</v>
      </c>
      <c r="H49" s="235">
        <f t="shared" si="1"/>
        <v>5.1877680578068562E-3</v>
      </c>
      <c r="I49" s="224"/>
      <c r="AA49" s="223"/>
      <c r="AB49" s="223"/>
      <c r="AC49" s="224"/>
    </row>
    <row r="50" spans="1:29" x14ac:dyDescent="0.2">
      <c r="A50" s="233">
        <v>48</v>
      </c>
      <c r="B50" s="234">
        <f>_xll.qlInterestRateIndexFixingDate(IborIndex1Y,D50)</f>
        <v>43567</v>
      </c>
      <c r="C50" s="233" t="str">
        <f>_xll.qlMakeDatedOIS(,D50,E50,OvernightIndex,0,DayCounter,0)</f>
        <v>obj_005ff#0001</v>
      </c>
      <c r="D50" s="234">
        <f>_xll.qlCalendarAdvance(Calendar,SettlementDate,A50&amp;"M","mf")</f>
        <v>43571</v>
      </c>
      <c r="E50" s="234">
        <f>_xll.qlInterestRateIndexMaturity(IborIndex1Y,D50)</f>
        <v>43937</v>
      </c>
      <c r="F50" s="235">
        <f>_xll.qlOvernightIndexedSwapFairRate(C50,_xll.ohTrigger(InterestRatesTrigger))</f>
        <v>1.4072552761291695E-3</v>
      </c>
      <c r="G50" s="236">
        <f>_xll.qlInterpolationInterpolate(BasisInterpolator,D50,TRUE,F50)</f>
        <v>3.8958035602126399E-3</v>
      </c>
      <c r="H50" s="235">
        <f t="shared" si="1"/>
        <v>5.3030588363418094E-3</v>
      </c>
      <c r="I50" s="224"/>
      <c r="AA50" s="223"/>
      <c r="AB50" s="223"/>
      <c r="AC50" s="224"/>
    </row>
    <row r="51" spans="1:29" x14ac:dyDescent="0.2">
      <c r="I51" s="224"/>
    </row>
    <row r="52" spans="1:29" x14ac:dyDescent="0.2">
      <c r="I52" s="224"/>
    </row>
    <row r="53" spans="1:29" x14ac:dyDescent="0.2">
      <c r="I53" s="224"/>
    </row>
    <row r="54" spans="1:29" x14ac:dyDescent="0.2">
      <c r="I54" s="224"/>
    </row>
    <row r="55" spans="1:29" x14ac:dyDescent="0.2">
      <c r="I55" s="224"/>
    </row>
    <row r="56" spans="1:29" x14ac:dyDescent="0.2">
      <c r="I56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319" customWidth="1"/>
    <col min="2" max="2" width="7.83203125" style="319" customWidth="1"/>
    <col min="3" max="3" width="36.6640625" style="319" bestFit="1" customWidth="1"/>
    <col min="4" max="4" width="35.83203125" style="319" customWidth="1"/>
    <col min="5" max="5" width="25.6640625" style="319" customWidth="1"/>
    <col min="6" max="6" width="4.33203125" style="319" customWidth="1"/>
    <col min="7" max="7" width="7.83203125" style="319" customWidth="1"/>
    <col min="8" max="8" width="10.5" style="319" bestFit="1" customWidth="1"/>
    <col min="9" max="9" width="3.1640625" style="319" customWidth="1"/>
    <col min="10" max="10" width="10.5" style="319" bestFit="1" customWidth="1"/>
    <col min="11" max="11" width="3.1640625" style="319" customWidth="1"/>
    <col min="12" max="12" width="11.6640625" style="319" bestFit="1" customWidth="1"/>
    <col min="13" max="13" width="10.5" style="319" bestFit="1" customWidth="1"/>
    <col min="14" max="14" width="5.83203125" style="319" customWidth="1"/>
    <col min="15" max="16384" width="9.33203125" style="318"/>
  </cols>
  <sheetData>
    <row r="1" spans="1:14" x14ac:dyDescent="0.2">
      <c r="A1" s="252"/>
      <c r="B1" s="98"/>
      <c r="C1" s="98"/>
      <c r="D1" s="12"/>
      <c r="E1" s="12"/>
      <c r="F1" s="15"/>
      <c r="G1" s="14"/>
      <c r="H1" s="14"/>
      <c r="I1" s="15"/>
      <c r="J1" s="15"/>
      <c r="K1" s="15"/>
      <c r="L1" s="14"/>
      <c r="M1" s="98"/>
      <c r="N1" s="253"/>
    </row>
    <row r="2" spans="1:14" ht="12" x14ac:dyDescent="0.25">
      <c r="A2" s="237"/>
      <c r="B2" s="238"/>
      <c r="C2" s="239" t="str">
        <f>Currency&amp;"_015_SyntheticQuotes"&amp;".xml"</f>
        <v>EUR_015_SyntheticQuotes.xml</v>
      </c>
      <c r="D2" s="240" t="str">
        <f>IF(Serialize,_xll.ohObjectSave(D3:D84,SerializationPath&amp;C2,FileOverwrite,Serialize),"---")</f>
        <v>---</v>
      </c>
      <c r="E2" s="240" t="s">
        <v>102</v>
      </c>
      <c r="F2" s="16"/>
      <c r="G2" s="248"/>
      <c r="H2" s="249" t="s">
        <v>56</v>
      </c>
      <c r="I2" s="16"/>
      <c r="J2" s="250" t="s">
        <v>57</v>
      </c>
      <c r="K2" s="16"/>
      <c r="L2" s="248" t="s">
        <v>58</v>
      </c>
      <c r="M2" s="251" t="s">
        <v>59</v>
      </c>
      <c r="N2" s="254">
        <f>_xll.ohTrigger(M3:M7)</f>
        <v>6252</v>
      </c>
    </row>
    <row r="3" spans="1:14" x14ac:dyDescent="0.2">
      <c r="A3" s="255">
        <v>1</v>
      </c>
      <c r="B3" s="309" t="s">
        <v>60</v>
      </c>
      <c r="C3" s="310" t="str">
        <f t="shared" ref="C3" si="0">Currency&amp;$B3&amp;"_SYNTH"&amp;Tenor1M&amp;QuoteSuffix</f>
        <v>EURSND_SYNTH1M_Quote</v>
      </c>
      <c r="D3" s="310" t="str">
        <f>_xll.qlSimpleQuote(C3,,RateTickValue,Permanent,EvaluationDate,ObjectOverwrite)</f>
        <v>EURSND_SYNTH1M_Quote#0001</v>
      </c>
      <c r="E3" s="315" t="str">
        <f>_xll.ohRangeRetrieveError(D3)</f>
        <v/>
      </c>
      <c r="F3" s="16"/>
      <c r="G3" s="290" t="s">
        <v>60</v>
      </c>
      <c r="H3" s="291">
        <f>'1MSynthDepo'!C23</f>
        <v>-1.7479028500577698E-4</v>
      </c>
      <c r="I3" s="17" t="s">
        <v>61</v>
      </c>
      <c r="J3" s="284">
        <v>-7.2268146798837307E-4</v>
      </c>
      <c r="K3" s="16"/>
      <c r="L3" s="272">
        <f t="array" ref="L3:L84">QuoteLive</f>
        <v>-1.7479028500577698E-4</v>
      </c>
      <c r="M3" s="273">
        <f>_xll.qlSimpleQuoteSetValue(D3,ROUND($L3,6),EvaluationDate)</f>
        <v>0</v>
      </c>
      <c r="N3" s="256"/>
    </row>
    <row r="4" spans="1:14" x14ac:dyDescent="0.2">
      <c r="A4" s="257" t="str">
        <f>_xll.qlPeriodEquivalent(Months1M&amp;"M")</f>
        <v>1M</v>
      </c>
      <c r="B4" s="311" t="s">
        <v>62</v>
      </c>
      <c r="C4" s="312" t="str">
        <f t="shared" ref="C4:C7" si="1">Currency&amp;$B4&amp;"_SYNTH"&amp;Tenor1M&amp;QuoteSuffix</f>
        <v>EURSWD_SYNTH1M_Quote</v>
      </c>
      <c r="D4" s="312" t="str">
        <f>_xll.qlSimpleQuote(C4,,RateTickValue,Permanent,EvaluationDate,ObjectOverwrite)</f>
        <v>EURSWD_SYNTH1M_Quote#0001</v>
      </c>
      <c r="E4" s="316" t="str">
        <f>_xll.ohRangeRetrieveError(D4)</f>
        <v/>
      </c>
      <c r="F4" s="16"/>
      <c r="G4" s="290" t="s">
        <v>62</v>
      </c>
      <c r="H4" s="291">
        <f>'1MSynthDepo'!C24</f>
        <v>-2.0721354083454356E-4</v>
      </c>
      <c r="I4" s="17" t="s">
        <v>61</v>
      </c>
      <c r="J4" s="284">
        <v>3.8879337395262124E-5</v>
      </c>
      <c r="K4" s="16"/>
      <c r="L4" s="272">
        <v>-2.0721354083454356E-4</v>
      </c>
      <c r="M4" s="273">
        <f>_xll.qlSimpleQuoteSetValue(D4,ROUND($L4,6),EvaluationDate)</f>
        <v>0</v>
      </c>
      <c r="N4" s="256"/>
    </row>
    <row r="5" spans="1:14" x14ac:dyDescent="0.2">
      <c r="A5" s="258"/>
      <c r="B5" s="311" t="s">
        <v>63</v>
      </c>
      <c r="C5" s="312" t="str">
        <f t="shared" si="1"/>
        <v>EUR2WD_SYNTH1M_Quote</v>
      </c>
      <c r="D5" s="312" t="str">
        <f>_xll.qlSimpleQuote(C5,,RateTickValue,Permanent,EvaluationDate,ObjectOverwrite)</f>
        <v>EUR2WD_SYNTH1M_Quote#0001</v>
      </c>
      <c r="E5" s="316" t="str">
        <f>_xll.ohRangeRetrieveError(D5)</f>
        <v/>
      </c>
      <c r="F5" s="16"/>
      <c r="G5" s="290" t="s">
        <v>63</v>
      </c>
      <c r="H5" s="291">
        <f>'1MSynthDepo'!C25</f>
        <v>-2.6311839263096611E-4</v>
      </c>
      <c r="I5" s="17" t="s">
        <v>61</v>
      </c>
      <c r="J5" s="284">
        <v>-6.441524711345688E-5</v>
      </c>
      <c r="K5" s="16"/>
      <c r="L5" s="272">
        <v>-2.6311839263096611E-4</v>
      </c>
      <c r="M5" s="273">
        <f>_xll.qlSimpleQuoteSetValue(D5,ROUND($L5,6),EvaluationDate)</f>
        <v>0</v>
      </c>
      <c r="N5" s="256"/>
    </row>
    <row r="6" spans="1:14" x14ac:dyDescent="0.2">
      <c r="A6" s="258"/>
      <c r="B6" s="311" t="s">
        <v>64</v>
      </c>
      <c r="C6" s="312" t="str">
        <f t="shared" si="1"/>
        <v>EUR3WD_SYNTH1M_Quote</v>
      </c>
      <c r="D6" s="312" t="str">
        <f>_xll.qlSimpleQuote(C6,,RateTickValue,Permanent,EvaluationDate,ObjectOverwrite)</f>
        <v>EUR3WD_SYNTH1M_Quote#0001</v>
      </c>
      <c r="E6" s="316" t="str">
        <f>_xll.ohRangeRetrieveError(D6)</f>
        <v/>
      </c>
      <c r="F6" s="16"/>
      <c r="G6" s="292" t="s">
        <v>64</v>
      </c>
      <c r="H6" s="291">
        <f>'1MSynthDepo'!C26</f>
        <v>-1.5721114522574249E-4</v>
      </c>
      <c r="I6" s="17" t="s">
        <v>61</v>
      </c>
      <c r="J6" s="285">
        <v>3.1675359980657246E-5</v>
      </c>
      <c r="K6" s="16"/>
      <c r="L6" s="274">
        <v>-1.5721114522574249E-4</v>
      </c>
      <c r="M6" s="275">
        <f>_xll.qlSimpleQuoteSetValue(D6,ROUND($L6,6),EvaluationDate)</f>
        <v>0</v>
      </c>
      <c r="N6" s="256"/>
    </row>
    <row r="7" spans="1:14" x14ac:dyDescent="0.2">
      <c r="A7" s="258"/>
      <c r="B7" s="313" t="s">
        <v>65</v>
      </c>
      <c r="C7" s="314" t="str">
        <f t="shared" si="1"/>
        <v>EUR1MD_SYNTH1M_Quote</v>
      </c>
      <c r="D7" s="314" t="str">
        <f>_xll.qlSimpleQuote(C7,,RateTickValue,Permanent,EvaluationDate,ObjectOverwrite)</f>
        <v>EUR1MD_SYNTH1M_Quote#0001</v>
      </c>
      <c r="E7" s="317" t="str">
        <f>_xll.ohRangeRetrieveError(D7)</f>
        <v/>
      </c>
      <c r="F7" s="16"/>
      <c r="G7" s="293" t="s">
        <v>65</v>
      </c>
      <c r="H7" s="294">
        <f>'1MSynthDepo'!C27</f>
        <v>-2.499999999991398E-4</v>
      </c>
      <c r="I7" s="17" t="s">
        <v>61</v>
      </c>
      <c r="J7" s="286">
        <v>1.1971529473624584E-5</v>
      </c>
      <c r="K7" s="16"/>
      <c r="L7" s="276">
        <v>-2.499999999991398E-4</v>
      </c>
      <c r="M7" s="277">
        <f>_xll.qlSimpleQuoteSetValue(D7,ROUND($L7,6),EvaluationDate)</f>
        <v>0</v>
      </c>
      <c r="N7" s="259"/>
    </row>
    <row r="8" spans="1:14" x14ac:dyDescent="0.2">
      <c r="A8" s="241">
        <v>3</v>
      </c>
      <c r="B8" s="309" t="s">
        <v>60</v>
      </c>
      <c r="C8" s="310" t="str">
        <f t="shared" ref="C8:C14" si="2">Currency&amp;$B8&amp;"_SYNTH"&amp;Tenor3M&amp;QuoteSuffix</f>
        <v>EURSND_SYNTH3M_Quote</v>
      </c>
      <c r="D8" s="310" t="str">
        <f>_xll.qlSimpleQuote(C8,,RateTickValue,Permanent,EvaluationDate,ObjectOverwrite)</f>
        <v>EURSND_SYNTH3M_Quote#0001</v>
      </c>
      <c r="E8" s="315"/>
      <c r="F8" s="18"/>
      <c r="G8" s="295" t="s">
        <v>60</v>
      </c>
      <c r="H8" s="296">
        <f>'3MSynthDepo'!C25</f>
        <v>2.5925560002804104E-4</v>
      </c>
      <c r="I8" s="19"/>
      <c r="J8" s="284">
        <v>4.1468384102572031E-4</v>
      </c>
      <c r="K8" s="18"/>
      <c r="L8" s="272">
        <v>2.5925560002804104E-4</v>
      </c>
      <c r="M8" s="273">
        <f>_xll.qlSimpleQuoteSetValue(D8,ROUND($L8,6),EvaluationDate)</f>
        <v>0</v>
      </c>
      <c r="N8" s="260">
        <f>_xll.ohTrigger(M8:M14)</f>
        <v>6252</v>
      </c>
    </row>
    <row r="9" spans="1:14" x14ac:dyDescent="0.2">
      <c r="A9" s="257" t="str">
        <f>_xll.qlPeriodEquivalent(Months3M&amp;"M")</f>
        <v>3M</v>
      </c>
      <c r="B9" s="311" t="s">
        <v>62</v>
      </c>
      <c r="C9" s="312" t="str">
        <f t="shared" si="2"/>
        <v>EURSWD_SYNTH3M_Quote</v>
      </c>
      <c r="D9" s="312" t="str">
        <f>_xll.qlSimpleQuote(C9,,RateTickValue,Permanent,EvaluationDate,ObjectOverwrite)</f>
        <v>EURSWD_SYNTH3M_Quote#0001</v>
      </c>
      <c r="E9" s="316"/>
      <c r="F9" s="18"/>
      <c r="G9" s="297" t="s">
        <v>62</v>
      </c>
      <c r="H9" s="291">
        <f>'3MSynthDepo'!C26</f>
        <v>2.3989075293075399E-4</v>
      </c>
      <c r="I9" s="19"/>
      <c r="J9" s="284">
        <v>1.089294466741616E-3</v>
      </c>
      <c r="K9" s="18"/>
      <c r="L9" s="272">
        <v>2.3989075293075399E-4</v>
      </c>
      <c r="M9" s="273">
        <f>_xll.qlSimpleQuoteSetValue(D9,ROUND($L9,6),EvaluationDate)</f>
        <v>0</v>
      </c>
      <c r="N9" s="256"/>
    </row>
    <row r="10" spans="1:14" x14ac:dyDescent="0.2">
      <c r="A10" s="261"/>
      <c r="B10" s="311" t="s">
        <v>63</v>
      </c>
      <c r="C10" s="312" t="str">
        <f t="shared" si="2"/>
        <v>EUR2WD_SYNTH3M_Quote</v>
      </c>
      <c r="D10" s="312" t="str">
        <f>_xll.qlSimpleQuote(C10,,RateTickValue,Permanent,EvaluationDate,ObjectOverwrite)</f>
        <v>EUR2WD_SYNTH3M_Quote#0001</v>
      </c>
      <c r="E10" s="316"/>
      <c r="F10" s="18"/>
      <c r="G10" s="297" t="s">
        <v>63</v>
      </c>
      <c r="H10" s="291">
        <f>'3MSynthDepo'!C27</f>
        <v>1.9766254338447555E-4</v>
      </c>
      <c r="I10" s="19"/>
      <c r="J10" s="284">
        <v>8.9421415957627705E-4</v>
      </c>
      <c r="K10" s="18"/>
      <c r="L10" s="272">
        <v>1.9766254338447555E-4</v>
      </c>
      <c r="M10" s="273">
        <f>_xll.qlSimpleQuoteSetValue(D10,ROUND($L10,6),EvaluationDate)</f>
        <v>0</v>
      </c>
      <c r="N10" s="256"/>
    </row>
    <row r="11" spans="1:14" x14ac:dyDescent="0.2">
      <c r="A11" s="261"/>
      <c r="B11" s="311" t="s">
        <v>64</v>
      </c>
      <c r="C11" s="312" t="str">
        <f t="shared" si="2"/>
        <v>EUR3WD_SYNTH3M_Quote</v>
      </c>
      <c r="D11" s="312" t="str">
        <f>_xll.qlSimpleQuote(C11,,RateTickValue,Permanent,EvaluationDate,ObjectOverwrite)</f>
        <v>EUR3WD_SYNTH3M_Quote#0001</v>
      </c>
      <c r="E11" s="316"/>
      <c r="F11" s="18"/>
      <c r="G11" s="298" t="s">
        <v>64</v>
      </c>
      <c r="H11" s="299">
        <f>'3MSynthDepo'!C28</f>
        <v>3.155728037247079E-4</v>
      </c>
      <c r="I11" s="19"/>
      <c r="J11" s="285">
        <v>9.0893346892098993E-4</v>
      </c>
      <c r="K11" s="18"/>
      <c r="L11" s="274">
        <v>3.155728037247079E-4</v>
      </c>
      <c r="M11" s="275">
        <f>_xll.qlSimpleQuoteSetValue(D11,ROUND($L11,6),EvaluationDate)</f>
        <v>0</v>
      </c>
      <c r="N11" s="256"/>
    </row>
    <row r="12" spans="1:14" x14ac:dyDescent="0.2">
      <c r="A12" s="261"/>
      <c r="B12" s="311" t="s">
        <v>65</v>
      </c>
      <c r="C12" s="312" t="str">
        <f t="shared" si="2"/>
        <v>EUR1MD_SYNTH3M_Quote</v>
      </c>
      <c r="D12" s="312" t="str">
        <f>_xll.qlSimpleQuote(C12,,RateTickValue,Permanent,EvaluationDate,ObjectOverwrite)</f>
        <v>EUR1MD_SYNTH3M_Quote#0001</v>
      </c>
      <c r="E12" s="316"/>
      <c r="F12" s="18"/>
      <c r="G12" s="297" t="s">
        <v>65</v>
      </c>
      <c r="H12" s="291">
        <f>'3MSynthDepo'!C29</f>
        <v>2.3825055148252172E-4</v>
      </c>
      <c r="I12" s="19"/>
      <c r="J12" s="284">
        <v>7.6571691908287973E-4</v>
      </c>
      <c r="K12" s="18"/>
      <c r="L12" s="272">
        <v>2.3825055148252172E-4</v>
      </c>
      <c r="M12" s="273">
        <f>_xll.qlSimpleQuoteSetValue(D12,ROUND($L12,6),EvaluationDate)</f>
        <v>0</v>
      </c>
      <c r="N12" s="256"/>
    </row>
    <row r="13" spans="1:14" x14ac:dyDescent="0.2">
      <c r="A13" s="261"/>
      <c r="B13" s="311" t="s">
        <v>66</v>
      </c>
      <c r="C13" s="312" t="str">
        <f t="shared" si="2"/>
        <v>EUR2MD_SYNTH3M_Quote</v>
      </c>
      <c r="D13" s="312" t="str">
        <f>_xll.qlSimpleQuote(C13,,RateTickValue,Permanent,EvaluationDate,ObjectOverwrite)</f>
        <v>EUR2MD_SYNTH3M_Quote#0001</v>
      </c>
      <c r="E13" s="316"/>
      <c r="F13" s="18"/>
      <c r="G13" s="297" t="s">
        <v>66</v>
      </c>
      <c r="H13" s="291">
        <f>'3MSynthDepo'!C30</f>
        <v>1.9602489796885365E-4</v>
      </c>
      <c r="I13" s="19"/>
      <c r="J13" s="284">
        <v>7.4085490671904261E-4</v>
      </c>
      <c r="K13" s="18"/>
      <c r="L13" s="272">
        <v>1.9602489796885365E-4</v>
      </c>
      <c r="M13" s="273">
        <f>_xll.qlSimpleQuoteSetValue(D13,ROUND($L13,6),EvaluationDate)</f>
        <v>0</v>
      </c>
      <c r="N13" s="256"/>
    </row>
    <row r="14" spans="1:14" x14ac:dyDescent="0.2">
      <c r="A14" s="246"/>
      <c r="B14" s="313" t="s">
        <v>67</v>
      </c>
      <c r="C14" s="314" t="str">
        <f t="shared" si="2"/>
        <v>EUR3MD_SYNTH3M_Quote</v>
      </c>
      <c r="D14" s="314" t="str">
        <f>_xll.qlSimpleQuote(C14,,RateTickValue,Permanent,EvaluationDate,ObjectOverwrite)</f>
        <v>EUR3MD_SYNTH3M_Quote#0001</v>
      </c>
      <c r="E14" s="317"/>
      <c r="F14" s="18"/>
      <c r="G14" s="298" t="s">
        <v>67</v>
      </c>
      <c r="H14" s="299">
        <f>'3MSynthDepo'!C31</f>
        <v>9.8235183981178529E-5</v>
      </c>
      <c r="I14" s="19"/>
      <c r="J14" s="285">
        <v>8.2668403181896809E-4</v>
      </c>
      <c r="K14" s="18"/>
      <c r="L14" s="274">
        <v>9.8235183981178529E-5</v>
      </c>
      <c r="M14" s="275">
        <f>_xll.qlSimpleQuoteSetValue(D14,ROUND($L14,6),EvaluationDate)</f>
        <v>0</v>
      </c>
      <c r="N14" s="256"/>
    </row>
    <row r="15" spans="1:14" x14ac:dyDescent="0.2">
      <c r="A15" s="255">
        <v>6</v>
      </c>
      <c r="B15" s="309" t="s">
        <v>60</v>
      </c>
      <c r="C15" s="310" t="str">
        <f t="shared" ref="C15:C24" si="3">Currency&amp;$B15&amp;"_SYNTH"&amp;Tenor6M&amp;QuoteSuffix</f>
        <v>EURSND_SYNTH6M_Quote</v>
      </c>
      <c r="D15" s="310" t="str">
        <f>_xll.qlSimpleQuote(C15,,RateTickValue,Permanent,EvaluationDate,ObjectOverwrite)</f>
        <v>EURSND_SYNTH6M_Quote#0001</v>
      </c>
      <c r="E15" s="315" t="str">
        <f>_xll.ohRangeRetrieveError(D15)</f>
        <v/>
      </c>
      <c r="F15" s="18"/>
      <c r="G15" s="295" t="s">
        <v>60</v>
      </c>
      <c r="H15" s="296">
        <f>'6MSynthDepo'!C28</f>
        <v>3.9717367522840163E-4</v>
      </c>
      <c r="I15" s="19"/>
      <c r="J15" s="284">
        <v>-3.0034421194091721E-4</v>
      </c>
      <c r="K15" s="18"/>
      <c r="L15" s="272">
        <v>3.9717367522840163E-4</v>
      </c>
      <c r="M15" s="273">
        <f>_xll.qlSimpleQuoteSetValue(D15,ROUND($L15,6),EvaluationDate)</f>
        <v>0</v>
      </c>
      <c r="N15" s="262">
        <f>_xll.ohTrigger(M15:M24)</f>
        <v>6252</v>
      </c>
    </row>
    <row r="16" spans="1:14" x14ac:dyDescent="0.2">
      <c r="A16" s="257" t="str">
        <f>_xll.qlPeriodEquivalent(Months6M&amp;"M")</f>
        <v>6M</v>
      </c>
      <c r="B16" s="311" t="s">
        <v>62</v>
      </c>
      <c r="C16" s="312" t="str">
        <f t="shared" si="3"/>
        <v>EURSWD_SYNTH6M_Quote</v>
      </c>
      <c r="D16" s="312" t="str">
        <f>_xll.qlSimpleQuote(C16,,RateTickValue,Permanent,EvaluationDate,ObjectOverwrite)</f>
        <v>EURSWD_SYNTH6M_Quote#0001</v>
      </c>
      <c r="E16" s="316" t="str">
        <f>_xll.ohRangeRetrieveError(D16)</f>
        <v/>
      </c>
      <c r="F16" s="18"/>
      <c r="G16" s="297" t="s">
        <v>62</v>
      </c>
      <c r="H16" s="291">
        <f>'6MSynthDepo'!C29</f>
        <v>4.0755700275190473E-4</v>
      </c>
      <c r="I16" s="19"/>
      <c r="J16" s="284">
        <v>4.6464757071643499E-4</v>
      </c>
      <c r="K16" s="18"/>
      <c r="L16" s="272">
        <v>4.0755700275190473E-4</v>
      </c>
      <c r="M16" s="273">
        <f>_xll.qlSimpleQuoteSetValue(D16,ROUND($L16,6),EvaluationDate)</f>
        <v>0</v>
      </c>
      <c r="N16" s="263"/>
    </row>
    <row r="17" spans="1:14" x14ac:dyDescent="0.2">
      <c r="A17" s="264"/>
      <c r="B17" s="311" t="s">
        <v>63</v>
      </c>
      <c r="C17" s="312" t="str">
        <f t="shared" si="3"/>
        <v>EUR2WD_SYNTH6M_Quote</v>
      </c>
      <c r="D17" s="312" t="str">
        <f>_xll.qlSimpleQuote(C17,,RateTickValue,Permanent,EvaluationDate,ObjectOverwrite)</f>
        <v>EUR2WD_SYNTH6M_Quote#0001</v>
      </c>
      <c r="E17" s="316" t="str">
        <f>_xll.ohRangeRetrieveError(D17)</f>
        <v/>
      </c>
      <c r="F17" s="10"/>
      <c r="G17" s="297" t="s">
        <v>63</v>
      </c>
      <c r="H17" s="291">
        <f>'6MSynthDepo'!C30</f>
        <v>3.9877560682720158E-4</v>
      </c>
      <c r="I17" s="19"/>
      <c r="J17" s="284">
        <v>3.7158652098158635E-4</v>
      </c>
      <c r="K17" s="18"/>
      <c r="L17" s="272">
        <v>3.9877560682720158E-4</v>
      </c>
      <c r="M17" s="273">
        <f>_xll.qlSimpleQuoteSetValue(D17,ROUND($L17,6),EvaluationDate)</f>
        <v>0</v>
      </c>
      <c r="N17" s="263"/>
    </row>
    <row r="18" spans="1:14" x14ac:dyDescent="0.2">
      <c r="A18" s="261"/>
      <c r="B18" s="311" t="s">
        <v>64</v>
      </c>
      <c r="C18" s="312" t="str">
        <f t="shared" si="3"/>
        <v>EUR3WD_SYNTH6M_Quote</v>
      </c>
      <c r="D18" s="312" t="str">
        <f>_xll.qlSimpleQuote(C18,,RateTickValue,Permanent,EvaluationDate,ObjectOverwrite)</f>
        <v>EUR3WD_SYNTH6M_Quote#0001</v>
      </c>
      <c r="E18" s="316" t="str">
        <f>_xll.ohRangeRetrieveError(D18)</f>
        <v/>
      </c>
      <c r="F18" s="10"/>
      <c r="G18" s="297" t="s">
        <v>64</v>
      </c>
      <c r="H18" s="291">
        <f>'6MSynthDepo'!C31</f>
        <v>5.4877847706842023E-4</v>
      </c>
      <c r="I18" s="19"/>
      <c r="J18" s="284">
        <v>4.8462718726811308E-4</v>
      </c>
      <c r="K18" s="18"/>
      <c r="L18" s="272">
        <v>5.4877847706842023E-4</v>
      </c>
      <c r="M18" s="273">
        <f>_xll.qlSimpleQuoteSetValue(D18,ROUND($L18,6),EvaluationDate)</f>
        <v>0</v>
      </c>
      <c r="N18" s="263"/>
    </row>
    <row r="19" spans="1:14" x14ac:dyDescent="0.2">
      <c r="A19" s="261"/>
      <c r="B19" s="311" t="s">
        <v>65</v>
      </c>
      <c r="C19" s="312" t="str">
        <f t="shared" si="3"/>
        <v>EUR1MD_SYNTH6M_Quote</v>
      </c>
      <c r="D19" s="312" t="str">
        <f>_xll.qlSimpleQuote(C19,,RateTickValue,Permanent,EvaluationDate,ObjectOverwrite)</f>
        <v>EUR1MD_SYNTH6M_Quote#0001</v>
      </c>
      <c r="E19" s="316" t="str">
        <f>_xll.ohRangeRetrieveError(D19)</f>
        <v/>
      </c>
      <c r="F19" s="10"/>
      <c r="G19" s="295" t="s">
        <v>65</v>
      </c>
      <c r="H19" s="296">
        <f>'6MSynthDepo'!C32</f>
        <v>5.1914484182763454E-4</v>
      </c>
      <c r="I19" s="111"/>
      <c r="J19" s="287">
        <v>5.1420940780660626E-4</v>
      </c>
      <c r="K19" s="112"/>
      <c r="L19" s="278">
        <v>5.1914484182763454E-4</v>
      </c>
      <c r="M19" s="279">
        <f>_xll.qlSimpleQuoteSetValue(D19,ROUND($L19,6),EvaluationDate)</f>
        <v>0</v>
      </c>
      <c r="N19" s="263"/>
    </row>
    <row r="20" spans="1:14" x14ac:dyDescent="0.2">
      <c r="A20" s="261"/>
      <c r="B20" s="311" t="s">
        <v>66</v>
      </c>
      <c r="C20" s="312" t="str">
        <f t="shared" si="3"/>
        <v>EUR2MD_SYNTH6M_Quote</v>
      </c>
      <c r="D20" s="312" t="str">
        <f>_xll.qlSimpleQuote(C20,,RateTickValue,Permanent,EvaluationDate,ObjectOverwrite)</f>
        <v>EUR2MD_SYNTH6M_Quote#0001</v>
      </c>
      <c r="E20" s="316" t="str">
        <f>_xll.ohRangeRetrieveError(D20)</f>
        <v/>
      </c>
      <c r="F20" s="10"/>
      <c r="G20" s="297" t="s">
        <v>66</v>
      </c>
      <c r="H20" s="291">
        <f>'6MSynthDepo'!C33</f>
        <v>5.8659452018788589E-4</v>
      </c>
      <c r="I20" s="19"/>
      <c r="J20" s="284">
        <v>8.1824348655893634E-4</v>
      </c>
      <c r="K20" s="18"/>
      <c r="L20" s="272">
        <v>5.8659452018788589E-4</v>
      </c>
      <c r="M20" s="273">
        <f>_xll.qlSimpleQuoteSetValue(D20,ROUND($L20,6),EvaluationDate)</f>
        <v>0</v>
      </c>
      <c r="N20" s="263"/>
    </row>
    <row r="21" spans="1:14" x14ac:dyDescent="0.2">
      <c r="A21" s="261"/>
      <c r="B21" s="311" t="s">
        <v>67</v>
      </c>
      <c r="C21" s="312" t="str">
        <f t="shared" si="3"/>
        <v>EUR3MD_SYNTH6M_Quote</v>
      </c>
      <c r="D21" s="312" t="str">
        <f>_xll.qlSimpleQuote(C21,,RateTickValue,Permanent,EvaluationDate,ObjectOverwrite)</f>
        <v>EUR3MD_SYNTH6M_Quote#0001</v>
      </c>
      <c r="E21" s="316" t="str">
        <f>_xll.ohRangeRetrieveError(D21)</f>
        <v/>
      </c>
      <c r="F21" s="10"/>
      <c r="G21" s="297" t="s">
        <v>67</v>
      </c>
      <c r="H21" s="291">
        <f>'6MSynthDepo'!C34</f>
        <v>5.7776053959178626E-4</v>
      </c>
      <c r="I21" s="19"/>
      <c r="J21" s="284">
        <v>1.1908777193457023E-3</v>
      </c>
      <c r="K21" s="18"/>
      <c r="L21" s="272">
        <v>5.7776053959178626E-4</v>
      </c>
      <c r="M21" s="273">
        <f>_xll.qlSimpleQuoteSetValue(D21,ROUND($L21,6),EvaluationDate)</f>
        <v>0</v>
      </c>
      <c r="N21" s="263"/>
    </row>
    <row r="22" spans="1:14" x14ac:dyDescent="0.2">
      <c r="A22" s="261"/>
      <c r="B22" s="311" t="s">
        <v>68</v>
      </c>
      <c r="C22" s="312" t="str">
        <f t="shared" si="3"/>
        <v>EUR4MD_SYNTH6M_Quote</v>
      </c>
      <c r="D22" s="312" t="str">
        <f>_xll.qlSimpleQuote(C22,,RateTickValue,Permanent,EvaluationDate,ObjectOverwrite)</f>
        <v>EUR4MD_SYNTH6M_Quote#0001</v>
      </c>
      <c r="E22" s="316" t="str">
        <f>_xll.ohRangeRetrieveError(D22)</f>
        <v/>
      </c>
      <c r="F22" s="10"/>
      <c r="G22" s="297" t="s">
        <v>68</v>
      </c>
      <c r="H22" s="291">
        <f>'6MSynthDepo'!C35</f>
        <v>5.9317035645924348E-4</v>
      </c>
      <c r="I22" s="19"/>
      <c r="J22" s="284">
        <v>1.4859395290376387E-3</v>
      </c>
      <c r="K22" s="18"/>
      <c r="L22" s="272">
        <v>5.9317035645924348E-4</v>
      </c>
      <c r="M22" s="273">
        <f>_xll.qlSimpleQuoteSetValue(D22,ROUND($L22,6),EvaluationDate)</f>
        <v>0</v>
      </c>
      <c r="N22" s="263"/>
    </row>
    <row r="23" spans="1:14" x14ac:dyDescent="0.2">
      <c r="A23" s="261"/>
      <c r="B23" s="311" t="s">
        <v>69</v>
      </c>
      <c r="C23" s="312" t="str">
        <f t="shared" si="3"/>
        <v>EUR5MD_SYNTH6M_Quote</v>
      </c>
      <c r="D23" s="312" t="str">
        <f>_xll.qlSimpleQuote(C23,,RateTickValue,Permanent,EvaluationDate,ObjectOverwrite)</f>
        <v>EUR5MD_SYNTH6M_Quote#0001</v>
      </c>
      <c r="E23" s="316" t="str">
        <f>_xll.ohRangeRetrieveError(D23)</f>
        <v/>
      </c>
      <c r="F23" s="10"/>
      <c r="G23" s="297" t="s">
        <v>69</v>
      </c>
      <c r="H23" s="291">
        <f>'6MSynthDepo'!C36</f>
        <v>6.1720859200681591E-4</v>
      </c>
      <c r="I23" s="19"/>
      <c r="J23" s="284">
        <v>1.666421336793596E-3</v>
      </c>
      <c r="K23" s="18"/>
      <c r="L23" s="272">
        <v>6.1720859200681591E-4</v>
      </c>
      <c r="M23" s="273">
        <f>_xll.qlSimpleQuoteSetValue(D23,ROUND($L23,6),EvaluationDate)</f>
        <v>0</v>
      </c>
      <c r="N23" s="263"/>
    </row>
    <row r="24" spans="1:14" x14ac:dyDescent="0.2">
      <c r="A24" s="246"/>
      <c r="B24" s="313" t="s">
        <v>70</v>
      </c>
      <c r="C24" s="314" t="str">
        <f t="shared" si="3"/>
        <v>EUR6MD_SYNTH6M_Quote</v>
      </c>
      <c r="D24" s="314" t="str">
        <f>_xll.qlSimpleQuote(C24,,RateTickValue,Permanent,EvaluationDate,ObjectOverwrite)</f>
        <v>EUR6MD_SYNTH6M_Quote#0001</v>
      </c>
      <c r="E24" s="317" t="str">
        <f>_xll.ohRangeRetrieveError(D24)</f>
        <v/>
      </c>
      <c r="F24" s="10"/>
      <c r="G24" s="298" t="s">
        <v>70</v>
      </c>
      <c r="H24" s="299">
        <f>'6MSynthDepo'!C37</f>
        <v>6.4242753320430958E-4</v>
      </c>
      <c r="I24" s="19"/>
      <c r="J24" s="285">
        <v>1.7354869612805641E-3</v>
      </c>
      <c r="K24" s="18"/>
      <c r="L24" s="274">
        <v>6.4242753320430958E-4</v>
      </c>
      <c r="M24" s="275">
        <f>_xll.qlSimpleQuoteSetValue(D24,ROUND($L24,6),EvaluationDate)</f>
        <v>0</v>
      </c>
      <c r="N24" s="263"/>
    </row>
    <row r="25" spans="1:14" x14ac:dyDescent="0.2">
      <c r="A25" s="247">
        <v>12</v>
      </c>
      <c r="B25" s="311" t="s">
        <v>60</v>
      </c>
      <c r="C25" s="312" t="str">
        <f t="shared" ref="C25:C40" si="4">Currency&amp;$B25&amp;"_SYNTH"&amp;Tenor12M&amp;QuoteSuffix</f>
        <v>EURSND_SYNTH1Y_Quote</v>
      </c>
      <c r="D25" s="312" t="str">
        <f>_xll.qlSimpleQuote(C25,,RateTickValue,Permanent,EvaluationDate,ObjectOverwrite)</f>
        <v>EURSND_SYNTH1Y_Quote#0001</v>
      </c>
      <c r="E25" s="316" t="str">
        <f>_xll.ohRangeRetrieveError(D25)</f>
        <v/>
      </c>
      <c r="F25" s="18"/>
      <c r="G25" s="300" t="s">
        <v>60</v>
      </c>
      <c r="H25" s="296">
        <f>'1YSynthDepo'!C34</f>
        <v>2.6179880734478189E-3</v>
      </c>
      <c r="I25" s="19"/>
      <c r="J25" s="284">
        <v>3.2741444829742505E-3</v>
      </c>
      <c r="K25" s="18"/>
      <c r="L25" s="272">
        <v>2.6179880734478189E-3</v>
      </c>
      <c r="M25" s="273">
        <f>_xll.qlSimpleQuoteSetValue(D25,ROUND($L25,6),EvaluationDate)</f>
        <v>0</v>
      </c>
      <c r="N25" s="262">
        <f>_xll.ohTrigger(M25:M40)</f>
        <v>6252</v>
      </c>
    </row>
    <row r="26" spans="1:14" x14ac:dyDescent="0.2">
      <c r="A26" s="241" t="str">
        <f>_xll.qlPeriodEquivalent(Months12M&amp;"M")</f>
        <v>1Y</v>
      </c>
      <c r="B26" s="311" t="s">
        <v>62</v>
      </c>
      <c r="C26" s="312" t="str">
        <f t="shared" si="4"/>
        <v>EURSWD_SYNTH1Y_Quote</v>
      </c>
      <c r="D26" s="312" t="str">
        <f>_xll.qlSimpleQuote(C26,,RateTickValue,Permanent,EvaluationDate,ObjectOverwrite)</f>
        <v>EURSWD_SYNTH1Y_Quote#0001</v>
      </c>
      <c r="E26" s="316" t="str">
        <f>_xll.ohRangeRetrieveError(D26)</f>
        <v/>
      </c>
      <c r="F26" s="18"/>
      <c r="G26" s="301" t="s">
        <v>62</v>
      </c>
      <c r="H26" s="291">
        <f>'1YSynthDepo'!C35</f>
        <v>2.5894940477945638E-3</v>
      </c>
      <c r="I26" s="19"/>
      <c r="J26" s="284">
        <v>3.9376267112637264E-3</v>
      </c>
      <c r="K26" s="18"/>
      <c r="L26" s="272">
        <v>2.5894940477945638E-3</v>
      </c>
      <c r="M26" s="273">
        <f>_xll.qlSimpleQuoteSetValue(D26,ROUND($L26,6),EvaluationDate)</f>
        <v>0</v>
      </c>
      <c r="N26" s="263"/>
    </row>
    <row r="27" spans="1:14" x14ac:dyDescent="0.2">
      <c r="A27" s="243"/>
      <c r="B27" s="311" t="s">
        <v>63</v>
      </c>
      <c r="C27" s="312" t="str">
        <f t="shared" si="4"/>
        <v>EUR2WD_SYNTH1Y_Quote</v>
      </c>
      <c r="D27" s="312" t="str">
        <f>_xll.qlSimpleQuote(C27,,RateTickValue,Permanent,EvaluationDate,ObjectOverwrite)</f>
        <v>EUR2WD_SYNTH1Y_Quote#0001</v>
      </c>
      <c r="E27" s="316" t="str">
        <f>_xll.ohRangeRetrieveError(D27)</f>
        <v/>
      </c>
      <c r="F27" s="10"/>
      <c r="G27" s="301" t="s">
        <v>63</v>
      </c>
      <c r="H27" s="291">
        <f>'1YSynthDepo'!C36</f>
        <v>2.5364894129533055E-3</v>
      </c>
      <c r="I27" s="19"/>
      <c r="J27" s="284">
        <v>3.7298706984018842E-3</v>
      </c>
      <c r="K27" s="18"/>
      <c r="L27" s="272">
        <v>2.5364894129533055E-3</v>
      </c>
      <c r="M27" s="273">
        <f>_xll.qlSimpleQuoteSetValue(D27,ROUND($L27,6),EvaluationDate)</f>
        <v>0</v>
      </c>
      <c r="N27" s="263"/>
    </row>
    <row r="28" spans="1:14" x14ac:dyDescent="0.2">
      <c r="A28" s="243"/>
      <c r="B28" s="311" t="s">
        <v>64</v>
      </c>
      <c r="C28" s="312" t="str">
        <f t="shared" si="4"/>
        <v>EUR3WD_SYNTH1Y_Quote</v>
      </c>
      <c r="D28" s="312" t="str">
        <f>_xll.qlSimpleQuote(C28,,RateTickValue,Permanent,EvaluationDate,ObjectOverwrite)</f>
        <v>EUR3WD_SYNTH1Y_Quote#0001</v>
      </c>
      <c r="E28" s="316" t="str">
        <f>_xll.ohRangeRetrieveError(D28)</f>
        <v/>
      </c>
      <c r="F28" s="10"/>
      <c r="G28" s="301" t="s">
        <v>64</v>
      </c>
      <c r="H28" s="291">
        <f>'1YSynthDepo'!C37</f>
        <v>2.6435097840974259E-3</v>
      </c>
      <c r="I28" s="19"/>
      <c r="J28" s="284">
        <v>3.7322886820057022E-3</v>
      </c>
      <c r="K28" s="18"/>
      <c r="L28" s="272">
        <v>2.6435097840974259E-3</v>
      </c>
      <c r="M28" s="273">
        <f>_xll.qlSimpleQuoteSetValue(D28,ROUND($L28,6),EvaluationDate)</f>
        <v>0</v>
      </c>
      <c r="N28" s="263"/>
    </row>
    <row r="29" spans="1:14" x14ac:dyDescent="0.2">
      <c r="A29" s="243"/>
      <c r="B29" s="311" t="s">
        <v>65</v>
      </c>
      <c r="C29" s="312" t="str">
        <f t="shared" si="4"/>
        <v>EUR1MD_SYNTH1Y_Quote</v>
      </c>
      <c r="D29" s="312" t="str">
        <f>_xll.qlSimpleQuote(C29,,RateTickValue,Permanent,EvaluationDate,ObjectOverwrite)</f>
        <v>EUR1MD_SYNTH1Y_Quote#0001</v>
      </c>
      <c r="E29" s="316" t="str">
        <f>_xll.ohRangeRetrieveError(D29)</f>
        <v/>
      </c>
      <c r="F29" s="10"/>
      <c r="G29" s="302" t="s">
        <v>65</v>
      </c>
      <c r="H29" s="299">
        <f>'1YSynthDepo'!C38</f>
        <v>2.5487764922166312E-3</v>
      </c>
      <c r="I29" s="19"/>
      <c r="J29" s="285">
        <v>3.5671443455276941E-3</v>
      </c>
      <c r="K29" s="18"/>
      <c r="L29" s="274">
        <v>2.5487764922166312E-3</v>
      </c>
      <c r="M29" s="275">
        <f>_xll.qlSimpleQuoteSetValue(D29,ROUND($L29,6),EvaluationDate)</f>
        <v>0</v>
      </c>
      <c r="N29" s="263"/>
    </row>
    <row r="30" spans="1:14" x14ac:dyDescent="0.2">
      <c r="A30" s="243"/>
      <c r="B30" s="311" t="s">
        <v>66</v>
      </c>
      <c r="C30" s="312" t="str">
        <f t="shared" si="4"/>
        <v>EUR2MD_SYNTH1Y_Quote</v>
      </c>
      <c r="D30" s="312" t="str">
        <f>_xll.qlSimpleQuote(C30,,RateTickValue,Permanent,EvaluationDate,ObjectOverwrite)</f>
        <v>EUR2MD_SYNTH1Y_Quote#0001</v>
      </c>
      <c r="E30" s="316" t="str">
        <f>_xll.ohRangeRetrieveError(D30)</f>
        <v/>
      </c>
      <c r="F30" s="10"/>
      <c r="G30" s="301" t="s">
        <v>66</v>
      </c>
      <c r="H30" s="291">
        <f>'1YSynthDepo'!C39</f>
        <v>2.4591044055887754E-3</v>
      </c>
      <c r="I30" s="19"/>
      <c r="J30" s="284">
        <v>3.4993270593571572E-3</v>
      </c>
      <c r="K30" s="18"/>
      <c r="L30" s="272">
        <v>2.4591044055887754E-3</v>
      </c>
      <c r="M30" s="273">
        <f>_xll.qlSimpleQuoteSetValue(D30,ROUND($L30,6),EvaluationDate)</f>
        <v>0</v>
      </c>
      <c r="N30" s="262"/>
    </row>
    <row r="31" spans="1:14" x14ac:dyDescent="0.2">
      <c r="A31" s="243"/>
      <c r="B31" s="311" t="s">
        <v>67</v>
      </c>
      <c r="C31" s="312" t="str">
        <f t="shared" si="4"/>
        <v>EUR3MD_SYNTH1Y_Quote</v>
      </c>
      <c r="D31" s="312" t="str">
        <f>_xll.qlSimpleQuote(C31,,RateTickValue,Permanent,EvaluationDate,ObjectOverwrite)</f>
        <v>EUR3MD_SYNTH1Y_Quote#0001</v>
      </c>
      <c r="E31" s="316" t="str">
        <f>_xll.ohRangeRetrieveError(D31)</f>
        <v/>
      </c>
      <c r="F31" s="10"/>
      <c r="G31" s="301" t="s">
        <v>67</v>
      </c>
      <c r="H31" s="291">
        <f>'1YSynthDepo'!C40</f>
        <v>2.3098118179196007E-3</v>
      </c>
      <c r="I31" s="19"/>
      <c r="J31" s="284">
        <v>3.5456229020878484E-3</v>
      </c>
      <c r="K31" s="18"/>
      <c r="L31" s="272">
        <v>2.3098118179196007E-3</v>
      </c>
      <c r="M31" s="273">
        <f>_xll.qlSimpleQuoteSetValue(D31,ROUND($L31,6),EvaluationDate)</f>
        <v>0</v>
      </c>
      <c r="N31" s="263"/>
    </row>
    <row r="32" spans="1:14" x14ac:dyDescent="0.2">
      <c r="A32" s="243"/>
      <c r="B32" s="311" t="s">
        <v>68</v>
      </c>
      <c r="C32" s="312" t="str">
        <f t="shared" si="4"/>
        <v>EUR4MD_SYNTH1Y_Quote</v>
      </c>
      <c r="D32" s="312" t="str">
        <f>_xll.qlSimpleQuote(C32,,RateTickValue,Permanent,EvaluationDate,ObjectOverwrite)</f>
        <v>EUR4MD_SYNTH1Y_Quote#0001</v>
      </c>
      <c r="E32" s="316" t="str">
        <f>_xll.ohRangeRetrieveError(D32)</f>
        <v/>
      </c>
      <c r="F32" s="10"/>
      <c r="G32" s="301" t="s">
        <v>68</v>
      </c>
      <c r="H32" s="291">
        <f>'1YSynthDepo'!C41</f>
        <v>2.2001982616641118E-3</v>
      </c>
      <c r="I32" s="19"/>
      <c r="J32" s="284">
        <v>3.6033508135462355E-3</v>
      </c>
      <c r="K32" s="18"/>
      <c r="L32" s="272">
        <v>2.2001982616641118E-3</v>
      </c>
      <c r="M32" s="273">
        <f>_xll.qlSimpleQuoteSetValue(D32,ROUND($L32,6),EvaluationDate)</f>
        <v>0</v>
      </c>
      <c r="N32" s="263"/>
    </row>
    <row r="33" spans="1:14" x14ac:dyDescent="0.2">
      <c r="A33" s="243"/>
      <c r="B33" s="311" t="s">
        <v>69</v>
      </c>
      <c r="C33" s="312" t="str">
        <f t="shared" si="4"/>
        <v>EUR5MD_SYNTH1Y_Quote</v>
      </c>
      <c r="D33" s="312" t="str">
        <f>_xll.qlSimpleQuote(C33,,RateTickValue,Permanent,EvaluationDate,ObjectOverwrite)</f>
        <v>EUR5MD_SYNTH1Y_Quote#0001</v>
      </c>
      <c r="E33" s="316" t="str">
        <f>_xll.ohRangeRetrieveError(D33)</f>
        <v/>
      </c>
      <c r="F33" s="18"/>
      <c r="G33" s="301" t="s">
        <v>69</v>
      </c>
      <c r="H33" s="291">
        <f>'1YSynthDepo'!C42</f>
        <v>2.1302890933567612E-3</v>
      </c>
      <c r="I33" s="19"/>
      <c r="J33" s="284">
        <v>3.5874219876094902E-3</v>
      </c>
      <c r="K33" s="18"/>
      <c r="L33" s="272">
        <v>2.1302890933567612E-3</v>
      </c>
      <c r="M33" s="273">
        <f>_xll.qlSimpleQuoteSetValue(D33,ROUND($L33,6),EvaluationDate)</f>
        <v>0</v>
      </c>
      <c r="N33" s="263"/>
    </row>
    <row r="34" spans="1:14" x14ac:dyDescent="0.2">
      <c r="A34" s="243"/>
      <c r="B34" s="311" t="s">
        <v>70</v>
      </c>
      <c r="C34" s="312" t="str">
        <f t="shared" si="4"/>
        <v>EUR6MD_SYNTH1Y_Quote</v>
      </c>
      <c r="D34" s="312" t="str">
        <f>_xll.qlSimpleQuote(C34,,RateTickValue,Permanent,EvaluationDate,ObjectOverwrite)</f>
        <v>EUR6MD_SYNTH1Y_Quote#0001</v>
      </c>
      <c r="E34" s="316" t="str">
        <f>_xll.ohRangeRetrieveError(D34)</f>
        <v/>
      </c>
      <c r="F34" s="18"/>
      <c r="G34" s="301" t="s">
        <v>70</v>
      </c>
      <c r="H34" s="291">
        <f>'1YSynthDepo'!C43</f>
        <v>2.0840808498572031E-3</v>
      </c>
      <c r="I34" s="19"/>
      <c r="J34" s="284">
        <v>3.5605829939326472E-3</v>
      </c>
      <c r="K34" s="18"/>
      <c r="L34" s="272">
        <v>2.0840808498572031E-3</v>
      </c>
      <c r="M34" s="273">
        <f>_xll.qlSimpleQuoteSetValue(D34,ROUND($L34,6),EvaluationDate)</f>
        <v>0</v>
      </c>
      <c r="N34" s="263"/>
    </row>
    <row r="35" spans="1:14" x14ac:dyDescent="0.2">
      <c r="A35" s="243"/>
      <c r="B35" s="311" t="s">
        <v>71</v>
      </c>
      <c r="C35" s="312" t="str">
        <f t="shared" si="4"/>
        <v>EUR7MD_SYNTH1Y_Quote</v>
      </c>
      <c r="D35" s="312" t="str">
        <f>_xll.qlSimpleQuote(C35,,RateTickValue,Permanent,EvaluationDate,ObjectOverwrite)</f>
        <v>EUR7MD_SYNTH1Y_Quote#0001</v>
      </c>
      <c r="E35" s="316" t="str">
        <f>_xll.ohRangeRetrieveError(D35)</f>
        <v/>
      </c>
      <c r="F35" s="18"/>
      <c r="G35" s="301" t="s">
        <v>71</v>
      </c>
      <c r="H35" s="291">
        <f>'1YSynthDepo'!C44</f>
        <v>2.0398299274160883E-3</v>
      </c>
      <c r="I35" s="19"/>
      <c r="J35" s="284">
        <v>3.5391910896233206E-3</v>
      </c>
      <c r="K35" s="18"/>
      <c r="L35" s="272">
        <v>2.0398299274160883E-3</v>
      </c>
      <c r="M35" s="273">
        <f>_xll.qlSimpleQuoteSetValue(D35,ROUND($L35,6),EvaluationDate)</f>
        <v>0</v>
      </c>
      <c r="N35" s="263"/>
    </row>
    <row r="36" spans="1:14" x14ac:dyDescent="0.2">
      <c r="A36" s="243"/>
      <c r="B36" s="311" t="s">
        <v>72</v>
      </c>
      <c r="C36" s="312" t="str">
        <f t="shared" si="4"/>
        <v>EUR8MD_SYNTH1Y_Quote</v>
      </c>
      <c r="D36" s="312" t="str">
        <f>_xll.qlSimpleQuote(C36,,RateTickValue,Permanent,EvaluationDate,ObjectOverwrite)</f>
        <v>EUR8MD_SYNTH1Y_Quote#0001</v>
      </c>
      <c r="E36" s="316" t="str">
        <f>_xll.ohRangeRetrieveError(D36)</f>
        <v/>
      </c>
      <c r="F36" s="18"/>
      <c r="G36" s="301" t="s">
        <v>72</v>
      </c>
      <c r="H36" s="291">
        <f>'1YSynthDepo'!C45</f>
        <v>1.9925451807380995E-3</v>
      </c>
      <c r="I36" s="19"/>
      <c r="J36" s="284">
        <v>3.5320133927629347E-3</v>
      </c>
      <c r="K36" s="18"/>
      <c r="L36" s="272">
        <v>1.9925451807380995E-3</v>
      </c>
      <c r="M36" s="273">
        <f>_xll.qlSimpleQuoteSetValue(D36,ROUND($L36,6),EvaluationDate)</f>
        <v>0</v>
      </c>
      <c r="N36" s="263"/>
    </row>
    <row r="37" spans="1:14" x14ac:dyDescent="0.2">
      <c r="A37" s="244"/>
      <c r="B37" s="311" t="s">
        <v>73</v>
      </c>
      <c r="C37" s="312" t="str">
        <f t="shared" si="4"/>
        <v>EUR9MD_SYNTH1Y_Quote</v>
      </c>
      <c r="D37" s="312" t="str">
        <f>_xll.qlSimpleQuote(C37,,RateTickValue,Permanent,EvaluationDate,ObjectOverwrite)</f>
        <v>EUR9MD_SYNTH1Y_Quote#0001</v>
      </c>
      <c r="E37" s="316" t="str">
        <f>_xll.ohRangeRetrieveError(D37)</f>
        <v/>
      </c>
      <c r="F37" s="18"/>
      <c r="G37" s="301" t="s">
        <v>73</v>
      </c>
      <c r="H37" s="291">
        <f>'1YSynthDepo'!C46</f>
        <v>1.9564135662904769E-3</v>
      </c>
      <c r="I37" s="19"/>
      <c r="J37" s="284">
        <v>3.5246192513979009E-3</v>
      </c>
      <c r="K37" s="18"/>
      <c r="L37" s="272">
        <v>1.9564135662904769E-3</v>
      </c>
      <c r="M37" s="273">
        <f>_xll.qlSimpleQuoteSetValue(D37,ROUND($L37,6),EvaluationDate)</f>
        <v>0</v>
      </c>
      <c r="N37" s="263"/>
    </row>
    <row r="38" spans="1:14" x14ac:dyDescent="0.2">
      <c r="A38" s="245"/>
      <c r="B38" s="311" t="s">
        <v>74</v>
      </c>
      <c r="C38" s="312" t="str">
        <f t="shared" si="4"/>
        <v>EUR10MD_SYNTH1Y_Quote</v>
      </c>
      <c r="D38" s="312" t="str">
        <f>_xll.qlSimpleQuote(C38,,RateTickValue,Permanent,EvaluationDate,ObjectOverwrite)</f>
        <v>EUR10MD_SYNTH1Y_Quote#0001</v>
      </c>
      <c r="E38" s="316" t="str">
        <f>_xll.ohRangeRetrieveError(D38)</f>
        <v/>
      </c>
      <c r="F38" s="18"/>
      <c r="G38" s="301" t="s">
        <v>74</v>
      </c>
      <c r="H38" s="291">
        <f>'1YSynthDepo'!C47</f>
        <v>1.9095109334409846E-3</v>
      </c>
      <c r="I38" s="19"/>
      <c r="J38" s="284">
        <v>3.5124690786614873E-3</v>
      </c>
      <c r="K38" s="18"/>
      <c r="L38" s="272">
        <v>1.9095109334409846E-3</v>
      </c>
      <c r="M38" s="273">
        <f>_xll.qlSimpleQuoteSetValue(D38,ROUND($L38,6),EvaluationDate)</f>
        <v>0</v>
      </c>
      <c r="N38" s="263"/>
    </row>
    <row r="39" spans="1:14" x14ac:dyDescent="0.2">
      <c r="A39" s="243"/>
      <c r="B39" s="311" t="s">
        <v>75</v>
      </c>
      <c r="C39" s="312" t="str">
        <f t="shared" si="4"/>
        <v>EUR11MD_SYNTH1Y_Quote</v>
      </c>
      <c r="D39" s="312" t="str">
        <f>_xll.qlSimpleQuote(C39,,RateTickValue,Permanent,EvaluationDate,ObjectOverwrite)</f>
        <v>EUR11MD_SYNTH1Y_Quote#0001</v>
      </c>
      <c r="E39" s="316" t="str">
        <f>_xll.ohRangeRetrieveError(D39)</f>
        <v/>
      </c>
      <c r="F39" s="18"/>
      <c r="G39" s="301" t="s">
        <v>75</v>
      </c>
      <c r="H39" s="291">
        <f>'1YSynthDepo'!C48</f>
        <v>1.8696765749592428E-3</v>
      </c>
      <c r="I39" s="19"/>
      <c r="J39" s="284">
        <v>3.526495177091726E-3</v>
      </c>
      <c r="K39" s="18"/>
      <c r="L39" s="272">
        <v>1.8696765749592428E-3</v>
      </c>
      <c r="M39" s="273">
        <f>_xll.qlSimpleQuoteSetValue(D39,ROUND($L39,6),EvaluationDate)</f>
        <v>0</v>
      </c>
      <c r="N39" s="263"/>
    </row>
    <row r="40" spans="1:14" x14ac:dyDescent="0.2">
      <c r="A40" s="246"/>
      <c r="B40" s="313" t="s">
        <v>76</v>
      </c>
      <c r="C40" s="312" t="str">
        <f t="shared" si="4"/>
        <v>EUR1YD_SYNTH1Y_Quote</v>
      </c>
      <c r="D40" s="312" t="str">
        <f>_xll.qlSimpleQuote(C40,,RateTickValue,Permanent,EvaluationDate,ObjectOverwrite)</f>
        <v>EUR1YD_SYNTH1Y_Quote#0001</v>
      </c>
      <c r="E40" s="316" t="str">
        <f>_xll.ohRangeRetrieveError(D40)</f>
        <v/>
      </c>
      <c r="F40" s="18"/>
      <c r="G40" s="302" t="s">
        <v>76</v>
      </c>
      <c r="H40" s="299">
        <f>'1YSynthDepo'!C49</f>
        <v>1.8300000000001288E-3</v>
      </c>
      <c r="I40" s="19"/>
      <c r="J40" s="285">
        <v>3.5462405279165373E-3</v>
      </c>
      <c r="K40" s="18"/>
      <c r="L40" s="274">
        <v>1.8300000000001288E-3</v>
      </c>
      <c r="M40" s="275">
        <f>_xll.qlSimpleQuoteSetValue(D40,ROUND($L40,6),EvaluationDate)</f>
        <v>0</v>
      </c>
      <c r="N40" s="262"/>
    </row>
    <row r="41" spans="1:14" x14ac:dyDescent="0.2">
      <c r="A41" s="242">
        <v>1</v>
      </c>
      <c r="B41" s="309" t="str">
        <f t="shared" ref="B41:B84" si="5">A41&amp;"x"&amp;A41+Months12M&amp;"F"</f>
        <v>1x13F</v>
      </c>
      <c r="C41" s="310" t="str">
        <f t="shared" ref="C41:C84" si="6">Currency&amp;$B41&amp;"_SYNTH"&amp;"1Y"&amp;"_Quote"</f>
        <v>EUR1x13F_SYNTH1Y_Quote</v>
      </c>
      <c r="D41" s="310" t="str">
        <f>_xll.qlSimpleQuote(C41,,RateTickValue,Permanent,Trigger,ObjectOverwrite)</f>
        <v>EUR1x13F_SYNTH1Y_Quote#0001</v>
      </c>
      <c r="E41" s="315" t="str">
        <f>_xll.ohRangeRetrieveError(D41)</f>
        <v/>
      </c>
      <c r="F41" s="10">
        <v>1</v>
      </c>
      <c r="G41" s="303" t="str">
        <f t="shared" ref="G41:G84" si="7">F41&amp;"x"&amp;(F41+Months12M)&amp;"F"</f>
        <v>1x13F</v>
      </c>
      <c r="H41" s="304">
        <f>SynthFra!H3</f>
        <v>1.7464215033926916E-3</v>
      </c>
      <c r="I41" s="20"/>
      <c r="J41" s="288">
        <v>3.5154655213764001E-3</v>
      </c>
      <c r="K41" s="21"/>
      <c r="L41" s="280">
        <v>1.7464215033926916E-3</v>
      </c>
      <c r="M41" s="281">
        <f>_xll.qlSimpleQuoteSetValue(D41,ROUND(L41,6),EvaluationDate)</f>
        <v>0</v>
      </c>
      <c r="N41" s="262">
        <f>_xll.ohTrigger(M41:M84)</f>
        <v>6252</v>
      </c>
    </row>
    <row r="42" spans="1:14" x14ac:dyDescent="0.2">
      <c r="A42" s="265">
        <v>2</v>
      </c>
      <c r="B42" s="311" t="str">
        <f t="shared" si="5"/>
        <v>2x14F</v>
      </c>
      <c r="C42" s="312" t="str">
        <f t="shared" si="6"/>
        <v>EUR2x14F_SYNTH1Y_Quote</v>
      </c>
      <c r="D42" s="312" t="str">
        <f>_xll.qlSimpleQuote(C42,,RateTickValue,Permanent,Trigger,ObjectOverwrite)</f>
        <v>EUR2x14F_SYNTH1Y_Quote#0001</v>
      </c>
      <c r="E42" s="316" t="str">
        <f>_xll.ohRangeRetrieveError(D42)</f>
        <v/>
      </c>
      <c r="F42" s="10">
        <v>2</v>
      </c>
      <c r="G42" s="305" t="str">
        <f t="shared" si="7"/>
        <v>2x14F</v>
      </c>
      <c r="H42" s="306">
        <f>SynthFra!H4</f>
        <v>1.6800720420933469E-3</v>
      </c>
      <c r="I42" s="21"/>
      <c r="J42" s="288">
        <v>3.532295049804414E-3</v>
      </c>
      <c r="K42" s="21"/>
      <c r="L42" s="280">
        <v>1.6800720420933469E-3</v>
      </c>
      <c r="M42" s="281">
        <f>_xll.qlSimpleQuoteSetValue(D42,ROUND(L42,6),EvaluationDate)</f>
        <v>0</v>
      </c>
      <c r="N42" s="263"/>
    </row>
    <row r="43" spans="1:14" x14ac:dyDescent="0.2">
      <c r="A43" s="265">
        <v>3</v>
      </c>
      <c r="B43" s="311" t="str">
        <f t="shared" si="5"/>
        <v>3x15F</v>
      </c>
      <c r="C43" s="312" t="str">
        <f t="shared" si="6"/>
        <v>EUR3x15F_SYNTH1Y_Quote</v>
      </c>
      <c r="D43" s="312" t="str">
        <f>_xll.qlSimpleQuote(C43,,RateTickValue,Permanent,Trigger,ObjectOverwrite)</f>
        <v>EUR3x15F_SYNTH1Y_Quote#0001</v>
      </c>
      <c r="E43" s="316" t="str">
        <f>_xll.ohRangeRetrieveError(D43)</f>
        <v/>
      </c>
      <c r="F43" s="10">
        <v>3</v>
      </c>
      <c r="G43" s="305" t="str">
        <f t="shared" si="7"/>
        <v>3x15F</v>
      </c>
      <c r="H43" s="306">
        <f>SynthFra!H5</f>
        <v>1.634853412448766E-3</v>
      </c>
      <c r="I43" s="21"/>
      <c r="J43" s="288">
        <v>3.4850405815286247E-3</v>
      </c>
      <c r="K43" s="21"/>
      <c r="L43" s="280">
        <v>1.634853412448766E-3</v>
      </c>
      <c r="M43" s="281">
        <f>_xll.qlSimpleQuoteSetValue(D43,ROUND(L43,6),EvaluationDate)</f>
        <v>0</v>
      </c>
      <c r="N43" s="263"/>
    </row>
    <row r="44" spans="1:14" x14ac:dyDescent="0.2">
      <c r="A44" s="265">
        <v>4</v>
      </c>
      <c r="B44" s="311" t="str">
        <f t="shared" si="5"/>
        <v>4x16F</v>
      </c>
      <c r="C44" s="312" t="str">
        <f t="shared" si="6"/>
        <v>EUR4x16F_SYNTH1Y_Quote</v>
      </c>
      <c r="D44" s="312" t="str">
        <f>_xll.qlSimpleQuote(C44,,RateTickValue,Permanent,Trigger,ObjectOverwrite)</f>
        <v>EUR4x16F_SYNTH1Y_Quote#0001</v>
      </c>
      <c r="E44" s="316" t="str">
        <f>_xll.ohRangeRetrieveError(D44)</f>
        <v/>
      </c>
      <c r="F44" s="10">
        <v>4</v>
      </c>
      <c r="G44" s="305" t="str">
        <f t="shared" si="7"/>
        <v>4x16F</v>
      </c>
      <c r="H44" s="306">
        <f>SynthFra!H6</f>
        <v>1.5995527945072104E-3</v>
      </c>
      <c r="I44" s="21"/>
      <c r="J44" s="288">
        <v>3.4415012724434762E-3</v>
      </c>
      <c r="K44" s="21"/>
      <c r="L44" s="280">
        <v>1.5995527945072104E-3</v>
      </c>
      <c r="M44" s="281">
        <f>_xll.qlSimpleQuoteSetValue(D44,ROUND(L44,6),EvaluationDate)</f>
        <v>0</v>
      </c>
      <c r="N44" s="263"/>
    </row>
    <row r="45" spans="1:14" x14ac:dyDescent="0.2">
      <c r="A45" s="265">
        <v>5</v>
      </c>
      <c r="B45" s="311" t="str">
        <f t="shared" si="5"/>
        <v>5x17F</v>
      </c>
      <c r="C45" s="312" t="str">
        <f t="shared" si="6"/>
        <v>EUR5x17F_SYNTH1Y_Quote</v>
      </c>
      <c r="D45" s="312" t="str">
        <f>_xll.qlSimpleQuote(C45,,RateTickValue,Permanent,Trigger,ObjectOverwrite)</f>
        <v>EUR5x17F_SYNTH1Y_Quote#0001</v>
      </c>
      <c r="E45" s="316" t="str">
        <f>_xll.ohRangeRetrieveError(D45)</f>
        <v/>
      </c>
      <c r="F45" s="10">
        <v>5</v>
      </c>
      <c r="G45" s="305" t="str">
        <f t="shared" si="7"/>
        <v>5x17F</v>
      </c>
      <c r="H45" s="306">
        <f>SynthFra!H7</f>
        <v>1.5694600140368248E-3</v>
      </c>
      <c r="I45" s="21"/>
      <c r="J45" s="288">
        <v>3.4396668017846748E-3</v>
      </c>
      <c r="K45" s="21"/>
      <c r="L45" s="280">
        <v>1.5694600140368248E-3</v>
      </c>
      <c r="M45" s="281">
        <f>_xll.qlSimpleQuoteSetValue(D45,ROUND(L45,6),EvaluationDate)</f>
        <v>0</v>
      </c>
      <c r="N45" s="263"/>
    </row>
    <row r="46" spans="1:14" x14ac:dyDescent="0.2">
      <c r="A46" s="265">
        <v>6</v>
      </c>
      <c r="B46" s="311" t="str">
        <f t="shared" si="5"/>
        <v>6x18F</v>
      </c>
      <c r="C46" s="312" t="str">
        <f t="shared" si="6"/>
        <v>EUR6x18F_SYNTH1Y_Quote</v>
      </c>
      <c r="D46" s="312" t="str">
        <f>_xll.qlSimpleQuote(C46,,RateTickValue,Permanent,Trigger,ObjectOverwrite)</f>
        <v>EUR6x18F_SYNTH1Y_Quote#0001</v>
      </c>
      <c r="E46" s="316" t="str">
        <f>_xll.ohRangeRetrieveError(D46)</f>
        <v/>
      </c>
      <c r="F46" s="10">
        <v>6</v>
      </c>
      <c r="G46" s="305" t="str">
        <f t="shared" si="7"/>
        <v>6x18F</v>
      </c>
      <c r="H46" s="306">
        <f>SynthFra!H8</f>
        <v>1.5362459593304086E-3</v>
      </c>
      <c r="I46" s="21"/>
      <c r="J46" s="288">
        <v>3.4605640887299519E-3</v>
      </c>
      <c r="K46" s="21"/>
      <c r="L46" s="280">
        <v>1.5362459593304086E-3</v>
      </c>
      <c r="M46" s="281">
        <f>_xll.qlSimpleQuoteSetValue(D46,ROUND(L46,6),EvaluationDate)</f>
        <v>0</v>
      </c>
      <c r="N46" s="263"/>
    </row>
    <row r="47" spans="1:14" x14ac:dyDescent="0.2">
      <c r="A47" s="265">
        <v>7</v>
      </c>
      <c r="B47" s="311" t="str">
        <f t="shared" si="5"/>
        <v>7x19F</v>
      </c>
      <c r="C47" s="312" t="str">
        <f t="shared" si="6"/>
        <v>EUR7x19F_SYNTH1Y_Quote</v>
      </c>
      <c r="D47" s="312" t="str">
        <f>_xll.qlSimpleQuote(C47,,RateTickValue,Permanent,Trigger,ObjectOverwrite)</f>
        <v>EUR7x19F_SYNTH1Y_Quote#0001</v>
      </c>
      <c r="E47" s="316" t="str">
        <f>_xll.ohRangeRetrieveError(D47)</f>
        <v/>
      </c>
      <c r="F47" s="10">
        <v>7</v>
      </c>
      <c r="G47" s="305" t="str">
        <f t="shared" si="7"/>
        <v>7x19F</v>
      </c>
      <c r="H47" s="306">
        <f>SynthFra!H9</f>
        <v>1.5043546095328151E-3</v>
      </c>
      <c r="I47" s="21"/>
      <c r="J47" s="288">
        <v>3.4944777323652411E-3</v>
      </c>
      <c r="K47" s="21"/>
      <c r="L47" s="280">
        <v>1.5043546095328151E-3</v>
      </c>
      <c r="M47" s="281">
        <f>_xll.qlSimpleQuoteSetValue(D47,ROUND(L47,6),EvaluationDate)</f>
        <v>0</v>
      </c>
      <c r="N47" s="263"/>
    </row>
    <row r="48" spans="1:14" x14ac:dyDescent="0.2">
      <c r="A48" s="265">
        <v>8</v>
      </c>
      <c r="B48" s="311" t="str">
        <f t="shared" si="5"/>
        <v>8x20F</v>
      </c>
      <c r="C48" s="312" t="str">
        <f t="shared" si="6"/>
        <v>EUR8x20F_SYNTH1Y_Quote</v>
      </c>
      <c r="D48" s="312" t="str">
        <f>_xll.qlSimpleQuote(C48,,RateTickValue,Permanent,Trigger,ObjectOverwrite)</f>
        <v>EUR8x20F_SYNTH1Y_Quote#0001</v>
      </c>
      <c r="E48" s="316" t="str">
        <f>_xll.ohRangeRetrieveError(D48)</f>
        <v/>
      </c>
      <c r="F48" s="10">
        <v>8</v>
      </c>
      <c r="G48" s="305" t="str">
        <f t="shared" si="7"/>
        <v>8x20F</v>
      </c>
      <c r="H48" s="306">
        <f>SynthFra!H10</f>
        <v>1.4827874046713714E-3</v>
      </c>
      <c r="I48" s="21"/>
      <c r="J48" s="288">
        <v>3.5321172705571544E-3</v>
      </c>
      <c r="K48" s="21"/>
      <c r="L48" s="280">
        <v>1.4827874046713714E-3</v>
      </c>
      <c r="M48" s="281">
        <f>_xll.qlSimpleQuoteSetValue(D48,ROUND(L48,6),EvaluationDate)</f>
        <v>0</v>
      </c>
      <c r="N48" s="263"/>
    </row>
    <row r="49" spans="1:14" x14ac:dyDescent="0.2">
      <c r="A49" s="265">
        <v>9</v>
      </c>
      <c r="B49" s="311" t="str">
        <f t="shared" si="5"/>
        <v>9x21F</v>
      </c>
      <c r="C49" s="312" t="str">
        <f t="shared" si="6"/>
        <v>EUR9x21F_SYNTH1Y_Quote</v>
      </c>
      <c r="D49" s="312" t="str">
        <f>_xll.qlSimpleQuote(C49,,RateTickValue,Permanent,Trigger,ObjectOverwrite)</f>
        <v>EUR9x21F_SYNTH1Y_Quote#0001</v>
      </c>
      <c r="E49" s="316" t="str">
        <f>_xll.ohRangeRetrieveError(D49)</f>
        <v/>
      </c>
      <c r="F49" s="10">
        <v>9</v>
      </c>
      <c r="G49" s="305" t="str">
        <f t="shared" si="7"/>
        <v>9x21F</v>
      </c>
      <c r="H49" s="306">
        <f>SynthFra!H11</f>
        <v>1.4691618098711394E-3</v>
      </c>
      <c r="I49" s="21"/>
      <c r="J49" s="288">
        <v>3.5813365788215775E-3</v>
      </c>
      <c r="K49" s="21"/>
      <c r="L49" s="280">
        <v>1.4691618098711394E-3</v>
      </c>
      <c r="M49" s="281">
        <f>_xll.qlSimpleQuoteSetValue(D49,ROUND(L49,6),EvaluationDate)</f>
        <v>0</v>
      </c>
      <c r="N49" s="263"/>
    </row>
    <row r="50" spans="1:14" x14ac:dyDescent="0.2">
      <c r="A50" s="265">
        <v>10</v>
      </c>
      <c r="B50" s="311" t="str">
        <f t="shared" si="5"/>
        <v>10x22F</v>
      </c>
      <c r="C50" s="312" t="str">
        <f t="shared" si="6"/>
        <v>EUR10x22F_SYNTH1Y_Quote</v>
      </c>
      <c r="D50" s="312" t="str">
        <f>_xll.qlSimpleQuote(C50,,RateTickValue,Permanent,Trigger,ObjectOverwrite)</f>
        <v>EUR10x22F_SYNTH1Y_Quote#0001</v>
      </c>
      <c r="E50" s="316" t="str">
        <f>_xll.ohRangeRetrieveError(D50)</f>
        <v/>
      </c>
      <c r="F50" s="10">
        <v>10</v>
      </c>
      <c r="G50" s="305" t="str">
        <f t="shared" si="7"/>
        <v>10x22F</v>
      </c>
      <c r="H50" s="306">
        <f>SynthFra!H12</f>
        <v>1.4761114254039527E-3</v>
      </c>
      <c r="I50" s="21"/>
      <c r="J50" s="288">
        <v>3.6543872266933592E-3</v>
      </c>
      <c r="K50" s="21"/>
      <c r="L50" s="280">
        <v>1.4761114254039527E-3</v>
      </c>
      <c r="M50" s="281">
        <f>_xll.qlSimpleQuoteSetValue(D50,ROUND(L50,6),EvaluationDate)</f>
        <v>0</v>
      </c>
      <c r="N50" s="263"/>
    </row>
    <row r="51" spans="1:14" x14ac:dyDescent="0.2">
      <c r="A51" s="265">
        <v>11</v>
      </c>
      <c r="B51" s="311" t="str">
        <f t="shared" si="5"/>
        <v>11x23F</v>
      </c>
      <c r="C51" s="312" t="str">
        <f t="shared" si="6"/>
        <v>EUR11x23F_SYNTH1Y_Quote</v>
      </c>
      <c r="D51" s="312" t="str">
        <f>_xll.qlSimpleQuote(C51,,RateTickValue,Permanent,Trigger,ObjectOverwrite)</f>
        <v>EUR11x23F_SYNTH1Y_Quote#0001</v>
      </c>
      <c r="E51" s="316" t="str">
        <f>_xll.ohRangeRetrieveError(D51)</f>
        <v/>
      </c>
      <c r="F51" s="10">
        <v>11</v>
      </c>
      <c r="G51" s="305" t="str">
        <f t="shared" si="7"/>
        <v>11x23F</v>
      </c>
      <c r="H51" s="306">
        <f>SynthFra!H13</f>
        <v>1.4913448475955067E-3</v>
      </c>
      <c r="I51" s="21"/>
      <c r="J51" s="288">
        <v>3.7194370522021635E-3</v>
      </c>
      <c r="K51" s="21"/>
      <c r="L51" s="280">
        <v>1.4913448475955067E-3</v>
      </c>
      <c r="M51" s="281">
        <f>_xll.qlSimpleQuoteSetValue(D51,ROUND(L51,6),EvaluationDate)</f>
        <v>0</v>
      </c>
      <c r="N51" s="263"/>
    </row>
    <row r="52" spans="1:14" x14ac:dyDescent="0.2">
      <c r="A52" s="265">
        <v>13</v>
      </c>
      <c r="B52" s="311" t="str">
        <f t="shared" si="5"/>
        <v>13x25F</v>
      </c>
      <c r="C52" s="312" t="str">
        <f t="shared" si="6"/>
        <v>EUR13x25F_SYNTH1Y_Quote</v>
      </c>
      <c r="D52" s="312" t="str">
        <f>_xll.qlSimpleQuote(C52,,RateTickValue,Permanent,Trigger,ObjectOverwrite)</f>
        <v>EUR13x25F_SYNTH1Y_Quote#0001</v>
      </c>
      <c r="E52" s="316" t="str">
        <f>_xll.ohRangeRetrieveError(D52)</f>
        <v/>
      </c>
      <c r="F52" s="10">
        <v>13</v>
      </c>
      <c r="G52" s="305" t="str">
        <f t="shared" si="7"/>
        <v>13x25F</v>
      </c>
      <c r="H52" s="306">
        <f>SynthFra!H15</f>
        <v>1.5531116765886094E-3</v>
      </c>
      <c r="I52" s="21"/>
      <c r="J52" s="288">
        <v>3.8720283583146007E-3</v>
      </c>
      <c r="K52" s="21"/>
      <c r="L52" s="280">
        <v>1.5531116765886094E-3</v>
      </c>
      <c r="M52" s="281">
        <f>_xll.qlSimpleQuoteSetValue(D52,ROUND(L52,6),EvaluationDate)</f>
        <v>0</v>
      </c>
      <c r="N52" s="263"/>
    </row>
    <row r="53" spans="1:14" x14ac:dyDescent="0.2">
      <c r="A53" s="265">
        <v>14</v>
      </c>
      <c r="B53" s="311" t="str">
        <f t="shared" si="5"/>
        <v>14x26F</v>
      </c>
      <c r="C53" s="312" t="str">
        <f t="shared" si="6"/>
        <v>EUR14x26F_SYNTH1Y_Quote</v>
      </c>
      <c r="D53" s="312" t="str">
        <f>_xll.qlSimpleQuote(C53,,RateTickValue,Permanent,Trigger,ObjectOverwrite)</f>
        <v>EUR14x26F_SYNTH1Y_Quote#0001</v>
      </c>
      <c r="E53" s="316" t="str">
        <f>_xll.ohRangeRetrieveError(D53)</f>
        <v/>
      </c>
      <c r="F53" s="10">
        <v>14</v>
      </c>
      <c r="G53" s="305" t="str">
        <f t="shared" si="7"/>
        <v>14x26F</v>
      </c>
      <c r="H53" s="306">
        <f>SynthFra!H16</f>
        <v>1.6017788694644216E-3</v>
      </c>
      <c r="I53" s="21"/>
      <c r="J53" s="288">
        <v>3.9171599819746638E-3</v>
      </c>
      <c r="K53" s="21"/>
      <c r="L53" s="280">
        <v>1.6017788694644216E-3</v>
      </c>
      <c r="M53" s="281">
        <f>_xll.qlSimpleQuoteSetValue(D53,ROUND(L53,6),EvaluationDate)</f>
        <v>0</v>
      </c>
      <c r="N53" s="263"/>
    </row>
    <row r="54" spans="1:14" x14ac:dyDescent="0.2">
      <c r="A54" s="265">
        <v>15</v>
      </c>
      <c r="B54" s="311" t="str">
        <f t="shared" si="5"/>
        <v>15x27F</v>
      </c>
      <c r="C54" s="312" t="str">
        <f t="shared" si="6"/>
        <v>EUR15x27F_SYNTH1Y_Quote</v>
      </c>
      <c r="D54" s="312" t="str">
        <f>_xll.qlSimpleQuote(C54,,RateTickValue,Permanent,Trigger,ObjectOverwrite)</f>
        <v>EUR15x27F_SYNTH1Y_Quote#0001</v>
      </c>
      <c r="E54" s="316" t="str">
        <f>_xll.ohRangeRetrieveError(D54)</f>
        <v/>
      </c>
      <c r="F54" s="10">
        <v>15</v>
      </c>
      <c r="G54" s="305" t="str">
        <f t="shared" si="7"/>
        <v>15x27F</v>
      </c>
      <c r="H54" s="306">
        <f>SynthFra!H17</f>
        <v>1.6656914824452972E-3</v>
      </c>
      <c r="I54" s="21"/>
      <c r="J54" s="288">
        <v>4.0267198538210588E-3</v>
      </c>
      <c r="K54" s="21"/>
      <c r="L54" s="280">
        <v>1.6656914824452972E-3</v>
      </c>
      <c r="M54" s="281">
        <f>_xll.qlSimpleQuoteSetValue(D54,ROUND(L54,6),EvaluationDate)</f>
        <v>0</v>
      </c>
      <c r="N54" s="263"/>
    </row>
    <row r="55" spans="1:14" x14ac:dyDescent="0.2">
      <c r="A55" s="265">
        <v>16</v>
      </c>
      <c r="B55" s="311" t="str">
        <f t="shared" si="5"/>
        <v>16x28F</v>
      </c>
      <c r="C55" s="312" t="str">
        <f t="shared" si="6"/>
        <v>EUR16x28F_SYNTH1Y_Quote</v>
      </c>
      <c r="D55" s="312" t="str">
        <f>_xll.qlSimpleQuote(C55,,RateTickValue,Permanent,Trigger,ObjectOverwrite)</f>
        <v>EUR16x28F_SYNTH1Y_Quote#0001</v>
      </c>
      <c r="E55" s="316" t="str">
        <f>_xll.ohRangeRetrieveError(D55)</f>
        <v/>
      </c>
      <c r="F55" s="10">
        <v>16</v>
      </c>
      <c r="G55" s="305" t="str">
        <f t="shared" si="7"/>
        <v>16x28F</v>
      </c>
      <c r="H55" s="306">
        <f>SynthFra!H18</f>
        <v>1.7303583800306829E-3</v>
      </c>
      <c r="I55" s="21"/>
      <c r="J55" s="288">
        <v>4.1329970922189185E-3</v>
      </c>
      <c r="K55" s="21"/>
      <c r="L55" s="280">
        <v>1.7303583800306829E-3</v>
      </c>
      <c r="M55" s="281">
        <f>_xll.qlSimpleQuoteSetValue(D55,ROUND(L55,6),EvaluationDate)</f>
        <v>0</v>
      </c>
      <c r="N55" s="263"/>
    </row>
    <row r="56" spans="1:14" x14ac:dyDescent="0.2">
      <c r="A56" s="265">
        <v>17</v>
      </c>
      <c r="B56" s="311" t="str">
        <f t="shared" si="5"/>
        <v>17x29F</v>
      </c>
      <c r="C56" s="312" t="str">
        <f t="shared" si="6"/>
        <v>EUR17x29F_SYNTH1Y_Quote</v>
      </c>
      <c r="D56" s="312" t="str">
        <f>_xll.qlSimpleQuote(C56,,RateTickValue,Permanent,Trigger,ObjectOverwrite)</f>
        <v>EUR17x29F_SYNTH1Y_Quote#0001</v>
      </c>
      <c r="E56" s="316" t="str">
        <f>_xll.ohRangeRetrieveError(D56)</f>
        <v/>
      </c>
      <c r="F56" s="10">
        <v>17</v>
      </c>
      <c r="G56" s="305" t="str">
        <f t="shared" si="7"/>
        <v>17x29F</v>
      </c>
      <c r="H56" s="306">
        <f>SynthFra!H19</f>
        <v>1.809804390548473E-3</v>
      </c>
      <c r="I56" s="21"/>
      <c r="J56" s="288">
        <v>4.2134721254825282E-3</v>
      </c>
      <c r="K56" s="21"/>
      <c r="L56" s="280">
        <v>1.809804390548473E-3</v>
      </c>
      <c r="M56" s="281">
        <f>_xll.qlSimpleQuoteSetValue(D56,ROUND(L56,6),EvaluationDate)</f>
        <v>0</v>
      </c>
      <c r="N56" s="263"/>
    </row>
    <row r="57" spans="1:14" x14ac:dyDescent="0.2">
      <c r="A57" s="265">
        <v>18</v>
      </c>
      <c r="B57" s="311" t="str">
        <f t="shared" si="5"/>
        <v>18x30F</v>
      </c>
      <c r="C57" s="312" t="str">
        <f t="shared" si="6"/>
        <v>EUR18x30F_SYNTH1Y_Quote</v>
      </c>
      <c r="D57" s="312" t="str">
        <f>_xll.qlSimpleQuote(C57,,RateTickValue,Permanent,Trigger,ObjectOverwrite)</f>
        <v>EUR18x30F_SYNTH1Y_Quote#0001</v>
      </c>
      <c r="E57" s="316" t="str">
        <f>_xll.ohRangeRetrieveError(D57)</f>
        <v/>
      </c>
      <c r="F57" s="10">
        <v>18</v>
      </c>
      <c r="G57" s="305" t="str">
        <f t="shared" si="7"/>
        <v>18x30F</v>
      </c>
      <c r="H57" s="306">
        <f>SynthFra!H20</f>
        <v>1.8955402797274235E-3</v>
      </c>
      <c r="I57" s="21"/>
      <c r="J57" s="288">
        <v>4.3008791705088749E-3</v>
      </c>
      <c r="K57" s="21"/>
      <c r="L57" s="280">
        <v>1.8955402797274235E-3</v>
      </c>
      <c r="M57" s="281">
        <f>_xll.qlSimpleQuoteSetValue(D57,ROUND(L57,6),EvaluationDate)</f>
        <v>0</v>
      </c>
      <c r="N57" s="263"/>
    </row>
    <row r="58" spans="1:14" x14ac:dyDescent="0.2">
      <c r="A58" s="265">
        <v>19</v>
      </c>
      <c r="B58" s="311" t="str">
        <f t="shared" si="5"/>
        <v>19x31F</v>
      </c>
      <c r="C58" s="312" t="str">
        <f t="shared" si="6"/>
        <v>EUR19x31F_SYNTH1Y_Quote</v>
      </c>
      <c r="D58" s="312" t="str">
        <f>_xll.qlSimpleQuote(C58,,RateTickValue,Permanent,Trigger,ObjectOverwrite)</f>
        <v>EUR19x31F_SYNTH1Y_Quote#0001</v>
      </c>
      <c r="E58" s="316" t="str">
        <f>_xll.ohRangeRetrieveError(D58)</f>
        <v/>
      </c>
      <c r="F58" s="10">
        <v>19</v>
      </c>
      <c r="G58" s="305" t="str">
        <f t="shared" si="7"/>
        <v>19x31F</v>
      </c>
      <c r="H58" s="306">
        <f>SynthFra!H21</f>
        <v>1.9929328622806898E-3</v>
      </c>
      <c r="I58" s="21"/>
      <c r="J58" s="288">
        <v>4.4018605292064873E-3</v>
      </c>
      <c r="K58" s="21"/>
      <c r="L58" s="280">
        <v>1.9929328622806898E-3</v>
      </c>
      <c r="M58" s="281">
        <f>_xll.qlSimpleQuoteSetValue(D58,ROUND(L58,6),EvaluationDate)</f>
        <v>0</v>
      </c>
      <c r="N58" s="263"/>
    </row>
    <row r="59" spans="1:14" x14ac:dyDescent="0.2">
      <c r="A59" s="265">
        <v>20</v>
      </c>
      <c r="B59" s="311" t="str">
        <f t="shared" si="5"/>
        <v>20x32F</v>
      </c>
      <c r="C59" s="312" t="str">
        <f t="shared" si="6"/>
        <v>EUR20x32F_SYNTH1Y_Quote</v>
      </c>
      <c r="D59" s="312" t="str">
        <f>_xll.qlSimpleQuote(C59,,RateTickValue,Permanent,Trigger,ObjectOverwrite)</f>
        <v>EUR20x32F_SYNTH1Y_Quote#0001</v>
      </c>
      <c r="E59" s="316" t="str">
        <f>_xll.ohRangeRetrieveError(D59)</f>
        <v/>
      </c>
      <c r="F59" s="10">
        <v>20</v>
      </c>
      <c r="G59" s="305" t="str">
        <f t="shared" si="7"/>
        <v>20x32F</v>
      </c>
      <c r="H59" s="306">
        <f>SynthFra!H22</f>
        <v>2.1015742887509148E-3</v>
      </c>
      <c r="I59" s="21"/>
      <c r="J59" s="288">
        <v>4.4919660238962921E-3</v>
      </c>
      <c r="K59" s="21"/>
      <c r="L59" s="280">
        <v>2.1015742887509148E-3</v>
      </c>
      <c r="M59" s="281">
        <f>_xll.qlSimpleQuoteSetValue(D59,ROUND(L59,6),EvaluationDate)</f>
        <v>0</v>
      </c>
      <c r="N59" s="263"/>
    </row>
    <row r="60" spans="1:14" x14ac:dyDescent="0.2">
      <c r="A60" s="265">
        <v>21</v>
      </c>
      <c r="B60" s="311" t="str">
        <f t="shared" si="5"/>
        <v>21x33F</v>
      </c>
      <c r="C60" s="312" t="str">
        <f t="shared" si="6"/>
        <v>EUR21x33F_SYNTH1Y_Quote</v>
      </c>
      <c r="D60" s="312" t="str">
        <f>_xll.qlSimpleQuote(C60,,RateTickValue,Permanent,Trigger,ObjectOverwrite)</f>
        <v>EUR21x33F_SYNTH1Y_Quote#0001</v>
      </c>
      <c r="E60" s="316" t="str">
        <f>_xll.ohRangeRetrieveError(D60)</f>
        <v/>
      </c>
      <c r="F60" s="10">
        <v>21</v>
      </c>
      <c r="G60" s="305" t="str">
        <f t="shared" si="7"/>
        <v>21x33F</v>
      </c>
      <c r="H60" s="306">
        <f>SynthFra!H23</f>
        <v>2.2045005471546444E-3</v>
      </c>
      <c r="I60" s="21"/>
      <c r="J60" s="288">
        <v>4.5954939536650523E-3</v>
      </c>
      <c r="K60" s="21"/>
      <c r="L60" s="280">
        <v>2.2045005471546444E-3</v>
      </c>
      <c r="M60" s="281">
        <f>_xll.qlSimpleQuoteSetValue(D60,ROUND(L60,6),EvaluationDate)</f>
        <v>0</v>
      </c>
      <c r="N60" s="263"/>
    </row>
    <row r="61" spans="1:14" x14ac:dyDescent="0.2">
      <c r="A61" s="265">
        <v>22</v>
      </c>
      <c r="B61" s="311" t="str">
        <f t="shared" si="5"/>
        <v>22x34F</v>
      </c>
      <c r="C61" s="312" t="str">
        <f t="shared" si="6"/>
        <v>EUR22x34F_SYNTH1Y_Quote</v>
      </c>
      <c r="D61" s="312" t="str">
        <f>_xll.qlSimpleQuote(C61,,RateTickValue,Permanent,Trigger,ObjectOverwrite)</f>
        <v>EUR22x34F_SYNTH1Y_Quote#0001</v>
      </c>
      <c r="E61" s="316" t="str">
        <f>_xll.ohRangeRetrieveError(D61)</f>
        <v/>
      </c>
      <c r="F61" s="10">
        <v>22</v>
      </c>
      <c r="G61" s="305" t="str">
        <f t="shared" si="7"/>
        <v>22x34F</v>
      </c>
      <c r="H61" s="306">
        <f>SynthFra!H24</f>
        <v>2.3185682428168964E-3</v>
      </c>
      <c r="I61" s="21"/>
      <c r="J61" s="288">
        <v>4.7058631429596973E-3</v>
      </c>
      <c r="K61" s="21"/>
      <c r="L61" s="280">
        <v>2.3185682428168964E-3</v>
      </c>
      <c r="M61" s="281">
        <f>_xll.qlSimpleQuoteSetValue(D61,ROUND(L61,6),EvaluationDate)</f>
        <v>0</v>
      </c>
      <c r="N61" s="263"/>
    </row>
    <row r="62" spans="1:14" x14ac:dyDescent="0.2">
      <c r="A62" s="265">
        <v>23</v>
      </c>
      <c r="B62" s="311" t="str">
        <f t="shared" si="5"/>
        <v>23x35F</v>
      </c>
      <c r="C62" s="312" t="str">
        <f t="shared" si="6"/>
        <v>EUR23x35F_SYNTH1Y_Quote</v>
      </c>
      <c r="D62" s="312" t="str">
        <f>_xll.qlSimpleQuote(C62,,RateTickValue,Permanent,Trigger,ObjectOverwrite)</f>
        <v>EUR23x35F_SYNTH1Y_Quote#0001</v>
      </c>
      <c r="E62" s="316" t="str">
        <f>_xll.ohRangeRetrieveError(D62)</f>
        <v/>
      </c>
      <c r="F62" s="10">
        <v>23</v>
      </c>
      <c r="G62" s="305" t="str">
        <f t="shared" si="7"/>
        <v>23x35F</v>
      </c>
      <c r="H62" s="306">
        <f>SynthFra!H25</f>
        <v>2.4216530856010048E-3</v>
      </c>
      <c r="I62" s="21"/>
      <c r="J62" s="288">
        <v>4.8096995743170268E-3</v>
      </c>
      <c r="K62" s="21"/>
      <c r="L62" s="280">
        <v>2.4216530856010048E-3</v>
      </c>
      <c r="M62" s="281">
        <f>_xll.qlSimpleQuoteSetValue(D62,ROUND(L62,6),EvaluationDate)</f>
        <v>0</v>
      </c>
      <c r="N62" s="263"/>
    </row>
    <row r="63" spans="1:14" x14ac:dyDescent="0.2">
      <c r="A63" s="265">
        <v>25</v>
      </c>
      <c r="B63" s="311" t="str">
        <f t="shared" si="5"/>
        <v>25x37F</v>
      </c>
      <c r="C63" s="312" t="str">
        <f t="shared" si="6"/>
        <v>EUR25x37F_SYNTH1Y_Quote</v>
      </c>
      <c r="D63" s="312" t="str">
        <f>_xll.qlSimpleQuote(C63,,RateTickValue,Permanent,Trigger,ObjectOverwrite)</f>
        <v>EUR25x37F_SYNTH1Y_Quote#0001</v>
      </c>
      <c r="E63" s="316" t="str">
        <f>_xll.ohRangeRetrieveError(D63)</f>
        <v/>
      </c>
      <c r="F63" s="10">
        <v>25</v>
      </c>
      <c r="G63" s="305" t="str">
        <f t="shared" si="7"/>
        <v>25x37F</v>
      </c>
      <c r="H63" s="306">
        <f>SynthFra!H27</f>
        <v>2.6489364871749026E-3</v>
      </c>
      <c r="I63" s="21"/>
      <c r="J63" s="288">
        <v>5.0522302397286488E-3</v>
      </c>
      <c r="K63" s="21"/>
      <c r="L63" s="280">
        <v>2.6489364871749026E-3</v>
      </c>
      <c r="M63" s="281">
        <f>_xll.qlSimpleQuoteSetValue(D63,ROUND(L63,6),EvaluationDate)</f>
        <v>0</v>
      </c>
      <c r="N63" s="263"/>
    </row>
    <row r="64" spans="1:14" x14ac:dyDescent="0.2">
      <c r="A64" s="265">
        <v>26</v>
      </c>
      <c r="B64" s="311" t="str">
        <f t="shared" si="5"/>
        <v>26x38F</v>
      </c>
      <c r="C64" s="312" t="str">
        <f t="shared" si="6"/>
        <v>EUR26x38F_SYNTH1Y_Quote</v>
      </c>
      <c r="D64" s="312" t="str">
        <f>_xll.qlSimpleQuote(C64,,RateTickValue,Permanent,Trigger,ObjectOverwrite)</f>
        <v>EUR26x38F_SYNTH1Y_Quote#0001</v>
      </c>
      <c r="E64" s="316" t="str">
        <f>_xll.ohRangeRetrieveError(D64)</f>
        <v/>
      </c>
      <c r="F64" s="10">
        <v>26</v>
      </c>
      <c r="G64" s="305" t="str">
        <f t="shared" si="7"/>
        <v>26x38F</v>
      </c>
      <c r="H64" s="306">
        <f>SynthFra!H28</f>
        <v>2.7694306729024887E-3</v>
      </c>
      <c r="I64" s="21"/>
      <c r="J64" s="288">
        <v>5.1723447587727405E-3</v>
      </c>
      <c r="K64" s="21"/>
      <c r="L64" s="280">
        <v>2.7694306729024887E-3</v>
      </c>
      <c r="M64" s="281">
        <f>_xll.qlSimpleQuoteSetValue(D64,ROUND(L64,6),EvaluationDate)</f>
        <v>0</v>
      </c>
      <c r="N64" s="263"/>
    </row>
    <row r="65" spans="1:14" x14ac:dyDescent="0.2">
      <c r="A65" s="265">
        <v>27</v>
      </c>
      <c r="B65" s="311" t="str">
        <f t="shared" si="5"/>
        <v>27x39F</v>
      </c>
      <c r="C65" s="312" t="str">
        <f t="shared" si="6"/>
        <v>EUR27x39F_SYNTH1Y_Quote</v>
      </c>
      <c r="D65" s="312" t="str">
        <f>_xll.qlSimpleQuote(C65,,RateTickValue,Permanent,Trigger,ObjectOverwrite)</f>
        <v>EUR27x39F_SYNTH1Y_Quote#0001</v>
      </c>
      <c r="E65" s="316" t="str">
        <f>_xll.ohRangeRetrieveError(D65)</f>
        <v/>
      </c>
      <c r="F65" s="10">
        <v>27</v>
      </c>
      <c r="G65" s="305" t="str">
        <f t="shared" si="7"/>
        <v>27x39F</v>
      </c>
      <c r="H65" s="306">
        <f>SynthFra!H29</f>
        <v>2.8848158210148444E-3</v>
      </c>
      <c r="I65" s="21"/>
      <c r="J65" s="288">
        <v>5.3150282994908178E-3</v>
      </c>
      <c r="K65" s="21"/>
      <c r="L65" s="280">
        <v>2.8848158210148444E-3</v>
      </c>
      <c r="M65" s="281">
        <f>_xll.qlSimpleQuoteSetValue(D65,ROUND(L65,6),EvaluationDate)</f>
        <v>0</v>
      </c>
      <c r="N65" s="263"/>
    </row>
    <row r="66" spans="1:14" x14ac:dyDescent="0.2">
      <c r="A66" s="265">
        <v>28</v>
      </c>
      <c r="B66" s="311" t="str">
        <f t="shared" si="5"/>
        <v>28x40F</v>
      </c>
      <c r="C66" s="312" t="str">
        <f t="shared" si="6"/>
        <v>EUR28x40F_SYNTH1Y_Quote</v>
      </c>
      <c r="D66" s="312" t="str">
        <f>_xll.qlSimpleQuote(C66,,RateTickValue,Permanent,Trigger,ObjectOverwrite)</f>
        <v>EUR28x40F_SYNTH1Y_Quote#0001</v>
      </c>
      <c r="E66" s="316" t="str">
        <f>_xll.ohRangeRetrieveError(D66)</f>
        <v/>
      </c>
      <c r="F66" s="10">
        <v>28</v>
      </c>
      <c r="G66" s="305" t="str">
        <f t="shared" si="7"/>
        <v>28x40F</v>
      </c>
      <c r="H66" s="306">
        <f>SynthFra!H30</f>
        <v>3.0001954019606859E-3</v>
      </c>
      <c r="I66" s="21"/>
      <c r="J66" s="288">
        <v>5.4407488203351683E-3</v>
      </c>
      <c r="K66" s="21"/>
      <c r="L66" s="280">
        <v>3.0001954019606859E-3</v>
      </c>
      <c r="M66" s="281">
        <f>_xll.qlSimpleQuoteSetValue(D66,ROUND(L66,6),EvaluationDate)</f>
        <v>0</v>
      </c>
      <c r="N66" s="263"/>
    </row>
    <row r="67" spans="1:14" x14ac:dyDescent="0.2">
      <c r="A67" s="265">
        <v>29</v>
      </c>
      <c r="B67" s="311" t="str">
        <f t="shared" si="5"/>
        <v>29x41F</v>
      </c>
      <c r="C67" s="312" t="str">
        <f t="shared" si="6"/>
        <v>EUR29x41F_SYNTH1Y_Quote</v>
      </c>
      <c r="D67" s="312" t="str">
        <f>_xll.qlSimpleQuote(C67,,RateTickValue,Permanent,Trigger,ObjectOverwrite)</f>
        <v>EUR29x41F_SYNTH1Y_Quote#0001</v>
      </c>
      <c r="E67" s="316" t="str">
        <f>_xll.ohRangeRetrieveError(D67)</f>
        <v/>
      </c>
      <c r="F67" s="10">
        <v>29</v>
      </c>
      <c r="G67" s="305" t="str">
        <f t="shared" si="7"/>
        <v>29x41F</v>
      </c>
      <c r="H67" s="306">
        <f>SynthFra!H31</f>
        <v>3.1276888443470601E-3</v>
      </c>
      <c r="I67" s="21"/>
      <c r="J67" s="288">
        <v>5.5751222575614514E-3</v>
      </c>
      <c r="K67" s="21"/>
      <c r="L67" s="280">
        <v>3.1276888443470601E-3</v>
      </c>
      <c r="M67" s="281">
        <f>_xll.qlSimpleQuoteSetValue(D67,ROUND(L67,6),EvaluationDate)</f>
        <v>0</v>
      </c>
      <c r="N67" s="263"/>
    </row>
    <row r="68" spans="1:14" x14ac:dyDescent="0.2">
      <c r="A68" s="265">
        <v>30</v>
      </c>
      <c r="B68" s="311" t="str">
        <f t="shared" si="5"/>
        <v>30x42F</v>
      </c>
      <c r="C68" s="312" t="str">
        <f t="shared" si="6"/>
        <v>EUR30x42F_SYNTH1Y_Quote</v>
      </c>
      <c r="D68" s="312" t="str">
        <f>_xll.qlSimpleQuote(C68,,RateTickValue,Permanent,Trigger,ObjectOverwrite)</f>
        <v>EUR30x42F_SYNTH1Y_Quote#0001</v>
      </c>
      <c r="E68" s="316" t="str">
        <f>_xll.ohRangeRetrieveError(D68)</f>
        <v/>
      </c>
      <c r="F68" s="10">
        <v>30</v>
      </c>
      <c r="G68" s="305" t="str">
        <f t="shared" si="7"/>
        <v>30x42F</v>
      </c>
      <c r="H68" s="306">
        <f>SynthFra!H32</f>
        <v>3.2361219447781852E-3</v>
      </c>
      <c r="I68" s="21"/>
      <c r="J68" s="288">
        <v>5.718231965587536E-3</v>
      </c>
      <c r="K68" s="21"/>
      <c r="L68" s="280">
        <v>3.2361219447781852E-3</v>
      </c>
      <c r="M68" s="281">
        <f>_xll.qlSimpleQuoteSetValue(D68,ROUND(L68,6),EvaluationDate)</f>
        <v>0</v>
      </c>
      <c r="N68" s="263"/>
    </row>
    <row r="69" spans="1:14" x14ac:dyDescent="0.2">
      <c r="A69" s="265">
        <v>31</v>
      </c>
      <c r="B69" s="311" t="str">
        <f t="shared" si="5"/>
        <v>31x43F</v>
      </c>
      <c r="C69" s="312" t="str">
        <f t="shared" si="6"/>
        <v>EUR31x43F_SYNTH1Y_Quote</v>
      </c>
      <c r="D69" s="312" t="str">
        <f>_xll.qlSimpleQuote(C69,,RateTickValue,Permanent,Trigger,ObjectOverwrite)</f>
        <v>EUR31x43F_SYNTH1Y_Quote#0001</v>
      </c>
      <c r="E69" s="316" t="str">
        <f>_xll.ohRangeRetrieveError(D69)</f>
        <v/>
      </c>
      <c r="F69" s="10">
        <v>31</v>
      </c>
      <c r="G69" s="305" t="str">
        <f t="shared" si="7"/>
        <v>31x43F</v>
      </c>
      <c r="H69" s="306">
        <f>SynthFra!H33</f>
        <v>3.3562136786096926E-3</v>
      </c>
      <c r="I69" s="21"/>
      <c r="J69" s="288">
        <v>5.8750651022078052E-3</v>
      </c>
      <c r="K69" s="21"/>
      <c r="L69" s="280">
        <v>3.3562136786096926E-3</v>
      </c>
      <c r="M69" s="281">
        <f>_xll.qlSimpleQuoteSetValue(D69,ROUND(L69,6),EvaluationDate)</f>
        <v>0</v>
      </c>
      <c r="N69" s="263"/>
    </row>
    <row r="70" spans="1:14" x14ac:dyDescent="0.2">
      <c r="A70" s="265">
        <v>32</v>
      </c>
      <c r="B70" s="311" t="str">
        <f t="shared" si="5"/>
        <v>32x44F</v>
      </c>
      <c r="C70" s="312" t="str">
        <f t="shared" si="6"/>
        <v>EUR32x44F_SYNTH1Y_Quote</v>
      </c>
      <c r="D70" s="312" t="str">
        <f>_xll.qlSimpleQuote(C70,,RateTickValue,Permanent,Trigger,ObjectOverwrite)</f>
        <v>EUR32x44F_SYNTH1Y_Quote#0001</v>
      </c>
      <c r="E70" s="316" t="str">
        <f>_xll.ohRangeRetrieveError(D70)</f>
        <v/>
      </c>
      <c r="F70" s="10">
        <v>32</v>
      </c>
      <c r="G70" s="305" t="str">
        <f t="shared" si="7"/>
        <v>32x44F</v>
      </c>
      <c r="H70" s="306">
        <f>SynthFra!H34</f>
        <v>3.4799688295033284E-3</v>
      </c>
      <c r="I70" s="21"/>
      <c r="J70" s="288">
        <v>6.0205538315344842E-3</v>
      </c>
      <c r="K70" s="21"/>
      <c r="L70" s="280">
        <v>3.4799688295033284E-3</v>
      </c>
      <c r="M70" s="281">
        <f>_xll.qlSimpleQuoteSetValue(D70,ROUND(L70,6),EvaluationDate)</f>
        <v>0</v>
      </c>
      <c r="N70" s="263"/>
    </row>
    <row r="71" spans="1:14" x14ac:dyDescent="0.2">
      <c r="A71" s="265">
        <v>33</v>
      </c>
      <c r="B71" s="311" t="str">
        <f t="shared" si="5"/>
        <v>33x45F</v>
      </c>
      <c r="C71" s="312" t="str">
        <f t="shared" si="6"/>
        <v>EUR33x45F_SYNTH1Y_Quote</v>
      </c>
      <c r="D71" s="312" t="str">
        <f>_xll.qlSimpleQuote(C71,,RateTickValue,Permanent,Trigger,ObjectOverwrite)</f>
        <v>EUR33x45F_SYNTH1Y_Quote#0001</v>
      </c>
      <c r="E71" s="316" t="str">
        <f>_xll.ohRangeRetrieveError(D71)</f>
        <v/>
      </c>
      <c r="F71" s="10">
        <v>33</v>
      </c>
      <c r="G71" s="305" t="str">
        <f t="shared" si="7"/>
        <v>33x45F</v>
      </c>
      <c r="H71" s="306">
        <f>SynthFra!H35</f>
        <v>3.5917104855510877E-3</v>
      </c>
      <c r="I71" s="21"/>
      <c r="J71" s="288">
        <v>6.1834206352431283E-3</v>
      </c>
      <c r="K71" s="21"/>
      <c r="L71" s="280">
        <v>3.5917104855510877E-3</v>
      </c>
      <c r="M71" s="281">
        <f>_xll.qlSimpleQuoteSetValue(D71,ROUND(L71,6),EvaluationDate)</f>
        <v>0</v>
      </c>
      <c r="N71" s="263"/>
    </row>
    <row r="72" spans="1:14" x14ac:dyDescent="0.2">
      <c r="A72" s="265">
        <v>34</v>
      </c>
      <c r="B72" s="311" t="str">
        <f t="shared" si="5"/>
        <v>34x46F</v>
      </c>
      <c r="C72" s="312" t="str">
        <f t="shared" si="6"/>
        <v>EUR34x46F_SYNTH1Y_Quote</v>
      </c>
      <c r="D72" s="312" t="str">
        <f>_xll.qlSimpleQuote(C72,,RateTickValue,Permanent,Trigger,ObjectOverwrite)</f>
        <v>EUR34x46F_SYNTH1Y_Quote#0001</v>
      </c>
      <c r="E72" s="316" t="str">
        <f>_xll.ohRangeRetrieveError(D72)</f>
        <v/>
      </c>
      <c r="F72" s="10">
        <v>34</v>
      </c>
      <c r="G72" s="305" t="str">
        <f t="shared" si="7"/>
        <v>34x46F</v>
      </c>
      <c r="H72" s="306">
        <f>SynthFra!H36</f>
        <v>3.7136334091507229E-3</v>
      </c>
      <c r="I72" s="21"/>
      <c r="J72" s="288">
        <v>6.3407127429901894E-3</v>
      </c>
      <c r="K72" s="21"/>
      <c r="L72" s="280">
        <v>3.7136334091507229E-3</v>
      </c>
      <c r="M72" s="281">
        <f>_xll.qlSimpleQuoteSetValue(D72,ROUND(L72,6),EvaluationDate)</f>
        <v>0</v>
      </c>
      <c r="N72" s="263"/>
    </row>
    <row r="73" spans="1:14" x14ac:dyDescent="0.2">
      <c r="A73" s="265">
        <v>35</v>
      </c>
      <c r="B73" s="311" t="str">
        <f t="shared" si="5"/>
        <v>35x47F</v>
      </c>
      <c r="C73" s="312" t="str">
        <f t="shared" si="6"/>
        <v>EUR35x47F_SYNTH1Y_Quote</v>
      </c>
      <c r="D73" s="312" t="str">
        <f>_xll.qlSimpleQuote(C73,,RateTickValue,Permanent,Trigger,ObjectOverwrite)</f>
        <v>EUR35x47F_SYNTH1Y_Quote#0001</v>
      </c>
      <c r="E73" s="316" t="str">
        <f>_xll.ohRangeRetrieveError(D73)</f>
        <v/>
      </c>
      <c r="F73" s="10">
        <v>35</v>
      </c>
      <c r="G73" s="305" t="str">
        <f t="shared" si="7"/>
        <v>35x47F</v>
      </c>
      <c r="H73" s="306">
        <f>SynthFra!H37</f>
        <v>3.8201021314914884E-3</v>
      </c>
      <c r="I73" s="21"/>
      <c r="J73" s="288">
        <v>6.4993179723235994E-3</v>
      </c>
      <c r="K73" s="21"/>
      <c r="L73" s="280">
        <v>3.8201021314914884E-3</v>
      </c>
      <c r="M73" s="281">
        <f>_xll.qlSimpleQuoteSetValue(D73,ROUND(L73,6),EvaluationDate)</f>
        <v>0</v>
      </c>
      <c r="N73" s="263"/>
    </row>
    <row r="74" spans="1:14" x14ac:dyDescent="0.2">
      <c r="A74" s="265">
        <v>37</v>
      </c>
      <c r="B74" s="311" t="str">
        <f t="shared" si="5"/>
        <v>37x49F</v>
      </c>
      <c r="C74" s="312" t="str">
        <f t="shared" si="6"/>
        <v>EUR37x49F_SYNTH1Y_Quote</v>
      </c>
      <c r="D74" s="312" t="str">
        <f>_xll.qlSimpleQuote(C74,,RateTickValue,Permanent,Trigger,ObjectOverwrite)</f>
        <v>EUR37x49F_SYNTH1Y_Quote#0001</v>
      </c>
      <c r="E74" s="316" t="str">
        <f>_xll.ohRangeRetrieveError(D74)</f>
        <v/>
      </c>
      <c r="F74" s="10">
        <v>37</v>
      </c>
      <c r="G74" s="305" t="str">
        <f t="shared" si="7"/>
        <v>37x49F</v>
      </c>
      <c r="H74" s="306">
        <f>SynthFra!H39</f>
        <v>4.0455112520169662E-3</v>
      </c>
      <c r="I74" s="21"/>
      <c r="J74" s="288">
        <v>6.8382405101225429E-3</v>
      </c>
      <c r="K74" s="21"/>
      <c r="L74" s="280">
        <v>4.0455112520169662E-3</v>
      </c>
      <c r="M74" s="281">
        <f>_xll.qlSimpleQuoteSetValue(D74,ROUND(L74,6),EvaluationDate)</f>
        <v>0</v>
      </c>
      <c r="N74" s="263"/>
    </row>
    <row r="75" spans="1:14" x14ac:dyDescent="0.2">
      <c r="A75" s="265">
        <v>38</v>
      </c>
      <c r="B75" s="311" t="str">
        <f t="shared" si="5"/>
        <v>38x50F</v>
      </c>
      <c r="C75" s="312" t="str">
        <f t="shared" si="6"/>
        <v>EUR38x50F_SYNTH1Y_Quote</v>
      </c>
      <c r="D75" s="312" t="str">
        <f>_xll.qlSimpleQuote(C75,,RateTickValue,Permanent,Trigger,ObjectOverwrite)</f>
        <v>EUR38x50F_SYNTH1Y_Quote#0001</v>
      </c>
      <c r="E75" s="316" t="str">
        <f>_xll.ohRangeRetrieveError(D75)</f>
        <v/>
      </c>
      <c r="F75" s="10">
        <v>38</v>
      </c>
      <c r="G75" s="305" t="str">
        <f t="shared" si="7"/>
        <v>38x50F</v>
      </c>
      <c r="H75" s="306">
        <f>SynthFra!H40</f>
        <v>4.1673100766337111E-3</v>
      </c>
      <c r="I75" s="21"/>
      <c r="J75" s="288">
        <v>6.9968675313510668E-3</v>
      </c>
      <c r="K75" s="21"/>
      <c r="L75" s="280">
        <v>4.1673100766337111E-3</v>
      </c>
      <c r="M75" s="281">
        <f>_xll.qlSimpleQuoteSetValue(D75,ROUND(L75,6),EvaluationDate)</f>
        <v>0</v>
      </c>
      <c r="N75" s="263"/>
    </row>
    <row r="76" spans="1:14" x14ac:dyDescent="0.2">
      <c r="A76" s="265">
        <v>39</v>
      </c>
      <c r="B76" s="311" t="str">
        <f t="shared" si="5"/>
        <v>39x51F</v>
      </c>
      <c r="C76" s="312" t="str">
        <f t="shared" si="6"/>
        <v>EUR39x51F_SYNTH1Y_Quote</v>
      </c>
      <c r="D76" s="312" t="str">
        <f>_xll.qlSimpleQuote(C76,,RateTickValue,Permanent,Trigger,ObjectOverwrite)</f>
        <v>EUR39x51F_SYNTH1Y_Quote#0001</v>
      </c>
      <c r="E76" s="316" t="str">
        <f>_xll.ohRangeRetrieveError(D76)</f>
        <v/>
      </c>
      <c r="F76" s="10">
        <v>39</v>
      </c>
      <c r="G76" s="305" t="str">
        <f t="shared" si="7"/>
        <v>39x51F</v>
      </c>
      <c r="H76" s="306">
        <f>SynthFra!H41</f>
        <v>4.2700310289350216E-3</v>
      </c>
      <c r="I76" s="21"/>
      <c r="J76" s="288">
        <v>7.1743604365316314E-3</v>
      </c>
      <c r="K76" s="21"/>
      <c r="L76" s="280">
        <v>4.2700310289350216E-3</v>
      </c>
      <c r="M76" s="281">
        <f>_xll.qlSimpleQuoteSetValue(D76,ROUND(L76,6),EvaluationDate)</f>
        <v>0</v>
      </c>
      <c r="N76" s="263"/>
    </row>
    <row r="77" spans="1:14" x14ac:dyDescent="0.2">
      <c r="A77" s="265">
        <v>40</v>
      </c>
      <c r="B77" s="311" t="str">
        <f t="shared" si="5"/>
        <v>40x52F</v>
      </c>
      <c r="C77" s="312" t="str">
        <f t="shared" si="6"/>
        <v>EUR40x52F_SYNTH1Y_Quote</v>
      </c>
      <c r="D77" s="312" t="str">
        <f>_xll.qlSimpleQuote(C77,,RateTickValue,Permanent,Trigger,ObjectOverwrite)</f>
        <v>EUR40x52F_SYNTH1Y_Quote#0001</v>
      </c>
      <c r="E77" s="316" t="str">
        <f>_xll.ohRangeRetrieveError(D77)</f>
        <v/>
      </c>
      <c r="F77" s="10">
        <v>40</v>
      </c>
      <c r="G77" s="305" t="str">
        <f t="shared" si="7"/>
        <v>40x52F</v>
      </c>
      <c r="H77" s="306">
        <f>SynthFra!H42</f>
        <v>4.3834283671305152E-3</v>
      </c>
      <c r="I77" s="21"/>
      <c r="J77" s="288">
        <v>7.332157716471617E-3</v>
      </c>
      <c r="K77" s="21"/>
      <c r="L77" s="280">
        <v>4.3834283671305152E-3</v>
      </c>
      <c r="M77" s="281">
        <f>_xll.qlSimpleQuoteSetValue(D77,ROUND(L77,6),EvaluationDate)</f>
        <v>0</v>
      </c>
      <c r="N77" s="263"/>
    </row>
    <row r="78" spans="1:14" x14ac:dyDescent="0.2">
      <c r="A78" s="265">
        <v>41</v>
      </c>
      <c r="B78" s="311" t="str">
        <f t="shared" si="5"/>
        <v>41x53F</v>
      </c>
      <c r="C78" s="312" t="str">
        <f t="shared" si="6"/>
        <v>EUR41x53F_SYNTH1Y_Quote</v>
      </c>
      <c r="D78" s="312" t="str">
        <f>_xll.qlSimpleQuote(C78,,RateTickValue,Permanent,Trigger,ObjectOverwrite)</f>
        <v>EUR41x53F_SYNTH1Y_Quote#0001</v>
      </c>
      <c r="E78" s="316" t="str">
        <f>_xll.ohRangeRetrieveError(D78)</f>
        <v/>
      </c>
      <c r="F78" s="10">
        <v>41</v>
      </c>
      <c r="G78" s="305" t="str">
        <f t="shared" si="7"/>
        <v>41x53F</v>
      </c>
      <c r="H78" s="306">
        <f>SynthFra!H43</f>
        <v>4.5004895681718116E-3</v>
      </c>
      <c r="I78" s="21"/>
      <c r="J78" s="288">
        <v>7.5042013523346496E-3</v>
      </c>
      <c r="K78" s="21"/>
      <c r="L78" s="280">
        <v>4.5004895681718116E-3</v>
      </c>
      <c r="M78" s="281">
        <f>_xll.qlSimpleQuoteSetValue(D78,ROUND(L78,6),EvaluationDate)</f>
        <v>0</v>
      </c>
      <c r="N78" s="263"/>
    </row>
    <row r="79" spans="1:14" x14ac:dyDescent="0.2">
      <c r="A79" s="265">
        <v>42</v>
      </c>
      <c r="B79" s="311" t="str">
        <f t="shared" si="5"/>
        <v>42x54F</v>
      </c>
      <c r="C79" s="312" t="str">
        <f t="shared" si="6"/>
        <v>EUR42x54F_SYNTH1Y_Quote</v>
      </c>
      <c r="D79" s="312" t="str">
        <f>_xll.qlSimpleQuote(C79,,RateTickValue,Permanent,Trigger,ObjectOverwrite)</f>
        <v>EUR42x54F_SYNTH1Y_Quote#0001</v>
      </c>
      <c r="E79" s="316" t="str">
        <f>_xll.ohRangeRetrieveError(D79)</f>
        <v/>
      </c>
      <c r="F79" s="10">
        <v>42</v>
      </c>
      <c r="G79" s="305" t="str">
        <f t="shared" si="7"/>
        <v>42x54F</v>
      </c>
      <c r="H79" s="306">
        <f>SynthFra!H44</f>
        <v>4.6069089848245065E-3</v>
      </c>
      <c r="I79" s="21"/>
      <c r="J79" s="288">
        <v>7.6856320593296189E-3</v>
      </c>
      <c r="K79" s="21"/>
      <c r="L79" s="280">
        <v>4.6069089848245065E-3</v>
      </c>
      <c r="M79" s="281">
        <f>_xll.qlSimpleQuoteSetValue(D79,ROUND(L79,6),EvaluationDate)</f>
        <v>0</v>
      </c>
      <c r="N79" s="263"/>
    </row>
    <row r="80" spans="1:14" x14ac:dyDescent="0.2">
      <c r="A80" s="265">
        <v>43</v>
      </c>
      <c r="B80" s="311" t="str">
        <f t="shared" si="5"/>
        <v>43x55F</v>
      </c>
      <c r="C80" s="312" t="str">
        <f t="shared" si="6"/>
        <v>EUR43x55F_SYNTH1Y_Quote</v>
      </c>
      <c r="D80" s="312" t="str">
        <f>_xll.qlSimpleQuote(C80,,RateTickValue,Permanent,Trigger,ObjectOverwrite)</f>
        <v>EUR43x55F_SYNTH1Y_Quote#0001</v>
      </c>
      <c r="E80" s="316" t="str">
        <f>_xll.ohRangeRetrieveError(D80)</f>
        <v/>
      </c>
      <c r="F80" s="10">
        <v>43</v>
      </c>
      <c r="G80" s="305" t="str">
        <f t="shared" si="7"/>
        <v>43x55F</v>
      </c>
      <c r="H80" s="306">
        <f>SynthFra!H45</f>
        <v>4.7250068196981101E-3</v>
      </c>
      <c r="I80" s="21"/>
      <c r="J80" s="288">
        <v>7.8651831595265478E-3</v>
      </c>
      <c r="K80" s="21"/>
      <c r="L80" s="280">
        <v>4.7250068196981101E-3</v>
      </c>
      <c r="M80" s="281">
        <f>_xll.qlSimpleQuoteSetValue(D80,ROUND(L80,6),EvaluationDate)</f>
        <v>0</v>
      </c>
      <c r="N80" s="263"/>
    </row>
    <row r="81" spans="1:14" x14ac:dyDescent="0.2">
      <c r="A81" s="265">
        <v>44</v>
      </c>
      <c r="B81" s="311" t="str">
        <f t="shared" si="5"/>
        <v>44x56F</v>
      </c>
      <c r="C81" s="312" t="str">
        <f t="shared" si="6"/>
        <v>EUR44x56F_SYNTH1Y_Quote</v>
      </c>
      <c r="D81" s="312" t="str">
        <f>_xll.qlSimpleQuote(C81,,RateTickValue,Permanent,Trigger,ObjectOverwrite)</f>
        <v>EUR44x56F_SYNTH1Y_Quote#0001</v>
      </c>
      <c r="E81" s="316" t="str">
        <f>_xll.ohRangeRetrieveError(D81)</f>
        <v/>
      </c>
      <c r="F81" s="10">
        <v>44</v>
      </c>
      <c r="G81" s="305" t="str">
        <f t="shared" si="7"/>
        <v>44x56F</v>
      </c>
      <c r="H81" s="306">
        <f>SynthFra!H46</f>
        <v>4.8368852451034913E-3</v>
      </c>
      <c r="I81" s="21"/>
      <c r="J81" s="288">
        <v>8.0490387340789171E-3</v>
      </c>
      <c r="K81" s="21"/>
      <c r="L81" s="280">
        <v>4.8368852451034913E-3</v>
      </c>
      <c r="M81" s="281">
        <f>_xll.qlSimpleQuoteSetValue(D81,ROUND(L81,6),EvaluationDate)</f>
        <v>0</v>
      </c>
      <c r="N81" s="263"/>
    </row>
    <row r="82" spans="1:14" x14ac:dyDescent="0.2">
      <c r="A82" s="265">
        <v>45</v>
      </c>
      <c r="B82" s="311" t="str">
        <f t="shared" si="5"/>
        <v>45x57F</v>
      </c>
      <c r="C82" s="312" t="str">
        <f t="shared" si="6"/>
        <v>EUR45x57F_SYNTH1Y_Quote</v>
      </c>
      <c r="D82" s="312" t="str">
        <f>_xll.qlSimpleQuote(C82,,RateTickValue,Permanent,Trigger,ObjectOverwrite)</f>
        <v>EUR45x57F_SYNTH1Y_Quote#0001</v>
      </c>
      <c r="E82" s="316" t="str">
        <f>_xll.ohRangeRetrieveError(D82)</f>
        <v/>
      </c>
      <c r="F82" s="10">
        <v>45</v>
      </c>
      <c r="G82" s="305" t="str">
        <f t="shared" si="7"/>
        <v>45x57F</v>
      </c>
      <c r="H82" s="306">
        <f>SynthFra!H47</f>
        <v>4.9500401690329206E-3</v>
      </c>
      <c r="I82" s="21"/>
      <c r="J82" s="288">
        <v>8.2567479453787476E-3</v>
      </c>
      <c r="K82" s="21"/>
      <c r="L82" s="280">
        <v>4.9500401690329206E-3</v>
      </c>
      <c r="M82" s="281">
        <f>_xll.qlSimpleQuoteSetValue(D82,ROUND(L82,6),EvaluationDate)</f>
        <v>0</v>
      </c>
      <c r="N82" s="263"/>
    </row>
    <row r="83" spans="1:14" x14ac:dyDescent="0.2">
      <c r="A83" s="265">
        <v>46</v>
      </c>
      <c r="B83" s="311" t="str">
        <f t="shared" si="5"/>
        <v>46x58F</v>
      </c>
      <c r="C83" s="312" t="str">
        <f t="shared" si="6"/>
        <v>EUR46x58F_SYNTH1Y_Quote</v>
      </c>
      <c r="D83" s="312" t="str">
        <f>_xll.qlSimpleQuote(C83,,RateTickValue,Permanent,Trigger,ObjectOverwrite)</f>
        <v>EUR46x58F_SYNTH1Y_Quote#0001</v>
      </c>
      <c r="E83" s="316" t="str">
        <f>_xll.ohRangeRetrieveError(D83)</f>
        <v/>
      </c>
      <c r="F83" s="10">
        <v>46</v>
      </c>
      <c r="G83" s="305" t="str">
        <f t="shared" si="7"/>
        <v>46x58F</v>
      </c>
      <c r="H83" s="306">
        <f>SynthFra!H48</f>
        <v>5.0764481372698568E-3</v>
      </c>
      <c r="I83" s="21"/>
      <c r="J83" s="288">
        <v>8.4444284280895728E-3</v>
      </c>
      <c r="K83" s="21"/>
      <c r="L83" s="280">
        <v>5.0764481372698568E-3</v>
      </c>
      <c r="M83" s="281">
        <f>_xll.qlSimpleQuoteSetValue(D83,ROUND(L83,6),EvaluationDate)</f>
        <v>0</v>
      </c>
      <c r="N83" s="263"/>
    </row>
    <row r="84" spans="1:14" x14ac:dyDescent="0.2">
      <c r="A84" s="266">
        <v>47</v>
      </c>
      <c r="B84" s="313" t="str">
        <f t="shared" si="5"/>
        <v>47x59F</v>
      </c>
      <c r="C84" s="314" t="str">
        <f t="shared" si="6"/>
        <v>EUR47x59F_SYNTH1Y_Quote</v>
      </c>
      <c r="D84" s="314" t="str">
        <f>_xll.qlSimpleQuote(C84,,RateTickValue,Permanent,Trigger,ObjectOverwrite)</f>
        <v>EUR47x59F_SYNTH1Y_Quote#0001</v>
      </c>
      <c r="E84" s="317" t="str">
        <f>_xll.ohRangeRetrieveError(D84)</f>
        <v/>
      </c>
      <c r="F84" s="10">
        <v>47</v>
      </c>
      <c r="G84" s="307" t="str">
        <f t="shared" si="7"/>
        <v>47x59F</v>
      </c>
      <c r="H84" s="308">
        <f>SynthFra!H49</f>
        <v>5.1877680578068562E-3</v>
      </c>
      <c r="I84" s="21"/>
      <c r="J84" s="289">
        <v>8.6440616440412316E-3</v>
      </c>
      <c r="K84" s="21"/>
      <c r="L84" s="282">
        <v>5.1877680578068562E-3</v>
      </c>
      <c r="M84" s="283">
        <f>_xll.qlSimpleQuoteSetValue(D84,ROUND(L84,6),EvaluationDate)</f>
        <v>0</v>
      </c>
      <c r="N84" s="263"/>
    </row>
    <row r="85" spans="1:14" x14ac:dyDescent="0.2">
      <c r="A85" s="267"/>
      <c r="B85" s="268"/>
      <c r="C85" s="269"/>
      <c r="D85" s="269"/>
      <c r="E85" s="269"/>
      <c r="F85" s="270"/>
      <c r="G85" s="270"/>
      <c r="H85" s="270"/>
      <c r="I85" s="270"/>
      <c r="J85" s="270"/>
      <c r="K85" s="270"/>
      <c r="L85" s="270"/>
      <c r="M85" s="270"/>
      <c r="N85" s="271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19" hidden="1" customWidth="1" outlineLevel="1"/>
    <col min="2" max="2" width="7" style="319" hidden="1" customWidth="1" outlineLevel="1"/>
    <col min="3" max="3" width="3.5" style="319" hidden="1" customWidth="1" outlineLevel="1"/>
    <col min="4" max="4" width="2.33203125" style="336" hidden="1" customWidth="1" outlineLevel="1"/>
    <col min="5" max="5" width="4.6640625" style="336" hidden="1" customWidth="1" outlineLevel="1"/>
    <col min="6" max="6" width="8.1640625" style="319" hidden="1" customWidth="1" outlineLevel="1"/>
    <col min="7" max="7" width="22.5" style="319" hidden="1" customWidth="1" outlineLevel="1"/>
    <col min="8" max="8" width="12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customWidth="1" collapsed="1"/>
    <col min="14" max="14" width="3.5" style="319" customWidth="1"/>
    <col min="15" max="15" width="31.1640625" style="319" bestFit="1" customWidth="1"/>
    <col min="16" max="20" width="20.1640625" style="319" bestFit="1" customWidth="1"/>
    <col min="21" max="21" width="20.16406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9.33203125" style="319" customWidth="1"/>
    <col min="25" max="25" width="9.33203125" style="319" bestFit="1" customWidth="1"/>
    <col min="26" max="26" width="7" style="319" bestFit="1" customWidth="1"/>
    <col min="27" max="16384" width="9.33203125" style="319"/>
  </cols>
  <sheetData>
    <row r="1" spans="1:20" ht="11.25" customHeight="1" x14ac:dyDescent="0.2">
      <c r="D1" s="319"/>
      <c r="E1" s="319"/>
      <c r="J1" s="319" t="s">
        <v>40</v>
      </c>
      <c r="K1" s="319" t="str">
        <f>_xll.qlEuribor(,J1,,,Trigger)</f>
        <v>obj_0056c#0001</v>
      </c>
      <c r="L1" s="319" t="str">
        <f>_xll.ohRangeRetrieveError(K1)</f>
        <v/>
      </c>
    </row>
    <row r="2" spans="1:20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</row>
    <row r="3" spans="1:20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Euribor1MLastFixing_Quote</v>
      </c>
      <c r="K3" s="70" t="str">
        <f>_xll.qlDepositRateHelper(,J3,K1,,Trigger)</f>
        <v>obj_005ce#0001</v>
      </c>
      <c r="L3" s="81" t="str">
        <f>_xll.ohRangeRetrieveError(K3)</f>
        <v/>
      </c>
      <c r="M3" s="334"/>
      <c r="N3" s="334"/>
      <c r="O3" s="374" t="str">
        <f>_xll.qlRateHelperQuoteName(K3,Trigger)</f>
        <v>Euribor1MLastFixing_Quote</v>
      </c>
      <c r="P3" s="364">
        <f>_xll.qlQuoteValue(J3,AllTriggers)</f>
        <v>-2.5000000000000001E-4</v>
      </c>
      <c r="Q3" s="365" t="str">
        <f>IF(ISBLANK(I3),"--",_xll.qlSwapRateHelperSpread(K3,AllTriggers))</f>
        <v>--</v>
      </c>
      <c r="R3" s="374" t="b">
        <v>1</v>
      </c>
      <c r="S3" s="366">
        <f>_xll.qlRateHelperEarliestDate(K3,Trigger)</f>
        <v>42110</v>
      </c>
      <c r="T3" s="366">
        <f>_xll.qlRateHelperLatestDate(K3,Trigger)</f>
        <v>42142</v>
      </c>
    </row>
    <row r="4" spans="1:20" ht="11.25" customHeight="1" x14ac:dyDescent="0.2">
      <c r="A4" s="333"/>
      <c r="B4" s="74" t="s">
        <v>132</v>
      </c>
      <c r="C4" s="75" t="s">
        <v>47</v>
      </c>
      <c r="D4" s="76">
        <v>2</v>
      </c>
      <c r="E4" s="76" t="s">
        <v>133</v>
      </c>
      <c r="F4" s="74" t="s">
        <v>134</v>
      </c>
      <c r="G4" s="77" t="s">
        <v>130</v>
      </c>
      <c r="H4" s="77" t="s">
        <v>15</v>
      </c>
      <c r="I4" s="78">
        <v>0</v>
      </c>
      <c r="J4" s="79" t="str">
        <f t="shared" ref="J4:J9" si="0">Currency&amp;$D4&amp;$E4&amp;"_Quote"</f>
        <v>EUR2X1S_Quote</v>
      </c>
      <c r="K4" s="80" t="str">
        <f>_xll.qlSwapRateHelper2(,$J4,C4,Calendar,$F4,$G4,$H4,$K$1,$I4,B4,Discounting,Permanent,Trigger,ObjectOverwrite)</f>
        <v>obj_00576#0001</v>
      </c>
      <c r="L4" s="81" t="str">
        <f>_xll.ohRangeRetrieveError(K4)</f>
        <v/>
      </c>
      <c r="M4" s="334"/>
      <c r="N4" s="334"/>
      <c r="O4" s="374" t="str">
        <f>_xll.qlRateHelperQuoteName(K4,Trigger)</f>
        <v>EUR2X1S_Quote</v>
      </c>
      <c r="P4" s="364">
        <f>_xll.qlQuoteValue(J4,AllTriggers)</f>
        <v>-3.0999999999999995E-4</v>
      </c>
      <c r="Q4" s="375">
        <f>IF(ISBLANK(I4),"--",_xll.qlSwapRateHelperSpread(K4,AllTriggers))</f>
        <v>0</v>
      </c>
      <c r="R4" s="374" t="b">
        <v>1</v>
      </c>
      <c r="S4" s="366">
        <f>_xll.qlRateHelperEarliestDate(K4,Trigger)</f>
        <v>42110</v>
      </c>
      <c r="T4" s="366">
        <f>_xll.qlRateHelperLatestDate(K4,Trigger)</f>
        <v>42171</v>
      </c>
    </row>
    <row r="5" spans="1:20" ht="11.25" customHeight="1" x14ac:dyDescent="0.2">
      <c r="A5" s="333"/>
      <c r="B5" s="42" t="s">
        <v>132</v>
      </c>
      <c r="C5" s="43" t="s">
        <v>41</v>
      </c>
      <c r="D5" s="44">
        <v>3</v>
      </c>
      <c r="E5" s="44" t="s">
        <v>133</v>
      </c>
      <c r="F5" s="42" t="s">
        <v>134</v>
      </c>
      <c r="G5" s="45" t="s">
        <v>130</v>
      </c>
      <c r="H5" s="45" t="s">
        <v>15</v>
      </c>
      <c r="I5" s="46">
        <v>0</v>
      </c>
      <c r="J5" s="47" t="str">
        <f t="shared" si="0"/>
        <v>EUR3X1S_Quote</v>
      </c>
      <c r="K5" s="48" t="str">
        <f>_xll.qlSwapRateHelper2(,$J5,C5,Calendar,$F5,$G5,$H5,$K$1,$I5,B5,Discounting,Permanent,Trigger,ObjectOverwrite)</f>
        <v>obj_00574#0001</v>
      </c>
      <c r="L5" s="49" t="str">
        <f>_xll.ohRangeRetrieveError(K5)</f>
        <v/>
      </c>
      <c r="M5" s="334"/>
      <c r="N5" s="334"/>
      <c r="O5" s="374" t="str">
        <f>_xll.qlRateHelperQuoteName(K5,Trigger)</f>
        <v>EUR3X1S_Quote</v>
      </c>
      <c r="P5" s="364">
        <f>_xll.qlQuoteValue(J5,AllTriggers)</f>
        <v>-4.2000000000000002E-4</v>
      </c>
      <c r="Q5" s="375">
        <f>IF(ISBLANK(I5),"--",_xll.qlSwapRateHelperSpread(K5,AllTriggers))</f>
        <v>0</v>
      </c>
      <c r="R5" s="374" t="b">
        <v>1</v>
      </c>
      <c r="S5" s="366">
        <f>_xll.qlRateHelperEarliestDate(K5,Trigger)</f>
        <v>42110</v>
      </c>
      <c r="T5" s="366">
        <f>_xll.qlRateHelperLatestDate(K5,Trigger)</f>
        <v>42201</v>
      </c>
    </row>
    <row r="6" spans="1:20" ht="11.25" customHeight="1" x14ac:dyDescent="0.2">
      <c r="A6" s="332"/>
      <c r="B6" s="42" t="s">
        <v>132</v>
      </c>
      <c r="C6" s="43" t="s">
        <v>48</v>
      </c>
      <c r="D6" s="44">
        <v>4</v>
      </c>
      <c r="E6" s="44" t="s">
        <v>133</v>
      </c>
      <c r="F6" s="42" t="s">
        <v>134</v>
      </c>
      <c r="G6" s="45" t="s">
        <v>130</v>
      </c>
      <c r="H6" s="45" t="s">
        <v>15</v>
      </c>
      <c r="I6" s="46">
        <v>0</v>
      </c>
      <c r="J6" s="47" t="str">
        <f t="shared" si="0"/>
        <v>EUR4X1S_Quote</v>
      </c>
      <c r="K6" s="48" t="str">
        <f>_xll.qlSwapRateHelper2(,$J6,C6,Calendar,$F6,$G6,$H6,$K$1,$I6,B6,Discounting,Permanent,Trigger,ObjectOverwrite)</f>
        <v>obj_00573#0001</v>
      </c>
      <c r="L6" s="49" t="str">
        <f>_xll.ohRangeRetrieveError(K6)</f>
        <v/>
      </c>
      <c r="M6" s="334"/>
      <c r="N6" s="334"/>
      <c r="O6" s="374" t="str">
        <f>_xll.qlRateHelperQuoteName(K6,Trigger)</f>
        <v>EUR4X1S_Quote</v>
      </c>
      <c r="P6" s="364">
        <f>_xll.qlQuoteValue(J6,AllTriggers)</f>
        <v>-4.8999999999999998E-4</v>
      </c>
      <c r="Q6" s="375">
        <f>IF(ISBLANK(I6),"--",_xll.qlSwapRateHelperSpread(K6,AllTriggers))</f>
        <v>0</v>
      </c>
      <c r="R6" s="374" t="b">
        <v>1</v>
      </c>
      <c r="S6" s="366">
        <f>_xll.qlRateHelperEarliestDate(K6,Trigger)</f>
        <v>42110</v>
      </c>
      <c r="T6" s="366">
        <f>_xll.qlRateHelperLatestDate(K6,Trigger)</f>
        <v>42233</v>
      </c>
    </row>
    <row r="7" spans="1:20" ht="11.25" customHeight="1" x14ac:dyDescent="0.2">
      <c r="A7" s="332"/>
      <c r="B7" s="42" t="s">
        <v>132</v>
      </c>
      <c r="C7" s="43" t="s">
        <v>49</v>
      </c>
      <c r="D7" s="44">
        <v>5</v>
      </c>
      <c r="E7" s="44" t="s">
        <v>133</v>
      </c>
      <c r="F7" s="42" t="s">
        <v>134</v>
      </c>
      <c r="G7" s="45" t="s">
        <v>130</v>
      </c>
      <c r="H7" s="45" t="s">
        <v>15</v>
      </c>
      <c r="I7" s="46">
        <v>0</v>
      </c>
      <c r="J7" s="47" t="str">
        <f t="shared" si="0"/>
        <v>EUR5X1S_Quote</v>
      </c>
      <c r="K7" s="48" t="str">
        <f>_xll.qlSwapRateHelper2(,$J7,C7,Calendar,$F7,$G7,$H7,$K$1,$I7,B7,Discounting,Permanent,Trigger,ObjectOverwrite)</f>
        <v>obj_00572#0001</v>
      </c>
      <c r="L7" s="49" t="str">
        <f>_xll.ohRangeRetrieveError(K7)</f>
        <v/>
      </c>
      <c r="M7" s="334"/>
      <c r="N7" s="334"/>
      <c r="O7" s="374" t="str">
        <f>_xll.qlRateHelperQuoteName(K7,Trigger)</f>
        <v>EUR5X1S_Quote</v>
      </c>
      <c r="P7" s="364">
        <f>_xll.qlQuoteValue(J7,AllTriggers)</f>
        <v>-5.4000000000000001E-4</v>
      </c>
      <c r="Q7" s="375">
        <f>IF(ISBLANK(I7),"--",_xll.qlSwapRateHelperSpread(K7,AllTriggers))</f>
        <v>0</v>
      </c>
      <c r="R7" s="374" t="b">
        <v>1</v>
      </c>
      <c r="S7" s="366">
        <f>_xll.qlRateHelperEarliestDate(K7,Trigger)</f>
        <v>42110</v>
      </c>
      <c r="T7" s="366">
        <f>_xll.qlRateHelperLatestDate(K7,Trigger)</f>
        <v>42263</v>
      </c>
    </row>
    <row r="8" spans="1:20" ht="11.25" customHeight="1" x14ac:dyDescent="0.2">
      <c r="A8" s="332"/>
      <c r="B8" s="42" t="s">
        <v>132</v>
      </c>
      <c r="C8" s="43" t="s">
        <v>42</v>
      </c>
      <c r="D8" s="44">
        <v>6</v>
      </c>
      <c r="E8" s="44" t="s">
        <v>133</v>
      </c>
      <c r="F8" s="42" t="s">
        <v>134</v>
      </c>
      <c r="G8" s="45" t="s">
        <v>130</v>
      </c>
      <c r="H8" s="45" t="s">
        <v>15</v>
      </c>
      <c r="I8" s="46">
        <v>0</v>
      </c>
      <c r="J8" s="47" t="str">
        <f t="shared" si="0"/>
        <v>EUR6X1S_Quote</v>
      </c>
      <c r="K8" s="48" t="str">
        <f>_xll.qlSwapRateHelper2(,$J8,C8,Calendar,$F8,$G8,$H8,$K$1,$I8,B8,Discounting,Permanent,Trigger,ObjectOverwrite)</f>
        <v>obj_00579#0001</v>
      </c>
      <c r="L8" s="49" t="str">
        <f>_xll.ohRangeRetrieveError(K8)</f>
        <v/>
      </c>
      <c r="M8" s="334"/>
      <c r="N8" s="334"/>
      <c r="O8" s="374" t="str">
        <f>_xll.qlRateHelperQuoteName(K8,Trigger)</f>
        <v>EUR6X1S_Quote</v>
      </c>
      <c r="P8" s="364">
        <f>_xll.qlQuoteValue(J8,AllTriggers)</f>
        <v>-5.6999999999999998E-4</v>
      </c>
      <c r="Q8" s="375">
        <f>IF(ISBLANK(I8),"--",_xll.qlSwapRateHelperSpread(K8,AllTriggers))</f>
        <v>0</v>
      </c>
      <c r="R8" s="374" t="b">
        <v>0</v>
      </c>
      <c r="S8" s="366">
        <f>_xll.qlRateHelperEarliestDate(K8,Trigger)</f>
        <v>42110</v>
      </c>
      <c r="T8" s="366">
        <f>_xll.qlRateHelperLatestDate(K8,Trigger)</f>
        <v>42293</v>
      </c>
    </row>
    <row r="9" spans="1:20" ht="11.25" customHeight="1" x14ac:dyDescent="0.2">
      <c r="B9" s="52" t="s">
        <v>132</v>
      </c>
      <c r="C9" s="53" t="s">
        <v>50</v>
      </c>
      <c r="D9" s="54">
        <v>7</v>
      </c>
      <c r="E9" s="54" t="s">
        <v>133</v>
      </c>
      <c r="F9" s="52" t="s">
        <v>134</v>
      </c>
      <c r="G9" s="55" t="s">
        <v>130</v>
      </c>
      <c r="H9" s="55" t="s">
        <v>15</v>
      </c>
      <c r="I9" s="56">
        <v>0</v>
      </c>
      <c r="J9" s="67" t="str">
        <f t="shared" si="0"/>
        <v>EUR7X1S_Quote</v>
      </c>
      <c r="K9" s="68" t="str">
        <f>_xll.qlSwapRateHelper2(,$J9,C9,Calendar,$F9,$G9,$H9,$K$1,$I9,B9,Discounting,Permanent,Trigger,ObjectOverwrite)</f>
        <v>obj_00575#0001</v>
      </c>
      <c r="L9" s="57" t="str">
        <f>_xll.ohRangeRetrieveError(K9)</f>
        <v/>
      </c>
      <c r="O9" s="376" t="str">
        <f>_xll.qlRateHelperQuoteName(K9,Trigger)</f>
        <v>EUR7X1S_Quote</v>
      </c>
      <c r="P9" s="369">
        <f>_xll.qlQuoteValue(J9,AllTriggers)</f>
        <v>-6.0999999999999997E-4</v>
      </c>
      <c r="Q9" s="377">
        <f>IF(ISBLANK(I9),"--",_xll.qlSwapRateHelperSpread(K9,AllTriggers))</f>
        <v>0</v>
      </c>
      <c r="R9" s="376" t="b">
        <v>0</v>
      </c>
      <c r="S9" s="371">
        <f>_xll.qlRateHelperEarliestDate(K9,Trigger)</f>
        <v>42110</v>
      </c>
      <c r="T9" s="371">
        <f>_xll.qlRateHelperLatestDate(K9,Trigger)</f>
        <v>42324</v>
      </c>
    </row>
    <row r="10" spans="1:20" x14ac:dyDescent="0.2">
      <c r="D10" s="319"/>
      <c r="E10" s="319"/>
      <c r="K10" s="319"/>
      <c r="L10" s="334"/>
    </row>
    <row r="11" spans="1:20" x14ac:dyDescent="0.2">
      <c r="I11" s="337"/>
      <c r="J11" s="337"/>
      <c r="O11" s="324" t="str">
        <f>J1&amp;" "&amp;PROPER(Currency)&amp;IborType&amp;" Curve"</f>
        <v>1M Euribor Curve</v>
      </c>
      <c r="P11" s="325"/>
      <c r="Q11" s="325"/>
      <c r="R11" s="325"/>
      <c r="S11" s="325"/>
      <c r="T11" s="326" t="s">
        <v>158</v>
      </c>
    </row>
    <row r="12" spans="1:20" ht="11.25" customHeight="1" x14ac:dyDescent="0.2">
      <c r="L12" s="323" t="s">
        <v>131</v>
      </c>
      <c r="O12" s="323" t="s">
        <v>88</v>
      </c>
      <c r="P12" s="323" t="s">
        <v>89</v>
      </c>
      <c r="Q12" s="323" t="s">
        <v>128</v>
      </c>
      <c r="R12" s="323" t="s">
        <v>81</v>
      </c>
      <c r="S12" s="323" t="s">
        <v>82</v>
      </c>
      <c r="T12" s="373">
        <f t="array" ref="T12:T21">_xll.qlPiecewiseYieldCurveData('General Settings'!I34,InterestRatesTrigger)</f>
        <v>1</v>
      </c>
    </row>
    <row r="13" spans="1:20" x14ac:dyDescent="0.2">
      <c r="I13" s="337"/>
      <c r="J13" s="337"/>
      <c r="L13" s="63" t="str">
        <f t="array" ref="L13:L21">_xll.ohFilter(K3:K9,R3:R9)</f>
        <v>obj_005ce#0001</v>
      </c>
      <c r="O13" s="363" t="str">
        <f t="array" ref="O13:O21">_xll.ohFilter(O3:O8,R3:R8)</f>
        <v>Euribor1MLastFixing_Quote</v>
      </c>
      <c r="P13" s="364">
        <f t="array" ref="P13:P21">_xll.ohFilter(P3:P8,R3:R8)</f>
        <v>-2.5000000000000001E-4</v>
      </c>
      <c r="Q13" s="365" t="str">
        <f t="array" ref="Q13:Q21">_xll.ohFilter(Q3:Q8,R3:R8)</f>
        <v>--</v>
      </c>
      <c r="R13" s="366">
        <f t="array" ref="R13:R21">_xll.ohFilter(S3:S8,R3:R8)</f>
        <v>42110</v>
      </c>
      <c r="S13" s="366">
        <f t="array" ref="S13:S21">_xll.ohFilter(T3:T8,R3:R8)</f>
        <v>42142</v>
      </c>
      <c r="T13" s="367">
        <v>1.0000222227160602</v>
      </c>
    </row>
    <row r="14" spans="1:20" x14ac:dyDescent="0.2">
      <c r="L14" s="64" t="str">
        <v>obj_00576#0001</v>
      </c>
      <c r="O14" s="363" t="str">
        <v>EUR2X1S_Quote</v>
      </c>
      <c r="P14" s="364">
        <v>-3.0999999999999995E-4</v>
      </c>
      <c r="Q14" s="365">
        <v>0</v>
      </c>
      <c r="R14" s="366">
        <v>42110</v>
      </c>
      <c r="S14" s="366">
        <v>42171</v>
      </c>
      <c r="T14" s="367">
        <v>1.0000525317120161</v>
      </c>
    </row>
    <row r="15" spans="1:20" x14ac:dyDescent="0.2">
      <c r="I15" s="337"/>
      <c r="J15" s="337"/>
      <c r="L15" s="64" t="str">
        <v>obj_00574#0001</v>
      </c>
      <c r="O15" s="363" t="str">
        <v>EUR3X1S_Quote</v>
      </c>
      <c r="P15" s="364">
        <v>-4.2000000000000002E-4</v>
      </c>
      <c r="Q15" s="365">
        <v>0</v>
      </c>
      <c r="R15" s="366">
        <v>42110</v>
      </c>
      <c r="S15" s="366">
        <v>42201</v>
      </c>
      <c r="T15" s="367">
        <v>1.000106182254183</v>
      </c>
    </row>
    <row r="16" spans="1:20" x14ac:dyDescent="0.2">
      <c r="L16" s="64" t="str">
        <v>obj_00573#0001</v>
      </c>
      <c r="O16" s="363" t="str">
        <v>EUR4X1S_Quote</v>
      </c>
      <c r="P16" s="364">
        <v>-4.8999999999999998E-4</v>
      </c>
      <c r="Q16" s="365">
        <v>0</v>
      </c>
      <c r="R16" s="366">
        <v>42110</v>
      </c>
      <c r="S16" s="366">
        <v>42233</v>
      </c>
      <c r="T16" s="367">
        <v>1.00016745621282</v>
      </c>
    </row>
    <row r="17" spans="9:23" x14ac:dyDescent="0.2">
      <c r="I17" s="337"/>
      <c r="J17" s="337"/>
      <c r="L17" s="64" t="str">
        <v>obj_00572#0001</v>
      </c>
      <c r="O17" s="363" t="str">
        <v>EUR5X1S_Quote</v>
      </c>
      <c r="P17" s="364">
        <v>-5.4000000000000001E-4</v>
      </c>
      <c r="Q17" s="365">
        <v>0</v>
      </c>
      <c r="R17" s="366">
        <v>42110</v>
      </c>
      <c r="S17" s="366">
        <v>42263</v>
      </c>
      <c r="T17" s="367">
        <v>1.0002295743089742</v>
      </c>
    </row>
    <row r="18" spans="9:23" x14ac:dyDescent="0.2">
      <c r="L18" s="64" t="e">
        <v>#N/A</v>
      </c>
      <c r="O18" s="363" t="e">
        <v>#N/A</v>
      </c>
      <c r="P18" s="364" t="e">
        <v>#N/A</v>
      </c>
      <c r="Q18" s="365" t="e">
        <v>#N/A</v>
      </c>
      <c r="R18" s="366" t="e">
        <v>#N/A</v>
      </c>
      <c r="S18" s="366" t="e">
        <v>#N/A</v>
      </c>
      <c r="T18" s="367" t="e">
        <v>#N/A</v>
      </c>
    </row>
    <row r="19" spans="9:23" x14ac:dyDescent="0.2">
      <c r="I19" s="337"/>
      <c r="J19" s="337"/>
      <c r="L19" s="64" t="e">
        <v>#N/A</v>
      </c>
      <c r="O19" s="363" t="e">
        <v>#N/A</v>
      </c>
      <c r="P19" s="364" t="e">
        <v>#N/A</v>
      </c>
      <c r="Q19" s="365" t="e">
        <v>#N/A</v>
      </c>
      <c r="R19" s="366" t="e">
        <v>#N/A</v>
      </c>
      <c r="S19" s="366" t="e">
        <v>#N/A</v>
      </c>
      <c r="T19" s="367" t="e">
        <v>#N/A</v>
      </c>
    </row>
    <row r="20" spans="9:23" x14ac:dyDescent="0.2">
      <c r="L20" s="64" t="e">
        <v>#N/A</v>
      </c>
      <c r="O20" s="363" t="e">
        <v>#N/A</v>
      </c>
      <c r="P20" s="364" t="e">
        <v>#N/A</v>
      </c>
      <c r="Q20" s="365" t="e">
        <v>#N/A</v>
      </c>
      <c r="R20" s="366" t="e">
        <v>#N/A</v>
      </c>
      <c r="S20" s="366" t="e">
        <v>#N/A</v>
      </c>
      <c r="T20" s="367" t="e">
        <v>#N/A</v>
      </c>
    </row>
    <row r="21" spans="9:23" x14ac:dyDescent="0.2">
      <c r="I21" s="337"/>
      <c r="J21" s="337"/>
      <c r="L21" s="65" t="e">
        <v>#N/A</v>
      </c>
      <c r="O21" s="368" t="e">
        <v>#N/A</v>
      </c>
      <c r="P21" s="369" t="e">
        <v>#N/A</v>
      </c>
      <c r="Q21" s="370" t="e">
        <v>#N/A</v>
      </c>
      <c r="R21" s="371" t="e">
        <v>#N/A</v>
      </c>
      <c r="S21" s="371" t="e">
        <v>#N/A</v>
      </c>
      <c r="T21" s="372" t="e">
        <v>#N/A</v>
      </c>
    </row>
    <row r="22" spans="9:23" x14ac:dyDescent="0.2">
      <c r="L22" s="339"/>
    </row>
    <row r="23" spans="9:23" x14ac:dyDescent="0.2">
      <c r="I23" s="337"/>
      <c r="J23" s="337"/>
    </row>
    <row r="24" spans="9:23" x14ac:dyDescent="0.2">
      <c r="O24" s="327" t="str">
        <f>"Delta "&amp;J1</f>
        <v>Delta 1M</v>
      </c>
      <c r="P24" s="328"/>
      <c r="Q24" s="329"/>
      <c r="R24" s="329"/>
      <c r="S24" s="330"/>
      <c r="T24" s="330"/>
      <c r="U24" s="330"/>
      <c r="V24" s="330"/>
      <c r="W24" s="331"/>
    </row>
    <row r="25" spans="9:23" x14ac:dyDescent="0.2">
      <c r="I25" s="337"/>
      <c r="J25" s="337"/>
      <c r="O25" s="156" t="str">
        <f>J1&amp;" Instruments"</f>
        <v>1M Instruments</v>
      </c>
      <c r="P25" s="156" t="s">
        <v>117</v>
      </c>
      <c r="Q25" s="156" t="s">
        <v>118</v>
      </c>
      <c r="R25" s="156" t="s">
        <v>143</v>
      </c>
      <c r="S25" s="156" t="str">
        <f>"F "&amp;J1</f>
        <v>F 1M</v>
      </c>
      <c r="T25" s="156" t="s">
        <v>146</v>
      </c>
      <c r="U25" s="156" t="s">
        <v>144</v>
      </c>
      <c r="V25" s="156" t="s">
        <v>145</v>
      </c>
      <c r="W25" s="156" t="s">
        <v>147</v>
      </c>
    </row>
    <row r="26" spans="9:23" x14ac:dyDescent="0.2">
      <c r="M26" s="319">
        <v>0</v>
      </c>
      <c r="N26" s="319">
        <f>M26+SUBSTITUTE($J$1,"M","")</f>
        <v>1</v>
      </c>
      <c r="O26" s="378" t="str">
        <f>M26&amp;"x"&amp;N26</f>
        <v>0x1</v>
      </c>
      <c r="P26" s="379">
        <f>SettlementDate</f>
        <v>42110</v>
      </c>
      <c r="Q26" s="379">
        <f>_xll.qlInterestRateIndexMaturity(iborindex1M,P26,Trigger)</f>
        <v>42142</v>
      </c>
      <c r="R26" s="169">
        <f>_xll.qlDayCounterYearFraction(DayCounter,P26,Q26,,,Trigger)</f>
        <v>8.8888888888888892E-2</v>
      </c>
      <c r="S26" s="181">
        <f>_xll.qlIndexFixing(iborindex1M,_xll.qlInterestRateIndexFixingDate(iborindex1M,P26,Trigger),TRUE,AllTriggers)</f>
        <v>-2.499999999991398E-4</v>
      </c>
      <c r="T26" s="181">
        <f>(U26/V26-1)/R26</f>
        <v>-8.6999999964323949E-4</v>
      </c>
      <c r="U26" s="184">
        <f>_xll.qlYieldTSDiscount(Discounting,P26,,AllTriggers)</f>
        <v>1</v>
      </c>
      <c r="V26" s="184">
        <f>_xll.qlYieldTSDiscount(Discounting,Q26,,AllTriggers)</f>
        <v>1.0000773393142086</v>
      </c>
      <c r="W26" s="380">
        <f>LN((1+S26*R26)/(1+T26*R26))</f>
        <v>5.5113854538640864E-5</v>
      </c>
    </row>
    <row r="27" spans="9:23" x14ac:dyDescent="0.2">
      <c r="I27" s="337"/>
      <c r="J27" s="337"/>
      <c r="M27" s="319">
        <v>1</v>
      </c>
      <c r="N27" s="319">
        <f t="shared" ref="N27:N29" si="1">M27+SUBSTITUTE($J$1,"M","")</f>
        <v>2</v>
      </c>
      <c r="O27" s="378" t="str">
        <f t="shared" ref="O27:O29" si="2">M27&amp;"x"&amp;N27</f>
        <v>1x2</v>
      </c>
      <c r="P27" s="379">
        <f>Q26</f>
        <v>42142</v>
      </c>
      <c r="Q27" s="379">
        <f>_xll.qlInterestRateIndexMaturity(iborindex1M,P27,Trigger)</f>
        <v>42173</v>
      </c>
      <c r="R27" s="169">
        <f>_xll.qlDayCounterYearFraction(DayCounter,P27,Q27,,,Trigger)</f>
        <v>8.611111111111111E-2</v>
      </c>
      <c r="S27" s="181">
        <f>_xll.qlIndexFixing(iborindex1M,_xll.qlInterestRateIndexFixingDate(iborindex1M,P27,Trigger),TRUE,AllTriggers)</f>
        <v>-3.9348822271491021E-4</v>
      </c>
      <c r="T27" s="181">
        <f>(U27/V27-1)/R27</f>
        <v>-1.0463865104934625E-3</v>
      </c>
      <c r="U27" s="184">
        <f>_xll.qlYieldTSDiscount(Discounting,P27,,AllTriggers)</f>
        <v>1.0000773393142086</v>
      </c>
      <c r="V27" s="184">
        <f>_xll.qlYieldTSDiscount(Discounting,Q27,,AllTriggers)</f>
        <v>1.0001674599083386</v>
      </c>
      <c r="W27" s="380">
        <f>LN((1+S27*R27)/(1+T27*R27))</f>
        <v>5.6225282682217509E-5</v>
      </c>
    </row>
    <row r="28" spans="9:23" x14ac:dyDescent="0.2">
      <c r="M28" s="319">
        <v>2</v>
      </c>
      <c r="N28" s="319">
        <f t="shared" si="1"/>
        <v>3</v>
      </c>
      <c r="O28" s="378" t="str">
        <f t="shared" si="2"/>
        <v>2x3</v>
      </c>
      <c r="P28" s="379">
        <f>Q27</f>
        <v>42173</v>
      </c>
      <c r="Q28" s="379">
        <f>_xll.qlInterestRateIndexMaturity(iborindex1M,P28,Trigger)</f>
        <v>42205</v>
      </c>
      <c r="R28" s="169">
        <f>_xll.qlDayCounterYearFraction(DayCounter,P28,Q28,,,Trigger)</f>
        <v>8.8888888888888892E-2</v>
      </c>
      <c r="S28" s="181">
        <f>_xll.qlIndexFixing(iborindex1M,_xll.qlInterestRateIndexFixingDate(iborindex1M,P28,Trigger),TRUE,AllTriggers)</f>
        <v>-6.4942196383283024E-4</v>
      </c>
      <c r="T28" s="181">
        <f>(U28/V28-1)/R28</f>
        <v>-1.3780831770651703E-3</v>
      </c>
      <c r="U28" s="184">
        <f>_xll.qlYieldTSDiscount(Discounting,P28,,AllTriggers)</f>
        <v>1.0001674599083386</v>
      </c>
      <c r="V28" s="184">
        <f>_xll.qlYieldTSDiscount(Discounting,Q28,,AllTriggers)</f>
        <v>1.0002899917136512</v>
      </c>
      <c r="W28" s="380">
        <f>LN((1+S28*R28)/(1+T28*R28))</f>
        <v>6.4775722670408178E-5</v>
      </c>
    </row>
    <row r="29" spans="9:23" x14ac:dyDescent="0.2">
      <c r="I29" s="337"/>
      <c r="J29" s="337"/>
      <c r="M29" s="319">
        <v>3</v>
      </c>
      <c r="N29" s="319">
        <f t="shared" si="1"/>
        <v>4</v>
      </c>
      <c r="O29" s="381" t="str">
        <f t="shared" si="2"/>
        <v>3x4</v>
      </c>
      <c r="P29" s="382">
        <f>Q28</f>
        <v>42205</v>
      </c>
      <c r="Q29" s="382">
        <f>_xll.qlInterestRateIndexMaturity(iborindex1M,P29,Trigger)</f>
        <v>42236</v>
      </c>
      <c r="R29" s="174">
        <f>_xll.qlDayCounterYearFraction(DayCounter,P29,Q29,,,Trigger)</f>
        <v>8.611111111111111E-2</v>
      </c>
      <c r="S29" s="190">
        <f>_xll.qlIndexFixing(iborindex1M,_xll.qlInterestRateIndexFixingDate(iborindex1M,P29,Trigger),TRUE,AllTriggers)</f>
        <v>-6.9463935834369569E-4</v>
      </c>
      <c r="T29" s="190">
        <f>(U29/V29-1)/R29</f>
        <v>-1.4538132542012631E-3</v>
      </c>
      <c r="U29" s="188">
        <f>_xll.qlYieldTSDiscount(Discounting,P29,,AllTriggers)</f>
        <v>1.0002899917136512</v>
      </c>
      <c r="V29" s="188">
        <f>_xll.qlYieldTSDiscount(Discounting,Q29,,AllTriggers)</f>
        <v>1.0004152331711411</v>
      </c>
      <c r="W29" s="383">
        <f>LN((1+S29*R29)/(1+T29*R29))</f>
        <v>6.5379355496934921E-5</v>
      </c>
    </row>
    <row r="31" spans="9:23" x14ac:dyDescent="0.2">
      <c r="I31" s="337"/>
      <c r="J31" s="337"/>
    </row>
    <row r="33" spans="9:10" x14ac:dyDescent="0.2">
      <c r="I33" s="337"/>
      <c r="J33" s="337"/>
    </row>
    <row r="35" spans="9:10" x14ac:dyDescent="0.2">
      <c r="I35" s="337"/>
      <c r="J35" s="337"/>
    </row>
    <row r="37" spans="9:10" x14ac:dyDescent="0.2">
      <c r="I37" s="337"/>
      <c r="J37" s="337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topLeftCell="A20" workbookViewId="0">
      <selection activeCell="M6" sqref="M6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bestFit="1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customWidth="1"/>
    <col min="15" max="15" width="7" style="129" bestFit="1" customWidth="1"/>
    <col min="16" max="16" width="9.33203125" style="129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25" width="9.83203125" style="129" customWidth="1"/>
    <col min="26" max="26" width="17.83203125" style="129" bestFit="1" customWidth="1"/>
    <col min="27" max="28" width="15.33203125" style="129" bestFit="1" customWidth="1"/>
    <col min="29" max="29" width="9.33203125" style="129"/>
    <col min="30" max="30" width="14.1640625" style="129" bestFit="1" customWidth="1"/>
    <col min="31" max="31" width="15.33203125" style="129" bestFit="1" customWidth="1"/>
    <col min="32" max="16384" width="9.33203125" style="129"/>
  </cols>
  <sheetData>
    <row r="1" spans="1:31" hidden="1" outlineLevel="1" x14ac:dyDescent="0.2">
      <c r="E1" s="346" t="s">
        <v>116</v>
      </c>
      <c r="F1" s="362" t="s">
        <v>41</v>
      </c>
      <c r="N1" s="344" t="str">
        <f>_xll.qlInterpolation(,interpolator3M,_xll.ohFilter(E3:E15,M3:M15),_xll.ohFilter(L3:L15,M3:M15))</f>
        <v>obj_00605#0091</v>
      </c>
    </row>
    <row r="2" spans="1:31" ht="26.25" customHeight="1" collapsed="1" x14ac:dyDescent="0.2">
      <c r="D2" s="156" t="str">
        <f>F1&amp;" Instruments"</f>
        <v>3M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3M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161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  <c r="Y2" s="156" t="s">
        <v>160</v>
      </c>
    </row>
    <row r="3" spans="1:31" ht="11.25" customHeight="1" x14ac:dyDescent="0.2">
      <c r="D3" s="356" t="str">
        <f>PROPER(Currency&amp;IborType)&amp;F1&amp;"LastFixing"&amp;QuoteSuffix</f>
        <v>Euribor3MLastFixing_Quote</v>
      </c>
      <c r="E3" s="357">
        <f>_xll.qlCalendarAdvance(Calendar,_xll.qlLastFixingQuoteReferenceDate(D3),_xll.qlInterestRateIndexFixingDays(PROPER(Currency)&amp;IborType&amp;$F$1)&amp;"D","f",,LastFixingsTrigger)</f>
        <v>42110</v>
      </c>
      <c r="F3" s="357">
        <f>_xll.qlCalendarAdvance(Calendar,E3,F1,"mf",,Trigger)</f>
        <v>42201</v>
      </c>
      <c r="G3" s="164">
        <f>_xll.qlDayCounterYearFraction(DayCounter,E3,F3,,,Trigger)</f>
        <v>0.25277777777777777</v>
      </c>
      <c r="H3" s="358">
        <f>_xll.qlQuoteValue(D3,LastFixingsTrigger)</f>
        <v>8.0000000000000007E-5</v>
      </c>
      <c r="I3" s="359">
        <f>_xll.qlYieldTSDiscount(Discounting,E3,,AllTriggers)</f>
        <v>1</v>
      </c>
      <c r="J3" s="359">
        <f>_xll.qlYieldTSDiscount(Discounting,F3,,AllTriggers)</f>
        <v>1.0002739540974652</v>
      </c>
      <c r="K3" s="358">
        <f t="shared" ref="K3:K8" si="0">(I3/J3-1)/G3</f>
        <v>-1.0834776283750328E-3</v>
      </c>
      <c r="L3" s="358">
        <f>H3-K3</f>
        <v>1.1634776283750328E-3</v>
      </c>
      <c r="M3" s="345" t="b">
        <v>0</v>
      </c>
      <c r="N3" s="351">
        <f>_xll.qlInterpolationInterpolate(B3Minterpolation,E3,TRUE,Trigger)</f>
        <v>1.181712812355811E-3</v>
      </c>
      <c r="O3" s="352">
        <f>(L3-N3)*10000</f>
        <v>-0.18235183980778222</v>
      </c>
      <c r="P3" s="353">
        <f>LN((1+H3*G3)/(1+K3*G3))</f>
        <v>2.9413859664955788E-4</v>
      </c>
      <c r="R3" s="178">
        <f>E3</f>
        <v>42110</v>
      </c>
      <c r="S3" s="178">
        <f>_xll.qlCalendarAdvance(Calendar,R3,$F$1,"mf",,Trigger)</f>
        <v>42201</v>
      </c>
      <c r="T3" s="179">
        <f>_xll.qlDayCounterYearFraction(DayCounter,R3,S3,,,Trigger)</f>
        <v>0.25277777777777777</v>
      </c>
      <c r="U3" s="194">
        <f>_xll.qlInterpolationInterpolate(B3Minterpolation,R3,TRUE)</f>
        <v>1.181712812355811E-3</v>
      </c>
      <c r="V3" s="180">
        <f>_xll.qlYieldTSDiscount(Discounting,R3,,AllTriggers)</f>
        <v>1</v>
      </c>
      <c r="W3" s="180">
        <f>_xll.qlYieldTSDiscount(Discounting,S3,,AllTriggers)</f>
        <v>1.0002739540974652</v>
      </c>
      <c r="X3" s="194">
        <f>(V3/W3-1)/T3</f>
        <v>-1.0834776283750328E-3</v>
      </c>
      <c r="Y3" s="347">
        <f>LN((1+(U3+X3)*T3)/(1+X3*T3))</f>
        <v>2.9874794209904892E-4</v>
      </c>
      <c r="AD3" s="155"/>
      <c r="AE3" s="155"/>
    </row>
    <row r="4" spans="1:31" ht="11.25" customHeight="1" x14ac:dyDescent="0.2">
      <c r="A4" s="129">
        <v>1</v>
      </c>
      <c r="B4" s="129" t="s">
        <v>37</v>
      </c>
      <c r="C4" s="129">
        <f>A4+SUBSTITUTE($F$1,"M","")</f>
        <v>4</v>
      </c>
      <c r="D4" s="360" t="str">
        <f>Currency&amp;A4&amp;B4&amp;C4&amp;"F"&amp;QuoteSuffix</f>
        <v>EUR1x4F_Quote</v>
      </c>
      <c r="E4" s="183">
        <f>_xll.qlCalendarAdvance("target",$E$3,A4&amp;"M","mf",,Trigger)</f>
        <v>42142</v>
      </c>
      <c r="F4" s="183">
        <f>_xll.qlCalendarAdvance(Calendar,E4,$F$1,"mf",,Trigger)</f>
        <v>42234</v>
      </c>
      <c r="G4" s="169">
        <f>_xll.qlDayCounterYearFraction(DayCounter,E4,F4,,,Trigger)</f>
        <v>0.25555555555555554</v>
      </c>
      <c r="H4" s="181">
        <f>_xll.qlQuoteValue(D4,AllTriggers)</f>
        <v>-2.0000000000000019E-5</v>
      </c>
      <c r="I4" s="184">
        <f>_xll.qlYieldTSDiscount(Discounting,E4,,AllTriggers)</f>
        <v>1.0000773393142086</v>
      </c>
      <c r="J4" s="184">
        <f>_xll.qlYieldTSDiscount(Discounting,F4,,AllTriggers)</f>
        <v>1.0004071096466791</v>
      </c>
      <c r="K4" s="181">
        <f t="shared" si="0"/>
        <v>-1.2898805259923794E-3</v>
      </c>
      <c r="L4" s="181">
        <f t="shared" ref="L4:L15" si="1">H4-K4</f>
        <v>1.2698805259923794E-3</v>
      </c>
      <c r="M4" s="99" t="b">
        <v>0</v>
      </c>
      <c r="N4" s="181">
        <f>_xll.qlInterpolationInterpolate(B3Minterpolation,E4,TRUE,Trigger)</f>
        <v>1.267035624655101E-3</v>
      </c>
      <c r="O4" s="354">
        <f t="shared" ref="O4:O15" si="2">(L4-N4)*10000</f>
        <v>2.8449013372783619E-2</v>
      </c>
      <c r="P4" s="348">
        <f t="shared" ref="P4:P15" si="3">LN((1+H4*G4)/(1+K4*G4))</f>
        <v>3.2457935218020494E-4</v>
      </c>
      <c r="R4" s="183">
        <f>_xll.qlCalendarAdvance(Calendar,R3,"1D","f")</f>
        <v>42111</v>
      </c>
      <c r="S4" s="183">
        <f>_xll.qlCalendarAdvance(Calendar,R4,$F$1,"mf",,Trigger)</f>
        <v>42202</v>
      </c>
      <c r="T4" s="169">
        <f>_xll.qlDayCounterYearFraction(DayCounter,R4,S4,,,Trigger)</f>
        <v>0.25277777777777777</v>
      </c>
      <c r="U4" s="181">
        <f>_xll.qlInterpolationInterpolate(B3Minterpolation,R4,TRUE)</f>
        <v>1.1831790435626432E-3</v>
      </c>
      <c r="V4" s="184">
        <f>_xll.qlYieldTSDiscount(Discounting,R4,,AllTriggers)</f>
        <v>1.000002261326409</v>
      </c>
      <c r="W4" s="184">
        <f>_xll.qlYieldTSDiscount(Discounting,S4,,AllTriggers)</f>
        <v>1.0002779562469375</v>
      </c>
      <c r="X4" s="181">
        <f t="shared" ref="X4:X67" si="4">(V4/W4-1)/T4</f>
        <v>-1.0903581522087951E-3</v>
      </c>
      <c r="Y4" s="348">
        <f t="shared" ref="Y4:Y67" si="5">LN((1+(U4+X4)*T4)/(1+X4*T4))</f>
        <v>2.9911908379882848E-4</v>
      </c>
      <c r="AD4" s="155"/>
      <c r="AE4" s="155"/>
    </row>
    <row r="5" spans="1:31" ht="11.25" customHeight="1" x14ac:dyDescent="0.2">
      <c r="A5" s="129">
        <v>2</v>
      </c>
      <c r="B5" s="129" t="s">
        <v>37</v>
      </c>
      <c r="C5" s="129">
        <f t="shared" ref="C5:C6" si="6">A5+SUBSTITUTE($F$1,"M","")</f>
        <v>5</v>
      </c>
      <c r="D5" s="360" t="str">
        <f>Currency&amp;A5&amp;B5&amp;C5&amp;"F"&amp;QuoteSuffix</f>
        <v>EUR2x5F_Quote</v>
      </c>
      <c r="E5" s="183">
        <f>_xll.qlCalendarAdvance("target",$E$3,A5&amp;"M","mf",,Trigger)</f>
        <v>42171</v>
      </c>
      <c r="F5" s="183">
        <f>_xll.qlCalendarAdvance(Calendar,E5,$F$1,"mf",,Trigger)</f>
        <v>42263</v>
      </c>
      <c r="G5" s="169">
        <f>_xll.qlDayCounterYearFraction(DayCounter,E5,F5,,,Trigger)</f>
        <v>0.25555555555555554</v>
      </c>
      <c r="H5" s="181">
        <f>_xll.qlQuoteValue(D5,AllTriggers)</f>
        <v>-4.9999999999999996E-5</v>
      </c>
      <c r="I5" s="184">
        <f>_xll.qlYieldTSDiscount(Discounting,E5,,AllTriggers)</f>
        <v>1.0001605222997145</v>
      </c>
      <c r="J5" s="184">
        <f>_xll.qlYieldTSDiscount(Discounting,F5,,AllTriggers)</f>
        <v>1.0005255957935155</v>
      </c>
      <c r="K5" s="181">
        <f t="shared" si="0"/>
        <v>-1.4277980093761443E-3</v>
      </c>
      <c r="L5" s="181">
        <f t="shared" si="1"/>
        <v>1.3777980093761443E-3</v>
      </c>
      <c r="M5" s="99" t="b">
        <v>0</v>
      </c>
      <c r="N5" s="181">
        <f>_xll.qlInterpolationInterpolate(B3Minterpolation,E5,TRUE,Trigger)</f>
        <v>1.3532920546303672E-3</v>
      </c>
      <c r="O5" s="354">
        <f t="shared" si="2"/>
        <v>0.24505954745777198</v>
      </c>
      <c r="P5" s="348">
        <f t="shared" si="3"/>
        <v>3.5217043962318151E-4</v>
      </c>
      <c r="R5" s="183">
        <f>_xll.qlCalendarAdvance(Calendar,R4,"1D","f")</f>
        <v>42114</v>
      </c>
      <c r="S5" s="183">
        <f>_xll.qlCalendarAdvance(Calendar,R5,$F$1,"mf",,Trigger)</f>
        <v>42205</v>
      </c>
      <c r="T5" s="169">
        <f>_xll.qlDayCounterYearFraction(DayCounter,R5,S5,,,Trigger)</f>
        <v>0.25277777777777777</v>
      </c>
      <c r="U5" s="181">
        <f>_xll.qlInterpolationInterpolate(B3Minterpolation,R5,TRUE)</f>
        <v>1.1882308106626323E-3</v>
      </c>
      <c r="V5" s="184">
        <f>_xll.qlYieldTSDiscount(Discounting,R5,,AllTriggers)</f>
        <v>1.0000091353728071</v>
      </c>
      <c r="W5" s="184">
        <f>_xll.qlYieldTSDiscount(Discounting,S5,,AllTriggers)</f>
        <v>1.0002899917136512</v>
      </c>
      <c r="X5" s="181">
        <f t="shared" si="4"/>
        <v>-1.1107579191205442E-3</v>
      </c>
      <c r="Y5" s="348">
        <f t="shared" si="5"/>
        <v>3.0039757671074865E-4</v>
      </c>
      <c r="AD5" s="155"/>
      <c r="AE5" s="155"/>
    </row>
    <row r="6" spans="1:31" ht="11.25" customHeight="1" x14ac:dyDescent="0.2">
      <c r="A6" s="129">
        <v>3</v>
      </c>
      <c r="B6" s="129" t="s">
        <v>37</v>
      </c>
      <c r="C6" s="129">
        <f t="shared" si="6"/>
        <v>6</v>
      </c>
      <c r="D6" s="361" t="str">
        <f>Currency&amp;A6&amp;B6&amp;C6&amp;"F"&amp;QuoteSuffix</f>
        <v>EUR3x6F_Quote</v>
      </c>
      <c r="E6" s="187">
        <f>_xll.qlCalendarAdvance("target",$E$3,A6&amp;"M","mf",,Trigger)</f>
        <v>42201</v>
      </c>
      <c r="F6" s="187">
        <f>_xll.qlCalendarAdvance(Calendar,E6,$F$1,"mf",,Trigger)</f>
        <v>42293</v>
      </c>
      <c r="G6" s="174">
        <f>_xll.qlDayCounterYearFraction(DayCounter,E6,F6,,,Trigger)</f>
        <v>0.25555555555555554</v>
      </c>
      <c r="H6" s="190">
        <f>_xll.qlQuoteValue(D6,AllTriggers)</f>
        <v>-7.0000000000000007E-5</v>
      </c>
      <c r="I6" s="188">
        <f>_xll.qlYieldTSDiscount(Discounting,E6,,AllTriggers)</f>
        <v>1.0002739540974652</v>
      </c>
      <c r="J6" s="188">
        <f>_xll.qlYieldTSDiscount(Discounting,F6,,AllTriggers)</f>
        <v>1.0006455992998595</v>
      </c>
      <c r="K6" s="190">
        <f t="shared" si="0"/>
        <v>-1.4533255694858191E-3</v>
      </c>
      <c r="L6" s="190">
        <f t="shared" si="1"/>
        <v>1.3833255694858191E-3</v>
      </c>
      <c r="M6" s="118" t="b">
        <v>1</v>
      </c>
      <c r="N6" s="190">
        <f>_xll.qlInterpolationInterpolate(B3Minterpolation,E6,TRUE,Trigger)</f>
        <v>1.3833255694858191E-3</v>
      </c>
      <c r="O6" s="355">
        <f t="shared" si="2"/>
        <v>0</v>
      </c>
      <c r="P6" s="350">
        <f t="shared" si="3"/>
        <v>3.5358536249257893E-4</v>
      </c>
      <c r="R6" s="183">
        <f>_xll.qlCalendarAdvance(Calendar,R5,"1D","f")</f>
        <v>42115</v>
      </c>
      <c r="S6" s="183">
        <f>_xll.qlCalendarAdvance(Calendar,R6,$F$1,"mf",,Trigger)</f>
        <v>42206</v>
      </c>
      <c r="T6" s="169">
        <f>_xll.qlDayCounterYearFraction(DayCounter,R6,S6,,,Trigger)</f>
        <v>0.25277777777777777</v>
      </c>
      <c r="U6" s="181">
        <f>_xll.qlInterpolationInterpolate(B3Minterpolation,R6,TRUE)</f>
        <v>1.1901212029953204E-3</v>
      </c>
      <c r="V6" s="184">
        <f>_xll.qlYieldTSDiscount(Discounting,R6,,AllTriggers)</f>
        <v>1.0000114867565753</v>
      </c>
      <c r="W6" s="184">
        <f>_xll.qlYieldTSDiscount(Discounting,S6,,AllTriggers)</f>
        <v>1.0002940104354987</v>
      </c>
      <c r="X6" s="181">
        <f t="shared" si="4"/>
        <v>-1.1173475805954928E-3</v>
      </c>
      <c r="Y6" s="348">
        <f t="shared" si="5"/>
        <v>3.0087591765229284E-4</v>
      </c>
      <c r="AD6" s="155"/>
      <c r="AE6" s="155"/>
    </row>
    <row r="7" spans="1:31" ht="11.25" customHeight="1" x14ac:dyDescent="0.2">
      <c r="C7" s="129" t="str">
        <f>_xll.qlIMMNextCode(SettlementDate,FALSE)</f>
        <v>K5</v>
      </c>
      <c r="D7" s="360" t="str">
        <f t="shared" ref="D7:D15" si="7">Currency&amp;"FUT"&amp;"3M"&amp;C7&amp;QuoteSuffix</f>
        <v>EURFUT3MK5_Quote</v>
      </c>
      <c r="E7" s="183">
        <f>_xll.qlIMMdate(C7,$E$3,Trigger)</f>
        <v>42144</v>
      </c>
      <c r="F7" s="183">
        <f>_xll.qlCalendarAdvance(Calendar,E7,$F$1,"mf",,Trigger)</f>
        <v>42236</v>
      </c>
      <c r="G7" s="169">
        <f>_xll.qlDayCounterYearFraction(DayCounter,E7,F7,,,Trigger)</f>
        <v>0.25555555555555554</v>
      </c>
      <c r="H7" s="181">
        <f>1-_xll.qlQuoteValue(D7,AllTriggers)/100-_xll.qlQuoteValue(Currency&amp;"FUT"&amp;"3M"&amp;C7&amp;"ConvAdj_Quote")</f>
        <v>-2.4999999999941735E-5</v>
      </c>
      <c r="I7" s="184">
        <f>_xll.qlYieldTSDiscount(Discounting,E7,,AllTriggers)</f>
        <v>1.0000831946792539</v>
      </c>
      <c r="J7" s="184">
        <f>_xll.qlYieldTSDiscount(Discounting,F7,,AllTriggers)</f>
        <v>1.0004152331711411</v>
      </c>
      <c r="K7" s="181">
        <f t="shared" si="0"/>
        <v>-1.2987417745455672E-3</v>
      </c>
      <c r="L7" s="181">
        <f t="shared" si="1"/>
        <v>1.2737417745456254E-3</v>
      </c>
      <c r="M7" s="99" t="b">
        <v>1</v>
      </c>
      <c r="N7" s="181">
        <f>_xll.qlInterpolationInterpolate(B3Minterpolation,E7,TRUE,Trigger)</f>
        <v>1.2737417745456254E-3</v>
      </c>
      <c r="O7" s="354">
        <f t="shared" si="2"/>
        <v>0</v>
      </c>
      <c r="P7" s="348">
        <f t="shared" si="3"/>
        <v>3.2556685763891595E-4</v>
      </c>
      <c r="R7" s="183">
        <f>_xll.qlCalendarAdvance(Calendar,R6,"1D","f")</f>
        <v>42116</v>
      </c>
      <c r="S7" s="183">
        <f>_xll.qlCalendarAdvance(Calendar,R7,$F$1,"mf",,Trigger)</f>
        <v>42207</v>
      </c>
      <c r="T7" s="169">
        <f>_xll.qlDayCounterYearFraction(DayCounter,R7,S7,,,Trigger)</f>
        <v>0.25277777777777777</v>
      </c>
      <c r="U7" s="181">
        <f>_xll.qlInterpolationInterpolate(B3Minterpolation,R7,TRUE)</f>
        <v>1.192109219714118E-3</v>
      </c>
      <c r="V7" s="184">
        <f>_xll.qlYieldTSDiscount(Discounting,R7,,AllTriggers)</f>
        <v>1.0000138831643322</v>
      </c>
      <c r="W7" s="184">
        <f>_xll.qlYieldTSDiscount(Discounting,S7,,AllTriggers)</f>
        <v>1.0002980312205392</v>
      </c>
      <c r="X7" s="181">
        <f t="shared" si="4"/>
        <v>-1.123767282644568E-3</v>
      </c>
      <c r="Y7" s="348">
        <f t="shared" si="5"/>
        <v>3.0137892385980603E-4</v>
      </c>
      <c r="AD7" s="155"/>
      <c r="AE7" s="155"/>
    </row>
    <row r="8" spans="1:31" ht="11.25" customHeight="1" x14ac:dyDescent="0.2">
      <c r="C8" s="129" t="str">
        <f>_xll.qlIMMNextCode($E$7,TRUE)</f>
        <v>M5</v>
      </c>
      <c r="D8" s="360" t="str">
        <f t="shared" si="7"/>
        <v>EURFUT3MM5_Quote</v>
      </c>
      <c r="E8" s="183">
        <f>_xll.qlIMMdate(C8,$E$3,Trigger)</f>
        <v>42172</v>
      </c>
      <c r="F8" s="183">
        <f>_xll.qlCalendarAdvance(Calendar,E8,$F$1,"mf",,Trigger)</f>
        <v>42264</v>
      </c>
      <c r="G8" s="169">
        <f>_xll.qlDayCounterYearFraction(DayCounter,E8,F8,,,Trigger)</f>
        <v>0.25555555555555554</v>
      </c>
      <c r="H8" s="181">
        <f>1-_xll.qlQuoteValue(D8,AllTriggers)/100-_xll.qlQuoteValue(Currency&amp;"FUT"&amp;"3M"&amp;C8&amp;"ConvAdj_Quote")</f>
        <v>-7.4999999999825206E-5</v>
      </c>
      <c r="I8" s="184">
        <f>_xll.qlYieldTSDiscount(Discounting,E8,,AllTriggers)</f>
        <v>1.0001639759323795</v>
      </c>
      <c r="J8" s="184">
        <f>_xll.qlYieldTSDiscount(Discounting,F8,,AllTriggers)</f>
        <v>1.0005297096689045</v>
      </c>
      <c r="K8" s="181">
        <f t="shared" si="0"/>
        <v>-1.4303743293769581E-3</v>
      </c>
      <c r="L8" s="181">
        <f t="shared" si="1"/>
        <v>1.3553743293771329E-3</v>
      </c>
      <c r="M8" s="99" t="b">
        <v>1</v>
      </c>
      <c r="N8" s="181">
        <f>_xll.qlInterpolationInterpolate(B3Minterpolation,E8,TRUE,Trigger)</f>
        <v>1.3553743293771329E-3</v>
      </c>
      <c r="O8" s="354">
        <f t="shared" si="2"/>
        <v>0</v>
      </c>
      <c r="P8" s="348">
        <f t="shared" si="3"/>
        <v>3.4644008211710218E-4</v>
      </c>
      <c r="R8" s="183">
        <f>_xll.qlCalendarAdvance(Calendar,R7,"1D","f")</f>
        <v>42117</v>
      </c>
      <c r="S8" s="183">
        <f>_xll.qlCalendarAdvance(Calendar,R8,$F$1,"mf",,Trigger)</f>
        <v>42208</v>
      </c>
      <c r="T8" s="169">
        <f>_xll.qlDayCounterYearFraction(DayCounter,R8,S8,,,Trigger)</f>
        <v>0.25277777777777777</v>
      </c>
      <c r="U8" s="181">
        <f>_xll.qlInterpolationInterpolate(B3Minterpolation,R8,TRUE)</f>
        <v>1.1941914944608837E-3</v>
      </c>
      <c r="V8" s="184">
        <f>_xll.qlYieldTSDiscount(Discounting,R8,,AllTriggers)</f>
        <v>1.0000163336001151</v>
      </c>
      <c r="W8" s="184">
        <f>_xll.qlYieldTSDiscount(Discounting,S8,,AllTriggers)</f>
        <v>1.0003020533778955</v>
      </c>
      <c r="X8" s="181">
        <f t="shared" si="4"/>
        <v>-1.1299786861310686E-3</v>
      </c>
      <c r="Y8" s="348">
        <f t="shared" si="5"/>
        <v>3.0190574149838048E-4</v>
      </c>
      <c r="AD8" s="155"/>
      <c r="AE8" s="155"/>
    </row>
    <row r="9" spans="1:31" ht="11.25" customHeight="1" x14ac:dyDescent="0.2">
      <c r="C9" s="129" t="str">
        <f>_xll.qlIMMNextCode($E8,TRUE)</f>
        <v>U5</v>
      </c>
      <c r="D9" s="360" t="str">
        <f t="shared" si="7"/>
        <v>EURFUT3MU5_Quote</v>
      </c>
      <c r="E9" s="183">
        <f>_xll.qlIMMdate(C9,$E$3,Trigger)</f>
        <v>42263</v>
      </c>
      <c r="F9" s="183">
        <f>_xll.qlCalendarAdvance(Calendar,E9,$F$1,"mf",,Trigger)</f>
        <v>42354</v>
      </c>
      <c r="G9" s="169">
        <f>_xll.qlDayCounterYearFraction(DayCounter,E9,F9,,,Trigger)</f>
        <v>0.25277777777777777</v>
      </c>
      <c r="H9" s="181">
        <f>1-_xll.qlQuoteValue(D9,AllTriggers)/100-_xll.qlQuoteValue(Currency&amp;"FUT"&amp;"3M"&amp;C9&amp;"ConvAdj_Quote")</f>
        <v>-1.2499999999993072E-4</v>
      </c>
      <c r="I9" s="184">
        <f>_xll.qlYieldTSDiscount(Discounting,E9,,AllTriggers)</f>
        <v>1.0005255957935155</v>
      </c>
      <c r="J9" s="184">
        <f>_xll.qlYieldTSDiscount(Discounting,F9,,AllTriggers)</f>
        <v>1.000905085145986</v>
      </c>
      <c r="K9" s="181">
        <f t="shared" ref="K9:K15" si="8">(I9/J9-1)/G9</f>
        <v>-1.4999190048124646E-3</v>
      </c>
      <c r="L9" s="181">
        <f t="shared" si="1"/>
        <v>1.3749190048125339E-3</v>
      </c>
      <c r="M9" s="99" t="b">
        <v>1</v>
      </c>
      <c r="N9" s="181">
        <f>_xll.qlInterpolationInterpolate(B3Minterpolation,E9,TRUE,Trigger)</f>
        <v>1.3749190048125339E-3</v>
      </c>
      <c r="O9" s="354">
        <f t="shared" si="2"/>
        <v>0</v>
      </c>
      <c r="P9" s="348">
        <f t="shared" si="3"/>
        <v>3.4762036554884682E-4</v>
      </c>
      <c r="R9" s="183">
        <f>_xll.qlCalendarAdvance(Calendar,R8,"1D","f")</f>
        <v>42118</v>
      </c>
      <c r="S9" s="183">
        <f>_xll.qlCalendarAdvance(Calendar,R9,$F$1,"mf",,Trigger)</f>
        <v>42209</v>
      </c>
      <c r="T9" s="169">
        <f>_xll.qlDayCounterYearFraction(DayCounter,R9,S9,,,Trigger)</f>
        <v>0.25277777777777777</v>
      </c>
      <c r="U9" s="181">
        <f>_xll.qlInterpolationInterpolate(B3Minterpolation,R9,TRUE)</f>
        <v>1.1963646608774755E-3</v>
      </c>
      <c r="V9" s="184">
        <f>_xll.qlYieldTSDiscount(Discounting,R9,,AllTriggers)</f>
        <v>1.0000188437343314</v>
      </c>
      <c r="W9" s="184">
        <f>_xll.qlYieldTSDiscount(Discounting,S9,,AllTriggers)</f>
        <v>1.0003060767811169</v>
      </c>
      <c r="X9" s="181">
        <f t="shared" si="4"/>
        <v>-1.1359588680785113E-3</v>
      </c>
      <c r="Y9" s="348">
        <f t="shared" si="5"/>
        <v>3.0245551787923497E-4</v>
      </c>
      <c r="AD9" s="155"/>
      <c r="AE9" s="155"/>
    </row>
    <row r="10" spans="1:31" ht="11.25" customHeight="1" x14ac:dyDescent="0.2">
      <c r="C10" s="129" t="str">
        <f>_xll.qlIMMNextCode($E9,TRUE)</f>
        <v>Z5</v>
      </c>
      <c r="D10" s="360" t="str">
        <f t="shared" si="7"/>
        <v>EURFUT3MZ5_Quote</v>
      </c>
      <c r="E10" s="183">
        <f>_xll.qlIMMdate(C10,$E$3,Trigger)</f>
        <v>42354</v>
      </c>
      <c r="F10" s="183">
        <f>_xll.qlCalendarAdvance(Calendar,E10,$F$1,"mf",,Trigger)</f>
        <v>42445</v>
      </c>
      <c r="G10" s="169">
        <f>_xll.qlDayCounterYearFraction(DayCounter,E10,F10,,,Trigger)</f>
        <v>0.25277777777777777</v>
      </c>
      <c r="H10" s="181">
        <f>1-_xll.qlQuoteValue(D10,AllTriggers)/100-_xll.qlQuoteValue(Currency&amp;"FUT"&amp;"3M"&amp;C10&amp;"ConvAdj_Quote")</f>
        <v>-1.7500000000003624E-4</v>
      </c>
      <c r="I10" s="184">
        <f>_xll.qlYieldTSDiscount(Discounting,E10,,AllTriggers)</f>
        <v>1.000905085145986</v>
      </c>
      <c r="J10" s="184">
        <f>_xll.qlYieldTSDiscount(Discounting,F10,,AllTriggers)</f>
        <v>1.0013205744627667</v>
      </c>
      <c r="K10" s="181">
        <f>(I10/J10-1)/G10</f>
        <v>-1.6415262428148836E-3</v>
      </c>
      <c r="L10" s="181">
        <f t="shared" si="1"/>
        <v>1.4665262428148473E-3</v>
      </c>
      <c r="M10" s="99" t="b">
        <v>1</v>
      </c>
      <c r="N10" s="181">
        <f>_xll.qlInterpolationInterpolate(B3Minterpolation,E10,TRUE,Trigger)</f>
        <v>1.4665262428148473E-3</v>
      </c>
      <c r="O10" s="354">
        <f t="shared" si="2"/>
        <v>0</v>
      </c>
      <c r="P10" s="348">
        <f t="shared" si="3"/>
        <v>3.7079037825204825E-4</v>
      </c>
      <c r="R10" s="183">
        <f>_xll.qlCalendarAdvance(Calendar,R9,"1D","f")</f>
        <v>42121</v>
      </c>
      <c r="S10" s="183">
        <f>_xll.qlCalendarAdvance(Calendar,R10,$F$1,"mf",,Trigger)</f>
        <v>42212</v>
      </c>
      <c r="T10" s="169">
        <f>_xll.qlDayCounterYearFraction(DayCounter,R10,S10,,,Trigger)</f>
        <v>0.25277777777777777</v>
      </c>
      <c r="U10" s="181">
        <f>_xll.qlInterpolationInterpolate(B3Minterpolation,R10,TRUE)</f>
        <v>1.2033958465647917E-3</v>
      </c>
      <c r="V10" s="184">
        <f>_xll.qlYieldTSDiscount(Discounting,R10,,AllTriggers)</f>
        <v>1.0000266423475335</v>
      </c>
      <c r="W10" s="184">
        <f>_xll.qlYieldTSDiscount(Discounting,S10,,AllTriggers)</f>
        <v>1.0003181546125548</v>
      </c>
      <c r="X10" s="181">
        <f t="shared" si="4"/>
        <v>-1.1528685437052748E-3</v>
      </c>
      <c r="Y10" s="348">
        <f t="shared" si="5"/>
        <v>3.042341172461921E-4</v>
      </c>
      <c r="AD10" s="155"/>
      <c r="AE10" s="155"/>
    </row>
    <row r="11" spans="1:31" ht="11.25" customHeight="1" x14ac:dyDescent="0.2">
      <c r="C11" s="129" t="str">
        <f>_xll.qlIMMNextCode($E10,TRUE)</f>
        <v>H6</v>
      </c>
      <c r="D11" s="360" t="str">
        <f t="shared" si="7"/>
        <v>EURFUT3MH6_Quote</v>
      </c>
      <c r="E11" s="183">
        <f>_xll.qlIMMdate(C11,$E$3,Trigger)</f>
        <v>42445</v>
      </c>
      <c r="F11" s="183">
        <f>_xll.qlCalendarAdvance(Calendar,E11,$F$1,"mf",,Trigger)</f>
        <v>42537</v>
      </c>
      <c r="G11" s="169">
        <f>_xll.qlDayCounterYearFraction(DayCounter,E11,F11,,,Trigger)</f>
        <v>0.25555555555555554</v>
      </c>
      <c r="H11" s="181">
        <f>1-_xll.qlQuoteValue(D11,AllTriggers)/100-_xll.qlQuoteValue(Currency&amp;"FUT"&amp;"3M"&amp;C11&amp;"ConvAdj_Quote")</f>
        <v>-2.2500000000014175E-4</v>
      </c>
      <c r="I11" s="184">
        <f>_xll.qlYieldTSDiscount(Discounting,E11,,AllTriggers)</f>
        <v>1.0013205744627667</v>
      </c>
      <c r="J11" s="184">
        <f>_xll.qlYieldTSDiscount(Discounting,F11,,AllTriggers)</f>
        <v>1.0017580419205372</v>
      </c>
      <c r="K11" s="181">
        <f>(I11/J11-1)/G11</f>
        <v>-1.7088249966015889E-3</v>
      </c>
      <c r="L11" s="181">
        <f t="shared" si="1"/>
        <v>1.4838249966014471E-3</v>
      </c>
      <c r="M11" s="99" t="b">
        <v>1</v>
      </c>
      <c r="N11" s="181">
        <f>_xll.qlInterpolationInterpolate(B3Minterpolation,E11,TRUE,Trigger)</f>
        <v>1.4838249966014471E-3</v>
      </c>
      <c r="O11" s="354">
        <f t="shared" si="2"/>
        <v>0</v>
      </c>
      <c r="P11" s="348">
        <f t="shared" si="3"/>
        <v>3.7929344925824779E-4</v>
      </c>
      <c r="R11" s="183">
        <f>_xll.qlCalendarAdvance(Calendar,R10,"1D","f")</f>
        <v>42122</v>
      </c>
      <c r="S11" s="183">
        <f>_xll.qlCalendarAdvance(Calendar,R11,$F$1,"mf",,Trigger)</f>
        <v>42213</v>
      </c>
      <c r="T11" s="169">
        <f>_xll.qlDayCounterYearFraction(DayCounter,R11,S11,,,Trigger)</f>
        <v>0.25277777777777777</v>
      </c>
      <c r="U11" s="181">
        <f>_xll.qlInterpolationInterpolate(B3Minterpolation,R11,TRUE)</f>
        <v>1.2058989160792714E-3</v>
      </c>
      <c r="V11" s="184">
        <f>_xll.qlYieldTSDiscount(Discounting,R11,,AllTriggers)</f>
        <v>1.00002929462748</v>
      </c>
      <c r="W11" s="184">
        <f>_xll.qlYieldTSDiscount(Discounting,S11,,AllTriggers)</f>
        <v>1.0003221831458198</v>
      </c>
      <c r="X11" s="181">
        <f t="shared" si="4"/>
        <v>-1.1583066658872919E-3</v>
      </c>
      <c r="Y11" s="348">
        <f t="shared" si="5"/>
        <v>3.0486724845414935E-4</v>
      </c>
      <c r="AD11" s="155"/>
      <c r="AE11" s="155"/>
    </row>
    <row r="12" spans="1:31" ht="11.25" customHeight="1" x14ac:dyDescent="0.2">
      <c r="C12" s="129" t="str">
        <f>_xll.qlIMMNextCode($E11,TRUE)</f>
        <v>M6</v>
      </c>
      <c r="D12" s="360" t="str">
        <f t="shared" si="7"/>
        <v>EURFUT3MM6_Quote</v>
      </c>
      <c r="E12" s="183">
        <f>_xll.qlIMMdate(C12,$E$3,Trigger)</f>
        <v>42536</v>
      </c>
      <c r="F12" s="183">
        <f>_xll.qlCalendarAdvance(Calendar,E12,$F$1,"mf",,Trigger)</f>
        <v>42628</v>
      </c>
      <c r="G12" s="169">
        <f>_xll.qlDayCounterYearFraction(DayCounter,E12,F12,,,Trigger)</f>
        <v>0.25555555555555554</v>
      </c>
      <c r="H12" s="181">
        <f>1-_xll.qlQuoteValue(D12,AllTriggers)/100-_xll.qlQuoteValue(Currency&amp;"FUT"&amp;"3M"&amp;C12&amp;"ConvAdj_Quote")</f>
        <v>-2.7500000000002522E-4</v>
      </c>
      <c r="I12" s="184">
        <f>_xll.qlYieldTSDiscount(Discounting,E12,,AllTriggers)</f>
        <v>1.0017531491470688</v>
      </c>
      <c r="J12" s="184">
        <f>_xll.qlYieldTSDiscount(Discounting,F12,,AllTriggers)</f>
        <v>1.0022007506300323</v>
      </c>
      <c r="K12" s="181">
        <f>(I12/J12-1)/G12</f>
        <v>-1.7476379484540738E-3</v>
      </c>
      <c r="L12" s="181">
        <f t="shared" si="1"/>
        <v>1.4726379484540485E-3</v>
      </c>
      <c r="M12" s="99" t="b">
        <v>1</v>
      </c>
      <c r="N12" s="181">
        <f>_xll.qlInterpolationInterpolate(B3Minterpolation,E12,TRUE,Trigger)</f>
        <v>1.4726379484540485E-3</v>
      </c>
      <c r="O12" s="354">
        <f t="shared" si="2"/>
        <v>0</v>
      </c>
      <c r="P12" s="348">
        <f t="shared" si="3"/>
        <v>3.7643810323703913E-4</v>
      </c>
      <c r="R12" s="183">
        <f>_xll.qlCalendarAdvance(Calendar,R11,"1D","f")</f>
        <v>42123</v>
      </c>
      <c r="S12" s="183">
        <f>_xll.qlCalendarAdvance(Calendar,R12,$F$1,"mf",,Trigger)</f>
        <v>42214</v>
      </c>
      <c r="T12" s="169">
        <f>_xll.qlDayCounterYearFraction(DayCounter,R12,S12,,,Trigger)</f>
        <v>0.25277777777777777</v>
      </c>
      <c r="U12" s="181">
        <f>_xll.qlInterpolationInterpolate(B3Minterpolation,R12,TRUE)</f>
        <v>1.2084760454728687E-3</v>
      </c>
      <c r="V12" s="184">
        <f>_xll.qlYieldTSDiscount(Discounting,R12,,AllTriggers)</f>
        <v>1.0000319549475987</v>
      </c>
      <c r="W12" s="184">
        <f>_xll.qlYieldTSDiscount(Discounting,S12,,AllTriggers)</f>
        <v>1.0003262129982422</v>
      </c>
      <c r="X12" s="181">
        <f t="shared" si="4"/>
        <v>-1.1637181627748123E-3</v>
      </c>
      <c r="Y12" s="348">
        <f t="shared" si="5"/>
        <v>3.0551909942625008E-4</v>
      </c>
      <c r="AD12" s="155"/>
      <c r="AE12" s="155"/>
    </row>
    <row r="13" spans="1:31" ht="11.25" customHeight="1" x14ac:dyDescent="0.2">
      <c r="C13" s="129" t="str">
        <f>_xll.qlIMMNextCode($E12,TRUE)</f>
        <v>U6</v>
      </c>
      <c r="D13" s="360" t="str">
        <f t="shared" si="7"/>
        <v>EURFUT3MU6_Quote</v>
      </c>
      <c r="E13" s="183">
        <f>_xll.qlIMMdate(C13,$E$3,Trigger)</f>
        <v>42634</v>
      </c>
      <c r="F13" s="183">
        <f>_xll.qlCalendarAdvance(Calendar,E13,$F$1,"mf",,Trigger)</f>
        <v>42725</v>
      </c>
      <c r="G13" s="169">
        <f>_xll.qlDayCounterYearFraction(DayCounter,E13,F13,,,Trigger)</f>
        <v>0.25277777777777777</v>
      </c>
      <c r="H13" s="181">
        <f>1-_xll.qlQuoteValue(D13,AllTriggers)/100-_xll.qlQuoteValue(Currency&amp;"FUT"&amp;"3M"&amp;C13&amp;"ConvAdj_Quote")</f>
        <v>-2.2500000000014175E-4</v>
      </c>
      <c r="I13" s="184">
        <f>_xll.qlYieldTSDiscount(Discounting,E13,,AllTriggers)</f>
        <v>1.0022297792218728</v>
      </c>
      <c r="J13" s="184">
        <f>_xll.qlYieldTSDiscount(Discounting,F13,,AllTriggers)</f>
        <v>1.0026827907694713</v>
      </c>
      <c r="K13" s="181">
        <f>(I13/J13-1)/G13</f>
        <v>-1.7873385395593944E-3</v>
      </c>
      <c r="L13" s="181">
        <f t="shared" si="1"/>
        <v>1.5623385395592527E-3</v>
      </c>
      <c r="M13" s="99" t="b">
        <v>1</v>
      </c>
      <c r="N13" s="181">
        <f>_xll.qlInterpolationInterpolate(B3Minterpolation,E13,TRUE,Trigger)</f>
        <v>1.5623385395592527E-3</v>
      </c>
      <c r="O13" s="354">
        <f t="shared" si="2"/>
        <v>0</v>
      </c>
      <c r="P13" s="348">
        <f t="shared" si="3"/>
        <v>3.9502493885128258E-4</v>
      </c>
      <c r="R13" s="183">
        <f>_xll.qlCalendarAdvance(Calendar,R12,"1D","f")</f>
        <v>42124</v>
      </c>
      <c r="S13" s="183">
        <f>_xll.qlCalendarAdvance(Calendar,R13,$F$1,"mf",,Trigger)</f>
        <v>42215</v>
      </c>
      <c r="T13" s="169">
        <f>_xll.qlDayCounterYearFraction(DayCounter,R13,S13,,,Trigger)</f>
        <v>0.25277777777777777</v>
      </c>
      <c r="U13" s="181">
        <f>_xll.qlInterpolationInterpolate(B3Minterpolation,R13,TRUE)</f>
        <v>1.2111238683874422E-3</v>
      </c>
      <c r="V13" s="184">
        <f>_xll.qlYieldTSDiscount(Discounting,R13,,AllTriggers)</f>
        <v>1.0000346123091548</v>
      </c>
      <c r="W13" s="184">
        <f>_xll.qlYieldTSDiscount(Discounting,S13,,AllTriggers)</f>
        <v>1.0003302441844815</v>
      </c>
      <c r="X13" s="181">
        <f t="shared" si="4"/>
        <v>-1.1691465897381357E-3</v>
      </c>
      <c r="Y13" s="348">
        <f t="shared" si="5"/>
        <v>3.0618882262955501E-4</v>
      </c>
      <c r="AD13" s="155"/>
      <c r="AE13" s="155"/>
    </row>
    <row r="14" spans="1:31" ht="11.25" customHeight="1" x14ac:dyDescent="0.2">
      <c r="C14" s="129" t="str">
        <f>_xll.qlIMMNextCode($E13,TRUE)</f>
        <v>Z6</v>
      </c>
      <c r="D14" s="360" t="str">
        <f t="shared" si="7"/>
        <v>EURFUT3MZ6_Quote</v>
      </c>
      <c r="E14" s="183">
        <f>_xll.qlIMMdate(C14,$E$3,Trigger)</f>
        <v>42725</v>
      </c>
      <c r="F14" s="183">
        <f>_xll.qlCalendarAdvance(Calendar,E14,$F$1,"mf",,Trigger)</f>
        <v>42815</v>
      </c>
      <c r="G14" s="169">
        <f>_xll.qlDayCounterYearFraction(DayCounter,E14,F14,,,Trigger)</f>
        <v>0.25</v>
      </c>
      <c r="H14" s="181">
        <f>1-_xll.qlQuoteValue(D14,AllTriggers)/100-_xll.qlQuoteValue(Currency&amp;"FUT"&amp;"3M"&amp;C14&amp;"ConvAdj_Quote")</f>
        <v>-7.4999999999825206E-5</v>
      </c>
      <c r="I14" s="184">
        <f>_xll.qlYieldTSDiscount(Discounting,E14,,AllTriggers)</f>
        <v>1.0026827907694713</v>
      </c>
      <c r="J14" s="184">
        <f>_xll.qlYieldTSDiscount(Discounting,F14,,AllTriggers)</f>
        <v>1.0030884767205464</v>
      </c>
      <c r="K14" s="181">
        <f>(I14/J14-1)/G14</f>
        <v>-1.6177474290257621E-3</v>
      </c>
      <c r="L14" s="181">
        <f t="shared" si="1"/>
        <v>1.5427474290259369E-3</v>
      </c>
      <c r="M14" s="99" t="b">
        <v>1</v>
      </c>
      <c r="N14" s="181">
        <f>_xll.qlInterpolationInterpolate(B3Minterpolation,E14,TRUE,Trigger)</f>
        <v>1.5427474290259369E-3</v>
      </c>
      <c r="O14" s="354">
        <f t="shared" si="2"/>
        <v>0</v>
      </c>
      <c r="P14" s="348">
        <f t="shared" si="3"/>
        <v>3.857684881167137E-4</v>
      </c>
      <c r="R14" s="183">
        <f>_xll.qlCalendarAdvance(Calendar,R13,"1D","f")</f>
        <v>42128</v>
      </c>
      <c r="S14" s="183">
        <f>_xll.qlCalendarAdvance(Calendar,R14,$F$1,"mf",,Trigger)</f>
        <v>42220</v>
      </c>
      <c r="T14" s="169">
        <f>_xll.qlDayCounterYearFraction(DayCounter,R14,S14,,,Trigger)</f>
        <v>0.25555555555555554</v>
      </c>
      <c r="U14" s="181">
        <f>_xll.qlInterpolationInterpolate(B3Minterpolation,R14,TRUE)</f>
        <v>1.2223547680926612E-3</v>
      </c>
      <c r="V14" s="184">
        <f>_xll.qlYieldTSDiscount(Discounting,R14,,AllTriggers)</f>
        <v>1.0000373962270792</v>
      </c>
      <c r="W14" s="184">
        <f>_xll.qlYieldTSDiscount(Discounting,S14,,AllTriggers)</f>
        <v>1.0003504206360174</v>
      </c>
      <c r="X14" s="181">
        <f t="shared" si="4"/>
        <v>-1.2244490497174182E-3</v>
      </c>
      <c r="Y14" s="348">
        <f t="shared" si="5"/>
        <v>3.1242851974086949E-4</v>
      </c>
      <c r="AD14" s="155"/>
      <c r="AE14" s="155"/>
    </row>
    <row r="15" spans="1:31" ht="11.25" customHeight="1" x14ac:dyDescent="0.2">
      <c r="C15" s="129" t="str">
        <f>_xll.qlIMMNextCode($E14,TRUE)</f>
        <v>H7</v>
      </c>
      <c r="D15" s="361" t="str">
        <f t="shared" si="7"/>
        <v>EURFUT3MH7_Quote</v>
      </c>
      <c r="E15" s="187">
        <f>_xll.qlIMMdate(C15,$E$3,Trigger)</f>
        <v>42809</v>
      </c>
      <c r="F15" s="187">
        <f>_xll.qlCalendarAdvance(Calendar,E15,$F$1,"mf",,Trigger)</f>
        <v>42901</v>
      </c>
      <c r="G15" s="174">
        <f>_xll.qlDayCounterYearFraction(DayCounter,E15,F15,,,Trigger)</f>
        <v>0.25555555555555554</v>
      </c>
      <c r="H15" s="190">
        <f>1-_xll.qlQuoteValue(D15,AllTriggers)/100-_xll.qlQuoteValue(Currency&amp;"FUT"&amp;"3M"&amp;C15&amp;"ConvAdj_Quote")</f>
        <v>1.2500000000004174E-4</v>
      </c>
      <c r="I15" s="188">
        <f>_xll.qlYieldTSDiscount(Discounting,E15,,AllTriggers)</f>
        <v>1.0030629602134606</v>
      </c>
      <c r="J15" s="188">
        <f>_xll.qlYieldTSDiscount(Discounting,F15,,AllTriggers)</f>
        <v>1.003427000514221</v>
      </c>
      <c r="K15" s="190">
        <f t="shared" si="8"/>
        <v>-1.4196404162777295E-3</v>
      </c>
      <c r="L15" s="190">
        <f t="shared" si="1"/>
        <v>1.5446404162777713E-3</v>
      </c>
      <c r="M15" s="118" t="b">
        <v>1</v>
      </c>
      <c r="N15" s="190">
        <f>_xll.qlInterpolationInterpolate(B3Minterpolation,E15,TRUE,Trigger)</f>
        <v>1.5446404162777713E-3</v>
      </c>
      <c r="O15" s="355">
        <f t="shared" si="2"/>
        <v>0</v>
      </c>
      <c r="P15" s="350">
        <f t="shared" si="3"/>
        <v>3.9480675625412322E-4</v>
      </c>
      <c r="R15" s="183">
        <f>_xll.qlCalendarAdvance(Calendar,R14,"1D","f")</f>
        <v>42129</v>
      </c>
      <c r="S15" s="183">
        <f>_xll.qlCalendarAdvance(Calendar,R15,$F$1,"mf",,Trigger)</f>
        <v>42221</v>
      </c>
      <c r="T15" s="169">
        <f>_xll.qlDayCounterYearFraction(DayCounter,R15,S15,,,Trigger)</f>
        <v>0.25555555555555554</v>
      </c>
      <c r="U15" s="181">
        <f>_xll.qlInterpolationInterpolate(B3Minterpolation,R15,TRUE)</f>
        <v>1.2253055632399888E-3</v>
      </c>
      <c r="V15" s="184">
        <f>_xll.qlYieldTSDiscount(Discounting,R15,,AllTriggers)</f>
        <v>1.0000400685988493</v>
      </c>
      <c r="W15" s="184">
        <f>_xll.qlYieldTSDiscount(Discounting,S15,,AllTriggers)</f>
        <v>1.0003544601330134</v>
      </c>
      <c r="X15" s="181">
        <f t="shared" si="4"/>
        <v>-1.229791830205445E-3</v>
      </c>
      <c r="Y15" s="348">
        <f t="shared" si="5"/>
        <v>3.1318303963306498E-4</v>
      </c>
      <c r="AD15" s="155"/>
      <c r="AE15" s="155"/>
    </row>
    <row r="16" spans="1:31" ht="11.25" customHeight="1" x14ac:dyDescent="0.2">
      <c r="E16" s="340"/>
      <c r="F16" s="340"/>
      <c r="G16" s="155"/>
      <c r="K16" s="155"/>
      <c r="L16" s="155"/>
      <c r="R16" s="183">
        <f>_xll.qlCalendarAdvance(Calendar,R15,"1D","f")</f>
        <v>42130</v>
      </c>
      <c r="S16" s="183">
        <f>_xll.qlCalendarAdvance(Calendar,R16,$F$1,"mf",,Trigger)</f>
        <v>42222</v>
      </c>
      <c r="T16" s="169">
        <f>_xll.qlDayCounterYearFraction(DayCounter,R16,S16,,,Trigger)</f>
        <v>0.25555555555555554</v>
      </c>
      <c r="U16" s="181">
        <f>_xll.qlInterpolationInterpolate(B3Minterpolation,R16,TRUE)</f>
        <v>1.228306853759442E-3</v>
      </c>
      <c r="V16" s="184">
        <f>_xll.qlYieldTSDiscount(Discounting,R16,,AllTriggers)</f>
        <v>1.0000427678257038</v>
      </c>
      <c r="W16" s="184">
        <f>_xll.qlYieldTSDiscount(Discounting,S16,,AllTriggers)</f>
        <v>1.0003585010664471</v>
      </c>
      <c r="X16" s="181">
        <f t="shared" si="4"/>
        <v>-1.2350351371471153E-3</v>
      </c>
      <c r="Y16" s="348">
        <f t="shared" si="5"/>
        <v>3.1395045743053043E-4</v>
      </c>
      <c r="AD16" s="155"/>
      <c r="AE16" s="155"/>
    </row>
    <row r="17" spans="5:31" ht="11.25" customHeight="1" x14ac:dyDescent="0.2">
      <c r="E17" s="340"/>
      <c r="F17" s="340"/>
      <c r="G17" s="155"/>
      <c r="K17" s="155"/>
      <c r="L17" s="155"/>
      <c r="R17" s="183">
        <f>_xll.qlCalendarAdvance(Calendar,R16,"1D","f")</f>
        <v>42131</v>
      </c>
      <c r="S17" s="183">
        <f>_xll.qlCalendarAdvance(Calendar,R17,$F$1,"mf",,Trigger)</f>
        <v>42223</v>
      </c>
      <c r="T17" s="169">
        <f>_xll.qlDayCounterYearFraction(DayCounter,R17,S17,,,Trigger)</f>
        <v>0.25555555555555554</v>
      </c>
      <c r="U17" s="181">
        <f>_xll.qlInterpolationInterpolate(B3Minterpolation,R17,TRUE)</f>
        <v>1.2313552732928792E-3</v>
      </c>
      <c r="V17" s="184">
        <f>_xll.qlYieldTSDiscount(Discounting,R17,,AllTriggers)</f>
        <v>1.0000455020703813</v>
      </c>
      <c r="W17" s="184">
        <f>_xll.qlYieldTSDiscount(Discounting,S17,,AllTriggers)</f>
        <v>1.0003625434509795</v>
      </c>
      <c r="X17" s="181">
        <f t="shared" si="4"/>
        <v>-1.2401470994792493E-3</v>
      </c>
      <c r="Y17" s="348">
        <f t="shared" si="5"/>
        <v>3.1472991023917638E-4</v>
      </c>
      <c r="AD17" s="155"/>
      <c r="AE17" s="155"/>
    </row>
    <row r="18" spans="5:31" ht="11.25" customHeight="1" x14ac:dyDescent="0.2">
      <c r="E18" s="340"/>
      <c r="F18" s="340"/>
      <c r="G18" s="155"/>
      <c r="K18" s="155"/>
      <c r="L18" s="155"/>
      <c r="R18" s="183">
        <f>_xll.qlCalendarAdvance(Calendar,R17,"1D","f")</f>
        <v>42132</v>
      </c>
      <c r="S18" s="183">
        <f>_xll.qlCalendarAdvance(Calendar,R18,$F$1,"mf",,Trigger)</f>
        <v>42226</v>
      </c>
      <c r="T18" s="169">
        <f>_xll.qlDayCounterYearFraction(DayCounter,R18,S18,,,Trigger)</f>
        <v>0.26111111111111113</v>
      </c>
      <c r="U18" s="181">
        <f>_xll.qlInterpolationInterpolate(B3Minterpolation,R18,TRUE)</f>
        <v>1.2344474554821586E-3</v>
      </c>
      <c r="V18" s="184">
        <f>_xll.qlYieldTSDiscount(Discounting,R18,,AllTriggers)</f>
        <v>1.0000482773280344</v>
      </c>
      <c r="W18" s="184">
        <f>_xll.qlYieldTSDiscount(Discounting,S18,,AllTriggers)</f>
        <v>1.0003746794577846</v>
      </c>
      <c r="X18" s="181">
        <f t="shared" si="4"/>
        <v>-1.2495825167819017E-3</v>
      </c>
      <c r="Y18" s="348">
        <f t="shared" si="5"/>
        <v>3.2238117976142162E-4</v>
      </c>
      <c r="AD18" s="155"/>
      <c r="AE18" s="155"/>
    </row>
    <row r="19" spans="5:31" ht="11.25" customHeight="1" x14ac:dyDescent="0.2">
      <c r="E19" s="340"/>
      <c r="F19" s="340"/>
      <c r="G19" s="155"/>
      <c r="K19" s="155"/>
      <c r="L19" s="155"/>
      <c r="R19" s="183">
        <f>_xll.qlCalendarAdvance(Calendar,R18,"1D","f")</f>
        <v>42135</v>
      </c>
      <c r="S19" s="183">
        <f>_xll.qlCalendarAdvance(Calendar,R19,$F$1,"mf",,Trigger)</f>
        <v>42227</v>
      </c>
      <c r="T19" s="169">
        <f>_xll.qlDayCounterYearFraction(DayCounter,R19,S19,,,Trigger)</f>
        <v>0.25555555555555554</v>
      </c>
      <c r="U19" s="181">
        <f>_xll.qlInterpolationInterpolate(B3Minterpolation,R19,TRUE)</f>
        <v>1.2439529144036335E-3</v>
      </c>
      <c r="V19" s="184">
        <f>_xll.qlYieldTSDiscount(Discounting,R19,,AllTriggers)</f>
        <v>1.0000568137527825</v>
      </c>
      <c r="W19" s="184">
        <f>_xll.qlYieldTSDiscount(Discounting,S19,,AllTriggers)</f>
        <v>1.0003787277933285</v>
      </c>
      <c r="X19" s="181">
        <f t="shared" si="4"/>
        <v>-1.259186747900598E-3</v>
      </c>
      <c r="Y19" s="348">
        <f t="shared" si="5"/>
        <v>3.1795085675708569E-4</v>
      </c>
      <c r="AD19" s="155"/>
      <c r="AE19" s="155"/>
    </row>
    <row r="20" spans="5:31" ht="11.25" customHeight="1" x14ac:dyDescent="0.2">
      <c r="E20" s="340"/>
      <c r="F20" s="340"/>
      <c r="G20" s="155"/>
      <c r="K20" s="155"/>
      <c r="L20" s="155"/>
      <c r="R20" s="183">
        <f>_xll.qlCalendarAdvance(Calendar,R19,"1D","f")</f>
        <v>42136</v>
      </c>
      <c r="S20" s="183">
        <f>_xll.qlCalendarAdvance(Calendar,R20,$F$1,"mf",,Trigger)</f>
        <v>42228</v>
      </c>
      <c r="T20" s="169">
        <f>_xll.qlDayCounterYearFraction(DayCounter,R20,S20,,,Trigger)</f>
        <v>0.25555555555555554</v>
      </c>
      <c r="U20" s="181">
        <f>_xll.qlInterpolationInterpolate(B3Minterpolation,R20,TRUE)</f>
        <v>1.247186483634865E-3</v>
      </c>
      <c r="V20" s="184">
        <f>_xll.qlYieldTSDiscount(Discounting,R20,,AllTriggers)</f>
        <v>1.0000597133006848</v>
      </c>
      <c r="W20" s="184">
        <f>_xll.qlYieldTSDiscount(Discounting,S20,,AllTriggers)</f>
        <v>1.0003827776532799</v>
      </c>
      <c r="X20" s="181">
        <f t="shared" si="4"/>
        <v>-1.2636811490761713E-3</v>
      </c>
      <c r="Y20" s="348">
        <f t="shared" si="5"/>
        <v>3.1877758241179068E-4</v>
      </c>
      <c r="AD20" s="155"/>
      <c r="AE20" s="155"/>
    </row>
    <row r="21" spans="5:31" ht="11.25" customHeight="1" x14ac:dyDescent="0.2">
      <c r="E21" s="340"/>
      <c r="F21" s="340"/>
      <c r="G21" s="155"/>
      <c r="K21" s="155"/>
      <c r="L21" s="155"/>
      <c r="R21" s="183">
        <f>_xll.qlCalendarAdvance(Calendar,R20,"1D","f")</f>
        <v>42137</v>
      </c>
      <c r="S21" s="183">
        <f>_xll.qlCalendarAdvance(Calendar,R21,$F$1,"mf",,Trigger)</f>
        <v>42229</v>
      </c>
      <c r="T21" s="169">
        <f>_xll.qlDayCounterYearFraction(DayCounter,R21,S21,,,Trigger)</f>
        <v>0.25555555555555554</v>
      </c>
      <c r="U21" s="181">
        <f>_xll.qlInterpolationInterpolate(B3Minterpolation,R21,TRUE)</f>
        <v>1.25044698373123E-3</v>
      </c>
      <c r="V21" s="184">
        <f>_xll.qlYieldTSDiscount(Discounting,R21,,AllTriggers)</f>
        <v>1.0000626318128085</v>
      </c>
      <c r="W21" s="184">
        <f>_xll.qlYieldTSDiscount(Discounting,S21,,AllTriggers)</f>
        <v>1.0003868290523024</v>
      </c>
      <c r="X21" s="181">
        <f t="shared" si="4"/>
        <v>-1.2681073529061478E-3</v>
      </c>
      <c r="Y21" s="348">
        <f t="shared" si="5"/>
        <v>3.1961118607471041E-4</v>
      </c>
      <c r="AD21" s="155"/>
      <c r="AE21" s="155"/>
    </row>
    <row r="22" spans="5:31" ht="11.25" customHeight="1" x14ac:dyDescent="0.2">
      <c r="E22" s="340"/>
      <c r="F22" s="340"/>
      <c r="G22" s="155"/>
      <c r="K22" s="155"/>
      <c r="L22" s="155"/>
      <c r="R22" s="183">
        <f>_xll.qlCalendarAdvance(Calendar,R21,"1D","f")</f>
        <v>42138</v>
      </c>
      <c r="S22" s="183">
        <f>_xll.qlCalendarAdvance(Calendar,R22,$F$1,"mf",,Trigger)</f>
        <v>42230</v>
      </c>
      <c r="T22" s="169">
        <f>_xll.qlDayCounterYearFraction(DayCounter,R22,S22,,,Trigger)</f>
        <v>0.25555555555555554</v>
      </c>
      <c r="U22" s="181">
        <f>_xll.qlInterpolationInterpolate(B3Minterpolation,R22,TRUE)</f>
        <v>1.2537310483345871E-3</v>
      </c>
      <c r="V22" s="184">
        <f>_xll.qlYieldTSDiscount(Discounting,R22,,AllTriggers)</f>
        <v>1.0000655644457093</v>
      </c>
      <c r="W22" s="184">
        <f>_xll.qlYieldTSDiscount(Discounting,S22,,AllTriggers)</f>
        <v>1.000390882005058</v>
      </c>
      <c r="X22" s="181">
        <f t="shared" si="4"/>
        <v>-1.2724843627342087E-3</v>
      </c>
      <c r="Y22" s="348">
        <f t="shared" si="5"/>
        <v>3.2045080896970113E-4</v>
      </c>
      <c r="AD22" s="155"/>
      <c r="AE22" s="155"/>
    </row>
    <row r="23" spans="5:31" ht="11.25" customHeight="1" x14ac:dyDescent="0.2">
      <c r="E23" s="340"/>
      <c r="F23" s="340"/>
      <c r="G23" s="155"/>
      <c r="K23" s="155"/>
      <c r="L23" s="155"/>
      <c r="R23" s="183">
        <f>_xll.qlCalendarAdvance(Calendar,R22,"1D","f")</f>
        <v>42139</v>
      </c>
      <c r="S23" s="183">
        <f>_xll.qlCalendarAdvance(Calendar,R23,$F$1,"mf",,Trigger)</f>
        <v>42233</v>
      </c>
      <c r="T23" s="169">
        <f>_xll.qlDayCounterYearFraction(DayCounter,R23,S23,,,Trigger)</f>
        <v>0.26111111111111113</v>
      </c>
      <c r="U23" s="181">
        <f>_xll.qlInterpolationInterpolate(B3Minterpolation,R23,TRUE)</f>
        <v>1.2570353110867944E-3</v>
      </c>
      <c r="V23" s="184">
        <f>_xll.qlYieldTSDiscount(Discounting,R23,,AllTriggers)</f>
        <v>1.0000685063558861</v>
      </c>
      <c r="W23" s="184">
        <f>_xll.qlYieldTSDiscount(Discounting,S23,,AllTriggers)</f>
        <v>1.0004030503323569</v>
      </c>
      <c r="X23" s="181">
        <f t="shared" si="4"/>
        <v>-1.2807160572811806E-3</v>
      </c>
      <c r="Y23" s="348">
        <f t="shared" si="5"/>
        <v>3.2828179488991234E-4</v>
      </c>
      <c r="AD23" s="155"/>
      <c r="AE23" s="155"/>
    </row>
    <row r="24" spans="5:31" ht="11.25" customHeight="1" x14ac:dyDescent="0.2">
      <c r="E24" s="340"/>
      <c r="F24" s="340"/>
      <c r="G24" s="155"/>
      <c r="K24" s="155"/>
      <c r="L24" s="155"/>
      <c r="R24" s="183">
        <f>_xll.qlCalendarAdvance(Calendar,R23,"1D","f")</f>
        <v>42142</v>
      </c>
      <c r="S24" s="183">
        <f>_xll.qlCalendarAdvance(Calendar,R24,$F$1,"mf",,Trigger)</f>
        <v>42234</v>
      </c>
      <c r="T24" s="169">
        <f>_xll.qlDayCounterYearFraction(DayCounter,R24,S24,,,Trigger)</f>
        <v>0.25555555555555554</v>
      </c>
      <c r="U24" s="181">
        <f>_xll.qlInterpolationInterpolate(B3Minterpolation,R24,TRUE)</f>
        <v>1.267035624655101E-3</v>
      </c>
      <c r="V24" s="184">
        <f>_xll.qlYieldTSDiscount(Discounting,R24,,AllTriggers)</f>
        <v>1.0000773393142086</v>
      </c>
      <c r="W24" s="184">
        <f>_xll.qlYieldTSDiscount(Discounting,S24,,AllTriggers)</f>
        <v>1.0004071096466791</v>
      </c>
      <c r="X24" s="181">
        <f t="shared" si="4"/>
        <v>-1.2898805259923794E-3</v>
      </c>
      <c r="Y24" s="348">
        <f t="shared" si="5"/>
        <v>3.2385231785829845E-4</v>
      </c>
      <c r="AD24" s="155"/>
      <c r="AE24" s="155"/>
    </row>
    <row r="25" spans="5:31" ht="11.25" customHeight="1" x14ac:dyDescent="0.2">
      <c r="E25" s="340"/>
      <c r="F25" s="340"/>
      <c r="G25" s="155"/>
      <c r="K25" s="155"/>
      <c r="L25" s="155"/>
      <c r="R25" s="183">
        <f>_xll.qlCalendarAdvance(Calendar,R24,"1D","f")</f>
        <v>42143</v>
      </c>
      <c r="S25" s="183">
        <f>_xll.qlCalendarAdvance(Calendar,R25,$F$1,"mf",,Trigger)</f>
        <v>42235</v>
      </c>
      <c r="T25" s="169">
        <f>_xll.qlDayCounterYearFraction(DayCounter,R25,S25,,,Trigger)</f>
        <v>0.25555555555555554</v>
      </c>
      <c r="U25" s="181">
        <f>_xll.qlInterpolationInterpolate(B3Minterpolation,R25,TRUE)</f>
        <v>1.2703870164212925E-3</v>
      </c>
      <c r="V25" s="184">
        <f>_xll.qlYieldTSDiscount(Discounting,R25,,AllTriggers)</f>
        <v>1.0000802710398209</v>
      </c>
      <c r="W25" s="184">
        <f>_xll.qlYieldTSDiscount(Discounting,S25,,AllTriggers)</f>
        <v>1.0004111705880525</v>
      </c>
      <c r="X25" s="181">
        <f t="shared" si="4"/>
        <v>-1.2942921443052141E-3</v>
      </c>
      <c r="Y25" s="348">
        <f t="shared" si="5"/>
        <v>3.2470915541926503E-4</v>
      </c>
      <c r="AD25" s="155"/>
      <c r="AE25" s="155"/>
    </row>
    <row r="26" spans="5:31" ht="11.25" customHeight="1" x14ac:dyDescent="0.2">
      <c r="E26" s="340"/>
      <c r="F26" s="340"/>
      <c r="G26" s="155"/>
      <c r="K26" s="155"/>
      <c r="L26" s="155"/>
      <c r="R26" s="183">
        <f>_xll.qlCalendarAdvance(Calendar,R25,"1D","f")</f>
        <v>42144</v>
      </c>
      <c r="S26" s="183">
        <f>_xll.qlCalendarAdvance(Calendar,R26,$F$1,"mf",,Trigger)</f>
        <v>42236</v>
      </c>
      <c r="T26" s="169">
        <f>_xll.qlDayCounterYearFraction(DayCounter,R26,S26,,,Trigger)</f>
        <v>0.25555555555555554</v>
      </c>
      <c r="U26" s="181">
        <f>_xll.qlInterpolationInterpolate(B3Minterpolation,R26,TRUE)</f>
        <v>1.2737417745456254E-3</v>
      </c>
      <c r="V26" s="184">
        <f>_xll.qlYieldTSDiscount(Discounting,R26,,AllTriggers)</f>
        <v>1.0000831946792539</v>
      </c>
      <c r="W26" s="184">
        <f>_xll.qlYieldTSDiscount(Discounting,S26,,AllTriggers)</f>
        <v>1.0004152331711411</v>
      </c>
      <c r="X26" s="181">
        <f t="shared" si="4"/>
        <v>-1.2987417745455672E-3</v>
      </c>
      <c r="Y26" s="348">
        <f t="shared" si="5"/>
        <v>3.2556685763891595E-4</v>
      </c>
      <c r="AA26" s="341"/>
      <c r="AB26" s="341"/>
      <c r="AD26" s="155"/>
      <c r="AE26" s="155"/>
    </row>
    <row r="27" spans="5:31" ht="11.25" customHeight="1" x14ac:dyDescent="0.2">
      <c r="E27" s="340"/>
      <c r="F27" s="340"/>
      <c r="G27" s="155"/>
      <c r="K27" s="155"/>
      <c r="L27" s="155"/>
      <c r="R27" s="183">
        <f>_xll.qlCalendarAdvance(Calendar,R26,"1D","f")</f>
        <v>42145</v>
      </c>
      <c r="S27" s="183">
        <f>_xll.qlCalendarAdvance(Calendar,R27,$F$1,"mf",,Trigger)</f>
        <v>42237</v>
      </c>
      <c r="T27" s="169">
        <f>_xll.qlDayCounterYearFraction(DayCounter,R27,S27,,,Trigger)</f>
        <v>0.25555555555555554</v>
      </c>
      <c r="U27" s="181">
        <f>_xll.qlInterpolationInterpolate(B3Minterpolation,R27,TRUE)</f>
        <v>1.2770965326699584E-3</v>
      </c>
      <c r="V27" s="184">
        <f>_xll.qlYieldTSDiscount(Discounting,R27,,AllTriggers)</f>
        <v>1.0000861122436424</v>
      </c>
      <c r="W27" s="184">
        <f>_xll.qlYieldTSDiscount(Discounting,S27,,AllTriggers)</f>
        <v>1.0004192974106099</v>
      </c>
      <c r="X27" s="181">
        <f t="shared" si="4"/>
        <v>-1.3032216072099605E-3</v>
      </c>
      <c r="Y27" s="348">
        <f t="shared" si="5"/>
        <v>3.2642456359387721E-4</v>
      </c>
      <c r="AD27" s="155"/>
      <c r="AE27" s="155"/>
    </row>
    <row r="28" spans="5:31" ht="11.25" customHeight="1" x14ac:dyDescent="0.2">
      <c r="E28" s="340"/>
      <c r="F28" s="340"/>
      <c r="G28" s="155"/>
      <c r="K28" s="155"/>
      <c r="L28" s="155"/>
      <c r="R28" s="183">
        <f>_xll.qlCalendarAdvance(Calendar,R27,"1D","f")</f>
        <v>42146</v>
      </c>
      <c r="S28" s="183">
        <f>_xll.qlCalendarAdvance(Calendar,R28,$F$1,"mf",,Trigger)</f>
        <v>42240</v>
      </c>
      <c r="T28" s="169">
        <f>_xll.qlDayCounterYearFraction(DayCounter,R28,S28,,,Trigger)</f>
        <v>0.26111111111111113</v>
      </c>
      <c r="U28" s="181">
        <f>_xll.qlInterpolationInterpolate(B3Minterpolation,R28,TRUE)</f>
        <v>1.2804479244361499E-3</v>
      </c>
      <c r="V28" s="184">
        <f>_xll.qlYieldTSDiscount(Discounting,R28,,AllTriggers)</f>
        <v>1.0000890257441446</v>
      </c>
      <c r="W28" s="184">
        <f>_xll.qlYieldTSDiscount(Discounting,S28,,AllTriggers)</f>
        <v>1.0004315002139443</v>
      </c>
      <c r="X28" s="181">
        <f t="shared" si="4"/>
        <v>-1.3110386389714179E-3</v>
      </c>
      <c r="Y28" s="349">
        <f t="shared" si="5"/>
        <v>3.3439775554798025E-4</v>
      </c>
      <c r="AD28" s="155"/>
      <c r="AE28" s="155"/>
    </row>
    <row r="29" spans="5:31" ht="11.25" customHeight="1" x14ac:dyDescent="0.2">
      <c r="E29" s="340"/>
      <c r="F29" s="340"/>
      <c r="G29" s="155"/>
      <c r="K29" s="155"/>
      <c r="L29" s="155"/>
      <c r="R29" s="183">
        <f>_xll.qlCalendarAdvance(Calendar,R28,"1D","f")</f>
        <v>42149</v>
      </c>
      <c r="S29" s="183">
        <f>_xll.qlCalendarAdvance(Calendar,R29,$F$1,"mf",,Trigger)</f>
        <v>42241</v>
      </c>
      <c r="T29" s="169">
        <f>_xll.qlDayCounterYearFraction(DayCounter,R29,S29,,,Trigger)</f>
        <v>0.25555555555555554</v>
      </c>
      <c r="U29" s="181">
        <f>_xll.qlInterpolationInterpolate(B3Minterpolation,R29,TRUE)</f>
        <v>1.2904482380044565E-3</v>
      </c>
      <c r="V29" s="184">
        <f>_xll.qlYieldTSDiscount(Discounting,R29,,AllTriggers)</f>
        <v>1.000097761974267</v>
      </c>
      <c r="W29" s="184">
        <f>_xll.qlYieldTSDiscount(Discounting,S29,,AllTriggers)</f>
        <v>1.0004355712255828</v>
      </c>
      <c r="X29" s="181">
        <f t="shared" si="4"/>
        <v>-1.3212867732582535E-3</v>
      </c>
      <c r="Y29" s="349">
        <f t="shared" si="5"/>
        <v>3.2983820603254031E-4</v>
      </c>
      <c r="AD29" s="155"/>
      <c r="AE29" s="155"/>
    </row>
    <row r="30" spans="5:31" ht="11.25" customHeight="1" x14ac:dyDescent="0.2">
      <c r="E30" s="340"/>
      <c r="F30" s="340"/>
      <c r="G30" s="155"/>
      <c r="K30" s="155"/>
      <c r="L30" s="155"/>
      <c r="R30" s="183">
        <f>_xll.qlCalendarAdvance(Calendar,R29,"1D","f")</f>
        <v>42150</v>
      </c>
      <c r="S30" s="183">
        <f>_xll.qlCalendarAdvance(Calendar,R30,$F$1,"mf",,Trigger)</f>
        <v>42242</v>
      </c>
      <c r="T30" s="169">
        <f>_xll.qlDayCounterYearFraction(DayCounter,R30,S30,,,Trigger)</f>
        <v>0.25555555555555554</v>
      </c>
      <c r="U30" s="181">
        <f>_xll.qlInterpolationInterpolate(B3Minterpolation,R30,TRUE)</f>
        <v>1.2937525007566638E-3</v>
      </c>
      <c r="V30" s="184">
        <f>_xll.qlYieldTSDiscount(Discounting,R30,,AllTriggers)</f>
        <v>1.0001006793312754</v>
      </c>
      <c r="W30" s="184">
        <f>_xll.qlYieldTSDiscount(Discounting,S30,,AllTriggers)</f>
        <v>1.0004396439669276</v>
      </c>
      <c r="X30" s="181">
        <f t="shared" si="4"/>
        <v>-1.3258004767188144E-3</v>
      </c>
      <c r="Y30" s="349">
        <f t="shared" si="5"/>
        <v>3.3068301654359838E-4</v>
      </c>
      <c r="AD30" s="155"/>
      <c r="AE30" s="155"/>
    </row>
    <row r="31" spans="5:31" ht="11.25" customHeight="1" x14ac:dyDescent="0.2">
      <c r="E31" s="340"/>
      <c r="F31" s="340"/>
      <c r="G31" s="155"/>
      <c r="K31" s="155"/>
      <c r="L31" s="155"/>
      <c r="R31" s="183">
        <f>_xll.qlCalendarAdvance(Calendar,R30,"1D","f")</f>
        <v>42151</v>
      </c>
      <c r="S31" s="183">
        <f>_xll.qlCalendarAdvance(Calendar,R31,$F$1,"mf",,Trigger)</f>
        <v>42243</v>
      </c>
      <c r="T31" s="169">
        <f>_xll.qlDayCounterYearFraction(DayCounter,R31,S31,,,Trigger)</f>
        <v>0.25555555555555554</v>
      </c>
      <c r="U31" s="181">
        <f>_xll.qlInterpolationInterpolate(B3Minterpolation,R31,TRUE)</f>
        <v>1.2970365653600208E-3</v>
      </c>
      <c r="V31" s="184">
        <f>_xll.qlYieldTSDiscount(Discounting,R31,,AllTriggers)</f>
        <v>1.0001036026805405</v>
      </c>
      <c r="W31" s="184">
        <f>_xll.qlYieldTSDiscount(Discounting,S31,,AllTriggers)</f>
        <v>1.0004437184526449</v>
      </c>
      <c r="X31" s="181">
        <f t="shared" si="4"/>
        <v>-1.3302975263267307E-3</v>
      </c>
      <c r="Y31" s="349">
        <f t="shared" si="5"/>
        <v>3.3152266508626742E-4</v>
      </c>
      <c r="AD31" s="155"/>
      <c r="AE31" s="155"/>
    </row>
    <row r="32" spans="5:31" ht="11.25" customHeight="1" x14ac:dyDescent="0.2">
      <c r="E32" s="340"/>
      <c r="F32" s="340"/>
      <c r="G32" s="155"/>
      <c r="K32" s="155"/>
      <c r="L32" s="155"/>
      <c r="R32" s="183">
        <f>_xll.qlCalendarAdvance(Calendar,R31,"1D","f")</f>
        <v>42152</v>
      </c>
      <c r="S32" s="183">
        <f>_xll.qlCalendarAdvance(Calendar,R32,$F$1,"mf",,Trigger)</f>
        <v>42244</v>
      </c>
      <c r="T32" s="169">
        <f>_xll.qlDayCounterYearFraction(DayCounter,R32,S32,,,Trigger)</f>
        <v>0.25555555555555554</v>
      </c>
      <c r="U32" s="181">
        <f>_xll.qlInterpolationInterpolate(B3Minterpolation,R32,TRUE)</f>
        <v>1.3002970654563859E-3</v>
      </c>
      <c r="V32" s="184">
        <f>_xll.qlYieldTSDiscount(Discounting,R32,,AllTriggers)</f>
        <v>1.0001065340333617</v>
      </c>
      <c r="W32" s="184">
        <f>_xll.qlYieldTSDiscount(Discounting,S32,,AllTriggers)</f>
        <v>1.0004477946974004</v>
      </c>
      <c r="X32" s="181">
        <f t="shared" si="4"/>
        <v>-1.3347701128248483E-3</v>
      </c>
      <c r="Y32" s="349">
        <f t="shared" si="5"/>
        <v>3.3235629068270362E-4</v>
      </c>
      <c r="AD32" s="155"/>
      <c r="AE32" s="155"/>
    </row>
    <row r="33" spans="5:31" ht="11.25" customHeight="1" x14ac:dyDescent="0.2">
      <c r="E33" s="340"/>
      <c r="F33" s="340"/>
      <c r="G33" s="155"/>
      <c r="K33" s="155"/>
      <c r="L33" s="155"/>
      <c r="R33" s="183">
        <f>_xll.qlCalendarAdvance(Calendar,R32,"1D","f")</f>
        <v>42153</v>
      </c>
      <c r="S33" s="183">
        <f>_xll.qlCalendarAdvance(Calendar,R33,$F$1,"mf",,Trigger)</f>
        <v>42247</v>
      </c>
      <c r="T33" s="169">
        <f>_xll.qlDayCounterYearFraction(DayCounter,R33,S33,,,Trigger)</f>
        <v>0.26111111111111113</v>
      </c>
      <c r="U33" s="181">
        <f>_xll.qlInterpolationInterpolate(B3Minterpolation,R33,TRUE)</f>
        <v>1.3035306346876174E-3</v>
      </c>
      <c r="V33" s="184">
        <f>_xll.qlYieldTSDiscount(Discounting,R33,,AllTriggers)</f>
        <v>1.0001094754010618</v>
      </c>
      <c r="W33" s="184">
        <f>_xll.qlYieldTSDiscount(Discounting,S33,,AllTriggers)</f>
        <v>1.0004600341325649</v>
      </c>
      <c r="X33" s="181">
        <f t="shared" si="4"/>
        <v>-1.3419480128029153E-3</v>
      </c>
      <c r="Y33" s="348">
        <f t="shared" si="5"/>
        <v>3.4042768563882645E-4</v>
      </c>
      <c r="AD33" s="155"/>
      <c r="AE33" s="155"/>
    </row>
    <row r="34" spans="5:31" ht="11.25" customHeight="1" x14ac:dyDescent="0.2">
      <c r="E34" s="340"/>
      <c r="F34" s="340"/>
      <c r="G34" s="155"/>
      <c r="K34" s="155"/>
      <c r="L34" s="155"/>
      <c r="R34" s="183">
        <f>_xll.qlCalendarAdvance(Calendar,R33,"1D","f")</f>
        <v>42156</v>
      </c>
      <c r="S34" s="183">
        <f>_xll.qlCalendarAdvance(Calendar,R34,$F$1,"mf",,Trigger)</f>
        <v>42248</v>
      </c>
      <c r="T34" s="169">
        <f>_xll.qlDayCounterYearFraction(DayCounter,R34,S34,,,Trigger)</f>
        <v>0.25555555555555554</v>
      </c>
      <c r="U34" s="181">
        <f>_xll.qlInterpolationInterpolate(B3Minterpolation,R34,TRUE)</f>
        <v>1.3130360936090923E-3</v>
      </c>
      <c r="V34" s="184">
        <f>_xll.qlYieldTSDiscount(Discounting,R34,,AllTriggers)</f>
        <v>1.0001125790204217</v>
      </c>
      <c r="W34" s="184">
        <f>_xll.qlYieldTSDiscount(Discounting,S34,,AllTriggers)</f>
        <v>1.0004641175601421</v>
      </c>
      <c r="X34" s="181">
        <f t="shared" si="4"/>
        <v>-1.3749474529527366E-3</v>
      </c>
      <c r="Y34" s="348">
        <f t="shared" si="5"/>
        <v>3.3561529002257398E-4</v>
      </c>
      <c r="AD34" s="155"/>
      <c r="AE34" s="155"/>
    </row>
    <row r="35" spans="5:31" ht="11.25" customHeight="1" x14ac:dyDescent="0.2">
      <c r="E35" s="340"/>
      <c r="F35" s="340"/>
      <c r="G35" s="155"/>
      <c r="K35" s="155"/>
      <c r="L35" s="155"/>
      <c r="R35" s="183">
        <f>_xll.qlCalendarAdvance(Calendar,R34,"1D","f")</f>
        <v>42157</v>
      </c>
      <c r="S35" s="183">
        <f>_xll.qlCalendarAdvance(Calendar,R35,$F$1,"mf",,Trigger)</f>
        <v>42249</v>
      </c>
      <c r="T35" s="169">
        <f>_xll.qlDayCounterYearFraction(DayCounter,R35,S35,,,Trigger)</f>
        <v>0.25555555555555554</v>
      </c>
      <c r="U35" s="181">
        <f>_xll.qlInterpolationInterpolate(B3Minterpolation,R35,TRUE)</f>
        <v>1.3161282757983717E-3</v>
      </c>
      <c r="V35" s="184">
        <f>_xll.qlYieldTSDiscount(Discounting,R35,,AllTriggers)</f>
        <v>1.0001155805439392</v>
      </c>
      <c r="W35" s="184">
        <f>_xll.qlYieldTSDiscount(Discounting,S35,,AllTriggers)</f>
        <v>1.0004682028200929</v>
      </c>
      <c r="X35" s="181">
        <f t="shared" si="4"/>
        <v>-1.3791805617640429E-3</v>
      </c>
      <c r="Y35" s="348">
        <f t="shared" si="5"/>
        <v>3.3640589053920072E-4</v>
      </c>
      <c r="AD35" s="155"/>
      <c r="AE35" s="155"/>
    </row>
    <row r="36" spans="5:31" ht="11.25" customHeight="1" x14ac:dyDescent="0.2">
      <c r="E36" s="340"/>
      <c r="F36" s="340"/>
      <c r="G36" s="155"/>
      <c r="K36" s="155"/>
      <c r="L36" s="155"/>
      <c r="R36" s="183">
        <f>_xll.qlCalendarAdvance(Calendar,R35,"1D","f")</f>
        <v>42158</v>
      </c>
      <c r="S36" s="183">
        <f>_xll.qlCalendarAdvance(Calendar,R36,$F$1,"mf",,Trigger)</f>
        <v>42250</v>
      </c>
      <c r="T36" s="169">
        <f>_xll.qlDayCounterYearFraction(DayCounter,R36,S36,,,Trigger)</f>
        <v>0.25555555555555554</v>
      </c>
      <c r="U36" s="181">
        <f>_xll.qlInterpolationInterpolate(B3Minterpolation,R36,TRUE)</f>
        <v>1.3191766953318089E-3</v>
      </c>
      <c r="V36" s="184">
        <f>_xll.qlYieldTSDiscount(Discounting,R36,,AllTriggers)</f>
        <v>1.0001186021391977</v>
      </c>
      <c r="W36" s="184">
        <f>_xll.qlYieldTSDiscount(Discounting,S36,,AllTriggers)</f>
        <v>1.0004722899270853</v>
      </c>
      <c r="X36" s="181">
        <f t="shared" si="4"/>
        <v>-1.3833423530747483E-3</v>
      </c>
      <c r="Y36" s="348">
        <f t="shared" si="5"/>
        <v>3.3718530202219647E-4</v>
      </c>
      <c r="AD36" s="155"/>
      <c r="AE36" s="155"/>
    </row>
    <row r="37" spans="5:31" ht="11.25" customHeight="1" x14ac:dyDescent="0.2">
      <c r="E37" s="340"/>
      <c r="F37" s="340"/>
      <c r="G37" s="155"/>
      <c r="K37" s="155"/>
      <c r="L37" s="155"/>
      <c r="R37" s="183">
        <f>_xll.qlCalendarAdvance(Calendar,R36,"1D","f")</f>
        <v>42159</v>
      </c>
      <c r="S37" s="183">
        <f>_xll.qlCalendarAdvance(Calendar,R37,$F$1,"mf",,Trigger)</f>
        <v>42251</v>
      </c>
      <c r="T37" s="169">
        <f>_xll.qlDayCounterYearFraction(DayCounter,R37,S37,,,Trigger)</f>
        <v>0.25555555555555554</v>
      </c>
      <c r="U37" s="181">
        <f>_xll.qlInterpolationInterpolate(B3Minterpolation,R37,TRUE)</f>
        <v>1.3221779858512621E-3</v>
      </c>
      <c r="V37" s="184">
        <f>_xll.qlYieldTSDiscount(Discounting,R37,,AllTriggers)</f>
        <v>1.0001216458176561</v>
      </c>
      <c r="W37" s="184">
        <f>_xll.qlYieldTSDiscount(Discounting,S37,,AllTriggers)</f>
        <v>1.0004763788957864</v>
      </c>
      <c r="X37" s="181">
        <f t="shared" si="4"/>
        <v>-1.3874250179035652E-3</v>
      </c>
      <c r="Y37" s="348">
        <f t="shared" si="5"/>
        <v>3.3795266343866764E-4</v>
      </c>
      <c r="AD37" s="155"/>
      <c r="AE37" s="155"/>
    </row>
    <row r="38" spans="5:31" ht="11.25" customHeight="1" x14ac:dyDescent="0.2">
      <c r="E38" s="340"/>
      <c r="F38" s="340"/>
      <c r="G38" s="155"/>
      <c r="K38" s="155"/>
      <c r="L38" s="155"/>
      <c r="R38" s="183">
        <f>_xll.qlCalendarAdvance(Calendar,R37,"1D","f")</f>
        <v>42160</v>
      </c>
      <c r="S38" s="183">
        <f>_xll.qlCalendarAdvance(Calendar,R38,$F$1,"mf",,Trigger)</f>
        <v>42254</v>
      </c>
      <c r="T38" s="169">
        <f>_xll.qlDayCounterYearFraction(DayCounter,R38,S38,,,Trigger)</f>
        <v>0.26111111111111113</v>
      </c>
      <c r="U38" s="181">
        <f>_xll.qlInterpolationInterpolate(B3Minterpolation,R38,TRUE)</f>
        <v>1.3251287809985897E-3</v>
      </c>
      <c r="V38" s="184">
        <f>_xll.qlYieldTSDiscount(Discounting,R38,,AllTriggers)</f>
        <v>1.0001247135907989</v>
      </c>
      <c r="W38" s="184">
        <f>_xll.qlYieldTSDiscount(Discounting,S38,,AllTriggers)</f>
        <v>1.0004886571188303</v>
      </c>
      <c r="X38" s="181">
        <f t="shared" si="4"/>
        <v>-1.3931455070971808E-3</v>
      </c>
      <c r="Y38" s="348">
        <f t="shared" si="5"/>
        <v>3.4607186948018212E-4</v>
      </c>
      <c r="AD38" s="155"/>
      <c r="AE38" s="155"/>
    </row>
    <row r="39" spans="5:31" ht="11.25" customHeight="1" x14ac:dyDescent="0.2">
      <c r="E39" s="340"/>
      <c r="F39" s="340"/>
      <c r="G39" s="155"/>
      <c r="K39" s="155"/>
      <c r="L39" s="155"/>
      <c r="R39" s="183">
        <f>_xll.qlCalendarAdvance(Calendar,R38,"1D","f")</f>
        <v>42163</v>
      </c>
      <c r="S39" s="183">
        <f>_xll.qlCalendarAdvance(Calendar,R39,$F$1,"mf",,Trigger)</f>
        <v>42255</v>
      </c>
      <c r="T39" s="169">
        <f>_xll.qlDayCounterYearFraction(DayCounter,R39,S39,,,Trigger)</f>
        <v>0.25555555555555554</v>
      </c>
      <c r="U39" s="181">
        <f>_xll.qlInterpolationInterpolate(B3Minterpolation,R39,TRUE)</f>
        <v>1.333644530626401E-3</v>
      </c>
      <c r="V39" s="184">
        <f>_xll.qlYieldTSDiscount(Discounting,R39,,AllTriggers)</f>
        <v>1.0001340815935809</v>
      </c>
      <c r="W39" s="184">
        <f>_xll.qlYieldTSDiscount(Discounting,S39,,AllTriggers)</f>
        <v>1.0004927536810537</v>
      </c>
      <c r="X39" s="181">
        <f t="shared" si="4"/>
        <v>-1.4028082337990278E-3</v>
      </c>
      <c r="Y39" s="348">
        <f t="shared" si="5"/>
        <v>3.4088438758162083E-4</v>
      </c>
      <c r="AD39" s="155"/>
      <c r="AE39" s="155"/>
    </row>
    <row r="40" spans="5:31" ht="11.25" customHeight="1" x14ac:dyDescent="0.2">
      <c r="E40" s="340"/>
      <c r="F40" s="340"/>
      <c r="G40" s="155"/>
      <c r="K40" s="155"/>
      <c r="L40" s="155"/>
      <c r="R40" s="183">
        <f>_xll.qlCalendarAdvance(Calendar,R39,"1D","f")</f>
        <v>42164</v>
      </c>
      <c r="S40" s="183">
        <f>_xll.qlCalendarAdvance(Calendar,R40,$F$1,"mf",,Trigger)</f>
        <v>42256</v>
      </c>
      <c r="T40" s="169">
        <f>_xll.qlDayCounterYearFraction(DayCounter,R40,S40,,,Trigger)</f>
        <v>0.25555555555555554</v>
      </c>
      <c r="U40" s="181">
        <f>_xll.qlInterpolationInterpolate(B3Minterpolation,R40,TRUE)</f>
        <v>1.3363596807038087E-3</v>
      </c>
      <c r="V40" s="184">
        <f>_xll.qlYieldTSDiscount(Discounting,R40,,AllTriggers)</f>
        <v>1.0001372658608445</v>
      </c>
      <c r="W40" s="184">
        <f>_xll.qlYieldTSDiscount(Discounting,S40,,AllTriggers)</f>
        <v>1.0004968521783304</v>
      </c>
      <c r="X40" s="181">
        <f t="shared" si="4"/>
        <v>-1.4063781324713533E-3</v>
      </c>
      <c r="Y40" s="348">
        <f t="shared" si="5"/>
        <v>3.4157858297508231E-4</v>
      </c>
      <c r="AD40" s="155"/>
      <c r="AE40" s="155"/>
    </row>
    <row r="41" spans="5:31" ht="11.25" customHeight="1" x14ac:dyDescent="0.2">
      <c r="E41" s="340"/>
      <c r="F41" s="340"/>
      <c r="G41" s="155"/>
      <c r="K41" s="155"/>
      <c r="L41" s="155"/>
      <c r="R41" s="183">
        <f>_xll.qlCalendarAdvance(Calendar,R40,"1D","f")</f>
        <v>42165</v>
      </c>
      <c r="S41" s="183">
        <f>_xll.qlCalendarAdvance(Calendar,R41,$F$1,"mf",,Trigger)</f>
        <v>42257</v>
      </c>
      <c r="T41" s="169">
        <f>_xll.qlDayCounterYearFraction(DayCounter,R41,S41,,,Trigger)</f>
        <v>0.25555555555555554</v>
      </c>
      <c r="U41" s="181">
        <f>_xll.qlInterpolationInterpolate(B3Minterpolation,R41,TRUE)</f>
        <v>1.3390075036183822E-3</v>
      </c>
      <c r="V41" s="184">
        <f>_xll.qlYieldTSDiscount(Discounting,R41,,AllTriggers)</f>
        <v>1.0001404842806221</v>
      </c>
      <c r="W41" s="184">
        <f>_xll.qlYieldTSDiscount(Discounting,S41,,AllTriggers)</f>
        <v>1.0005009526215993</v>
      </c>
      <c r="X41" s="181">
        <f t="shared" si="4"/>
        <v>-1.4098220367352939E-3</v>
      </c>
      <c r="Y41" s="348">
        <f t="shared" si="5"/>
        <v>3.4225556198914795E-4</v>
      </c>
      <c r="AD41" s="155"/>
      <c r="AE41" s="155"/>
    </row>
    <row r="42" spans="5:31" ht="11.25" customHeight="1" x14ac:dyDescent="0.2">
      <c r="E42" s="340"/>
      <c r="F42" s="340"/>
      <c r="G42" s="155"/>
      <c r="K42" s="155"/>
      <c r="L42" s="155"/>
      <c r="R42" s="183">
        <f>_xll.qlCalendarAdvance(Calendar,R41,"1D","f")</f>
        <v>42166</v>
      </c>
      <c r="S42" s="183">
        <f>_xll.qlCalendarAdvance(Calendar,R42,$F$1,"mf",,Trigger)</f>
        <v>42258</v>
      </c>
      <c r="T42" s="169">
        <f>_xll.qlDayCounterYearFraction(DayCounter,R42,S42,,,Trigger)</f>
        <v>0.25555555555555554</v>
      </c>
      <c r="U42" s="181">
        <f>_xll.qlInterpolationInterpolate(B3Minterpolation,R42,TRUE)</f>
        <v>1.3415846330119795E-3</v>
      </c>
      <c r="V42" s="184">
        <f>_xll.qlYieldTSDiscount(Discounting,R42,,AllTriggers)</f>
        <v>1.0001437383906981</v>
      </c>
      <c r="W42" s="184">
        <f>_xll.qlYieldTSDiscount(Discounting,S42,,AllTriggers)</f>
        <v>1.0005050550068788</v>
      </c>
      <c r="X42" s="181">
        <f t="shared" si="4"/>
        <v>-1.413133918172216E-3</v>
      </c>
      <c r="Y42" s="348">
        <f t="shared" si="5"/>
        <v>3.4291446371232021E-4</v>
      </c>
      <c r="AD42" s="155"/>
      <c r="AE42" s="155"/>
    </row>
    <row r="43" spans="5:31" ht="11.25" customHeight="1" x14ac:dyDescent="0.2">
      <c r="E43" s="340"/>
      <c r="F43" s="340"/>
      <c r="G43" s="155"/>
      <c r="K43" s="155"/>
      <c r="L43" s="155"/>
      <c r="R43" s="183">
        <f>_xll.qlCalendarAdvance(Calendar,R42,"1D","f")</f>
        <v>42167</v>
      </c>
      <c r="S43" s="183">
        <f>_xll.qlCalendarAdvance(Calendar,R43,$F$1,"mf",,Trigger)</f>
        <v>42261</v>
      </c>
      <c r="T43" s="169">
        <f>_xll.qlDayCounterYearFraction(DayCounter,R43,S43,,,Trigger)</f>
        <v>0.26111111111111113</v>
      </c>
      <c r="U43" s="181">
        <f>_xll.qlInterpolationInterpolate(B3Minterpolation,R43,TRUE)</f>
        <v>1.3440877025264592E-3</v>
      </c>
      <c r="V43" s="184">
        <f>_xll.qlYieldTSDiscount(Discounting,R43,,AllTriggers)</f>
        <v>1.0001470278334066</v>
      </c>
      <c r="W43" s="184">
        <f>_xll.qlYieldTSDiscount(Discounting,S43,,AllTriggers)</f>
        <v>1.0005173737376618</v>
      </c>
      <c r="X43" s="181">
        <f t="shared" si="4"/>
        <v>-1.4176125807770371E-3</v>
      </c>
      <c r="Y43" s="348">
        <f t="shared" si="5"/>
        <v>3.5102457319904478E-4</v>
      </c>
      <c r="AD43" s="155"/>
      <c r="AE43" s="155"/>
    </row>
    <row r="44" spans="5:31" ht="11.25" customHeight="1" x14ac:dyDescent="0.2">
      <c r="E44" s="340"/>
      <c r="F44" s="340"/>
      <c r="G44" s="155"/>
      <c r="K44" s="155"/>
      <c r="L44" s="155"/>
      <c r="R44" s="183">
        <f>_xll.qlCalendarAdvance(Calendar,R43,"1D","f")</f>
        <v>42170</v>
      </c>
      <c r="S44" s="183">
        <f>_xll.qlCalendarAdvance(Calendar,R44,$F$1,"mf",,Trigger)</f>
        <v>42262</v>
      </c>
      <c r="T44" s="169">
        <f>_xll.qlDayCounterYearFraction(DayCounter,R44,S44,,,Trigger)</f>
        <v>0.25555555555555554</v>
      </c>
      <c r="U44" s="181">
        <f>_xll.qlInterpolationInterpolate(B3Minterpolation,R44,TRUE)</f>
        <v>1.3511188882137754E-3</v>
      </c>
      <c r="V44" s="184">
        <f>_xll.qlYieldTSDiscount(Discounting,R44,,AllTriggers)</f>
        <v>1.0001570998419205</v>
      </c>
      <c r="W44" s="184">
        <f>_xll.qlYieldTSDiscount(Discounting,S44,,AllTriggers)</f>
        <v>1.0005214838138639</v>
      </c>
      <c r="X44" s="181">
        <f t="shared" si="4"/>
        <v>-1.425107154681862E-3</v>
      </c>
      <c r="Y44" s="348">
        <f t="shared" si="5"/>
        <v>3.4535209409818096E-4</v>
      </c>
      <c r="AD44" s="155"/>
      <c r="AE44" s="155"/>
    </row>
    <row r="45" spans="5:31" ht="11.25" customHeight="1" x14ac:dyDescent="0.2">
      <c r="E45" s="340"/>
      <c r="F45" s="340"/>
      <c r="G45" s="155"/>
      <c r="K45" s="155"/>
      <c r="L45" s="155"/>
      <c r="R45" s="183">
        <f>_xll.qlCalendarAdvance(Calendar,R44,"1D","f")</f>
        <v>42171</v>
      </c>
      <c r="S45" s="183">
        <f>_xll.qlCalendarAdvance(Calendar,R45,$F$1,"mf",,Trigger)</f>
        <v>42263</v>
      </c>
      <c r="T45" s="169">
        <f>_xll.qlDayCounterYearFraction(DayCounter,R45,S45,,,Trigger)</f>
        <v>0.25555555555555554</v>
      </c>
      <c r="U45" s="181">
        <f>_xll.qlInterpolationInterpolate(B3Minterpolation,R45,TRUE)</f>
        <v>1.3532920546303672E-3</v>
      </c>
      <c r="V45" s="184">
        <f>_xll.qlYieldTSDiscount(Discounting,R45,,AllTriggers)</f>
        <v>1.0001605222997145</v>
      </c>
      <c r="W45" s="184">
        <f>_xll.qlYieldTSDiscount(Discounting,S45,,AllTriggers)</f>
        <v>1.0005255957935155</v>
      </c>
      <c r="X45" s="181">
        <f t="shared" si="4"/>
        <v>-1.4277980093761443E-3</v>
      </c>
      <c r="Y45" s="348">
        <f t="shared" si="5"/>
        <v>3.4590770710914707E-4</v>
      </c>
      <c r="AD45" s="155"/>
      <c r="AE45" s="155"/>
    </row>
    <row r="46" spans="5:31" ht="11.25" customHeight="1" x14ac:dyDescent="0.2">
      <c r="E46" s="340"/>
      <c r="F46" s="340"/>
      <c r="G46" s="155"/>
      <c r="K46" s="155"/>
      <c r="L46" s="155"/>
      <c r="R46" s="183">
        <f>_xll.qlCalendarAdvance(Calendar,R45,"1D","f")</f>
        <v>42172</v>
      </c>
      <c r="S46" s="183">
        <f>_xll.qlCalendarAdvance(Calendar,R46,$F$1,"mf",,Trigger)</f>
        <v>42264</v>
      </c>
      <c r="T46" s="169">
        <f>_xll.qlDayCounterYearFraction(DayCounter,R46,S46,,,Trigger)</f>
        <v>0.25555555555555554</v>
      </c>
      <c r="U46" s="181">
        <f>_xll.qlInterpolationInterpolate(B3Minterpolation,R46,TRUE)</f>
        <v>1.3553743293771329E-3</v>
      </c>
      <c r="V46" s="184">
        <f>_xll.qlYieldTSDiscount(Discounting,R46,,AllTriggers)</f>
        <v>1.0001639759323795</v>
      </c>
      <c r="W46" s="184">
        <f>_xll.qlYieldTSDiscount(Discounting,S46,,AllTriggers)</f>
        <v>1.0005297096689045</v>
      </c>
      <c r="X46" s="181">
        <f t="shared" si="4"/>
        <v>-1.4303743293769581E-3</v>
      </c>
      <c r="Y46" s="348">
        <f t="shared" si="5"/>
        <v>3.4644008211710218E-4</v>
      </c>
      <c r="AD46" s="155"/>
      <c r="AE46" s="155"/>
    </row>
    <row r="47" spans="5:31" ht="11.25" customHeight="1" x14ac:dyDescent="0.2">
      <c r="E47" s="340"/>
      <c r="F47" s="340"/>
      <c r="G47" s="155"/>
      <c r="K47" s="155"/>
      <c r="L47" s="155"/>
      <c r="R47" s="183">
        <f>_xll.qlCalendarAdvance(Calendar,R46,"1D","f")</f>
        <v>42173</v>
      </c>
      <c r="S47" s="183">
        <f>_xll.qlCalendarAdvance(Calendar,R47,$F$1,"mf",,Trigger)</f>
        <v>42265</v>
      </c>
      <c r="T47" s="169">
        <f>_xll.qlDayCounterYearFraction(DayCounter,R47,S47,,,Trigger)</f>
        <v>0.25555555555555554</v>
      </c>
      <c r="U47" s="181">
        <f>_xll.qlInterpolationInterpolate(B3Minterpolation,R47,TRUE)</f>
        <v>1.3573632577745019E-3</v>
      </c>
      <c r="V47" s="184">
        <f>_xll.qlYieldTSDiscount(Discounting,R47,,AllTriggers)</f>
        <v>1.0001674599083386</v>
      </c>
      <c r="W47" s="184">
        <f>_xll.qlYieldTSDiscount(Discounting,S47,,AllTriggers)</f>
        <v>1.0005338254323188</v>
      </c>
      <c r="X47" s="181">
        <f t="shared" si="4"/>
        <v>-1.4328393381914167E-3</v>
      </c>
      <c r="Y47" s="348">
        <f t="shared" si="5"/>
        <v>3.46948592032824E-4</v>
      </c>
      <c r="AD47" s="155"/>
      <c r="AE47" s="155"/>
    </row>
    <row r="48" spans="5:31" ht="11.25" customHeight="1" x14ac:dyDescent="0.2">
      <c r="E48" s="340"/>
      <c r="F48" s="340"/>
      <c r="G48" s="155"/>
      <c r="K48" s="155"/>
      <c r="L48" s="155"/>
      <c r="R48" s="183">
        <f>_xll.qlCalendarAdvance(Calendar,R47,"1D","f")</f>
        <v>42174</v>
      </c>
      <c r="S48" s="183">
        <f>_xll.qlCalendarAdvance(Calendar,R48,$F$1,"mf",,Trigger)</f>
        <v>42268</v>
      </c>
      <c r="T48" s="169">
        <f>_xll.qlDayCounterYearFraction(DayCounter,R48,S48,,,Trigger)</f>
        <v>0.26111111111111113</v>
      </c>
      <c r="U48" s="181">
        <f>_xll.qlInterpolationInterpolate(B3Minterpolation,R48,TRUE)</f>
        <v>1.3592600318571885E-3</v>
      </c>
      <c r="V48" s="184">
        <f>_xll.qlYieldTSDiscount(Discounting,R48,,AllTriggers)</f>
        <v>1.0001709733960062</v>
      </c>
      <c r="W48" s="184">
        <f>_xll.qlYieldTSDiscount(Discounting,S48,,AllTriggers)</f>
        <v>1.0005461839735812</v>
      </c>
      <c r="X48" s="181">
        <f t="shared" si="4"/>
        <v>-1.436192254881804E-3</v>
      </c>
      <c r="Y48" s="348">
        <f t="shared" si="5"/>
        <v>3.5498802768577624E-4</v>
      </c>
      <c r="AD48" s="155"/>
      <c r="AE48" s="155"/>
    </row>
    <row r="49" spans="5:31" ht="11.25" customHeight="1" x14ac:dyDescent="0.2">
      <c r="E49" s="340"/>
      <c r="F49" s="340"/>
      <c r="G49" s="155"/>
      <c r="K49" s="155"/>
      <c r="L49" s="155"/>
      <c r="R49" s="183">
        <f>_xll.qlCalendarAdvance(Calendar,R48,"1D","f")</f>
        <v>42177</v>
      </c>
      <c r="S49" s="183">
        <f>_xll.qlCalendarAdvance(Calendar,R49,$F$1,"mf",,Trigger)</f>
        <v>42269</v>
      </c>
      <c r="T49" s="169">
        <f>_xll.qlDayCounterYearFraction(DayCounter,R49,S49,,,Trigger)</f>
        <v>0.25555555555555554</v>
      </c>
      <c r="U49" s="181">
        <f>_xll.qlInterpolationInterpolate(B3Minterpolation,R49,TRUE)</f>
        <v>1.3644184653500123E-3</v>
      </c>
      <c r="V49" s="184">
        <f>_xll.qlYieldTSDiscount(Discounting,R49,,AllTriggers)</f>
        <v>1.000181682613269</v>
      </c>
      <c r="W49" s="184">
        <f>_xll.qlYieldTSDiscount(Discounting,S49,,AllTriggers)</f>
        <v>1.0005503072119659</v>
      </c>
      <c r="X49" s="181">
        <f t="shared" si="4"/>
        <v>-1.4416507310628477E-3</v>
      </c>
      <c r="Y49" s="348">
        <f t="shared" si="5"/>
        <v>3.4875240814781635E-4</v>
      </c>
      <c r="AD49" s="155"/>
      <c r="AE49" s="155"/>
    </row>
    <row r="50" spans="5:31" ht="11.25" customHeight="1" x14ac:dyDescent="0.2">
      <c r="E50" s="340"/>
      <c r="F50" s="340"/>
      <c r="G50" s="155"/>
      <c r="K50" s="155"/>
      <c r="L50" s="155"/>
      <c r="R50" s="183">
        <f>_xll.qlCalendarAdvance(Calendar,R49,"1D","f")</f>
        <v>42178</v>
      </c>
      <c r="S50" s="183">
        <f>_xll.qlCalendarAdvance(Calendar,R50,$F$1,"mf",,Trigger)</f>
        <v>42270</v>
      </c>
      <c r="T50" s="169">
        <f>_xll.qlDayCounterYearFraction(DayCounter,R50,S50,,,Trigger)</f>
        <v>0.25555555555555554</v>
      </c>
      <c r="U50" s="181">
        <f>_xll.qlInterpolationInterpolate(B3Minterpolation,R50,TRUE)</f>
        <v>1.3659676593068271E-3</v>
      </c>
      <c r="V50" s="184">
        <f>_xll.qlYieldTSDiscount(Discounting,R50,,AllTriggers)</f>
        <v>1.0001853058317314</v>
      </c>
      <c r="W50" s="184">
        <f>_xll.qlYieldTSDiscount(Discounting,S50,,AllTriggers)</f>
        <v>1.0005544322998103</v>
      </c>
      <c r="X50" s="181">
        <f t="shared" si="4"/>
        <v>-1.4436075359236041E-3</v>
      </c>
      <c r="Y50" s="348">
        <f t="shared" si="5"/>
        <v>3.4914849563923731E-4</v>
      </c>
      <c r="AD50" s="155"/>
      <c r="AE50" s="155"/>
    </row>
    <row r="51" spans="5:31" ht="11.25" customHeight="1" x14ac:dyDescent="0.2">
      <c r="E51" s="340"/>
      <c r="F51" s="340"/>
      <c r="G51" s="155"/>
      <c r="K51" s="155"/>
      <c r="L51" s="155"/>
      <c r="R51" s="183">
        <f>_xll.qlCalendarAdvance(Calendar,R50,"1D","f")</f>
        <v>42179</v>
      </c>
      <c r="S51" s="183">
        <f>_xll.qlCalendarAdvance(Calendar,R51,$F$1,"mf",,Trigger)</f>
        <v>42271</v>
      </c>
      <c r="T51" s="169">
        <f>_xll.qlDayCounterYearFraction(DayCounter,R51,S51,,,Trigger)</f>
        <v>0.25555555555555554</v>
      </c>
      <c r="U51" s="181">
        <f>_xll.qlInterpolationInterpolate(B3Minterpolation,R51,TRUE)</f>
        <v>1.3674352175153883E-3</v>
      </c>
      <c r="V51" s="184">
        <f>_xll.qlYieldTSDiscount(Discounting,R51,,AllTriggers)</f>
        <v>1.0001889544038347</v>
      </c>
      <c r="W51" s="184">
        <f>_xll.qlYieldTSDiscount(Discounting,S51,,AllTriggers)</f>
        <v>1.0005585592294011</v>
      </c>
      <c r="X51" s="181">
        <f t="shared" si="4"/>
        <v>-1.4454723702831457E-3</v>
      </c>
      <c r="Y51" s="348">
        <f t="shared" si="5"/>
        <v>3.4952371226830051E-4</v>
      </c>
      <c r="AD51" s="155"/>
      <c r="AE51" s="155"/>
    </row>
    <row r="52" spans="5:31" ht="11.25" customHeight="1" x14ac:dyDescent="0.2">
      <c r="E52" s="340"/>
      <c r="F52" s="340"/>
      <c r="G52" s="155"/>
      <c r="K52" s="155"/>
      <c r="L52" s="155"/>
      <c r="R52" s="183">
        <f>_xll.qlCalendarAdvance(Calendar,R51,"1D","f")</f>
        <v>42180</v>
      </c>
      <c r="S52" s="183">
        <f>_xll.qlCalendarAdvance(Calendar,R52,$F$1,"mf",,Trigger)</f>
        <v>42272</v>
      </c>
      <c r="T52" s="169">
        <f>_xll.qlDayCounterYearFraction(DayCounter,R52,S52,,,Trigger)</f>
        <v>0.25555555555555554</v>
      </c>
      <c r="U52" s="181">
        <f>_xll.qlInterpolationInterpolate(B3Minterpolation,R52,TRUE)</f>
        <v>1.3688232436889812E-3</v>
      </c>
      <c r="V52" s="184">
        <f>_xll.qlYieldTSDiscount(Discounting,R52,,AllTriggers)</f>
        <v>1.0001926274979351</v>
      </c>
      <c r="W52" s="184">
        <f>_xll.qlYieldTSDiscount(Discounting,S52,,AllTriggers)</f>
        <v>1.0005626879930254</v>
      </c>
      <c r="X52" s="181">
        <f t="shared" si="4"/>
        <v>-1.4472484575447559E-3</v>
      </c>
      <c r="Y52" s="348">
        <f t="shared" si="5"/>
        <v>3.4987859591633356E-4</v>
      </c>
      <c r="AD52" s="155"/>
      <c r="AE52" s="155"/>
    </row>
    <row r="53" spans="5:31" ht="11.25" customHeight="1" x14ac:dyDescent="0.2">
      <c r="E53" s="340"/>
      <c r="F53" s="340"/>
      <c r="G53" s="155"/>
      <c r="K53" s="155"/>
      <c r="L53" s="155"/>
      <c r="R53" s="183">
        <f>_xll.qlCalendarAdvance(Calendar,R52,"1D","f")</f>
        <v>42181</v>
      </c>
      <c r="S53" s="183">
        <f>_xll.qlCalendarAdvance(Calendar,R53,$F$1,"mf",,Trigger)</f>
        <v>42275</v>
      </c>
      <c r="T53" s="169">
        <f>_xll.qlDayCounterYearFraction(DayCounter,R53,S53,,,Trigger)</f>
        <v>0.26111111111111113</v>
      </c>
      <c r="U53" s="181">
        <f>_xll.qlInterpolationInterpolate(B3Minterpolation,R53,TRUE)</f>
        <v>1.370133841540892E-3</v>
      </c>
      <c r="V53" s="184">
        <f>_xll.qlYieldTSDiscount(Discounting,R53,,AllTriggers)</f>
        <v>1.0001963242823797</v>
      </c>
      <c r="W53" s="184">
        <f>_xll.qlYieldTSDiscount(Discounting,S53,,AllTriggers)</f>
        <v>1.0005750852109603</v>
      </c>
      <c r="X53" s="181">
        <f t="shared" si="4"/>
        <v>-1.4497400449724283E-3</v>
      </c>
      <c r="Y53" s="348">
        <f t="shared" si="5"/>
        <v>3.5782861927858504E-4</v>
      </c>
      <c r="AD53" s="155"/>
      <c r="AE53" s="155"/>
    </row>
    <row r="54" spans="5:31" ht="11.25" customHeight="1" x14ac:dyDescent="0.2">
      <c r="E54" s="340"/>
      <c r="F54" s="340"/>
      <c r="G54" s="155"/>
      <c r="K54" s="155"/>
      <c r="L54" s="155"/>
      <c r="R54" s="183">
        <f>_xll.qlCalendarAdvance(Calendar,R53,"1D","f")</f>
        <v>42184</v>
      </c>
      <c r="S54" s="183">
        <f>_xll.qlCalendarAdvance(Calendar,R54,$F$1,"mf",,Trigger)</f>
        <v>42276</v>
      </c>
      <c r="T54" s="169">
        <f>_xll.qlDayCounterYearFraction(DayCounter,R54,S54,,,Trigger)</f>
        <v>0.25555555555555554</v>
      </c>
      <c r="U54" s="181">
        <f>_xll.qlInterpolationInterpolate(B3Minterpolation,R54,TRUE)</f>
        <v>1.3736221022993878E-3</v>
      </c>
      <c r="V54" s="184">
        <f>_xll.qlYieldTSDiscount(Discounting,R54,,AllTriggers)</f>
        <v>1.00020754846108</v>
      </c>
      <c r="W54" s="184">
        <f>_xll.qlYieldTSDiscount(Discounting,S54,,AllTriggers)</f>
        <v>1.0005792212335805</v>
      </c>
      <c r="X54" s="181">
        <f t="shared" si="4"/>
        <v>-1.4535298031544915E-3</v>
      </c>
      <c r="Y54" s="348">
        <f t="shared" si="5"/>
        <v>3.5110555843784511E-4</v>
      </c>
      <c r="AD54" s="155"/>
      <c r="AE54" s="155"/>
    </row>
    <row r="55" spans="5:31" ht="11.25" customHeight="1" x14ac:dyDescent="0.2">
      <c r="E55" s="340"/>
      <c r="F55" s="340"/>
      <c r="G55" s="155"/>
      <c r="K55" s="155"/>
      <c r="L55" s="155"/>
      <c r="R55" s="183">
        <f>_xll.qlCalendarAdvance(Calendar,R54,"1D","f")</f>
        <v>42185</v>
      </c>
      <c r="S55" s="183">
        <f>_xll.qlCalendarAdvance(Calendar,R55,$F$1,"mf",,Trigger)</f>
        <v>42277</v>
      </c>
      <c r="T55" s="169">
        <f>_xll.qlDayCounterYearFraction(DayCounter,R55,S55,,,Trigger)</f>
        <v>0.25555555555555554</v>
      </c>
      <c r="U55" s="181">
        <f>_xll.qlInterpolationInterpolate(B3Minterpolation,R55,TRUE)</f>
        <v>1.3746440239974266E-3</v>
      </c>
      <c r="V55" s="184">
        <f>_xll.qlYieldTSDiscount(Discounting,R55,,AllTriggers)</f>
        <v>1.0002113316901495</v>
      </c>
      <c r="W55" s="184">
        <f>_xll.qlYieldTSDiscount(Discounting,S55,,AllTriggers)</f>
        <v>1.0005833590516644</v>
      </c>
      <c r="X55" s="181">
        <f t="shared" si="4"/>
        <v>-1.4549105054978177E-3</v>
      </c>
      <c r="Y55" s="348">
        <f t="shared" si="5"/>
        <v>3.5136684550680545E-4</v>
      </c>
      <c r="AD55" s="155"/>
      <c r="AE55" s="155"/>
    </row>
    <row r="56" spans="5:31" ht="11.25" customHeight="1" x14ac:dyDescent="0.2">
      <c r="E56" s="340"/>
      <c r="F56" s="340"/>
      <c r="G56" s="155"/>
      <c r="K56" s="155"/>
      <c r="L56" s="155"/>
      <c r="R56" s="183">
        <f>_xll.qlCalendarAdvance(Calendar,R55,"1D","f")</f>
        <v>42186</v>
      </c>
      <c r="S56" s="183">
        <f>_xll.qlCalendarAdvance(Calendar,R56,$F$1,"mf",,Trigger)</f>
        <v>42278</v>
      </c>
      <c r="T56" s="169">
        <f>_xll.qlDayCounterYearFraction(DayCounter,R56,S56,,,Trigger)</f>
        <v>0.25555555555555554</v>
      </c>
      <c r="U56" s="181">
        <f>_xll.qlInterpolationInterpolate(B3Minterpolation,R56,TRUE)</f>
        <v>1.3755990359402117E-3</v>
      </c>
      <c r="V56" s="184">
        <f>_xll.qlYieldTSDiscount(Discounting,R56,,AllTriggers)</f>
        <v>1.0002151344511323</v>
      </c>
      <c r="W56" s="184">
        <f>_xll.qlYieldTSDiscount(Discounting,S56,,AllTriggers)</f>
        <v>1.0005832961900043</v>
      </c>
      <c r="X56" s="181">
        <f t="shared" si="4"/>
        <v>-1.4397930654289192E-3</v>
      </c>
      <c r="Y56" s="348">
        <f t="shared" si="5"/>
        <v>3.5160955043535237E-4</v>
      </c>
      <c r="AD56" s="155"/>
      <c r="AE56" s="155"/>
    </row>
    <row r="57" spans="5:31" ht="11.25" customHeight="1" x14ac:dyDescent="0.2">
      <c r="E57" s="340"/>
      <c r="F57" s="340"/>
      <c r="G57" s="155"/>
      <c r="K57" s="155"/>
      <c r="L57" s="155"/>
      <c r="R57" s="183">
        <f>_xll.qlCalendarAdvance(Calendar,R56,"1D","f")</f>
        <v>42187</v>
      </c>
      <c r="S57" s="183">
        <f>_xll.qlCalendarAdvance(Calendar,R57,$F$1,"mf",,Trigger)</f>
        <v>42279</v>
      </c>
      <c r="T57" s="169">
        <f>_xll.qlDayCounterYearFraction(DayCounter,R57,S57,,,Trigger)</f>
        <v>0.25555555555555554</v>
      </c>
      <c r="U57" s="181">
        <f>_xll.qlInterpolationInterpolate(B3Minterpolation,R57,TRUE)</f>
        <v>1.3764892418410286E-3</v>
      </c>
      <c r="V57" s="184">
        <f>_xll.qlYieldTSDiscount(Discounting,R57,,AllTriggers)</f>
        <v>1.0002189559123087</v>
      </c>
      <c r="W57" s="184">
        <f>_xll.qlYieldTSDiscount(Discounting,S57,,AllTriggers)</f>
        <v>1.0005874375584805</v>
      </c>
      <c r="X57" s="181">
        <f t="shared" si="4"/>
        <v>-1.4410381824597029E-3</v>
      </c>
      <c r="Y57" s="348">
        <f t="shared" si="5"/>
        <v>3.5183716318004416E-4</v>
      </c>
      <c r="AD57" s="155"/>
      <c r="AE57" s="155"/>
    </row>
    <row r="58" spans="5:31" ht="11.25" customHeight="1" x14ac:dyDescent="0.2">
      <c r="E58" s="340"/>
      <c r="F58" s="340"/>
      <c r="G58" s="155"/>
      <c r="K58" s="155"/>
      <c r="L58" s="155"/>
      <c r="R58" s="183">
        <f>_xll.qlCalendarAdvance(Calendar,R57,"1D","f")</f>
        <v>42188</v>
      </c>
      <c r="S58" s="183">
        <f>_xll.qlCalendarAdvance(Calendar,R58,$F$1,"mf",,Trigger)</f>
        <v>42282</v>
      </c>
      <c r="T58" s="169">
        <f>_xll.qlDayCounterYearFraction(DayCounter,R58,S58,,,Trigger)</f>
        <v>0.26111111111111113</v>
      </c>
      <c r="U58" s="181">
        <f>_xll.qlInterpolationInterpolate(B3Minterpolation,R58,TRUE)</f>
        <v>1.3773167454131632E-3</v>
      </c>
      <c r="V58" s="184">
        <f>_xll.qlYieldTSDiscount(Discounting,R58,,AllTriggers)</f>
        <v>1.0002227952419471</v>
      </c>
      <c r="W58" s="184">
        <f>_xll.qlYieldTSDiscount(Discounting,S58,,AllTriggers)</f>
        <v>1.000599872266934</v>
      </c>
      <c r="X58" s="181">
        <f t="shared" si="4"/>
        <v>-1.4432590054941469E-3</v>
      </c>
      <c r="Y58" s="348">
        <f t="shared" si="5"/>
        <v>3.5970358367957208E-4</v>
      </c>
      <c r="AD58" s="155"/>
      <c r="AE58" s="155"/>
    </row>
    <row r="59" spans="5:31" ht="11.25" customHeight="1" x14ac:dyDescent="0.2">
      <c r="E59" s="340"/>
      <c r="F59" s="340"/>
      <c r="G59" s="155"/>
      <c r="K59" s="155"/>
      <c r="L59" s="155"/>
      <c r="R59" s="183">
        <f>_xll.qlCalendarAdvance(Calendar,R58,"1D","f")</f>
        <v>42191</v>
      </c>
      <c r="S59" s="183">
        <f>_xll.qlCalendarAdvance(Calendar,R59,$F$1,"mf",,Trigger)</f>
        <v>42283</v>
      </c>
      <c r="T59" s="169">
        <f>_xll.qlDayCounterYearFraction(DayCounter,R59,S59,,,Trigger)</f>
        <v>0.25555555555555554</v>
      </c>
      <c r="U59" s="181">
        <f>_xll.qlInterpolationInterpolate(B3Minterpolation,R59,TRUE)</f>
        <v>1.3794440792903304E-3</v>
      </c>
      <c r="V59" s="184">
        <f>_xll.qlYieldTSDiscount(Discounting,R59,,AllTriggers)</f>
        <v>1.0002344121241438</v>
      </c>
      <c r="W59" s="184">
        <f>_xll.qlYieldTSDiscount(Discounting,S59,,AllTriggers)</f>
        <v>1.0006040206783784</v>
      </c>
      <c r="X59" s="181">
        <f t="shared" si="4"/>
        <v>-1.445421278315967E-3</v>
      </c>
      <c r="Y59" s="348">
        <f t="shared" si="5"/>
        <v>3.5259269550121439E-4</v>
      </c>
      <c r="AD59" s="155"/>
      <c r="AE59" s="155"/>
    </row>
    <row r="60" spans="5:31" ht="11.25" customHeight="1" x14ac:dyDescent="0.2">
      <c r="E60" s="340"/>
      <c r="F60" s="340"/>
      <c r="G60" s="155"/>
      <c r="K60" s="155"/>
      <c r="L60" s="155"/>
      <c r="R60" s="183">
        <f>_xll.qlCalendarAdvance(Calendar,R59,"1D","f")</f>
        <v>42192</v>
      </c>
      <c r="S60" s="183">
        <f>_xll.qlCalendarAdvance(Calendar,R60,$F$1,"mf",,Trigger)</f>
        <v>42284</v>
      </c>
      <c r="T60" s="169">
        <f>_xll.qlDayCounterYearFraction(DayCounter,R60,S60,,,Trigger)</f>
        <v>0.25555555555555554</v>
      </c>
      <c r="U60" s="181">
        <f>_xll.qlInterpolationInterpolate(B3Minterpolation,R60,TRUE)</f>
        <v>1.3800418106805928E-3</v>
      </c>
      <c r="V60" s="184">
        <f>_xll.qlYieldTSDiscount(Discounting,R60,,AllTriggers)</f>
        <v>1.0002383146100786</v>
      </c>
      <c r="W60" s="184">
        <f>_xll.qlYieldTSDiscount(Discounting,S60,,AllTriggers)</f>
        <v>1.0006081708312782</v>
      </c>
      <c r="X60" s="181">
        <f t="shared" si="4"/>
        <v>-1.4463838258055065E-3</v>
      </c>
      <c r="Y60" s="348">
        <f t="shared" si="5"/>
        <v>3.5274553842924966E-4</v>
      </c>
      <c r="AD60" s="155"/>
      <c r="AE60" s="155"/>
    </row>
    <row r="61" spans="5:31" ht="11.25" customHeight="1" x14ac:dyDescent="0.2">
      <c r="E61" s="340"/>
      <c r="F61" s="340"/>
      <c r="G61" s="155"/>
      <c r="K61" s="155"/>
      <c r="L61" s="155"/>
      <c r="R61" s="183">
        <f>_xll.qlCalendarAdvance(Calendar,R60,"1D","f")</f>
        <v>42193</v>
      </c>
      <c r="S61" s="183">
        <f>_xll.qlCalendarAdvance(Calendar,R61,$F$1,"mf",,Trigger)</f>
        <v>42285</v>
      </c>
      <c r="T61" s="169">
        <f>_xll.qlDayCounterYearFraction(DayCounter,R61,S61,,,Trigger)</f>
        <v>0.25555555555555554</v>
      </c>
      <c r="U61" s="181">
        <f>_xll.qlInterpolationInterpolate(B3Minterpolation,R61,TRUE)</f>
        <v>1.3805873583086015E-3</v>
      </c>
      <c r="V61" s="184">
        <f>_xll.qlYieldTSDiscount(Discounting,R61,,AllTriggers)</f>
        <v>1.0002422308056387</v>
      </c>
      <c r="W61" s="184">
        <f>_xll.qlYieldTSDiscount(Discounting,S61,,AllTriggers)</f>
        <v>1.0006123227179184</v>
      </c>
      <c r="X61" s="181">
        <f t="shared" si="4"/>
        <v>-1.4472995293219979E-3</v>
      </c>
      <c r="Y61" s="348">
        <f t="shared" si="5"/>
        <v>3.5288504110614333E-4</v>
      </c>
      <c r="AD61" s="155"/>
      <c r="AE61" s="155"/>
    </row>
    <row r="62" spans="5:31" ht="11.25" customHeight="1" x14ac:dyDescent="0.2">
      <c r="E62" s="340"/>
      <c r="F62" s="340"/>
      <c r="G62" s="155"/>
      <c r="K62" s="155"/>
      <c r="L62" s="155"/>
      <c r="R62" s="183">
        <f>_xll.qlCalendarAdvance(Calendar,R61,"1D","f")</f>
        <v>42194</v>
      </c>
      <c r="S62" s="183">
        <f>_xll.qlCalendarAdvance(Calendar,R62,$F$1,"mf",,Trigger)</f>
        <v>42286</v>
      </c>
      <c r="T62" s="169">
        <f>_xll.qlDayCounterYearFraction(DayCounter,R62,S62,,,Trigger)</f>
        <v>0.25555555555555554</v>
      </c>
      <c r="U62" s="181">
        <f>_xll.qlInterpolationInterpolate(B3Minterpolation,R62,TRUE)</f>
        <v>1.381082825887642E-3</v>
      </c>
      <c r="V62" s="184">
        <f>_xll.qlYieldTSDiscount(Discounting,R62,,AllTriggers)</f>
        <v>1.0002461598790198</v>
      </c>
      <c r="W62" s="184">
        <f>_xll.qlYieldTSDiscount(Discounting,S62,,AllTriggers)</f>
        <v>1.0006164763305838</v>
      </c>
      <c r="X62" s="181">
        <f t="shared" si="4"/>
        <v>-1.4481716121640255E-3</v>
      </c>
      <c r="Y62" s="348">
        <f t="shared" si="5"/>
        <v>3.5301174143868684E-4</v>
      </c>
      <c r="AD62" s="155"/>
      <c r="AE62" s="155"/>
    </row>
    <row r="63" spans="5:31" ht="11.25" customHeight="1" x14ac:dyDescent="0.2">
      <c r="E63" s="340"/>
      <c r="F63" s="340"/>
      <c r="G63" s="155"/>
      <c r="K63" s="155"/>
      <c r="L63" s="155"/>
      <c r="R63" s="183">
        <f>_xll.qlCalendarAdvance(Calendar,R62,"1D","f")</f>
        <v>42195</v>
      </c>
      <c r="S63" s="183">
        <f>_xll.qlCalendarAdvance(Calendar,R63,$F$1,"mf",,Trigger)</f>
        <v>42289</v>
      </c>
      <c r="T63" s="169">
        <f>_xll.qlDayCounterYearFraction(DayCounter,R63,S63,,,Trigger)</f>
        <v>0.26111111111111113</v>
      </c>
      <c r="U63" s="181">
        <f>_xll.qlInterpolationInterpolate(B3Minterpolation,R63,TRUE)</f>
        <v>1.3815303171310002E-3</v>
      </c>
      <c r="V63" s="184">
        <f>_xll.qlYieldTSDiscount(Discounting,R63,,AllTriggers)</f>
        <v>1.0002501009984053</v>
      </c>
      <c r="W63" s="184">
        <f>_xll.qlYieldTSDiscount(Discounting,S63,,AllTriggers)</f>
        <v>1.0006289474475796</v>
      </c>
      <c r="X63" s="181">
        <f t="shared" si="4"/>
        <v>-1.4499893276235455E-3</v>
      </c>
      <c r="Y63" s="348">
        <f t="shared" si="5"/>
        <v>3.6080444660003202E-4</v>
      </c>
      <c r="AD63" s="155"/>
      <c r="AE63" s="155"/>
    </row>
    <row r="64" spans="5:31" ht="11.25" customHeight="1" x14ac:dyDescent="0.2">
      <c r="E64" s="340"/>
      <c r="F64" s="340"/>
      <c r="G64" s="155"/>
      <c r="K64" s="155"/>
      <c r="L64" s="155"/>
      <c r="R64" s="183">
        <f>_xll.qlCalendarAdvance(Calendar,R63,"1D","f")</f>
        <v>42198</v>
      </c>
      <c r="S64" s="183">
        <f>_xll.qlCalendarAdvance(Calendar,R64,$F$1,"mf",,Trigger)</f>
        <v>42290</v>
      </c>
      <c r="T64" s="169">
        <f>_xll.qlDayCounterYearFraction(DayCounter,R64,S64,,,Trigger)</f>
        <v>0.25555555555555554</v>
      </c>
      <c r="U64" s="181">
        <f>_xll.qlInterpolationInterpolate(B3Minterpolation,R64,TRUE)</f>
        <v>1.3826059699798376E-3</v>
      </c>
      <c r="V64" s="184">
        <f>_xll.qlYieldTSDiscount(Discounting,R64,,AllTriggers)</f>
        <v>1.0002619883142301</v>
      </c>
      <c r="W64" s="184">
        <f>_xll.qlYieldTSDiscount(Discounting,S64,,AllTriggers)</f>
        <v>1.0006331078871931</v>
      </c>
      <c r="X64" s="181">
        <f t="shared" si="4"/>
        <v>-1.4512882026301614E-3</v>
      </c>
      <c r="Y64" s="348">
        <f t="shared" si="5"/>
        <v>3.5340127749638041E-4</v>
      </c>
      <c r="AD64" s="155"/>
      <c r="AE64" s="155"/>
    </row>
    <row r="65" spans="5:31" ht="11.25" customHeight="1" x14ac:dyDescent="0.2">
      <c r="E65" s="340"/>
      <c r="F65" s="340"/>
      <c r="G65" s="155"/>
      <c r="K65" s="155"/>
      <c r="L65" s="155"/>
      <c r="R65" s="183">
        <f>_xll.qlCalendarAdvance(Calendar,R64,"1D","f")</f>
        <v>42199</v>
      </c>
      <c r="S65" s="183">
        <f>_xll.qlCalendarAdvance(Calendar,R65,$F$1,"mf",,Trigger)</f>
        <v>42291</v>
      </c>
      <c r="T65" s="169">
        <f>_xll.qlDayCounterYearFraction(DayCounter,R65,S65,,,Trigger)</f>
        <v>0.25555555555555554</v>
      </c>
      <c r="U65" s="181">
        <f>_xll.qlInterpolationInterpolate(B3Minterpolation,R65,TRUE)</f>
        <v>1.3828825930133233E-3</v>
      </c>
      <c r="V65" s="184">
        <f>_xll.qlYieldTSDiscount(Discounting,R65,,AllTriggers)</f>
        <v>1.0002659692992109</v>
      </c>
      <c r="W65" s="184">
        <f>_xll.qlYieldTSDiscount(Discounting,S65,,AllTriggers)</f>
        <v>1.000637270014255</v>
      </c>
      <c r="X65" s="181">
        <f t="shared" si="4"/>
        <v>-1.4519905314500454E-3</v>
      </c>
      <c r="Y65" s="348">
        <f t="shared" si="5"/>
        <v>3.5347203474269892E-4</v>
      </c>
      <c r="AD65" s="155"/>
      <c r="AE65" s="155"/>
    </row>
    <row r="66" spans="5:31" ht="11.25" customHeight="1" x14ac:dyDescent="0.2">
      <c r="E66" s="340"/>
      <c r="F66" s="340"/>
      <c r="G66" s="155"/>
      <c r="K66" s="155"/>
      <c r="L66" s="155"/>
      <c r="R66" s="183">
        <f>_xll.qlCalendarAdvance(Calendar,R65,"1D","f")</f>
        <v>42200</v>
      </c>
      <c r="S66" s="183">
        <f>_xll.qlCalendarAdvance(Calendar,R66,$F$1,"mf",,Trigger)</f>
        <v>42292</v>
      </c>
      <c r="T66" s="169">
        <f>_xll.qlDayCounterYearFraction(DayCounter,R66,S66,,,Trigger)</f>
        <v>0.25555555555555554</v>
      </c>
      <c r="U66" s="181">
        <f>_xll.qlInterpolationInterpolate(B3Minterpolation,R66,TRUE)</f>
        <v>1.3831217582775553E-3</v>
      </c>
      <c r="V66" s="184">
        <f>_xll.qlYieldTSDiscount(Discounting,R66,,AllTriggers)</f>
        <v>1.0002699581709207</v>
      </c>
      <c r="W66" s="184">
        <f>_xll.qlYieldTSDiscount(Discounting,S66,,AllTriggers)</f>
        <v>1.000641433821049</v>
      </c>
      <c r="X66" s="181">
        <f t="shared" si="4"/>
        <v>-1.4526685793096437E-3</v>
      </c>
      <c r="Y66" s="348">
        <f t="shared" si="5"/>
        <v>3.5353321710395716E-4</v>
      </c>
      <c r="AD66" s="155"/>
      <c r="AE66" s="155"/>
    </row>
    <row r="67" spans="5:31" ht="11.25" customHeight="1" x14ac:dyDescent="0.2">
      <c r="E67" s="340"/>
      <c r="F67" s="340"/>
      <c r="G67" s="155"/>
      <c r="K67" s="155"/>
      <c r="L67" s="155"/>
      <c r="R67" s="183">
        <f>_xll.qlCalendarAdvance(Calendar,R66,"1D","f")</f>
        <v>42201</v>
      </c>
      <c r="S67" s="183">
        <f>_xll.qlCalendarAdvance(Calendar,R67,$F$1,"mf",,Trigger)</f>
        <v>42293</v>
      </c>
      <c r="T67" s="169">
        <f>_xll.qlDayCounterYearFraction(DayCounter,R67,S67,,,Trigger)</f>
        <v>0.25555555555555554</v>
      </c>
      <c r="U67" s="181">
        <f>_xll.qlInterpolationInterpolate(B3Minterpolation,R67,TRUE)</f>
        <v>1.3833255694858191E-3</v>
      </c>
      <c r="V67" s="184">
        <f>_xll.qlYieldTSDiscount(Discounting,R67,,AllTriggers)</f>
        <v>1.0002739540974652</v>
      </c>
      <c r="W67" s="184">
        <f>_xll.qlYieldTSDiscount(Discounting,S67,,AllTriggers)</f>
        <v>1.0006455992998595</v>
      </c>
      <c r="X67" s="181">
        <f t="shared" si="4"/>
        <v>-1.4533255694858191E-3</v>
      </c>
      <c r="Y67" s="348">
        <f t="shared" si="5"/>
        <v>3.5358536249257893E-4</v>
      </c>
      <c r="AD67" s="155"/>
      <c r="AE67" s="155"/>
    </row>
    <row r="68" spans="5:31" ht="11.25" customHeight="1" x14ac:dyDescent="0.2">
      <c r="E68" s="340"/>
      <c r="F68" s="340"/>
      <c r="G68" s="155"/>
      <c r="K68" s="155"/>
      <c r="L68" s="155"/>
      <c r="R68" s="183">
        <f>_xll.qlCalendarAdvance(Calendar,R67,"1D","f")</f>
        <v>42202</v>
      </c>
      <c r="S68" s="183">
        <f>_xll.qlCalendarAdvance(Calendar,R68,$F$1,"mf",,Trigger)</f>
        <v>42296</v>
      </c>
      <c r="T68" s="169">
        <f>_xll.qlDayCounterYearFraction(DayCounter,R68,S68,,,Trigger)</f>
        <v>0.26111111111111113</v>
      </c>
      <c r="U68" s="181">
        <f>_xll.qlInterpolationInterpolate(B3Minterpolation,R68,TRUE)</f>
        <v>1.3834959640029287E-3</v>
      </c>
      <c r="V68" s="184">
        <f>_xll.qlYieldTSDiscount(Discounting,R68,,AllTriggers)</f>
        <v>1.0002779562469375</v>
      </c>
      <c r="W68" s="184">
        <f>_xll.qlYieldTSDiscount(Discounting,S68,,AllTriggers)</f>
        <v>1.0006581056912296</v>
      </c>
      <c r="X68" s="181">
        <f t="shared" ref="X68:X131" si="9">(V68/W68-1)/T68</f>
        <v>-1.4549339884400872E-3</v>
      </c>
      <c r="Y68" s="348">
        <f t="shared" ref="Y68:Y131" si="10">LN((1+(U68+X68)*T68)/(1+X68*T68))</f>
        <v>3.6131817447423287E-4</v>
      </c>
      <c r="AD68" s="155"/>
      <c r="AE68" s="155"/>
    </row>
    <row r="69" spans="5:31" ht="11.25" customHeight="1" x14ac:dyDescent="0.2">
      <c r="E69" s="340"/>
      <c r="F69" s="340"/>
      <c r="G69" s="155"/>
      <c r="K69" s="155"/>
      <c r="L69" s="155"/>
      <c r="R69" s="183">
        <f>_xll.qlCalendarAdvance(Calendar,R68,"1D","f")</f>
        <v>42205</v>
      </c>
      <c r="S69" s="183">
        <f>_xll.qlCalendarAdvance(Calendar,R69,$F$1,"mf",,Trigger)</f>
        <v>42297</v>
      </c>
      <c r="T69" s="169">
        <f>_xll.qlDayCounterYearFraction(DayCounter,R69,S69,,,Trigger)</f>
        <v>0.25555555555555554</v>
      </c>
      <c r="U69" s="181">
        <f>_xll.qlInterpolationInterpolate(B3Minterpolation,R69,TRUE)</f>
        <v>1.3838187017227045E-3</v>
      </c>
      <c r="V69" s="184">
        <f>_xll.qlYieldTSDiscount(Discounting,R69,,AllTriggers)</f>
        <v>1.0002899917136512</v>
      </c>
      <c r="W69" s="184">
        <f>_xll.qlYieldTSDiscount(Discounting,S69,,AllTriggers)</f>
        <v>1.0006622777809444</v>
      </c>
      <c r="X69" s="181">
        <f t="shared" si="9"/>
        <v>-1.4558074187623459E-3</v>
      </c>
      <c r="Y69" s="348">
        <f t="shared" si="10"/>
        <v>3.5371161180719685E-4</v>
      </c>
      <c r="AD69" s="155"/>
      <c r="AE69" s="155"/>
    </row>
    <row r="70" spans="5:31" ht="11.25" customHeight="1" x14ac:dyDescent="0.2">
      <c r="E70" s="340"/>
      <c r="F70" s="340"/>
      <c r="G70" s="155"/>
      <c r="K70" s="155"/>
      <c r="L70" s="155"/>
      <c r="R70" s="183">
        <f>_xll.qlCalendarAdvance(Calendar,R69,"1D","f")</f>
        <v>42206</v>
      </c>
      <c r="S70" s="183">
        <f>_xll.qlCalendarAdvance(Calendar,R70,$F$1,"mf",,Trigger)</f>
        <v>42298</v>
      </c>
      <c r="T70" s="169">
        <f>_xll.qlDayCounterYearFraction(DayCounter,R70,S70,,,Trigger)</f>
        <v>0.25555555555555554</v>
      </c>
      <c r="U70" s="181">
        <f>_xll.qlInterpolationInterpolate(B3Minterpolation,R70,TRUE)</f>
        <v>1.3838671510936263E-3</v>
      </c>
      <c r="V70" s="184">
        <f>_xll.qlYieldTSDiscount(Discounting,R70,,AllTriggers)</f>
        <v>1.0002940104354987</v>
      </c>
      <c r="W70" s="184">
        <f>_xll.qlYieldTSDiscount(Discounting,S70,,AllTriggers)</f>
        <v>1.0006664515040946</v>
      </c>
      <c r="X70" s="181">
        <f t="shared" si="9"/>
        <v>-1.4564074695570504E-3</v>
      </c>
      <c r="Y70" s="348">
        <f t="shared" si="10"/>
        <v>3.5372404779364326E-4</v>
      </c>
      <c r="AD70" s="155"/>
      <c r="AE70" s="155"/>
    </row>
    <row r="71" spans="5:31" ht="11.25" customHeight="1" x14ac:dyDescent="0.2">
      <c r="E71" s="340"/>
      <c r="F71" s="340"/>
      <c r="G71" s="155"/>
      <c r="K71" s="155"/>
      <c r="L71" s="155"/>
      <c r="R71" s="183">
        <f>_xll.qlCalendarAdvance(Calendar,R70,"1D","f")</f>
        <v>42207</v>
      </c>
      <c r="S71" s="183">
        <f>_xll.qlCalendarAdvance(Calendar,R71,$F$1,"mf",,Trigger)</f>
        <v>42299</v>
      </c>
      <c r="T71" s="169">
        <f>_xll.qlDayCounterYearFraction(DayCounter,R71,S71,,,Trigger)</f>
        <v>0.25555555555555554</v>
      </c>
      <c r="U71" s="181">
        <f>_xll.qlInterpolationInterpolate(B3Minterpolation,R71,TRUE)</f>
        <v>1.3838878782341366E-3</v>
      </c>
      <c r="V71" s="184">
        <f>_xll.qlYieldTSDiscount(Discounting,R71,,AllTriggers)</f>
        <v>1.0002980312205392</v>
      </c>
      <c r="W71" s="184">
        <f>_xll.qlYieldTSDiscount(Discounting,S71,,AllTriggers)</f>
        <v>1.0006706268529633</v>
      </c>
      <c r="X71" s="181">
        <f t="shared" si="9"/>
        <v>-1.4570058022695567E-3</v>
      </c>
      <c r="Y71" s="348">
        <f t="shared" si="10"/>
        <v>3.5372939892604828E-4</v>
      </c>
      <c r="AD71" s="155"/>
      <c r="AE71" s="155"/>
    </row>
    <row r="72" spans="5:31" ht="11.25" customHeight="1" x14ac:dyDescent="0.2">
      <c r="E72" s="340"/>
      <c r="F72" s="340"/>
      <c r="G72" s="155"/>
      <c r="K72" s="155"/>
      <c r="L72" s="155"/>
      <c r="R72" s="183">
        <f>_xll.qlCalendarAdvance(Calendar,R71,"1D","f")</f>
        <v>42208</v>
      </c>
      <c r="S72" s="183">
        <f>_xll.qlCalendarAdvance(Calendar,R72,$F$1,"mf",,Trigger)</f>
        <v>42300</v>
      </c>
      <c r="T72" s="169">
        <f>_xll.qlDayCounterYearFraction(DayCounter,R72,S72,,,Trigger)</f>
        <v>0.25555555555555554</v>
      </c>
      <c r="U72" s="181">
        <f>_xll.qlInterpolationInterpolate(B3Minterpolation,R72,TRUE)</f>
        <v>1.3838819887666896E-3</v>
      </c>
      <c r="V72" s="184">
        <f>_xll.qlYieldTSDiscount(Discounting,R72,,AllTriggers)</f>
        <v>1.0003020533778955</v>
      </c>
      <c r="W72" s="184">
        <f>_xll.qlYieldTSDiscount(Discounting,S72,,AllTriggers)</f>
        <v>1.0006748038198339</v>
      </c>
      <c r="X72" s="181">
        <f t="shared" si="9"/>
        <v>-1.4576050883646533E-3</v>
      </c>
      <c r="Y72" s="348">
        <f t="shared" si="10"/>
        <v>3.5372794799618673E-4</v>
      </c>
      <c r="AD72" s="155"/>
      <c r="AE72" s="155"/>
    </row>
    <row r="73" spans="5:31" ht="11.25" customHeight="1" x14ac:dyDescent="0.2">
      <c r="E73" s="340"/>
      <c r="F73" s="340"/>
      <c r="G73" s="155"/>
      <c r="K73" s="155"/>
      <c r="L73" s="155"/>
      <c r="R73" s="183">
        <f>_xll.qlCalendarAdvance(Calendar,R72,"1D","f")</f>
        <v>42209</v>
      </c>
      <c r="S73" s="183">
        <f>_xll.qlCalendarAdvance(Calendar,R73,$F$1,"mf",,Trigger)</f>
        <v>42303</v>
      </c>
      <c r="T73" s="169">
        <f>_xll.qlDayCounterYearFraction(DayCounter,R73,S73,,,Trigger)</f>
        <v>0.26111111111111113</v>
      </c>
      <c r="U73" s="181">
        <f>_xll.qlInterpolationInterpolate(B3Minterpolation,R73,TRUE)</f>
        <v>1.3838505883137396E-3</v>
      </c>
      <c r="V73" s="184">
        <f>_xll.qlYieldTSDiscount(Discounting,R73,,AllTriggers)</f>
        <v>1.0003060767811169</v>
      </c>
      <c r="W73" s="184">
        <f>_xll.qlYieldTSDiscount(Discounting,S73,,AllTriggers)</f>
        <v>1.0006873443512865</v>
      </c>
      <c r="X73" s="181">
        <f t="shared" si="9"/>
        <v>-1.4591707202378187E-3</v>
      </c>
      <c r="Y73" s="348">
        <f t="shared" si="10"/>
        <v>3.6141117243864557E-4</v>
      </c>
      <c r="AD73" s="155"/>
      <c r="AE73" s="155"/>
    </row>
    <row r="74" spans="5:31" ht="11.25" customHeight="1" x14ac:dyDescent="0.2">
      <c r="E74" s="340"/>
      <c r="F74" s="340"/>
      <c r="G74" s="155"/>
      <c r="K74" s="155"/>
      <c r="L74" s="155"/>
      <c r="R74" s="183">
        <f>_xll.qlCalendarAdvance(Calendar,R73,"1D","f")</f>
        <v>42212</v>
      </c>
      <c r="S74" s="183">
        <f>_xll.qlCalendarAdvance(Calendar,R74,$F$1,"mf",,Trigger)</f>
        <v>42304</v>
      </c>
      <c r="T74" s="169">
        <f>_xll.qlDayCounterYearFraction(DayCounter,R74,S74,,,Trigger)</f>
        <v>0.25555555555555554</v>
      </c>
      <c r="U74" s="181">
        <f>_xll.qlInterpolationInterpolate(B3Minterpolation,R74,TRUE)</f>
        <v>1.383614377266413E-3</v>
      </c>
      <c r="V74" s="184">
        <f>_xll.qlYieldTSDiscount(Discounting,R74,,AllTriggers)</f>
        <v>1.0003181546125548</v>
      </c>
      <c r="W74" s="184">
        <f>_xll.qlYieldTSDiscount(Discounting,S74,,AllTriggers)</f>
        <v>1.0006915277129937</v>
      </c>
      <c r="X74" s="181">
        <f t="shared" si="9"/>
        <v>-1.4600155344274039E-3</v>
      </c>
      <c r="Y74" s="348">
        <f t="shared" si="10"/>
        <v>3.5365977499797821E-4</v>
      </c>
      <c r="AD74" s="155"/>
      <c r="AE74" s="155"/>
    </row>
    <row r="75" spans="5:31" ht="11.25" customHeight="1" x14ac:dyDescent="0.2">
      <c r="E75" s="340"/>
      <c r="F75" s="340"/>
      <c r="G75" s="155"/>
      <c r="K75" s="155"/>
      <c r="L75" s="155"/>
      <c r="R75" s="183">
        <f>_xll.qlCalendarAdvance(Calendar,R74,"1D","f")</f>
        <v>42213</v>
      </c>
      <c r="S75" s="183">
        <f>_xll.qlCalendarAdvance(Calendar,R75,$F$1,"mf",,Trigger)</f>
        <v>42305</v>
      </c>
      <c r="T75" s="169">
        <f>_xll.qlDayCounterYearFraction(DayCounter,R75,S75,,,Trigger)</f>
        <v>0.25555555555555554</v>
      </c>
      <c r="U75" s="181">
        <f>_xll.qlInterpolationInterpolate(B3Minterpolation,R75,TRUE)</f>
        <v>1.3834919890959925E-3</v>
      </c>
      <c r="V75" s="184">
        <f>_xll.qlYieldTSDiscount(Discounting,R75,,AllTriggers)</f>
        <v>1.0003221831458198</v>
      </c>
      <c r="W75" s="184">
        <f>_xll.qlYieldTSDiscount(Discounting,S75,,AllTriggers)</f>
        <v>1.0006957126541174</v>
      </c>
      <c r="X75" s="181">
        <f t="shared" si="9"/>
        <v>-1.4606210338458346E-3</v>
      </c>
      <c r="Y75" s="348">
        <f t="shared" si="10"/>
        <v>3.5362855214069101E-4</v>
      </c>
      <c r="AD75" s="155"/>
      <c r="AE75" s="155"/>
    </row>
    <row r="76" spans="5:31" ht="11.25" customHeight="1" x14ac:dyDescent="0.2">
      <c r="E76" s="340"/>
      <c r="F76" s="340"/>
      <c r="G76" s="155"/>
      <c r="K76" s="155"/>
      <c r="L76" s="155"/>
      <c r="R76" s="183">
        <f>_xll.qlCalendarAdvance(Calendar,R75,"1D","f")</f>
        <v>42214</v>
      </c>
      <c r="S76" s="183">
        <f>_xll.qlCalendarAdvance(Calendar,R76,$F$1,"mf",,Trigger)</f>
        <v>42306</v>
      </c>
      <c r="T76" s="169">
        <f>_xll.qlDayCounterYearFraction(DayCounter,R76,S76,,,Trigger)</f>
        <v>0.25555555555555554</v>
      </c>
      <c r="U76" s="181">
        <f>_xll.qlInterpolationInterpolate(B3Minterpolation,R76,TRUE)</f>
        <v>1.3833496180523399E-3</v>
      </c>
      <c r="V76" s="184">
        <f>_xll.qlYieldTSDiscount(Discounting,R76,,AllTriggers)</f>
        <v>1.0003262129982422</v>
      </c>
      <c r="W76" s="184">
        <f>_xll.qlYieldTSDiscount(Discounting,S76,,AllTriggers)</f>
        <v>1.0006998992168656</v>
      </c>
      <c r="X76" s="181">
        <f t="shared" si="9"/>
        <v>-1.4612277085715082E-3</v>
      </c>
      <c r="Y76" s="348">
        <f t="shared" si="10"/>
        <v>3.5359222254310006E-4</v>
      </c>
      <c r="AD76" s="155"/>
      <c r="AE76" s="155"/>
    </row>
    <row r="77" spans="5:31" ht="11.25" customHeight="1" x14ac:dyDescent="0.2">
      <c r="E77" s="340"/>
      <c r="F77" s="340"/>
      <c r="G77" s="155"/>
      <c r="K77" s="155"/>
      <c r="L77" s="155"/>
      <c r="R77" s="183">
        <f>_xll.qlCalendarAdvance(Calendar,R76,"1D","f")</f>
        <v>42215</v>
      </c>
      <c r="S77" s="183">
        <f>_xll.qlCalendarAdvance(Calendar,R77,$F$1,"mf",,Trigger)</f>
        <v>42307</v>
      </c>
      <c r="T77" s="169">
        <f>_xll.qlDayCounterYearFraction(DayCounter,R77,S77,,,Trigger)</f>
        <v>0.25555555555555554</v>
      </c>
      <c r="U77" s="181">
        <f>_xll.qlInterpolationInterpolate(B3Minterpolation,R77,TRUE)</f>
        <v>1.3831883697579094E-3</v>
      </c>
      <c r="V77" s="184">
        <f>_xll.qlYieldTSDiscount(Discounting,R77,,AllTriggers)</f>
        <v>1.0003302441844815</v>
      </c>
      <c r="W77" s="184">
        <f>_xll.qlYieldTSDiscount(Discounting,S77,,AllTriggers)</f>
        <v>1.0007040876431523</v>
      </c>
      <c r="X77" s="181">
        <f t="shared" si="9"/>
        <v>-1.4618364468638903E-3</v>
      </c>
      <c r="Y77" s="348">
        <f t="shared" si="10"/>
        <v>3.5355106883587842E-4</v>
      </c>
      <c r="AD77" s="155"/>
      <c r="AE77" s="155"/>
    </row>
    <row r="78" spans="5:31" ht="11.25" customHeight="1" x14ac:dyDescent="0.2">
      <c r="E78" s="340"/>
      <c r="F78" s="340"/>
      <c r="G78" s="155"/>
      <c r="K78" s="155"/>
      <c r="L78" s="155"/>
      <c r="R78" s="183">
        <f>_xll.qlCalendarAdvance(Calendar,R77,"1D","f")</f>
        <v>42216</v>
      </c>
      <c r="S78" s="183">
        <f>_xll.qlCalendarAdvance(Calendar,R78,$F$1,"mf",,Trigger)</f>
        <v>42307</v>
      </c>
      <c r="T78" s="169">
        <f>_xll.qlDayCounterYearFraction(DayCounter,R78,S78,,,Trigger)</f>
        <v>0.25277777777777777</v>
      </c>
      <c r="U78" s="181">
        <f>_xll.qlInterpolationInterpolate(B3Minterpolation,R78,TRUE)</f>
        <v>1.3830093498351551E-3</v>
      </c>
      <c r="V78" s="184">
        <f>_xll.qlYieldTSDiscount(Discounting,R78,,AllTriggers)</f>
        <v>1.0003342767191969</v>
      </c>
      <c r="W78" s="184">
        <f>_xll.qlYieldTSDiscount(Discounting,S78,,AllTriggers)</f>
        <v>1.0007040876431523</v>
      </c>
      <c r="X78" s="181">
        <f t="shared" si="9"/>
        <v>-1.4619589233799814E-3</v>
      </c>
      <c r="Y78" s="348">
        <f t="shared" si="10"/>
        <v>3.4966213165752672E-4</v>
      </c>
      <c r="AD78" s="155"/>
      <c r="AE78" s="155"/>
    </row>
    <row r="79" spans="5:31" ht="11.25" customHeight="1" x14ac:dyDescent="0.2">
      <c r="E79" s="340"/>
      <c r="F79" s="340"/>
      <c r="G79" s="155"/>
      <c r="K79" s="155"/>
      <c r="L79" s="155"/>
      <c r="R79" s="183">
        <f>_xll.qlCalendarAdvance(Calendar,R78,"1D","f")</f>
        <v>42219</v>
      </c>
      <c r="S79" s="183">
        <f>_xll.qlCalendarAdvance(Calendar,R79,$F$1,"mf",,Trigger)</f>
        <v>42311</v>
      </c>
      <c r="T79" s="169">
        <f>_xll.qlDayCounterYearFraction(DayCounter,R79,S79,,,Trigger)</f>
        <v>0.25555555555555554</v>
      </c>
      <c r="U79" s="181">
        <f>_xll.qlInterpolationInterpolate(B3Minterpolation,R79,TRUE)</f>
        <v>1.3823767165214919E-3</v>
      </c>
      <c r="V79" s="184">
        <f>_xll.qlYieldTSDiscount(Discounting,R79,,AllTriggers)</f>
        <v>1.0003463825607983</v>
      </c>
      <c r="W79" s="184">
        <f>_xll.qlYieldTSDiscount(Discounting,S79,,AllTriggers)</f>
        <v>1.000718364018474</v>
      </c>
      <c r="X79" s="181">
        <f t="shared" si="9"/>
        <v>-1.4545347315771421E-3</v>
      </c>
      <c r="Y79" s="348">
        <f t="shared" si="10"/>
        <v>3.5334298268595071E-4</v>
      </c>
      <c r="AD79" s="155"/>
      <c r="AE79" s="155"/>
    </row>
    <row r="80" spans="5:31" ht="11.25" customHeight="1" x14ac:dyDescent="0.2">
      <c r="E80" s="340"/>
      <c r="F80" s="340"/>
      <c r="G80" s="155"/>
      <c r="K80" s="155"/>
      <c r="L80" s="155"/>
      <c r="R80" s="183">
        <f>_xll.qlCalendarAdvance(Calendar,R79,"1D","f")</f>
        <v>42220</v>
      </c>
      <c r="S80" s="183">
        <f>_xll.qlCalendarAdvance(Calendar,R80,$F$1,"mf",,Trigger)</f>
        <v>42312</v>
      </c>
      <c r="T80" s="169">
        <f>_xll.qlDayCounterYearFraction(DayCounter,R80,S80,,,Trigger)</f>
        <v>0.25555555555555554</v>
      </c>
      <c r="U80" s="181">
        <f>_xll.qlInterpolationInterpolate(B3Minterpolation,R80,TRUE)</f>
        <v>1.3821376663099847E-3</v>
      </c>
      <c r="V80" s="184">
        <f>_xll.qlYieldTSDiscount(Discounting,R80,,AllTriggers)</f>
        <v>1.0003504206360174</v>
      </c>
      <c r="W80" s="184">
        <f>_xll.qlYieldTSDiscount(Discounting,S80,,AllTriggers)</f>
        <v>1.0007225661297072</v>
      </c>
      <c r="X80" s="181">
        <f t="shared" si="9"/>
        <v>-1.4551700404626415E-3</v>
      </c>
      <c r="Y80" s="348">
        <f t="shared" si="10"/>
        <v>3.5328194831676913E-4</v>
      </c>
      <c r="AD80" s="155"/>
      <c r="AE80" s="155"/>
    </row>
    <row r="81" spans="5:31" ht="11.25" customHeight="1" x14ac:dyDescent="0.2">
      <c r="E81" s="340"/>
      <c r="F81" s="340"/>
      <c r="G81" s="155"/>
      <c r="K81" s="155"/>
      <c r="L81" s="155"/>
      <c r="R81" s="183">
        <f>_xll.qlCalendarAdvance(Calendar,R80,"1D","f")</f>
        <v>42221</v>
      </c>
      <c r="S81" s="183">
        <f>_xll.qlCalendarAdvance(Calendar,R81,$F$1,"mf",,Trigger)</f>
        <v>42313</v>
      </c>
      <c r="T81" s="169">
        <f>_xll.qlDayCounterYearFraction(DayCounter,R81,S81,,,Trigger)</f>
        <v>0.25555555555555554</v>
      </c>
      <c r="U81" s="181">
        <f>_xll.qlInterpolationInterpolate(B3Minterpolation,R81,TRUE)</f>
        <v>1.3818863725824245E-3</v>
      </c>
      <c r="V81" s="184">
        <f>_xll.qlYieldTSDiscount(Discounting,R81,,AllTriggers)</f>
        <v>1.0003544601330134</v>
      </c>
      <c r="W81" s="184">
        <f>_xll.qlYieldTSDiscount(Discounting,S81,,AllTriggers)</f>
        <v>1.0007267718556083</v>
      </c>
      <c r="X81" s="181">
        <f t="shared" si="9"/>
        <v>-1.4558139134006514E-3</v>
      </c>
      <c r="Y81" s="348">
        <f t="shared" si="10"/>
        <v>3.5321778573974352E-4</v>
      </c>
      <c r="AD81" s="155"/>
      <c r="AE81" s="155"/>
    </row>
    <row r="82" spans="5:31" ht="11.25" customHeight="1" x14ac:dyDescent="0.2">
      <c r="E82" s="340"/>
      <c r="F82" s="340"/>
      <c r="G82" s="155"/>
      <c r="K82" s="155"/>
      <c r="L82" s="155"/>
      <c r="R82" s="183">
        <f>_xll.qlCalendarAdvance(Calendar,R81,"1D","f")</f>
        <v>42222</v>
      </c>
      <c r="S82" s="183">
        <f>_xll.qlCalendarAdvance(Calendar,R82,$F$1,"mf",,Trigger)</f>
        <v>42314</v>
      </c>
      <c r="T82" s="169">
        <f>_xll.qlDayCounterYearFraction(DayCounter,R82,S82,,,Trigger)</f>
        <v>0.25555555555555554</v>
      </c>
      <c r="U82" s="181">
        <f>_xll.qlInterpolationInterpolate(B3Minterpolation,R82,TRUE)</f>
        <v>1.3816239409612659E-3</v>
      </c>
      <c r="V82" s="184">
        <f>_xll.qlYieldTSDiscount(Discounting,R82,,AllTriggers)</f>
        <v>1.0003585010664471</v>
      </c>
      <c r="W82" s="184">
        <f>_xll.qlYieldTSDiscount(Discounting,S82,,AllTriggers)</f>
        <v>1.0007309814880503</v>
      </c>
      <c r="X82" s="181">
        <f t="shared" si="9"/>
        <v>-1.4564674338023588E-3</v>
      </c>
      <c r="Y82" s="348">
        <f t="shared" si="10"/>
        <v>3.5315077760314989E-4</v>
      </c>
      <c r="AD82" s="155"/>
      <c r="AE82" s="155"/>
    </row>
    <row r="83" spans="5:31" ht="11.25" customHeight="1" x14ac:dyDescent="0.2">
      <c r="E83" s="340"/>
      <c r="F83" s="340"/>
      <c r="G83" s="155"/>
      <c r="K83" s="155"/>
      <c r="L83" s="155"/>
      <c r="R83" s="183">
        <f>_xll.qlCalendarAdvance(Calendar,R82,"1D","f")</f>
        <v>42223</v>
      </c>
      <c r="S83" s="183">
        <f>_xll.qlCalendarAdvance(Calendar,R83,$F$1,"mf",,Trigger)</f>
        <v>42317</v>
      </c>
      <c r="T83" s="169">
        <f>_xll.qlDayCounterYearFraction(DayCounter,R83,S83,,,Trigger)</f>
        <v>0.26111111111111113</v>
      </c>
      <c r="U83" s="181">
        <f>_xll.qlInterpolationInterpolate(B3Minterpolation,R83,TRUE)</f>
        <v>1.3813514770689627E-3</v>
      </c>
      <c r="V83" s="184">
        <f>_xll.qlYieldTSDiscount(Discounting,R83,,AllTriggers)</f>
        <v>1.0003625434509795</v>
      </c>
      <c r="W83" s="184">
        <f>_xll.qlYieldTSDiscount(Discounting,S83,,AllTriggers)</f>
        <v>1.0007436367434237</v>
      </c>
      <c r="X83" s="181">
        <f t="shared" si="9"/>
        <v>-1.4584216904256013E-3</v>
      </c>
      <c r="Y83" s="348">
        <f t="shared" si="10"/>
        <v>3.6075854310661662E-4</v>
      </c>
      <c r="AD83" s="155"/>
      <c r="AE83" s="155"/>
    </row>
    <row r="84" spans="5:31" ht="11.25" customHeight="1" x14ac:dyDescent="0.2">
      <c r="E84" s="340"/>
      <c r="F84" s="340"/>
      <c r="G84" s="155"/>
      <c r="K84" s="155"/>
      <c r="L84" s="155"/>
      <c r="R84" s="183">
        <f>_xll.qlCalendarAdvance(Calendar,R83,"1D","f")</f>
        <v>42226</v>
      </c>
      <c r="S84" s="183">
        <f>_xll.qlCalendarAdvance(Calendar,R84,$F$1,"mf",,Trigger)</f>
        <v>42318</v>
      </c>
      <c r="T84" s="169">
        <f>_xll.qlDayCounterYearFraction(DayCounter,R84,S84,,,Trigger)</f>
        <v>0.25555555555555554</v>
      </c>
      <c r="U84" s="181">
        <f>_xll.qlInterpolationInterpolate(B3Minterpolation,R84,TRUE)</f>
        <v>1.380484947989729E-3</v>
      </c>
      <c r="V84" s="184">
        <f>_xll.qlYieldTSDiscount(Discounting,R84,,AllTriggers)</f>
        <v>1.0003746794577846</v>
      </c>
      <c r="W84" s="184">
        <f>_xll.qlYieldTSDiscount(Discounting,S84,,AllTriggers)</f>
        <v>1.0007478649208572</v>
      </c>
      <c r="X84" s="181">
        <f t="shared" si="9"/>
        <v>-1.4591996582212438E-3</v>
      </c>
      <c r="Y84" s="348">
        <f t="shared" si="10"/>
        <v>3.5285994243916525E-4</v>
      </c>
      <c r="AD84" s="155"/>
      <c r="AE84" s="155"/>
    </row>
    <row r="85" spans="5:31" ht="11.25" customHeight="1" x14ac:dyDescent="0.2">
      <c r="E85" s="340"/>
      <c r="F85" s="340"/>
      <c r="G85" s="155"/>
      <c r="K85" s="155"/>
      <c r="L85" s="155"/>
      <c r="R85" s="183">
        <f>_xll.qlCalendarAdvance(Calendar,R84,"1D","f")</f>
        <v>42227</v>
      </c>
      <c r="S85" s="183">
        <f>_xll.qlCalendarAdvance(Calendar,R85,$F$1,"mf",,Trigger)</f>
        <v>42319</v>
      </c>
      <c r="T85" s="169">
        <f>_xll.qlDayCounterYearFraction(DayCounter,R85,S85,,,Trigger)</f>
        <v>0.25555555555555554</v>
      </c>
      <c r="U85" s="181">
        <f>_xll.qlInterpolationInterpolate(B3Minterpolation,R85,TRUE)</f>
        <v>1.3801834112373902E-3</v>
      </c>
      <c r="V85" s="184">
        <f>_xll.qlYieldTSDiscount(Discounting,R85,,AllTriggers)</f>
        <v>1.0003787277933285</v>
      </c>
      <c r="W85" s="184">
        <f>_xll.qlYieldTSDiscount(Discounting,S85,,AllTriggers)</f>
        <v>1.0007520984642706</v>
      </c>
      <c r="X85" s="181">
        <f t="shared" si="9"/>
        <v>-1.4599176670684044E-3</v>
      </c>
      <c r="Y85" s="348">
        <f t="shared" si="10"/>
        <v>3.5278294623907619E-4</v>
      </c>
      <c r="AD85" s="155"/>
      <c r="AE85" s="155"/>
    </row>
    <row r="86" spans="5:31" ht="11.25" customHeight="1" x14ac:dyDescent="0.2">
      <c r="E86" s="340"/>
      <c r="F86" s="340"/>
      <c r="G86" s="155"/>
      <c r="K86" s="155"/>
      <c r="L86" s="155"/>
      <c r="R86" s="183">
        <f>_xll.qlCalendarAdvance(Calendar,R85,"1D","f")</f>
        <v>42228</v>
      </c>
      <c r="S86" s="183">
        <f>_xll.qlCalendarAdvance(Calendar,R86,$F$1,"mf",,Trigger)</f>
        <v>42320</v>
      </c>
      <c r="T86" s="169">
        <f>_xll.qlDayCounterYearFraction(DayCounter,R86,S86,,,Trigger)</f>
        <v>0.25555555555555554</v>
      </c>
      <c r="U86" s="181">
        <f>_xll.qlInterpolationInterpolate(B3Minterpolation,R86,TRUE)</f>
        <v>1.3798773703261778E-3</v>
      </c>
      <c r="V86" s="184">
        <f>_xll.qlYieldTSDiscount(Discounting,R86,,AllTriggers)</f>
        <v>1.0003827776532799</v>
      </c>
      <c r="W86" s="184">
        <f>_xll.qlYieldTSDiscount(Discounting,S86,,AllTriggers)</f>
        <v>1.0007563376655668</v>
      </c>
      <c r="X86" s="181">
        <f t="shared" si="9"/>
        <v>-1.460651823827703E-3</v>
      </c>
      <c r="Y86" s="348">
        <f t="shared" si="10"/>
        <v>3.5270480037391104E-4</v>
      </c>
      <c r="AD86" s="155"/>
      <c r="AE86" s="155"/>
    </row>
    <row r="87" spans="5:31" ht="11.25" customHeight="1" x14ac:dyDescent="0.2">
      <c r="E87" s="340"/>
      <c r="F87" s="340"/>
      <c r="G87" s="155"/>
      <c r="K87" s="155"/>
      <c r="L87" s="155"/>
      <c r="R87" s="183">
        <f>_xll.qlCalendarAdvance(Calendar,R86,"1D","f")</f>
        <v>42229</v>
      </c>
      <c r="S87" s="183">
        <f>_xll.qlCalendarAdvance(Calendar,R87,$F$1,"mf",,Trigger)</f>
        <v>42321</v>
      </c>
      <c r="T87" s="169">
        <f>_xll.qlDayCounterYearFraction(DayCounter,R87,S87,,,Trigger)</f>
        <v>0.25555555555555554</v>
      </c>
      <c r="U87" s="181">
        <f>_xll.qlInterpolationInterpolate(B3Minterpolation,R87,TRUE)</f>
        <v>1.3795679308785463E-3</v>
      </c>
      <c r="V87" s="184">
        <f>_xll.qlYieldTSDiscount(Discounting,R87,,AllTriggers)</f>
        <v>1.0003868290523024</v>
      </c>
      <c r="W87" s="184">
        <f>_xll.qlYieldTSDiscount(Discounting,S87,,AllTriggers)</f>
        <v>1.0007605828166537</v>
      </c>
      <c r="X87" s="181">
        <f t="shared" si="9"/>
        <v>-1.4614032118994654E-3</v>
      </c>
      <c r="Y87" s="348">
        <f t="shared" si="10"/>
        <v>3.526257874935366E-4</v>
      </c>
      <c r="AD87" s="155"/>
      <c r="AE87" s="155"/>
    </row>
    <row r="88" spans="5:31" ht="11.25" customHeight="1" x14ac:dyDescent="0.2">
      <c r="E88" s="340"/>
      <c r="F88" s="340"/>
      <c r="G88" s="155"/>
      <c r="K88" s="155"/>
      <c r="L88" s="155"/>
      <c r="R88" s="183">
        <f>_xll.qlCalendarAdvance(Calendar,R87,"1D","f")</f>
        <v>42230</v>
      </c>
      <c r="S88" s="183">
        <f>_xll.qlCalendarAdvance(Calendar,R88,$F$1,"mf",,Trigger)</f>
        <v>42324</v>
      </c>
      <c r="T88" s="169">
        <f>_xll.qlDayCounterYearFraction(DayCounter,R88,S88,,,Trigger)</f>
        <v>0.26111111111111113</v>
      </c>
      <c r="U88" s="181">
        <f>_xll.qlInterpolationInterpolate(B3Minterpolation,R88,TRUE)</f>
        <v>1.3792561985169498E-3</v>
      </c>
      <c r="V88" s="184">
        <f>_xll.qlYieldTSDiscount(Discounting,R88,,AllTriggers)</f>
        <v>1.000390882005058</v>
      </c>
      <c r="W88" s="184">
        <f>_xll.qlYieldTSDiscount(Discounting,S88,,AllTriggers)</f>
        <v>1.0007733568878137</v>
      </c>
      <c r="X88" s="181">
        <f t="shared" si="9"/>
        <v>-1.4636654875331999E-3</v>
      </c>
      <c r="Y88" s="348">
        <f t="shared" si="10"/>
        <v>3.6021192474217572E-4</v>
      </c>
      <c r="AD88" s="155"/>
      <c r="AE88" s="155"/>
    </row>
    <row r="89" spans="5:31" ht="11.25" customHeight="1" x14ac:dyDescent="0.2">
      <c r="E89" s="340"/>
      <c r="F89" s="340"/>
      <c r="G89" s="155"/>
      <c r="K89" s="155"/>
      <c r="L89" s="155"/>
      <c r="R89" s="183">
        <f>_xll.qlCalendarAdvance(Calendar,R88,"1D","f")</f>
        <v>42233</v>
      </c>
      <c r="S89" s="183">
        <f>_xll.qlCalendarAdvance(Calendar,R89,$F$1,"mf",,Trigger)</f>
        <v>42325</v>
      </c>
      <c r="T89" s="169">
        <f>_xll.qlDayCounterYearFraction(DayCounter,R89,S89,,,Trigger)</f>
        <v>0.25555555555555554</v>
      </c>
      <c r="U89" s="181">
        <f>_xll.qlInterpolationInterpolate(B3Minterpolation,R89,TRUE)</f>
        <v>1.3783183001729114E-3</v>
      </c>
      <c r="V89" s="184">
        <f>_xll.qlYieldTSDiscount(Discounting,R89,,AllTriggers)</f>
        <v>1.0004030503323569</v>
      </c>
      <c r="W89" s="184">
        <f>_xll.qlYieldTSDiscount(Discounting,S89,,AllTriggers)</f>
        <v>1.0007776287572436</v>
      </c>
      <c r="X89" s="181">
        <f t="shared" si="9"/>
        <v>-1.4646027453876173E-3</v>
      </c>
      <c r="Y89" s="348">
        <f t="shared" si="10"/>
        <v>3.5230671881790481E-4</v>
      </c>
      <c r="AD89" s="155"/>
      <c r="AE89" s="155"/>
    </row>
    <row r="90" spans="5:31" ht="11.25" customHeight="1" x14ac:dyDescent="0.2">
      <c r="E90" s="340"/>
      <c r="F90" s="340"/>
      <c r="G90" s="155"/>
      <c r="K90" s="155"/>
      <c r="L90" s="155"/>
      <c r="R90" s="183">
        <f>_xll.qlCalendarAdvance(Calendar,R89,"1D","f")</f>
        <v>42234</v>
      </c>
      <c r="S90" s="183">
        <f>_xll.qlCalendarAdvance(Calendar,R90,$F$1,"mf",,Trigger)</f>
        <v>42326</v>
      </c>
      <c r="T90" s="169">
        <f>_xll.qlDayCounterYearFraction(DayCounter,R90,S90,,,Trigger)</f>
        <v>0.25555555555555554</v>
      </c>
      <c r="U90" s="181">
        <f>_xll.qlInterpolationInterpolate(B3Minterpolation,R90,TRUE)</f>
        <v>1.3780084523799963E-3</v>
      </c>
      <c r="V90" s="184">
        <f>_xll.qlYieldTSDiscount(Discounting,R90,,AllTriggers)</f>
        <v>1.0004071096466791</v>
      </c>
      <c r="W90" s="184">
        <f>_xll.qlYieldTSDiscount(Discounting,S90,,AllTriggers)</f>
        <v>1.00078190803608</v>
      </c>
      <c r="X90" s="181">
        <f t="shared" si="9"/>
        <v>-1.4654565410617778E-3</v>
      </c>
      <c r="Y90" s="348">
        <f t="shared" si="10"/>
        <v>3.5222761061256815E-4</v>
      </c>
      <c r="AD90" s="155"/>
      <c r="AE90" s="155"/>
    </row>
    <row r="91" spans="5:31" ht="11.25" customHeight="1" x14ac:dyDescent="0.2">
      <c r="E91" s="340"/>
      <c r="F91" s="340"/>
      <c r="G91" s="155"/>
      <c r="K91" s="155"/>
      <c r="L91" s="155"/>
      <c r="R91" s="183">
        <f>_xll.qlCalendarAdvance(Calendar,R90,"1D","f")</f>
        <v>42235</v>
      </c>
      <c r="S91" s="183">
        <f>_xll.qlCalendarAdvance(Calendar,R91,$F$1,"mf",,Trigger)</f>
        <v>42327</v>
      </c>
      <c r="T91" s="169">
        <f>_xll.qlDayCounterYearFraction(DayCounter,R91,S91,,,Trigger)</f>
        <v>0.25555555555555554</v>
      </c>
      <c r="U91" s="181">
        <f>_xll.qlInterpolationInterpolate(B3Minterpolation,R91,TRUE)</f>
        <v>1.3777018397853873E-3</v>
      </c>
      <c r="V91" s="184">
        <f>_xll.qlYieldTSDiscount(Discounting,R91,,AllTriggers)</f>
        <v>1.0004111705880525</v>
      </c>
      <c r="W91" s="184">
        <f>_xll.qlYieldTSDiscount(Discounting,S91,,AllTriggers)</f>
        <v>1.0007861950162613</v>
      </c>
      <c r="X91" s="181">
        <f t="shared" si="9"/>
        <v>-1.466334068454268E-3</v>
      </c>
      <c r="Y91" s="348">
        <f t="shared" si="10"/>
        <v>3.5214933129397116E-4</v>
      </c>
      <c r="AD91" s="155"/>
      <c r="AE91" s="155"/>
    </row>
    <row r="92" spans="5:31" ht="11.25" customHeight="1" x14ac:dyDescent="0.2">
      <c r="E92" s="340"/>
      <c r="F92" s="340"/>
      <c r="G92" s="155"/>
      <c r="K92" s="155"/>
      <c r="L92" s="155"/>
      <c r="R92" s="183">
        <f>_xll.qlCalendarAdvance(Calendar,R91,"1D","f")</f>
        <v>42236</v>
      </c>
      <c r="S92" s="183">
        <f>_xll.qlCalendarAdvance(Calendar,R92,$F$1,"mf",,Trigger)</f>
        <v>42328</v>
      </c>
      <c r="T92" s="169">
        <f>_xll.qlDayCounterYearFraction(DayCounter,R92,S92,,,Trigger)</f>
        <v>0.25555555555555554</v>
      </c>
      <c r="U92" s="181">
        <f>_xll.qlInterpolationInterpolate(B3Minterpolation,R92,TRUE)</f>
        <v>1.3773995680115383E-3</v>
      </c>
      <c r="V92" s="184">
        <f>_xll.qlYieldTSDiscount(Discounting,R92,,AllTriggers)</f>
        <v>1.0004152331711411</v>
      </c>
      <c r="W92" s="184">
        <f>_xll.qlYieldTSDiscount(Discounting,S92,,AllTriggers)</f>
        <v>1.0007904899897311</v>
      </c>
      <c r="X92" s="181">
        <f t="shared" si="9"/>
        <v>-1.4672364109610694E-3</v>
      </c>
      <c r="Y92" s="348">
        <f t="shared" si="10"/>
        <v>3.5207216351371102E-4</v>
      </c>
      <c r="AD92" s="155"/>
      <c r="AE92" s="155"/>
    </row>
    <row r="93" spans="5:31" ht="11.25" customHeight="1" x14ac:dyDescent="0.2">
      <c r="E93" s="340"/>
      <c r="F93" s="340"/>
      <c r="G93" s="155"/>
      <c r="K93" s="155"/>
      <c r="L93" s="155"/>
      <c r="R93" s="183">
        <f>_xll.qlCalendarAdvance(Calendar,R92,"1D","f")</f>
        <v>42237</v>
      </c>
      <c r="S93" s="183">
        <f>_xll.qlCalendarAdvance(Calendar,R93,$F$1,"mf",,Trigger)</f>
        <v>42331</v>
      </c>
      <c r="T93" s="169">
        <f>_xll.qlDayCounterYearFraction(DayCounter,R93,S93,,,Trigger)</f>
        <v>0.26111111111111113</v>
      </c>
      <c r="U93" s="181">
        <f>_xll.qlInterpolationInterpolate(B3Minterpolation,R93,TRUE)</f>
        <v>1.3771027426809034E-3</v>
      </c>
      <c r="V93" s="184">
        <f>_xll.qlYieldTSDiscount(Discounting,R93,,AllTriggers)</f>
        <v>1.0004192974106099</v>
      </c>
      <c r="W93" s="184">
        <f>_xll.qlYieldTSDiscount(Discounting,S93,,AllTriggers)</f>
        <v>1.0008034257893863</v>
      </c>
      <c r="X93" s="181">
        <f t="shared" si="9"/>
        <v>-1.4699489663627899E-3</v>
      </c>
      <c r="Y93" s="348">
        <f t="shared" si="10"/>
        <v>3.5965021113731254E-4</v>
      </c>
      <c r="AD93" s="155"/>
      <c r="AE93" s="155"/>
    </row>
    <row r="94" spans="5:31" ht="11.25" customHeight="1" x14ac:dyDescent="0.2">
      <c r="E94" s="340"/>
      <c r="F94" s="340"/>
      <c r="G94" s="155"/>
      <c r="K94" s="155"/>
      <c r="L94" s="155"/>
      <c r="R94" s="183">
        <f>_xll.qlCalendarAdvance(Calendar,R93,"1D","f")</f>
        <v>42240</v>
      </c>
      <c r="S94" s="183">
        <f>_xll.qlCalendarAdvance(Calendar,R94,$F$1,"mf",,Trigger)</f>
        <v>42332</v>
      </c>
      <c r="T94" s="169">
        <f>_xll.qlDayCounterYearFraction(DayCounter,R94,S94,,,Trigger)</f>
        <v>0.25555555555555554</v>
      </c>
      <c r="U94" s="181">
        <f>_xll.qlInterpolationInterpolate(B3Minterpolation,R94,TRUE)</f>
        <v>1.3762560015728265E-3</v>
      </c>
      <c r="V94" s="184">
        <f>_xll.qlYieldTSDiscount(Discounting,R94,,AllTriggers)</f>
        <v>1.0004315002139443</v>
      </c>
      <c r="W94" s="184">
        <f>_xll.qlYieldTSDiscount(Discounting,S94,,AllTriggers)</f>
        <v>1.0008077556555515</v>
      </c>
      <c r="X94" s="181">
        <f t="shared" si="9"/>
        <v>-1.4711155999949776E-3</v>
      </c>
      <c r="Y94" s="348">
        <f t="shared" si="10"/>
        <v>3.5178026081084812E-4</v>
      </c>
      <c r="AD94" s="155"/>
      <c r="AE94" s="155"/>
    </row>
    <row r="95" spans="5:31" ht="11.25" customHeight="1" x14ac:dyDescent="0.2">
      <c r="E95" s="340"/>
      <c r="F95" s="340"/>
      <c r="G95" s="155"/>
      <c r="K95" s="155"/>
      <c r="L95" s="155"/>
      <c r="R95" s="183">
        <f>_xll.qlCalendarAdvance(Calendar,R94,"1D","f")</f>
        <v>42241</v>
      </c>
      <c r="S95" s="183">
        <f>_xll.qlCalendarAdvance(Calendar,R95,$F$1,"mf",,Trigger)</f>
        <v>42333</v>
      </c>
      <c r="T95" s="169">
        <f>_xll.qlDayCounterYearFraction(DayCounter,R95,S95,,,Trigger)</f>
        <v>0.25555555555555554</v>
      </c>
      <c r="U95" s="181">
        <f>_xll.qlInterpolationInterpolate(B3Minterpolation,R95,TRUE)</f>
        <v>1.3759920182395908E-3</v>
      </c>
      <c r="V95" s="184">
        <f>_xll.qlYieldTSDiscount(Discounting,R95,,AllTriggers)</f>
        <v>1.0004355712255828</v>
      </c>
      <c r="W95" s="184">
        <f>_xll.qlYieldTSDiscount(Discounting,S95,,AllTriggers)</f>
        <v>1.0008120949748016</v>
      </c>
      <c r="X95" s="181">
        <f t="shared" si="9"/>
        <v>-1.4721582689587551E-3</v>
      </c>
      <c r="Y95" s="348">
        <f t="shared" si="10"/>
        <v>3.5171289050191939E-4</v>
      </c>
      <c r="AD95" s="155"/>
      <c r="AE95" s="155"/>
    </row>
    <row r="96" spans="5:31" ht="11.25" customHeight="1" x14ac:dyDescent="0.2">
      <c r="E96" s="340"/>
      <c r="F96" s="340"/>
      <c r="G96" s="155"/>
      <c r="K96" s="155"/>
      <c r="L96" s="155"/>
      <c r="R96" s="183">
        <f>_xll.qlCalendarAdvance(Calendar,R95,"1D","f")</f>
        <v>42242</v>
      </c>
      <c r="S96" s="183">
        <f>_xll.qlCalendarAdvance(Calendar,R96,$F$1,"mf",,Trigger)</f>
        <v>42334</v>
      </c>
      <c r="T96" s="169">
        <f>_xll.qlDayCounterYearFraction(DayCounter,R96,S96,,,Trigger)</f>
        <v>0.25555555555555554</v>
      </c>
      <c r="U96" s="181">
        <f>_xll.qlInterpolationInterpolate(B3Minterpolation,R96,TRUE)</f>
        <v>1.3757390094618401E-3</v>
      </c>
      <c r="V96" s="184">
        <f>_xll.qlYieldTSDiscount(Discounting,R96,,AllTriggers)</f>
        <v>1.0004396439669276</v>
      </c>
      <c r="W96" s="184">
        <f>_xll.qlYieldTSDiscount(Discounting,S96,,AllTriggers)</f>
        <v>1.0008164440391125</v>
      </c>
      <c r="X96" s="181">
        <f t="shared" si="9"/>
        <v>-1.4732322533797166E-3</v>
      </c>
      <c r="Y96" s="348">
        <f t="shared" si="10"/>
        <v>3.5164832764585465E-4</v>
      </c>
      <c r="AD96" s="155"/>
      <c r="AE96" s="155"/>
    </row>
    <row r="97" spans="5:31" ht="11.25" customHeight="1" x14ac:dyDescent="0.2">
      <c r="E97" s="340"/>
      <c r="F97" s="340"/>
      <c r="G97" s="155"/>
      <c r="K97" s="155"/>
      <c r="L97" s="155"/>
      <c r="R97" s="183">
        <f>_xll.qlCalendarAdvance(Calendar,R96,"1D","f")</f>
        <v>42243</v>
      </c>
      <c r="S97" s="183">
        <f>_xll.qlCalendarAdvance(Calendar,R97,$F$1,"mf",,Trigger)</f>
        <v>42335</v>
      </c>
      <c r="T97" s="169">
        <f>_xll.qlDayCounterYearFraction(DayCounter,R97,S97,,,Trigger)</f>
        <v>0.25555555555555554</v>
      </c>
      <c r="U97" s="181">
        <f>_xll.qlInterpolationInterpolate(B3Minterpolation,R97,TRUE)</f>
        <v>1.3754980808620291E-3</v>
      </c>
      <c r="V97" s="184">
        <f>_xll.qlYieldTSDiscount(Discounting,R97,,AllTriggers)</f>
        <v>1.0004437184526449</v>
      </c>
      <c r="W97" s="184">
        <f>_xll.qlYieldTSDiscount(Discounting,S97,,AllTriggers)</f>
        <v>1.0008208031404644</v>
      </c>
      <c r="X97" s="181">
        <f t="shared" si="9"/>
        <v>-1.4743386366412449E-3</v>
      </c>
      <c r="Y97" s="348">
        <f t="shared" si="10"/>
        <v>3.5158685489606917E-4</v>
      </c>
      <c r="AD97" s="155"/>
      <c r="AE97" s="155"/>
    </row>
    <row r="98" spans="5:31" ht="11.25" customHeight="1" x14ac:dyDescent="0.2">
      <c r="E98" s="340"/>
      <c r="F98" s="340"/>
      <c r="G98" s="155"/>
      <c r="K98" s="155"/>
      <c r="L98" s="155"/>
      <c r="R98" s="183">
        <f>_xll.qlCalendarAdvance(Calendar,R97,"1D","f")</f>
        <v>42244</v>
      </c>
      <c r="S98" s="183">
        <f>_xll.qlCalendarAdvance(Calendar,R98,$F$1,"mf",,Trigger)</f>
        <v>42338</v>
      </c>
      <c r="T98" s="169">
        <f>_xll.qlDayCounterYearFraction(DayCounter,R98,S98,,,Trigger)</f>
        <v>0.26111111111111113</v>
      </c>
      <c r="U98" s="181">
        <f>_xll.qlInterpolationInterpolate(B3Minterpolation,R98,TRUE)</f>
        <v>1.3752703380626114E-3</v>
      </c>
      <c r="V98" s="184">
        <f>_xll.qlYieldTSDiscount(Discounting,R98,,AllTriggers)</f>
        <v>1.0004477946974004</v>
      </c>
      <c r="W98" s="184">
        <f>_xll.qlYieldTSDiscount(Discounting,S98,,AllTriggers)</f>
        <v>1.0008339435866538</v>
      </c>
      <c r="X98" s="181">
        <f t="shared" si="9"/>
        <v>-1.4776358215853466E-3</v>
      </c>
      <c r="Y98" s="348">
        <f t="shared" si="10"/>
        <v>3.5917245926803419E-4</v>
      </c>
      <c r="AD98" s="155"/>
      <c r="AE98" s="155"/>
    </row>
    <row r="99" spans="5:31" ht="11.25" customHeight="1" x14ac:dyDescent="0.2">
      <c r="E99" s="340"/>
      <c r="F99" s="340"/>
      <c r="G99" s="155"/>
      <c r="K99" s="155"/>
      <c r="L99" s="155"/>
      <c r="R99" s="183">
        <f>_xll.qlCalendarAdvance(Calendar,R98,"1D","f")</f>
        <v>42247</v>
      </c>
      <c r="S99" s="183">
        <f>_xll.qlCalendarAdvance(Calendar,R99,$F$1,"mf",,Trigger)</f>
        <v>42338</v>
      </c>
      <c r="T99" s="169">
        <f>_xll.qlDayCounterYearFraction(DayCounter,R99,S99,,,Trigger)</f>
        <v>0.25277777777777777</v>
      </c>
      <c r="U99" s="181">
        <f>_xll.qlInterpolationInterpolate(B3Minterpolation,R99,TRUE)</f>
        <v>1.374677280691262E-3</v>
      </c>
      <c r="V99" s="184">
        <f>_xll.qlYieldTSDiscount(Discounting,R99,,AllTriggers)</f>
        <v>1.0004600341325649</v>
      </c>
      <c r="W99" s="184">
        <f>_xll.qlYieldTSDiscount(Discounting,S99,,AllTriggers)</f>
        <v>1.0008339435866538</v>
      </c>
      <c r="X99" s="181">
        <f t="shared" si="9"/>
        <v>-1.4779696926095153E-3</v>
      </c>
      <c r="Y99" s="348">
        <f t="shared" si="10"/>
        <v>3.4755733238201267E-4</v>
      </c>
      <c r="AD99" s="155"/>
      <c r="AE99" s="155"/>
    </row>
    <row r="100" spans="5:31" ht="11.25" customHeight="1" x14ac:dyDescent="0.2">
      <c r="E100" s="340"/>
      <c r="F100" s="340"/>
      <c r="G100" s="155"/>
      <c r="K100" s="155"/>
      <c r="L100" s="155"/>
      <c r="R100" s="183">
        <f>_xll.qlCalendarAdvance(Calendar,R99,"1D","f")</f>
        <v>42248</v>
      </c>
      <c r="S100" s="183">
        <f>_xll.qlCalendarAdvance(Calendar,R100,$F$1,"mf",,Trigger)</f>
        <v>42339</v>
      </c>
      <c r="T100" s="169">
        <f>_xll.qlDayCounterYearFraction(DayCounter,R100,S100,,,Trigger)</f>
        <v>0.25277777777777777</v>
      </c>
      <c r="U100" s="181">
        <f>_xll.qlInterpolationInterpolate(B3Minterpolation,R100,TRUE)</f>
        <v>1.3745133373179606E-3</v>
      </c>
      <c r="V100" s="184">
        <f>_xll.qlYieldTSDiscount(Discounting,R100,,AllTriggers)</f>
        <v>1.0004641175601421</v>
      </c>
      <c r="W100" s="184">
        <f>_xll.qlYieldTSDiscount(Discounting,S100,,AllTriggers)</f>
        <v>1.0008375450854075</v>
      </c>
      <c r="X100" s="181">
        <f t="shared" si="9"/>
        <v>-1.4760594380185228E-3</v>
      </c>
      <c r="Y100" s="348">
        <f t="shared" si="10"/>
        <v>3.4751572221916502E-4</v>
      </c>
      <c r="AD100" s="155"/>
      <c r="AE100" s="155"/>
    </row>
    <row r="101" spans="5:31" ht="11.25" customHeight="1" x14ac:dyDescent="0.2">
      <c r="E101" s="340"/>
      <c r="F101" s="340"/>
      <c r="G101" s="155"/>
      <c r="K101" s="155"/>
      <c r="L101" s="155"/>
      <c r="R101" s="183">
        <f>_xll.qlCalendarAdvance(Calendar,R100,"1D","f")</f>
        <v>42249</v>
      </c>
      <c r="S101" s="183">
        <f>_xll.qlCalendarAdvance(Calendar,R101,$F$1,"mf",,Trigger)</f>
        <v>42340</v>
      </c>
      <c r="T101" s="169">
        <f>_xll.qlDayCounterYearFraction(DayCounter,R101,S101,,,Trigger)</f>
        <v>0.25277777777777777</v>
      </c>
      <c r="U101" s="181">
        <f>_xll.qlInterpolationInterpolate(B3Minterpolation,R101,TRUE)</f>
        <v>1.3743681078573239E-3</v>
      </c>
      <c r="V101" s="184">
        <f>_xll.qlYieldTSDiscount(Discounting,R101,,AllTriggers)</f>
        <v>1.0004682028200929</v>
      </c>
      <c r="W101" s="184">
        <f>_xll.qlYieldTSDiscount(Discounting,S101,,AllTriggers)</f>
        <v>1.0008419587483324</v>
      </c>
      <c r="X101" s="181">
        <f t="shared" si="9"/>
        <v>-1.4773510123385451E-3</v>
      </c>
      <c r="Y101" s="348">
        <f t="shared" si="10"/>
        <v>3.4747912396381191E-4</v>
      </c>
      <c r="AD101" s="155"/>
      <c r="AE101" s="155"/>
    </row>
    <row r="102" spans="5:31" ht="11.25" customHeight="1" x14ac:dyDescent="0.2">
      <c r="E102" s="340"/>
      <c r="F102" s="340"/>
      <c r="G102" s="155"/>
      <c r="K102" s="155"/>
      <c r="L102" s="155"/>
      <c r="R102" s="183">
        <f>_xll.qlCalendarAdvance(Calendar,R101,"1D","f")</f>
        <v>42250</v>
      </c>
      <c r="S102" s="183">
        <f>_xll.qlCalendarAdvance(Calendar,R102,$F$1,"mf",,Trigger)</f>
        <v>42341</v>
      </c>
      <c r="T102" s="169">
        <f>_xll.qlDayCounterYearFraction(DayCounter,R102,S102,,,Trigger)</f>
        <v>0.25277777777777777</v>
      </c>
      <c r="U102" s="181">
        <f>_xll.qlInterpolationInterpolate(B3Minterpolation,R102,TRUE)</f>
        <v>1.374242697931806E-3</v>
      </c>
      <c r="V102" s="184">
        <f>_xll.qlYieldTSDiscount(Discounting,R102,,AllTriggers)</f>
        <v>1.0004722899270853</v>
      </c>
      <c r="W102" s="184">
        <f>_xll.qlYieldTSDiscount(Discounting,S102,,AllTriggers)</f>
        <v>1.0008463842002866</v>
      </c>
      <c r="X102" s="181">
        <f t="shared" si="9"/>
        <v>-1.4786818555289206E-3</v>
      </c>
      <c r="Y102" s="348">
        <f t="shared" si="10"/>
        <v>3.4744753920312721E-4</v>
      </c>
      <c r="AD102" s="155"/>
      <c r="AE102" s="155"/>
    </row>
    <row r="103" spans="5:31" ht="11.25" customHeight="1" x14ac:dyDescent="0.2">
      <c r="E103" s="340"/>
      <c r="F103" s="340"/>
      <c r="G103" s="155"/>
      <c r="K103" s="155"/>
      <c r="L103" s="155"/>
      <c r="R103" s="183">
        <f>_xll.qlCalendarAdvance(Calendar,R102,"1D","f")</f>
        <v>42251</v>
      </c>
      <c r="S103" s="183">
        <f>_xll.qlCalendarAdvance(Calendar,R103,$F$1,"mf",,Trigger)</f>
        <v>42342</v>
      </c>
      <c r="T103" s="169">
        <f>_xll.qlDayCounterYearFraction(DayCounter,R103,S103,,,Trigger)</f>
        <v>0.25277777777777777</v>
      </c>
      <c r="U103" s="181">
        <f>_xll.qlInterpolationInterpolate(B3Minterpolation,R103,TRUE)</f>
        <v>1.3741382131638609E-3</v>
      </c>
      <c r="V103" s="184">
        <f>_xll.qlYieldTSDiscount(Discounting,R103,,AllTriggers)</f>
        <v>1.0004763788957864</v>
      </c>
      <c r="W103" s="184">
        <f>_xll.qlYieldTSDiscount(Discounting,S103,,AllTriggers)</f>
        <v>1.0008508217332883</v>
      </c>
      <c r="X103" s="181">
        <f t="shared" si="9"/>
        <v>-1.4800530628708778E-3</v>
      </c>
      <c r="Y103" s="348">
        <f t="shared" si="10"/>
        <v>3.4742124752204669E-4</v>
      </c>
      <c r="AD103" s="155"/>
      <c r="AE103" s="155"/>
    </row>
    <row r="104" spans="5:31" ht="11.25" customHeight="1" x14ac:dyDescent="0.2">
      <c r="E104" s="340"/>
      <c r="F104" s="340"/>
      <c r="G104" s="155"/>
      <c r="K104" s="155"/>
      <c r="L104" s="155"/>
      <c r="R104" s="183">
        <f>_xll.qlCalendarAdvance(Calendar,R103,"1D","f")</f>
        <v>42254</v>
      </c>
      <c r="S104" s="183">
        <f>_xll.qlCalendarAdvance(Calendar,R104,$F$1,"mf",,Trigger)</f>
        <v>42345</v>
      </c>
      <c r="T104" s="169">
        <f>_xll.qlDayCounterYearFraction(DayCounter,R104,S104,,,Trigger)</f>
        <v>0.25277777777777777</v>
      </c>
      <c r="U104" s="181">
        <f>_xll.qlInterpolationInterpolate(B3Minterpolation,R104,TRUE)</f>
        <v>1.3739613660300051E-3</v>
      </c>
      <c r="V104" s="184">
        <f>_xll.qlYieldTSDiscount(Discounting,R104,,AllTriggers)</f>
        <v>1.0004886571188303</v>
      </c>
      <c r="W104" s="184">
        <f>_xll.qlYieldTSDiscount(Discounting,S104,,AllTriggers)</f>
        <v>1.0008642097388532</v>
      </c>
      <c r="X104" s="181">
        <f t="shared" si="9"/>
        <v>-1.484419822550884E-3</v>
      </c>
      <c r="Y104" s="348">
        <f t="shared" si="10"/>
        <v>3.4737692681712846E-4</v>
      </c>
      <c r="AD104" s="155"/>
      <c r="AE104" s="155"/>
    </row>
    <row r="105" spans="5:31" ht="11.25" customHeight="1" x14ac:dyDescent="0.2">
      <c r="E105" s="340"/>
      <c r="F105" s="340"/>
      <c r="G105" s="155"/>
      <c r="K105" s="155"/>
      <c r="L105" s="155"/>
      <c r="R105" s="183">
        <f>_xll.qlCalendarAdvance(Calendar,R104,"1D","f")</f>
        <v>42255</v>
      </c>
      <c r="S105" s="183">
        <f>_xll.qlCalendarAdvance(Calendar,R105,$F$1,"mf",,Trigger)</f>
        <v>42346</v>
      </c>
      <c r="T105" s="169">
        <f>_xll.qlDayCounterYearFraction(DayCounter,R105,S105,,,Trigger)</f>
        <v>0.25277777777777777</v>
      </c>
      <c r="U105" s="181">
        <f>_xll.qlInterpolationInterpolate(B3Minterpolation,R105,TRUE)</f>
        <v>1.3739516381168937E-3</v>
      </c>
      <c r="V105" s="184">
        <f>_xll.qlYieldTSDiscount(Discounting,R105,,AllTriggers)</f>
        <v>1.0004927536810537</v>
      </c>
      <c r="W105" s="184">
        <f>_xll.qlYieldTSDiscount(Discounting,S105,,AllTriggers)</f>
        <v>1.0008686985163462</v>
      </c>
      <c r="X105" s="181">
        <f t="shared" si="9"/>
        <v>-1.4859634392297581E-3</v>
      </c>
      <c r="Y105" s="348">
        <f t="shared" si="10"/>
        <v>3.4737460331831486E-4</v>
      </c>
      <c r="AD105" s="155"/>
      <c r="AE105" s="155"/>
    </row>
    <row r="106" spans="5:31" ht="11.25" customHeight="1" x14ac:dyDescent="0.2">
      <c r="E106" s="340"/>
      <c r="F106" s="340"/>
      <c r="G106" s="155"/>
      <c r="K106" s="155"/>
      <c r="L106" s="155"/>
      <c r="R106" s="183">
        <f>_xll.qlCalendarAdvance(Calendar,R105,"1D","f")</f>
        <v>42256</v>
      </c>
      <c r="S106" s="183">
        <f>_xll.qlCalendarAdvance(Calendar,R106,$F$1,"mf",,Trigger)</f>
        <v>42347</v>
      </c>
      <c r="T106" s="169">
        <f>_xll.qlDayCounterYearFraction(DayCounter,R106,S106,,,Trigger)</f>
        <v>0.25277777777777777</v>
      </c>
      <c r="U106" s="181">
        <f>_xll.qlInterpolationInterpolate(B3Minterpolation,R106,TRUE)</f>
        <v>1.3739683634736261E-3</v>
      </c>
      <c r="V106" s="184">
        <f>_xll.qlYieldTSDiscount(Discounting,R106,,AllTriggers)</f>
        <v>1.0004968521783304</v>
      </c>
      <c r="W106" s="184">
        <f>_xll.qlYieldTSDiscount(Discounting,S106,,AllTriggers)</f>
        <v>1.0008732008350654</v>
      </c>
      <c r="X106" s="181">
        <f t="shared" si="9"/>
        <v>-1.4875528964101367E-3</v>
      </c>
      <c r="Y106" s="348">
        <f t="shared" si="10"/>
        <v>3.4737897083445695E-4</v>
      </c>
      <c r="AD106" s="155"/>
      <c r="AE106" s="155"/>
    </row>
    <row r="107" spans="5:31" ht="11.25" customHeight="1" x14ac:dyDescent="0.2">
      <c r="E107" s="340"/>
      <c r="F107" s="340"/>
      <c r="G107" s="155"/>
      <c r="K107" s="155"/>
      <c r="L107" s="155"/>
      <c r="R107" s="183">
        <f>_xll.qlCalendarAdvance(Calendar,R106,"1D","f")</f>
        <v>42257</v>
      </c>
      <c r="S107" s="183">
        <f>_xll.qlCalendarAdvance(Calendar,R107,$F$1,"mf",,Trigger)</f>
        <v>42348</v>
      </c>
      <c r="T107" s="169">
        <f>_xll.qlDayCounterYearFraction(DayCounter,R107,S107,,,Trigger)</f>
        <v>0.25277777777777777</v>
      </c>
      <c r="U107" s="181">
        <f>_xll.qlInterpolationInterpolate(B3Minterpolation,R107,TRUE)</f>
        <v>1.3740126477226565E-3</v>
      </c>
      <c r="V107" s="184">
        <f>_xll.qlYieldTSDiscount(Discounting,R107,,AllTriggers)</f>
        <v>1.0005009526215993</v>
      </c>
      <c r="W107" s="184">
        <f>_xll.qlYieldTSDiscount(Discounting,S107,,AllTriggers)</f>
        <v>1.0008777168832541</v>
      </c>
      <c r="X107" s="181">
        <f t="shared" si="9"/>
        <v>-1.4891888939383548E-3</v>
      </c>
      <c r="Y107" s="348">
        <f t="shared" si="10"/>
        <v>3.4739030892019286E-4</v>
      </c>
      <c r="AD107" s="155"/>
      <c r="AE107" s="155"/>
    </row>
    <row r="108" spans="5:31" ht="11.25" customHeight="1" x14ac:dyDescent="0.2">
      <c r="E108" s="340"/>
      <c r="F108" s="340"/>
      <c r="G108" s="155"/>
      <c r="K108" s="155"/>
      <c r="L108" s="155"/>
      <c r="R108" s="183">
        <f>_xll.qlCalendarAdvance(Calendar,R107,"1D","f")</f>
        <v>42258</v>
      </c>
      <c r="S108" s="183">
        <f>_xll.qlCalendarAdvance(Calendar,R108,$F$1,"mf",,Trigger)</f>
        <v>42349</v>
      </c>
      <c r="T108" s="169">
        <f>_xll.qlDayCounterYearFraction(DayCounter,R108,S108,,,Trigger)</f>
        <v>0.25277777777777777</v>
      </c>
      <c r="U108" s="181">
        <f>_xll.qlInterpolationInterpolate(B3Minterpolation,R108,TRUE)</f>
        <v>1.3740855964864394E-3</v>
      </c>
      <c r="V108" s="184">
        <f>_xll.qlYieldTSDiscount(Discounting,R108,,AllTriggers)</f>
        <v>1.0005050550068788</v>
      </c>
      <c r="W108" s="184">
        <f>_xll.qlYieldTSDiscount(Discounting,S108,,AllTriggers)</f>
        <v>1.0008822464339198</v>
      </c>
      <c r="X108" s="181">
        <f t="shared" si="9"/>
        <v>-1.4908705499910066E-3</v>
      </c>
      <c r="Y108" s="348">
        <f t="shared" si="10"/>
        <v>3.4740889699149828E-4</v>
      </c>
      <c r="AD108" s="155"/>
      <c r="AE108" s="155"/>
    </row>
    <row r="109" spans="5:31" ht="11.25" customHeight="1" x14ac:dyDescent="0.2">
      <c r="E109" s="340"/>
      <c r="F109" s="340"/>
      <c r="G109" s="155"/>
      <c r="K109" s="155"/>
      <c r="L109" s="155"/>
      <c r="R109" s="183">
        <f>_xll.qlCalendarAdvance(Calendar,R108,"1D","f")</f>
        <v>42261</v>
      </c>
      <c r="S109" s="183">
        <f>_xll.qlCalendarAdvance(Calendar,R109,$F$1,"mf",,Trigger)</f>
        <v>42352</v>
      </c>
      <c r="T109" s="169">
        <f>_xll.qlDayCounterYearFraction(DayCounter,R109,S109,,,Trigger)</f>
        <v>0.25277777777777777</v>
      </c>
      <c r="U109" s="181">
        <f>_xll.qlInterpolationInterpolate(B3Minterpolation,R109,TRUE)</f>
        <v>1.3744874860908431E-3</v>
      </c>
      <c r="V109" s="184">
        <f>_xll.qlYieldTSDiscount(Discounting,R109,,AllTriggers)</f>
        <v>1.0005173737376618</v>
      </c>
      <c r="W109" s="184">
        <f>_xll.qlYieldTSDiscount(Discounting,S109,,AllTriggers)</f>
        <v>1.0008959127926873</v>
      </c>
      <c r="X109" s="181">
        <f t="shared" si="9"/>
        <v>-1.4961766969172449E-3</v>
      </c>
      <c r="Y109" s="348">
        <f t="shared" si="10"/>
        <v>3.4751095494933373E-4</v>
      </c>
      <c r="AD109" s="155"/>
      <c r="AE109" s="155"/>
    </row>
    <row r="110" spans="5:31" ht="11.25" customHeight="1" x14ac:dyDescent="0.2">
      <c r="E110" s="340"/>
      <c r="F110" s="340"/>
      <c r="G110" s="155"/>
      <c r="K110" s="155"/>
      <c r="L110" s="155"/>
      <c r="R110" s="183">
        <f>_xll.qlCalendarAdvance(Calendar,R109,"1D","f")</f>
        <v>42262</v>
      </c>
      <c r="S110" s="183">
        <f>_xll.qlCalendarAdvance(Calendar,R110,$F$1,"mf",,Trigger)</f>
        <v>42353</v>
      </c>
      <c r="T110" s="169">
        <f>_xll.qlDayCounterYearFraction(DayCounter,R110,S110,,,Trigger)</f>
        <v>0.25277777777777777</v>
      </c>
      <c r="U110" s="181">
        <f>_xll.qlInterpolationInterpolate(B3Minterpolation,R110,TRUE)</f>
        <v>1.374686149138177E-3</v>
      </c>
      <c r="V110" s="184">
        <f>_xll.qlYieldTSDiscount(Discounting,R110,,AllTriggers)</f>
        <v>1.0005214838138639</v>
      </c>
      <c r="W110" s="184">
        <f>_xll.qlYieldTSDiscount(Discounting,S110,,AllTriggers)</f>
        <v>1.0009004930451417</v>
      </c>
      <c r="X110" s="181">
        <f t="shared" si="9"/>
        <v>-1.4980282146928258E-3</v>
      </c>
      <c r="Y110" s="348">
        <f t="shared" si="10"/>
        <v>3.475613367963525E-4</v>
      </c>
      <c r="AD110" s="155"/>
      <c r="AE110" s="155"/>
    </row>
    <row r="111" spans="5:31" ht="11.25" customHeight="1" x14ac:dyDescent="0.2">
      <c r="E111" s="340"/>
      <c r="F111" s="340"/>
      <c r="G111" s="155"/>
      <c r="K111" s="155"/>
      <c r="L111" s="155"/>
      <c r="R111" s="183">
        <f>_xll.qlCalendarAdvance(Calendar,R110,"1D","f")</f>
        <v>42263</v>
      </c>
      <c r="S111" s="183">
        <f>_xll.qlCalendarAdvance(Calendar,R111,$F$1,"mf",,Trigger)</f>
        <v>42354</v>
      </c>
      <c r="T111" s="169">
        <f>_xll.qlDayCounterYearFraction(DayCounter,R111,S111,,,Trigger)</f>
        <v>0.25277777777777777</v>
      </c>
      <c r="U111" s="181">
        <f>_xll.qlInterpolationInterpolate(B3Minterpolation,R111,TRUE)</f>
        <v>1.3749190048125339E-3</v>
      </c>
      <c r="V111" s="184">
        <f>_xll.qlYieldTSDiscount(Discounting,R111,,AllTriggers)</f>
        <v>1.0005255957935155</v>
      </c>
      <c r="W111" s="184">
        <f>_xll.qlYieldTSDiscount(Discounting,S111,,AllTriggers)</f>
        <v>1.000905085145986</v>
      </c>
      <c r="X111" s="181">
        <f t="shared" si="9"/>
        <v>-1.4999190048124646E-3</v>
      </c>
      <c r="Y111" s="348">
        <f t="shared" si="10"/>
        <v>3.4762036554884682E-4</v>
      </c>
      <c r="AD111" s="155"/>
      <c r="AE111" s="155"/>
    </row>
    <row r="112" spans="5:31" ht="11.25" customHeight="1" x14ac:dyDescent="0.2">
      <c r="E112" s="340"/>
      <c r="F112" s="340"/>
      <c r="G112" s="155"/>
      <c r="K112" s="155"/>
      <c r="L112" s="155"/>
      <c r="R112" s="183">
        <f>_xll.qlCalendarAdvance(Calendar,R111,"1D","f")</f>
        <v>42264</v>
      </c>
      <c r="S112" s="183">
        <f>_xll.qlCalendarAdvance(Calendar,R112,$F$1,"mf",,Trigger)</f>
        <v>42355</v>
      </c>
      <c r="T112" s="169">
        <f>_xll.qlDayCounterYearFraction(DayCounter,R112,S112,,,Trigger)</f>
        <v>0.25277777777777777</v>
      </c>
      <c r="U112" s="181">
        <f>_xll.qlInterpolationInterpolate(B3Minterpolation,R112,TRUE)</f>
        <v>1.3751905998708245E-3</v>
      </c>
      <c r="V112" s="184">
        <f>_xll.qlYieldTSDiscount(Discounting,R112,,AllTriggers)</f>
        <v>1.0005297096689045</v>
      </c>
      <c r="W112" s="184">
        <f>_xll.qlYieldTSDiscount(Discounting,S112,,AllTriggers)</f>
        <v>1.0009096887643854</v>
      </c>
      <c r="X112" s="181">
        <f t="shared" si="9"/>
        <v>-1.5018477900393837E-3</v>
      </c>
      <c r="Y112" s="348">
        <f t="shared" si="10"/>
        <v>3.476891904631125E-4</v>
      </c>
      <c r="AD112" s="155"/>
      <c r="AE112" s="155"/>
    </row>
    <row r="113" spans="5:31" ht="11.25" customHeight="1" x14ac:dyDescent="0.2">
      <c r="E113" s="340"/>
      <c r="F113" s="340"/>
      <c r="G113" s="155"/>
      <c r="K113" s="155"/>
      <c r="L113" s="155"/>
      <c r="R113" s="183">
        <f>_xll.qlCalendarAdvance(Calendar,R112,"1D","f")</f>
        <v>42265</v>
      </c>
      <c r="S113" s="183">
        <f>_xll.qlCalendarAdvance(Calendar,R113,$F$1,"mf",,Trigger)</f>
        <v>42356</v>
      </c>
      <c r="T113" s="169">
        <f>_xll.qlDayCounterYearFraction(DayCounter,R113,S113,,,Trigger)</f>
        <v>0.25277777777777777</v>
      </c>
      <c r="U113" s="181">
        <f>_xll.qlInterpolationInterpolate(B3Minterpolation,R113,TRUE)</f>
        <v>1.3755041678565638E-3</v>
      </c>
      <c r="V113" s="184">
        <f>_xll.qlYieldTSDiscount(Discounting,R113,,AllTriggers)</f>
        <v>1.0005338254323188</v>
      </c>
      <c r="W113" s="184">
        <f>_xll.qlYieldTSDiscount(Discounting,S113,,AllTriggers)</f>
        <v>1.0009143035695003</v>
      </c>
      <c r="X113" s="181">
        <f t="shared" si="9"/>
        <v>-1.5038132931416365E-3</v>
      </c>
      <c r="Y113" s="348">
        <f t="shared" si="10"/>
        <v>3.4776862883573721E-4</v>
      </c>
      <c r="AD113" s="155"/>
      <c r="AE113" s="155"/>
    </row>
    <row r="114" spans="5:31" ht="11.25" customHeight="1" x14ac:dyDescent="0.2">
      <c r="E114" s="340"/>
      <c r="F114" s="340"/>
      <c r="G114" s="155"/>
      <c r="K114" s="155"/>
      <c r="L114" s="155"/>
      <c r="R114" s="183">
        <f>_xll.qlCalendarAdvance(Calendar,R113,"1D","f")</f>
        <v>42268</v>
      </c>
      <c r="S114" s="183">
        <f>_xll.qlCalendarAdvance(Calendar,R114,$F$1,"mf",,Trigger)</f>
        <v>42359</v>
      </c>
      <c r="T114" s="169">
        <f>_xll.qlDayCounterYearFraction(DayCounter,R114,S114,,,Trigger)</f>
        <v>0.25277777777777777</v>
      </c>
      <c r="U114" s="181">
        <f>_xll.qlInterpolationInterpolate(B3Minterpolation,R114,TRUE)</f>
        <v>1.3766880674020807E-3</v>
      </c>
      <c r="V114" s="184">
        <f>_xll.qlYieldTSDiscount(Discounting,R114,,AllTriggers)</f>
        <v>1.0005461839735812</v>
      </c>
      <c r="W114" s="184">
        <f>_xll.qlYieldTSDiscount(Discounting,S114,,AllTriggers)</f>
        <v>1.0009282117966527</v>
      </c>
      <c r="X114" s="181">
        <f t="shared" si="9"/>
        <v>-1.5099173374182636E-3</v>
      </c>
      <c r="Y114" s="348">
        <f t="shared" si="10"/>
        <v>3.4806843916246479E-4</v>
      </c>
      <c r="AD114" s="155"/>
      <c r="AE114" s="155"/>
    </row>
    <row r="115" spans="5:31" ht="11.25" customHeight="1" x14ac:dyDescent="0.2">
      <c r="E115" s="340"/>
      <c r="F115" s="340"/>
      <c r="G115" s="155"/>
      <c r="K115" s="155"/>
      <c r="L115" s="155"/>
      <c r="R115" s="183">
        <f>_xll.qlCalendarAdvance(Calendar,R114,"1D","f")</f>
        <v>42269</v>
      </c>
      <c r="S115" s="183">
        <f>_xll.qlCalendarAdvance(Calendar,R115,$F$1,"mf",,Trigger)</f>
        <v>42360</v>
      </c>
      <c r="T115" s="169">
        <f>_xll.qlDayCounterYearFraction(DayCounter,R115,S115,,,Trigger)</f>
        <v>0.25277777777777777</v>
      </c>
      <c r="U115" s="181">
        <f>_xll.qlInterpolationInterpolate(B3Minterpolation,R115,TRUE)</f>
        <v>1.3771608851212219E-3</v>
      </c>
      <c r="V115" s="184">
        <f>_xll.qlYieldTSDiscount(Discounting,R115,,AllTriggers)</f>
        <v>1.0005503072119659</v>
      </c>
      <c r="W115" s="184">
        <f>_xll.qlYieldTSDiscount(Discounting,S115,,AllTriggers)</f>
        <v>1.0009328680401151</v>
      </c>
      <c r="X115" s="181">
        <f t="shared" si="9"/>
        <v>-1.5120169397392785E-3</v>
      </c>
      <c r="Y115" s="348">
        <f t="shared" si="10"/>
        <v>3.4818814582606323E-4</v>
      </c>
      <c r="AD115" s="155"/>
      <c r="AE115" s="155"/>
    </row>
    <row r="116" spans="5:31" ht="11.25" customHeight="1" x14ac:dyDescent="0.2">
      <c r="E116" s="340"/>
      <c r="F116" s="340"/>
      <c r="G116" s="155"/>
      <c r="K116" s="155"/>
      <c r="L116" s="155"/>
      <c r="R116" s="183">
        <f>_xll.qlCalendarAdvance(Calendar,R115,"1D","f")</f>
        <v>42270</v>
      </c>
      <c r="S116" s="183">
        <f>_xll.qlCalendarAdvance(Calendar,R116,$F$1,"mf",,Trigger)</f>
        <v>42361</v>
      </c>
      <c r="T116" s="169">
        <f>_xll.qlDayCounterYearFraction(DayCounter,R116,S116,,,Trigger)</f>
        <v>0.25277777777777777</v>
      </c>
      <c r="U116" s="181">
        <f>_xll.qlInterpolationInterpolate(B3Minterpolation,R116,TRUE)</f>
        <v>1.3776713547796152E-3</v>
      </c>
      <c r="V116" s="184">
        <f>_xll.qlYieldTSDiscount(Discounting,R116,,AllTriggers)</f>
        <v>1.0005544322998103</v>
      </c>
      <c r="W116" s="184">
        <f>_xll.qlYieldTSDiscount(Discounting,S116,,AllTriggers)</f>
        <v>1.0009375338160067</v>
      </c>
      <c r="X116" s="181">
        <f t="shared" si="9"/>
        <v>-1.5141468738031252E-3</v>
      </c>
      <c r="Y116" s="348">
        <f t="shared" si="10"/>
        <v>3.4831737317570492E-4</v>
      </c>
      <c r="AD116" s="155"/>
      <c r="AE116" s="155"/>
    </row>
    <row r="117" spans="5:31" ht="11.25" customHeight="1" x14ac:dyDescent="0.2">
      <c r="E117" s="340"/>
      <c r="F117" s="340"/>
      <c r="G117" s="155"/>
      <c r="K117" s="155"/>
      <c r="L117" s="155"/>
      <c r="R117" s="183">
        <f>_xll.qlCalendarAdvance(Calendar,R116,"1D","f")</f>
        <v>42271</v>
      </c>
      <c r="S117" s="183">
        <f>_xll.qlCalendarAdvance(Calendar,R117,$F$1,"mf",,Trigger)</f>
        <v>42362</v>
      </c>
      <c r="T117" s="169">
        <f>_xll.qlDayCounterYearFraction(DayCounter,R117,S117,,,Trigger)</f>
        <v>0.25277777777777777</v>
      </c>
      <c r="U117" s="181">
        <f>_xll.qlInterpolationInterpolate(B3Minterpolation,R117,TRUE)</f>
        <v>1.3782186121796217E-3</v>
      </c>
      <c r="V117" s="184">
        <f>_xll.qlYieldTSDiscount(Discounting,R117,,AllTriggers)</f>
        <v>1.0005585592294011</v>
      </c>
      <c r="W117" s="184">
        <f>_xll.qlYieldTSDiscount(Discounting,S117,,AllTriggers)</f>
        <v>1.000942208793453</v>
      </c>
      <c r="X117" s="181">
        <f t="shared" si="9"/>
        <v>-1.5163058623892764E-3</v>
      </c>
      <c r="Y117" s="348">
        <f t="shared" si="10"/>
        <v>3.4845590265541923E-4</v>
      </c>
      <c r="AD117" s="155"/>
      <c r="AE117" s="155"/>
    </row>
    <row r="118" spans="5:31" ht="11.25" customHeight="1" x14ac:dyDescent="0.2">
      <c r="E118" s="340"/>
      <c r="F118" s="340"/>
      <c r="G118" s="155"/>
      <c r="K118" s="155"/>
      <c r="L118" s="155"/>
      <c r="R118" s="183">
        <f>_xll.qlCalendarAdvance(Calendar,R117,"1D","f")</f>
        <v>42272</v>
      </c>
      <c r="S118" s="183">
        <f>_xll.qlCalendarAdvance(Calendar,R118,$F$1,"mf",,Trigger)</f>
        <v>42366</v>
      </c>
      <c r="T118" s="169">
        <f>_xll.qlDayCounterYearFraction(DayCounter,R118,S118,,,Trigger)</f>
        <v>0.26111111111111113</v>
      </c>
      <c r="U118" s="181">
        <f>_xll.qlInterpolationInterpolate(B3Minterpolation,R118,TRUE)</f>
        <v>1.3788017931236022E-3</v>
      </c>
      <c r="V118" s="184">
        <f>_xll.qlYieldTSDiscount(Discounting,R118,,AllTriggers)</f>
        <v>1.0005626879930254</v>
      </c>
      <c r="W118" s="184">
        <f>_xll.qlYieldTSDiscount(Discounting,S118,,AllTriggers)</f>
        <v>1.0009609941010782</v>
      </c>
      <c r="X118" s="181">
        <f t="shared" si="9"/>
        <v>-1.5239631282851277E-3</v>
      </c>
      <c r="Y118" s="348">
        <f t="shared" si="10"/>
        <v>3.6009894250543757E-4</v>
      </c>
      <c r="AD118" s="155"/>
      <c r="AE118" s="155"/>
    </row>
    <row r="119" spans="5:31" ht="11.25" customHeight="1" x14ac:dyDescent="0.2">
      <c r="E119" s="340"/>
      <c r="F119" s="340"/>
      <c r="G119" s="155"/>
      <c r="K119" s="155"/>
      <c r="L119" s="155"/>
      <c r="R119" s="183">
        <f>_xll.qlCalendarAdvance(Calendar,R118,"1D","f")</f>
        <v>42275</v>
      </c>
      <c r="S119" s="183">
        <f>_xll.qlCalendarAdvance(Calendar,R119,$F$1,"mf",,Trigger)</f>
        <v>42366</v>
      </c>
      <c r="T119" s="169">
        <f>_xll.qlDayCounterYearFraction(DayCounter,R119,S119,,,Trigger)</f>
        <v>0.25277777777777777</v>
      </c>
      <c r="U119" s="181">
        <f>_xll.qlInterpolationInterpolate(B3Minterpolation,R119,TRUE)</f>
        <v>1.3807582352429941E-3</v>
      </c>
      <c r="V119" s="184">
        <f>_xll.qlYieldTSDiscount(Discounting,R119,,AllTriggers)</f>
        <v>1.0005750852109603</v>
      </c>
      <c r="W119" s="184">
        <f>_xll.qlYieldTSDiscount(Discounting,S119,,AllTriggers)</f>
        <v>1.0009609941010782</v>
      </c>
      <c r="X119" s="181">
        <f t="shared" si="9"/>
        <v>-1.5252068175802033E-3</v>
      </c>
      <c r="Y119" s="348">
        <f t="shared" si="10"/>
        <v>3.4909867075568076E-4</v>
      </c>
      <c r="AD119" s="155"/>
      <c r="AE119" s="155"/>
    </row>
    <row r="120" spans="5:31" ht="11.25" customHeight="1" x14ac:dyDescent="0.2">
      <c r="E120" s="340"/>
      <c r="F120" s="340"/>
      <c r="G120" s="155"/>
      <c r="K120" s="155"/>
      <c r="L120" s="155"/>
      <c r="R120" s="183">
        <f>_xll.qlCalendarAdvance(Calendar,R119,"1D","f")</f>
        <v>42276</v>
      </c>
      <c r="S120" s="183">
        <f>_xll.qlCalendarAdvance(Calendar,R120,$F$1,"mf",,Trigger)</f>
        <v>42367</v>
      </c>
      <c r="T120" s="169">
        <f>_xll.qlDayCounterYearFraction(DayCounter,R120,S120,,,Trigger)</f>
        <v>0.25277777777777777</v>
      </c>
      <c r="U120" s="181">
        <f>_xll.qlInterpolationInterpolate(B3Minterpolation,R120,TRUE)</f>
        <v>1.3814764683864774E-3</v>
      </c>
      <c r="V120" s="184">
        <f>_xll.qlYieldTSDiscount(Discounting,R120,,AllTriggers)</f>
        <v>1.0005792212335805</v>
      </c>
      <c r="W120" s="184">
        <f>_xll.qlYieldTSDiscount(Discounting,S120,,AllTriggers)</f>
        <v>1.0009657101229665</v>
      </c>
      <c r="X120" s="181">
        <f t="shared" si="9"/>
        <v>-1.5274919205235536E-3</v>
      </c>
      <c r="Y120" s="348">
        <f t="shared" si="10"/>
        <v>3.4928043254145832E-4</v>
      </c>
      <c r="AD120" s="155"/>
      <c r="AE120" s="155"/>
    </row>
    <row r="121" spans="5:31" ht="11.25" customHeight="1" x14ac:dyDescent="0.2">
      <c r="E121" s="340"/>
      <c r="F121" s="340"/>
      <c r="G121" s="155"/>
      <c r="K121" s="155"/>
      <c r="L121" s="155"/>
      <c r="R121" s="183">
        <f>_xll.qlCalendarAdvance(Calendar,R120,"1D","f")</f>
        <v>42277</v>
      </c>
      <c r="S121" s="183">
        <f>_xll.qlCalendarAdvance(Calendar,R121,$F$1,"mf",,Trigger)</f>
        <v>42368</v>
      </c>
      <c r="T121" s="169">
        <f>_xll.qlDayCounterYearFraction(DayCounter,R121,S121,,,Trigger)</f>
        <v>0.25277777777777777</v>
      </c>
      <c r="U121" s="181">
        <f>_xll.qlInterpolationInterpolate(B3Minterpolation,R121,TRUE)</f>
        <v>1.3822263040857382E-3</v>
      </c>
      <c r="V121" s="184">
        <f>_xll.qlYieldTSDiscount(Discounting,R121,,AllTriggers)</f>
        <v>1.0005833590516644</v>
      </c>
      <c r="W121" s="184">
        <f>_xll.qlYieldTSDiscount(Discounting,S121,,AllTriggers)</f>
        <v>1.0009704333610352</v>
      </c>
      <c r="X121" s="181">
        <f t="shared" si="9"/>
        <v>-1.529798414709088E-3</v>
      </c>
      <c r="Y121" s="348">
        <f t="shared" si="10"/>
        <v>3.4947018511651348E-4</v>
      </c>
      <c r="AD121" s="155"/>
      <c r="AE121" s="155"/>
    </row>
    <row r="122" spans="5:31" ht="11.25" customHeight="1" x14ac:dyDescent="0.2">
      <c r="E122" s="340"/>
      <c r="F122" s="340"/>
      <c r="G122" s="155"/>
      <c r="K122" s="155"/>
      <c r="L122" s="155"/>
      <c r="R122" s="183">
        <f>_xll.qlCalendarAdvance(Calendar,R121,"1D","f")</f>
        <v>42278</v>
      </c>
      <c r="S122" s="183">
        <f>_xll.qlCalendarAdvance(Calendar,R122,$F$1,"mf",,Trigger)</f>
        <v>42373</v>
      </c>
      <c r="T122" s="169">
        <f>_xll.qlDayCounterYearFraction(DayCounter,R122,S122,,,Trigger)</f>
        <v>0.2638888888888889</v>
      </c>
      <c r="U122" s="181">
        <f>_xll.qlInterpolationInterpolate(B3Minterpolation,R122,TRUE)</f>
        <v>1.3830068781431374E-3</v>
      </c>
      <c r="V122" s="184">
        <f>_xll.qlYieldTSDiscount(Discounting,R122,,AllTriggers)</f>
        <v>1.0005832961900043</v>
      </c>
      <c r="W122" s="184">
        <f>_xll.qlYieldTSDiscount(Discounting,S122,,AllTriggers)</f>
        <v>1.0009774296095362</v>
      </c>
      <c r="X122" s="181">
        <f t="shared" si="9"/>
        <v>-1.4920997988601371E-3</v>
      </c>
      <c r="Y122" s="348">
        <f t="shared" si="10"/>
        <v>3.6503727332287824E-4</v>
      </c>
      <c r="AD122" s="155"/>
      <c r="AE122" s="155"/>
    </row>
    <row r="123" spans="5:31" ht="11.25" customHeight="1" x14ac:dyDescent="0.2">
      <c r="E123" s="340"/>
      <c r="F123" s="340"/>
      <c r="G123" s="155"/>
      <c r="K123" s="155"/>
      <c r="L123" s="155"/>
      <c r="R123" s="183">
        <f>_xll.qlCalendarAdvance(Calendar,R122,"1D","f")</f>
        <v>42279</v>
      </c>
      <c r="S123" s="183">
        <f>_xll.qlCalendarAdvance(Calendar,R123,$F$1,"mf",,Trigger)</f>
        <v>42373</v>
      </c>
      <c r="T123" s="169">
        <f>_xll.qlDayCounterYearFraction(DayCounter,R123,S123,,,Trigger)</f>
        <v>0.26111111111111113</v>
      </c>
      <c r="U123" s="181">
        <f>_xll.qlInterpolationInterpolate(B3Minterpolation,R123,TRUE)</f>
        <v>1.3838173263610359E-3</v>
      </c>
      <c r="V123" s="184">
        <f>_xll.qlYieldTSDiscount(Discounting,R123,,AllTriggers)</f>
        <v>1.0005874375584805</v>
      </c>
      <c r="W123" s="184">
        <f>_xll.qlYieldTSDiscount(Discounting,S123,,AllTriggers)</f>
        <v>1.0009774296095362</v>
      </c>
      <c r="X123" s="181">
        <f t="shared" si="9"/>
        <v>-1.4921281282974817E-3</v>
      </c>
      <c r="Y123" s="348">
        <f t="shared" si="10"/>
        <v>3.6140559791778855E-4</v>
      </c>
      <c r="AD123" s="155"/>
      <c r="AE123" s="155"/>
    </row>
    <row r="124" spans="5:31" ht="11.25" customHeight="1" x14ac:dyDescent="0.2">
      <c r="E124" s="340"/>
      <c r="F124" s="340"/>
      <c r="G124" s="155"/>
      <c r="K124" s="155"/>
      <c r="L124" s="155"/>
      <c r="R124" s="183">
        <f>_xll.qlCalendarAdvance(Calendar,R123,"1D","f")</f>
        <v>42282</v>
      </c>
      <c r="S124" s="183">
        <f>_xll.qlCalendarAdvance(Calendar,R124,$F$1,"mf",,Trigger)</f>
        <v>42374</v>
      </c>
      <c r="T124" s="169">
        <f>_xll.qlDayCounterYearFraction(DayCounter,R124,S124,,,Trigger)</f>
        <v>0.25555555555555554</v>
      </c>
      <c r="U124" s="181">
        <f>_xll.qlInterpolationInterpolate(B3Minterpolation,R124,TRUE)</f>
        <v>1.3864192740013332E-3</v>
      </c>
      <c r="V124" s="184">
        <f>_xll.qlYieldTSDiscount(Discounting,R124,,AllTriggers)</f>
        <v>1.000599872266934</v>
      </c>
      <c r="W124" s="184">
        <f>_xll.qlYieldTSDiscount(Discounting,S124,,AllTriggers)</f>
        <v>1.0009821891157331</v>
      </c>
      <c r="X124" s="181">
        <f t="shared" si="9"/>
        <v>-1.4945545166434244E-3</v>
      </c>
      <c r="Y124" s="348">
        <f t="shared" si="10"/>
        <v>3.5437972427154404E-4</v>
      </c>
      <c r="AD124" s="155"/>
      <c r="AE124" s="155"/>
    </row>
    <row r="125" spans="5:31" ht="11.25" customHeight="1" x14ac:dyDescent="0.2">
      <c r="E125" s="340"/>
      <c r="F125" s="340"/>
      <c r="G125" s="155"/>
      <c r="K125" s="155"/>
      <c r="L125" s="155"/>
      <c r="R125" s="183">
        <f>_xll.qlCalendarAdvance(Calendar,R124,"1D","f")</f>
        <v>42283</v>
      </c>
      <c r="S125" s="183">
        <f>_xll.qlCalendarAdvance(Calendar,R125,$F$1,"mf",,Trigger)</f>
        <v>42375</v>
      </c>
      <c r="T125" s="169">
        <f>_xll.qlDayCounterYearFraction(DayCounter,R125,S125,,,Trigger)</f>
        <v>0.25555555555555554</v>
      </c>
      <c r="U125" s="181">
        <f>_xll.qlInterpolationInterpolate(B3Minterpolation,R125,TRUE)</f>
        <v>1.3873405768848354E-3</v>
      </c>
      <c r="V125" s="184">
        <f>_xll.qlYieldTSDiscount(Discounting,R125,,AllTriggers)</f>
        <v>1.0006040206783784</v>
      </c>
      <c r="W125" s="184">
        <f>_xll.qlYieldTSDiscount(Discounting,S125,,AllTriggers)</f>
        <v>1.0009869535214815</v>
      </c>
      <c r="X125" s="181">
        <f t="shared" si="9"/>
        <v>-1.4969554388744517E-3</v>
      </c>
      <c r="Y125" s="348">
        <f t="shared" si="10"/>
        <v>3.5461539244618803E-4</v>
      </c>
      <c r="AD125" s="155"/>
      <c r="AE125" s="155"/>
    </row>
    <row r="126" spans="5:31" ht="11.25" customHeight="1" x14ac:dyDescent="0.2">
      <c r="E126" s="340"/>
      <c r="F126" s="340"/>
      <c r="G126" s="155"/>
      <c r="K126" s="155"/>
      <c r="L126" s="155"/>
      <c r="R126" s="183">
        <f>_xll.qlCalendarAdvance(Calendar,R125,"1D","f")</f>
        <v>42284</v>
      </c>
      <c r="S126" s="183">
        <f>_xll.qlCalendarAdvance(Calendar,R126,$F$1,"mf",,Trigger)</f>
        <v>42376</v>
      </c>
      <c r="T126" s="169">
        <f>_xll.qlDayCounterYearFraction(DayCounter,R126,S126,,,Trigger)</f>
        <v>0.25555555555555554</v>
      </c>
      <c r="U126" s="181">
        <f>_xll.qlInterpolationInterpolate(B3Minterpolation,R126,TRUE)</f>
        <v>1.3882874329406406E-3</v>
      </c>
      <c r="V126" s="184">
        <f>_xll.qlYieldTSDiscount(Discounting,R126,,AllTriggers)</f>
        <v>1.0006081708312782</v>
      </c>
      <c r="W126" s="184">
        <f>_xll.qlYieldTSDiscount(Discounting,S126,,AllTriggers)</f>
        <v>1.0009917224958267</v>
      </c>
      <c r="X126" s="181">
        <f t="shared" si="9"/>
        <v>-1.4993673831743886E-3</v>
      </c>
      <c r="Y126" s="348">
        <f t="shared" si="10"/>
        <v>3.5485759229481615E-4</v>
      </c>
      <c r="AD126" s="155"/>
      <c r="AE126" s="155"/>
    </row>
    <row r="127" spans="5:31" ht="11.25" customHeight="1" x14ac:dyDescent="0.2">
      <c r="E127" s="340"/>
      <c r="F127" s="340"/>
      <c r="G127" s="155"/>
      <c r="K127" s="155"/>
      <c r="L127" s="155"/>
      <c r="R127" s="183">
        <f>_xll.qlCalendarAdvance(Calendar,R126,"1D","f")</f>
        <v>42285</v>
      </c>
      <c r="S127" s="183">
        <f>_xll.qlCalendarAdvance(Calendar,R127,$F$1,"mf",,Trigger)</f>
        <v>42377</v>
      </c>
      <c r="T127" s="169">
        <f>_xll.qlDayCounterYearFraction(DayCounter,R127,S127,,,Trigger)</f>
        <v>0.25555555555555554</v>
      </c>
      <c r="U127" s="181">
        <f>_xll.qlInterpolationInterpolate(B3Minterpolation,R127,TRUE)</f>
        <v>1.3892589779711095E-3</v>
      </c>
      <c r="V127" s="184">
        <f>_xll.qlYieldTSDiscount(Discounting,R127,,AllTriggers)</f>
        <v>1.0006123227179184</v>
      </c>
      <c r="W127" s="184">
        <f>_xll.qlYieldTSDiscount(Discounting,S127,,AllTriggers)</f>
        <v>1.0009964957078081</v>
      </c>
      <c r="X127" s="181">
        <f t="shared" si="9"/>
        <v>-1.5017890862333439E-3</v>
      </c>
      <c r="Y127" s="348">
        <f t="shared" si="10"/>
        <v>3.5510610285552531E-4</v>
      </c>
      <c r="AD127" s="155"/>
      <c r="AE127" s="155"/>
    </row>
    <row r="128" spans="5:31" ht="11.25" customHeight="1" x14ac:dyDescent="0.2">
      <c r="E128" s="340"/>
      <c r="F128" s="340"/>
      <c r="G128" s="155"/>
      <c r="K128" s="155"/>
      <c r="L128" s="155"/>
      <c r="R128" s="183">
        <f>_xll.qlCalendarAdvance(Calendar,R127,"1D","f")</f>
        <v>42286</v>
      </c>
      <c r="S128" s="183">
        <f>_xll.qlCalendarAdvance(Calendar,R128,$F$1,"mf",,Trigger)</f>
        <v>42380</v>
      </c>
      <c r="T128" s="169">
        <f>_xll.qlDayCounterYearFraction(DayCounter,R128,S128,,,Trigger)</f>
        <v>0.26111111111111113</v>
      </c>
      <c r="U128" s="181">
        <f>_xll.qlInterpolationInterpolate(B3Minterpolation,R128,TRUE)</f>
        <v>1.3902543477786026E-3</v>
      </c>
      <c r="V128" s="184">
        <f>_xll.qlYieldTSDiscount(Discounting,R128,,AllTriggers)</f>
        <v>1.0006164763305838</v>
      </c>
      <c r="W128" s="184">
        <f>_xll.qlYieldTSDiscount(Discounting,S128,,AllTriggers)</f>
        <v>1.0010108374598683</v>
      </c>
      <c r="X128" s="181">
        <f t="shared" si="9"/>
        <v>-1.5087940729681777E-3</v>
      </c>
      <c r="Y128" s="348">
        <f t="shared" si="10"/>
        <v>3.63088002221203E-4</v>
      </c>
      <c r="AD128" s="155"/>
      <c r="AE128" s="155"/>
    </row>
    <row r="129" spans="5:31" ht="11.25" customHeight="1" x14ac:dyDescent="0.2">
      <c r="E129" s="340"/>
      <c r="F129" s="340"/>
      <c r="G129" s="155"/>
      <c r="K129" s="155"/>
      <c r="L129" s="155"/>
      <c r="R129" s="183">
        <f>_xll.qlCalendarAdvance(Calendar,R128,"1D","f")</f>
        <v>42289</v>
      </c>
      <c r="S129" s="183">
        <f>_xll.qlCalendarAdvance(Calendar,R129,$F$1,"mf",,Trigger)</f>
        <v>42381</v>
      </c>
      <c r="T129" s="169">
        <f>_xll.qlDayCounterYearFraction(DayCounter,R129,S129,,,Trigger)</f>
        <v>0.25555555555555554</v>
      </c>
      <c r="U129" s="181">
        <f>_xll.qlInterpolationInterpolate(B3Minterpolation,R129,TRUE)</f>
        <v>1.3933747638868357E-3</v>
      </c>
      <c r="V129" s="184">
        <f>_xll.qlYieldTSDiscount(Discounting,R129,,AllTriggers)</f>
        <v>1.0006289474475796</v>
      </c>
      <c r="W129" s="184">
        <f>_xll.qlYieldTSDiscount(Discounting,S129,,AllTriggers)</f>
        <v>1.0010156243126616</v>
      </c>
      <c r="X129" s="181">
        <f t="shared" si="9"/>
        <v>-1.5115482199814223E-3</v>
      </c>
      <c r="Y129" s="348">
        <f t="shared" si="10"/>
        <v>3.5615883295017766E-4</v>
      </c>
      <c r="AD129" s="155"/>
      <c r="AE129" s="155"/>
    </row>
    <row r="130" spans="5:31" ht="11.25" customHeight="1" x14ac:dyDescent="0.2">
      <c r="E130" s="340"/>
      <c r="F130" s="340"/>
      <c r="G130" s="155"/>
      <c r="K130" s="155"/>
      <c r="L130" s="155"/>
      <c r="R130" s="183">
        <f>_xll.qlCalendarAdvance(Calendar,R129,"1D","f")</f>
        <v>42290</v>
      </c>
      <c r="S130" s="183">
        <f>_xll.qlCalendarAdvance(Calendar,R130,$F$1,"mf",,Trigger)</f>
        <v>42382</v>
      </c>
      <c r="T130" s="169">
        <f>_xll.qlDayCounterYearFraction(DayCounter,R130,S130,,,Trigger)</f>
        <v>0.25555555555555554</v>
      </c>
      <c r="U130" s="181">
        <f>_xll.qlInterpolationInterpolate(B3Minterpolation,R130,TRUE)</f>
        <v>1.3944567908260339E-3</v>
      </c>
      <c r="V130" s="184">
        <f>_xll.qlYieldTSDiscount(Discounting,R130,,AllTriggers)</f>
        <v>1.0006331078871931</v>
      </c>
      <c r="W130" s="184">
        <f>_xll.qlYieldTSDiscount(Discounting,S130,,AllTriggers)</f>
        <v>1.0010204137481931</v>
      </c>
      <c r="X130" s="181">
        <f t="shared" si="9"/>
        <v>-1.5139997673009188E-3</v>
      </c>
      <c r="Y130" s="348">
        <f t="shared" si="10"/>
        <v>3.5643558261443852E-4</v>
      </c>
      <c r="AD130" s="155"/>
      <c r="AE130" s="155"/>
    </row>
    <row r="131" spans="5:31" ht="11.25" customHeight="1" x14ac:dyDescent="0.2">
      <c r="E131" s="340"/>
      <c r="F131" s="340"/>
      <c r="G131" s="155"/>
      <c r="K131" s="155"/>
      <c r="L131" s="155"/>
      <c r="R131" s="183">
        <f>_xll.qlCalendarAdvance(Calendar,R130,"1D","f")</f>
        <v>42291</v>
      </c>
      <c r="S131" s="183">
        <f>_xll.qlCalendarAdvance(Calendar,R131,$F$1,"mf",,Trigger)</f>
        <v>42383</v>
      </c>
      <c r="T131" s="169">
        <f>_xll.qlDayCounterYearFraction(DayCounter,R131,S131,,,Trigger)</f>
        <v>0.25555555555555554</v>
      </c>
      <c r="U131" s="181">
        <f>_xll.qlInterpolationInterpolate(B3Minterpolation,R131,TRUE)</f>
        <v>1.3955583215540602E-3</v>
      </c>
      <c r="V131" s="184">
        <f>_xll.qlYieldTSDiscount(Discounting,R131,,AllTriggers)</f>
        <v>1.000637270014255</v>
      </c>
      <c r="W131" s="184">
        <f>_xll.qlYieldTSDiscount(Discounting,S131,,AllTriggers)</f>
        <v>1.0010252054354645</v>
      </c>
      <c r="X131" s="181">
        <f t="shared" si="9"/>
        <v>-1.5164534935861187E-3</v>
      </c>
      <c r="Y131" s="348">
        <f t="shared" si="10"/>
        <v>3.5671731720300198E-4</v>
      </c>
      <c r="AD131" s="155"/>
      <c r="AE131" s="155"/>
    </row>
    <row r="132" spans="5:31" ht="11.25" customHeight="1" x14ac:dyDescent="0.2">
      <c r="E132" s="340"/>
      <c r="F132" s="340"/>
      <c r="G132" s="155"/>
      <c r="K132" s="155"/>
      <c r="L132" s="155"/>
      <c r="R132" s="183">
        <f>_xll.qlCalendarAdvance(Calendar,R131,"1D","f")</f>
        <v>42292</v>
      </c>
      <c r="S132" s="183">
        <f>_xll.qlCalendarAdvance(Calendar,R132,$F$1,"mf",,Trigger)</f>
        <v>42384</v>
      </c>
      <c r="T132" s="169">
        <f>_xll.qlDayCounterYearFraction(DayCounter,R132,S132,,,Trigger)</f>
        <v>0.25555555555555554</v>
      </c>
      <c r="U132" s="181">
        <f>_xll.qlInterpolationInterpolate(B3Minterpolation,R132,TRUE)</f>
        <v>1.3966784918732753E-3</v>
      </c>
      <c r="V132" s="184">
        <f>_xll.qlYieldTSDiscount(Discounting,R132,,AllTriggers)</f>
        <v>1.000641433821049</v>
      </c>
      <c r="W132" s="184">
        <f>_xll.qlYieldTSDiscount(Discounting,S132,,AllTriggers)</f>
        <v>1.0010299990434708</v>
      </c>
      <c r="X132" s="181">
        <f t="shared" ref="X132:X195" si="11">(V132/W132-1)/T132</f>
        <v>-1.5189081355497212E-3</v>
      </c>
      <c r="Y132" s="348">
        <f t="shared" ref="Y132:Y195" si="12">LN((1+(U132+X132)*T132)/(1+X132*T132))</f>
        <v>3.5700381574936779E-4</v>
      </c>
      <c r="AD132" s="155"/>
      <c r="AE132" s="155"/>
    </row>
    <row r="133" spans="5:31" ht="11.25" customHeight="1" x14ac:dyDescent="0.2">
      <c r="E133" s="340"/>
      <c r="F133" s="340"/>
      <c r="G133" s="155"/>
      <c r="K133" s="155"/>
      <c r="L133" s="155"/>
      <c r="R133" s="183">
        <f>_xll.qlCalendarAdvance(Calendar,R132,"1D","f")</f>
        <v>42293</v>
      </c>
      <c r="S133" s="183">
        <f>_xll.qlCalendarAdvance(Calendar,R133,$F$1,"mf",,Trigger)</f>
        <v>42387</v>
      </c>
      <c r="T133" s="169">
        <f>_xll.qlDayCounterYearFraction(DayCounter,R133,S133,,,Trigger)</f>
        <v>0.26111111111111113</v>
      </c>
      <c r="U133" s="181">
        <f>_xll.qlInterpolationInterpolate(B3Minterpolation,R133,TRUE)</f>
        <v>1.3978164375860402E-3</v>
      </c>
      <c r="V133" s="184">
        <f>_xll.qlYieldTSDiscount(Discounting,R133,,AllTriggers)</f>
        <v>1.0006455992998595</v>
      </c>
      <c r="W133" s="184">
        <f>_xll.qlYieldTSDiscount(Discounting,S133,,AllTriggers)</f>
        <v>1.0010443880817568</v>
      </c>
      <c r="X133" s="181">
        <f t="shared" si="11"/>
        <v>-1.525682781076357E-3</v>
      </c>
      <c r="Y133" s="348">
        <f t="shared" si="12"/>
        <v>3.650642172732639E-4</v>
      </c>
      <c r="AD133" s="155"/>
      <c r="AE133" s="155"/>
    </row>
    <row r="134" spans="5:31" ht="11.25" customHeight="1" x14ac:dyDescent="0.2">
      <c r="E134" s="340"/>
      <c r="F134" s="340"/>
      <c r="G134" s="155"/>
      <c r="K134" s="155"/>
      <c r="L134" s="155"/>
      <c r="R134" s="183">
        <f>_xll.qlCalendarAdvance(Calendar,R133,"1D","f")</f>
        <v>42296</v>
      </c>
      <c r="S134" s="183">
        <f>_xll.qlCalendarAdvance(Calendar,R134,$F$1,"mf",,Trigger)</f>
        <v>42388</v>
      </c>
      <c r="T134" s="169">
        <f>_xll.qlDayCounterYearFraction(DayCounter,R134,S134,,,Trigger)</f>
        <v>0.25555555555555554</v>
      </c>
      <c r="U134" s="181">
        <f>_xll.qlInterpolationInterpolate(B3Minterpolation,R134,TRUE)</f>
        <v>1.4013282851092397E-3</v>
      </c>
      <c r="V134" s="184">
        <f>_xll.qlYieldTSDiscount(Discounting,R134,,AllTriggers)</f>
        <v>1.0006581056912296</v>
      </c>
      <c r="W134" s="184">
        <f>_xll.qlYieldTSDiscount(Discounting,S134,,AllTriggers)</f>
        <v>1.0010491860625286</v>
      </c>
      <c r="X134" s="181">
        <f t="shared" si="11"/>
        <v>-1.528710594537717E-3</v>
      </c>
      <c r="Y134" s="348">
        <f t="shared" si="12"/>
        <v>3.5819303014307801E-4</v>
      </c>
      <c r="AD134" s="155"/>
      <c r="AE134" s="155"/>
    </row>
    <row r="135" spans="5:31" ht="11.25" customHeight="1" x14ac:dyDescent="0.2">
      <c r="E135" s="340"/>
      <c r="F135" s="340"/>
      <c r="G135" s="155"/>
      <c r="K135" s="155"/>
      <c r="L135" s="155"/>
      <c r="R135" s="183">
        <f>_xll.qlCalendarAdvance(Calendar,R134,"1D","f")</f>
        <v>42297</v>
      </c>
      <c r="S135" s="183">
        <f>_xll.qlCalendarAdvance(Calendar,R135,$F$1,"mf",,Trigger)</f>
        <v>42389</v>
      </c>
      <c r="T135" s="169">
        <f>_xll.qlDayCounterYearFraction(DayCounter,R135,S135,,,Trigger)</f>
        <v>0.25555555555555554</v>
      </c>
      <c r="U135" s="181">
        <f>_xll.qlInterpolationInterpolate(B3Minterpolation,R135,TRUE)</f>
        <v>1.4025286904198106E-3</v>
      </c>
      <c r="V135" s="184">
        <f>_xll.qlYieldTSDiscount(Discounting,R135,,AllTriggers)</f>
        <v>1.0006622777809444</v>
      </c>
      <c r="W135" s="184">
        <f>_xll.qlYieldTSDiscount(Discounting,S135,,AllTriggers)</f>
        <v>1.0010539843089161</v>
      </c>
      <c r="X135" s="181">
        <f t="shared" si="11"/>
        <v>-1.5311508656850436E-3</v>
      </c>
      <c r="Y135" s="348">
        <f t="shared" si="12"/>
        <v>3.5850003394553403E-4</v>
      </c>
      <c r="AD135" s="155"/>
      <c r="AE135" s="155"/>
    </row>
    <row r="136" spans="5:31" ht="11.25" customHeight="1" x14ac:dyDescent="0.2">
      <c r="E136" s="340"/>
      <c r="F136" s="340"/>
      <c r="G136" s="155"/>
      <c r="K136" s="155"/>
      <c r="L136" s="155"/>
      <c r="R136" s="183">
        <f>_xll.qlCalendarAdvance(Calendar,R135,"1D","f")</f>
        <v>42298</v>
      </c>
      <c r="S136" s="183">
        <f>_xll.qlCalendarAdvance(Calendar,R136,$F$1,"mf",,Trigger)</f>
        <v>42390</v>
      </c>
      <c r="T136" s="169">
        <f>_xll.qlDayCounterYearFraction(DayCounter,R136,S136,,,Trigger)</f>
        <v>0.25555555555555554</v>
      </c>
      <c r="U136" s="181">
        <f>_xll.qlInterpolationInterpolate(B3Minterpolation,R136,TRUE)</f>
        <v>1.4037425501357349E-3</v>
      </c>
      <c r="V136" s="184">
        <f>_xll.qlYieldTSDiscount(Discounting,R136,,AllTriggers)</f>
        <v>1.0006664515040946</v>
      </c>
      <c r="W136" s="184">
        <f>_xll.qlYieldTSDiscount(Discounting,S136,,AllTriggers)</f>
        <v>1.0010587824898765</v>
      </c>
      <c r="X136" s="181">
        <f t="shared" si="11"/>
        <v>-1.5335844728464852E-3</v>
      </c>
      <c r="Y136" s="348">
        <f t="shared" si="12"/>
        <v>3.5881047588789261E-4</v>
      </c>
      <c r="AD136" s="155"/>
      <c r="AE136" s="155"/>
    </row>
    <row r="137" spans="5:31" ht="11.25" customHeight="1" x14ac:dyDescent="0.2">
      <c r="E137" s="340"/>
      <c r="F137" s="340"/>
      <c r="G137" s="155"/>
      <c r="K137" s="155"/>
      <c r="L137" s="155"/>
      <c r="R137" s="183">
        <f>_xll.qlCalendarAdvance(Calendar,R136,"1D","f")</f>
        <v>42299</v>
      </c>
      <c r="S137" s="183">
        <f>_xll.qlCalendarAdvance(Calendar,R137,$F$1,"mf",,Trigger)</f>
        <v>42391</v>
      </c>
      <c r="T137" s="169">
        <f>_xll.qlDayCounterYearFraction(DayCounter,R137,S137,,,Trigger)</f>
        <v>0.25555555555555554</v>
      </c>
      <c r="U137" s="181">
        <f>_xll.qlInterpolationInterpolate(B3Minterpolation,R137,TRUE)</f>
        <v>1.4049690000593731E-3</v>
      </c>
      <c r="V137" s="184">
        <f>_xll.qlYieldTSDiscount(Discounting,R137,,AllTriggers)</f>
        <v>1.0006706268529633</v>
      </c>
      <c r="W137" s="184">
        <f>_xll.qlYieldTSDiscount(Discounting,S137,,AllTriggers)</f>
        <v>1.001063580274361</v>
      </c>
      <c r="X137" s="181">
        <f t="shared" si="11"/>
        <v>-1.5360101527612416E-3</v>
      </c>
      <c r="Y137" s="348">
        <f t="shared" si="12"/>
        <v>3.5912413499758651E-4</v>
      </c>
      <c r="AD137" s="155"/>
      <c r="AE137" s="155"/>
    </row>
    <row r="138" spans="5:31" ht="11.25" customHeight="1" x14ac:dyDescent="0.2">
      <c r="E138" s="340"/>
      <c r="F138" s="340"/>
      <c r="G138" s="155"/>
      <c r="K138" s="155"/>
      <c r="L138" s="155"/>
      <c r="R138" s="183">
        <f>_xll.qlCalendarAdvance(Calendar,R137,"1D","f")</f>
        <v>42300</v>
      </c>
      <c r="S138" s="183">
        <f>_xll.qlCalendarAdvance(Calendar,R138,$F$1,"mf",,Trigger)</f>
        <v>42394</v>
      </c>
      <c r="T138" s="169">
        <f>_xll.qlDayCounterYearFraction(DayCounter,R138,S138,,,Trigger)</f>
        <v>0.26111111111111113</v>
      </c>
      <c r="U138" s="181">
        <f>_xll.qlInterpolationInterpolate(B3Minterpolation,R138,TRUE)</f>
        <v>1.4062071759930862E-3</v>
      </c>
      <c r="V138" s="184">
        <f>_xll.qlYieldTSDiscount(Discounting,R138,,AllTriggers)</f>
        <v>1.0006748038198339</v>
      </c>
      <c r="W138" s="184">
        <f>_xll.qlYieldTSDiscount(Discounting,S138,,AllTriggers)</f>
        <v>1.0010779679383706</v>
      </c>
      <c r="X138" s="181">
        <f t="shared" si="11"/>
        <v>-1.5423701688045952E-3</v>
      </c>
      <c r="Y138" s="348">
        <f t="shared" si="12"/>
        <v>3.6725680363076322E-4</v>
      </c>
      <c r="AD138" s="155"/>
      <c r="AE138" s="155"/>
    </row>
    <row r="139" spans="5:31" ht="11.25" customHeight="1" x14ac:dyDescent="0.2">
      <c r="E139" s="340"/>
      <c r="F139" s="340"/>
      <c r="G139" s="155"/>
      <c r="K139" s="155"/>
      <c r="L139" s="155"/>
      <c r="R139" s="183">
        <f>_xll.qlCalendarAdvance(Calendar,R138,"1D","f")</f>
        <v>42303</v>
      </c>
      <c r="S139" s="183">
        <f>_xll.qlCalendarAdvance(Calendar,R139,$F$1,"mf",,Trigger)</f>
        <v>42395</v>
      </c>
      <c r="T139" s="169">
        <f>_xll.qlDayCounterYearFraction(DayCounter,R139,S139,,,Trigger)</f>
        <v>0.25555555555555554</v>
      </c>
      <c r="U139" s="181">
        <f>_xll.qlInterpolationInterpolate(B3Minterpolation,R139,TRUE)</f>
        <v>1.4099834178782828E-3</v>
      </c>
      <c r="V139" s="184">
        <f>_xll.qlYieldTSDiscount(Discounting,R139,,AllTriggers)</f>
        <v>1.0006873443512865</v>
      </c>
      <c r="W139" s="184">
        <f>_xll.qlYieldTSDiscount(Discounting,S139,,AllTriggers)</f>
        <v>1.0010827608263317</v>
      </c>
      <c r="X139" s="181">
        <f t="shared" si="11"/>
        <v>-1.5456083347152535E-3</v>
      </c>
      <c r="Y139" s="348">
        <f t="shared" si="12"/>
        <v>3.6040652364110668E-4</v>
      </c>
      <c r="AD139" s="155"/>
      <c r="AE139" s="155"/>
    </row>
    <row r="140" spans="5:31" ht="11.25" customHeight="1" x14ac:dyDescent="0.2">
      <c r="E140" s="340"/>
      <c r="F140" s="340"/>
      <c r="G140" s="155"/>
      <c r="K140" s="155"/>
      <c r="L140" s="155"/>
      <c r="R140" s="183">
        <f>_xll.qlCalendarAdvance(Calendar,R139,"1D","f")</f>
        <v>42304</v>
      </c>
      <c r="S140" s="183">
        <f>_xll.qlCalendarAdvance(Calendar,R140,$F$1,"mf",,Trigger)</f>
        <v>42396</v>
      </c>
      <c r="T140" s="169">
        <f>_xll.qlDayCounterYearFraction(DayCounter,R140,S140,,,Trigger)</f>
        <v>0.25555555555555554</v>
      </c>
      <c r="U140" s="181">
        <f>_xll.qlInterpolationInterpolate(B3Minterpolation,R140,TRUE)</f>
        <v>1.4112598558759031E-3</v>
      </c>
      <c r="V140" s="184">
        <f>_xll.qlYieldTSDiscount(Discounting,R140,,AllTriggers)</f>
        <v>1.0006915277129937</v>
      </c>
      <c r="W140" s="184">
        <f>_xll.qlYieldTSDiscount(Discounting,S140,,AllTriggers)</f>
        <v>1.0010875517239155</v>
      </c>
      <c r="X140" s="181">
        <f t="shared" si="11"/>
        <v>-1.5479756695642747E-3</v>
      </c>
      <c r="Y140" s="348">
        <f t="shared" si="12"/>
        <v>3.6073295400110495E-4</v>
      </c>
      <c r="AD140" s="155"/>
      <c r="AE140" s="155"/>
    </row>
    <row r="141" spans="5:31" ht="11.25" customHeight="1" x14ac:dyDescent="0.2">
      <c r="E141" s="340"/>
      <c r="F141" s="340"/>
      <c r="G141" s="155"/>
      <c r="K141" s="155"/>
      <c r="L141" s="155"/>
      <c r="R141" s="183">
        <f>_xll.qlCalendarAdvance(Calendar,R140,"1D","f")</f>
        <v>42305</v>
      </c>
      <c r="S141" s="183">
        <f>_xll.qlCalendarAdvance(Calendar,R141,$F$1,"mf",,Trigger)</f>
        <v>42397</v>
      </c>
      <c r="T141" s="169">
        <f>_xll.qlDayCounterYearFraction(DayCounter,R141,S141,,,Trigger)</f>
        <v>0.25555555555555554</v>
      </c>
      <c r="U141" s="181">
        <f>_xll.qlInterpolationInterpolate(B3Minterpolation,R141,TRUE)</f>
        <v>1.4125436988954021E-3</v>
      </c>
      <c r="V141" s="184">
        <f>_xll.qlYieldTSDiscount(Discounting,R141,,AllTriggers)</f>
        <v>1.0006957126541174</v>
      </c>
      <c r="W141" s="184">
        <f>_xll.qlYieldTSDiscount(Discounting,S141,,AllTriggers)</f>
        <v>1.0010923406072361</v>
      </c>
      <c r="X141" s="181">
        <f t="shared" si="11"/>
        <v>-1.5503289379935278E-3</v>
      </c>
      <c r="Y141" s="348">
        <f t="shared" si="12"/>
        <v>3.610612758122652E-4</v>
      </c>
      <c r="AD141" s="155"/>
      <c r="AE141" s="155"/>
    </row>
    <row r="142" spans="5:31" ht="11.25" customHeight="1" x14ac:dyDescent="0.2">
      <c r="E142" s="340"/>
      <c r="F142" s="340"/>
      <c r="G142" s="155"/>
      <c r="K142" s="155"/>
      <c r="L142" s="155"/>
      <c r="R142" s="183">
        <f>_xll.qlCalendarAdvance(Calendar,R141,"1D","f")</f>
        <v>42306</v>
      </c>
      <c r="S142" s="183">
        <f>_xll.qlCalendarAdvance(Calendar,R142,$F$1,"mf",,Trigger)</f>
        <v>42398</v>
      </c>
      <c r="T142" s="169">
        <f>_xll.qlDayCounterYearFraction(DayCounter,R142,S142,,,Trigger)</f>
        <v>0.25555555555555554</v>
      </c>
      <c r="U142" s="181">
        <f>_xll.qlInterpolationInterpolate(B3Minterpolation,R142,TRUE)</f>
        <v>1.4138340827391405E-3</v>
      </c>
      <c r="V142" s="184">
        <f>_xll.qlYieldTSDiscount(Discounting,R142,,AllTriggers)</f>
        <v>1.0006998992168656</v>
      </c>
      <c r="W142" s="184">
        <f>_xll.qlYieldTSDiscount(Discounting,S142,,AllTriggers)</f>
        <v>1.0010971275138481</v>
      </c>
      <c r="X142" s="181">
        <f t="shared" si="11"/>
        <v>-1.5526681219713496E-3</v>
      </c>
      <c r="Y142" s="348">
        <f t="shared" si="12"/>
        <v>3.6139126821328862E-4</v>
      </c>
      <c r="AD142" s="155"/>
      <c r="AE142" s="155"/>
    </row>
    <row r="143" spans="5:31" ht="11.25" customHeight="1" x14ac:dyDescent="0.2">
      <c r="E143" s="340"/>
      <c r="F143" s="340"/>
      <c r="G143" s="155"/>
      <c r="K143" s="155"/>
      <c r="L143" s="155"/>
      <c r="R143" s="183">
        <f>_xll.qlCalendarAdvance(Calendar,R142,"1D","f")</f>
        <v>42307</v>
      </c>
      <c r="S143" s="183">
        <f>_xll.qlCalendarAdvance(Calendar,R143,$F$1,"mf",,Trigger)</f>
        <v>42398</v>
      </c>
      <c r="T143" s="169">
        <f>_xll.qlDayCounterYearFraction(DayCounter,R143,S143,,,Trigger)</f>
        <v>0.25277777777777777</v>
      </c>
      <c r="U143" s="181">
        <f>_xll.qlInterpolationInterpolate(B3Minterpolation,R143,TRUE)</f>
        <v>1.4151301432094791E-3</v>
      </c>
      <c r="V143" s="184">
        <f>_xll.qlYieldTSDiscount(Discounting,R143,,AllTriggers)</f>
        <v>1.0007040876431523</v>
      </c>
      <c r="W143" s="184">
        <f>_xll.qlYieldTSDiscount(Discounting,S143,,AllTriggers)</f>
        <v>1.0010971275138481</v>
      </c>
      <c r="X143" s="181">
        <f t="shared" si="11"/>
        <v>-1.5531789695687362E-3</v>
      </c>
      <c r="Y143" s="348">
        <f t="shared" si="12"/>
        <v>3.5778993514089702E-4</v>
      </c>
      <c r="AD143" s="155"/>
      <c r="AE143" s="155"/>
    </row>
    <row r="144" spans="5:31" ht="11.25" customHeight="1" x14ac:dyDescent="0.2">
      <c r="E144" s="340"/>
      <c r="F144" s="340"/>
      <c r="G144" s="155"/>
      <c r="K144" s="155"/>
      <c r="L144" s="155"/>
      <c r="R144" s="183">
        <f>_xll.qlCalendarAdvance(Calendar,R143,"1D","f")</f>
        <v>42310</v>
      </c>
      <c r="S144" s="183">
        <f>_xll.qlCalendarAdvance(Calendar,R144,$F$1,"mf",,Trigger)</f>
        <v>42402</v>
      </c>
      <c r="T144" s="169">
        <f>_xll.qlDayCounterYearFraction(DayCounter,R144,S144,,,Trigger)</f>
        <v>0.25555555555555554</v>
      </c>
      <c r="U144" s="181">
        <f>_xll.qlInterpolationInterpolate(B3Minterpolation,R144,TRUE)</f>
        <v>1.419043742403703E-3</v>
      </c>
      <c r="V144" s="184">
        <f>_xll.qlYieldTSDiscount(Discounting,R144,,AllTriggers)</f>
        <v>1.0007141652300406</v>
      </c>
      <c r="W144" s="184">
        <f>_xll.qlYieldTSDiscount(Discounting,S144,,AllTriggers)</f>
        <v>1.0011162561243159</v>
      </c>
      <c r="X144" s="181">
        <f t="shared" si="11"/>
        <v>-1.5716447933860455E-3</v>
      </c>
      <c r="Y144" s="348">
        <f t="shared" si="12"/>
        <v>3.6272443147994501E-4</v>
      </c>
      <c r="AD144" s="155"/>
      <c r="AE144" s="155"/>
    </row>
    <row r="145" spans="5:31" ht="11.25" customHeight="1" x14ac:dyDescent="0.2">
      <c r="E145" s="340"/>
      <c r="F145" s="340"/>
      <c r="G145" s="155"/>
      <c r="K145" s="155"/>
      <c r="L145" s="155"/>
      <c r="R145" s="183">
        <f>_xll.qlCalendarAdvance(Calendar,R144,"1D","f")</f>
        <v>42311</v>
      </c>
      <c r="S145" s="183">
        <f>_xll.qlCalendarAdvance(Calendar,R145,$F$1,"mf",,Trigger)</f>
        <v>42403</v>
      </c>
      <c r="T145" s="169">
        <f>_xll.qlDayCounterYearFraction(DayCounter,R145,S145,,,Trigger)</f>
        <v>0.25555555555555554</v>
      </c>
      <c r="U145" s="181">
        <f>_xll.qlInterpolationInterpolate(B3Minterpolation,R145,TRUE)</f>
        <v>1.4203538674040497E-3</v>
      </c>
      <c r="V145" s="184">
        <f>_xll.qlYieldTSDiscount(Discounting,R145,,AllTriggers)</f>
        <v>1.000718364018474</v>
      </c>
      <c r="W145" s="184">
        <f>_xll.qlYieldTSDiscount(Discounting,S145,,AllTriggers)</f>
        <v>1.0011210337107215</v>
      </c>
      <c r="X145" s="181">
        <f t="shared" si="11"/>
        <v>-1.5738996186125786E-3</v>
      </c>
      <c r="Y145" s="348">
        <f t="shared" si="12"/>
        <v>3.6305946345680938E-4</v>
      </c>
      <c r="AD145" s="155"/>
      <c r="AE145" s="155"/>
    </row>
    <row r="146" spans="5:31" ht="11.25" customHeight="1" x14ac:dyDescent="0.2">
      <c r="E146" s="340"/>
      <c r="F146" s="340"/>
      <c r="G146" s="155"/>
      <c r="K146" s="155"/>
      <c r="L146" s="155"/>
      <c r="R146" s="183">
        <f>_xll.qlCalendarAdvance(Calendar,R145,"1D","f")</f>
        <v>42312</v>
      </c>
      <c r="S146" s="183">
        <f>_xll.qlCalendarAdvance(Calendar,R146,$F$1,"mf",,Trigger)</f>
        <v>42404</v>
      </c>
      <c r="T146" s="169">
        <f>_xll.qlDayCounterYearFraction(DayCounter,R146,S146,,,Trigger)</f>
        <v>0.25555555555555554</v>
      </c>
      <c r="U146" s="181">
        <f>_xll.qlInterpolationInterpolate(B3Minterpolation,R146,TRUE)</f>
        <v>1.4216653480428002E-3</v>
      </c>
      <c r="V146" s="184">
        <f>_xll.qlYieldTSDiscount(Discounting,R146,,AllTriggers)</f>
        <v>1.0007225661297072</v>
      </c>
      <c r="W146" s="184">
        <f>_xll.qlYieldTSDiscount(Discounting,S146,,AllTriggers)</f>
        <v>1.0011258095457591</v>
      </c>
      <c r="X146" s="181">
        <f t="shared" si="11"/>
        <v>-1.5761345919646196E-3</v>
      </c>
      <c r="Y146" s="348">
        <f t="shared" si="12"/>
        <v>3.6339484031796578E-4</v>
      </c>
      <c r="AD146" s="155"/>
      <c r="AE146" s="155"/>
    </row>
    <row r="147" spans="5:31" ht="11.25" customHeight="1" x14ac:dyDescent="0.2">
      <c r="E147" s="340"/>
      <c r="F147" s="340"/>
      <c r="G147" s="155"/>
      <c r="K147" s="155"/>
      <c r="L147" s="155"/>
      <c r="R147" s="183">
        <f>_xll.qlCalendarAdvance(Calendar,R146,"1D","f")</f>
        <v>42313</v>
      </c>
      <c r="S147" s="183">
        <f>_xll.qlCalendarAdvance(Calendar,R147,$F$1,"mf",,Trigger)</f>
        <v>42405</v>
      </c>
      <c r="T147" s="169">
        <f>_xll.qlDayCounterYearFraction(DayCounter,R147,S147,,,Trigger)</f>
        <v>0.25555555555555554</v>
      </c>
      <c r="U147" s="181">
        <f>_xll.qlInterpolationInterpolate(B3Minterpolation,R147,TRUE)</f>
        <v>1.4229773201223153E-3</v>
      </c>
      <c r="V147" s="184">
        <f>_xll.qlYieldTSDiscount(Discounting,R147,,AllTriggers)</f>
        <v>1.0007267718556083</v>
      </c>
      <c r="W147" s="184">
        <f>_xll.qlYieldTSDiscount(Discounting,S147,,AllTriggers)</f>
        <v>1.0011305836669879</v>
      </c>
      <c r="X147" s="181">
        <f t="shared" si="11"/>
        <v>-1.5783487196805736E-3</v>
      </c>
      <c r="Y147" s="348">
        <f t="shared" si="12"/>
        <v>3.6373034110737167E-4</v>
      </c>
      <c r="AD147" s="155"/>
      <c r="AE147" s="155"/>
    </row>
    <row r="148" spans="5:31" ht="11.25" customHeight="1" x14ac:dyDescent="0.2">
      <c r="E148" s="340"/>
      <c r="F148" s="340"/>
      <c r="G148" s="155"/>
      <c r="K148" s="155"/>
      <c r="L148" s="155"/>
      <c r="R148" s="183">
        <f>_xll.qlCalendarAdvance(Calendar,R147,"1D","f")</f>
        <v>42314</v>
      </c>
      <c r="S148" s="183">
        <f>_xll.qlCalendarAdvance(Calendar,R148,$F$1,"mf",,Trigger)</f>
        <v>42408</v>
      </c>
      <c r="T148" s="169">
        <f>_xll.qlDayCounterYearFraction(DayCounter,R148,S148,,,Trigger)</f>
        <v>0.26111111111111113</v>
      </c>
      <c r="U148" s="181">
        <f>_xll.qlInterpolationInterpolate(B3Minterpolation,R148,TRUE)</f>
        <v>1.4242889194449561E-3</v>
      </c>
      <c r="V148" s="184">
        <f>_xll.qlYieldTSDiscount(Discounting,R148,,AllTriggers)</f>
        <v>1.0007309814880503</v>
      </c>
      <c r="W148" s="184">
        <f>_xll.qlYieldTSDiscount(Discounting,S148,,AllTriggers)</f>
        <v>1.0011448961234242</v>
      </c>
      <c r="X148" s="181">
        <f t="shared" si="11"/>
        <v>-1.5833921669842186E-3</v>
      </c>
      <c r="Y148" s="348">
        <f t="shared" si="12"/>
        <v>3.7198228975287033E-4</v>
      </c>
      <c r="AD148" s="155"/>
      <c r="AE148" s="155"/>
    </row>
    <row r="149" spans="5:31" ht="11.25" customHeight="1" x14ac:dyDescent="0.2">
      <c r="E149" s="340"/>
      <c r="F149" s="340"/>
      <c r="G149" s="155"/>
      <c r="K149" s="155"/>
      <c r="L149" s="155"/>
      <c r="R149" s="183">
        <f>_xll.qlCalendarAdvance(Calendar,R148,"1D","f")</f>
        <v>42317</v>
      </c>
      <c r="S149" s="183">
        <f>_xll.qlCalendarAdvance(Calendar,R149,$F$1,"mf",,Trigger)</f>
        <v>42409</v>
      </c>
      <c r="T149" s="169">
        <f>_xll.qlDayCounterYearFraction(DayCounter,R149,S149,,,Trigger)</f>
        <v>0.25555555555555554</v>
      </c>
      <c r="U149" s="181">
        <f>_xll.qlInterpolationInterpolate(B3Minterpolation,R149,TRUE)</f>
        <v>1.4282128388952379E-3</v>
      </c>
      <c r="V149" s="184">
        <f>_xll.qlYieldTSDiscount(Discounting,R149,,AllTriggers)</f>
        <v>1.0007436367434237</v>
      </c>
      <c r="W149" s="184">
        <f>_xll.qlYieldTSDiscount(Discounting,S149,,AllTriggers)</f>
        <v>1.0011496637650246</v>
      </c>
      <c r="X149" s="181">
        <f t="shared" si="11"/>
        <v>-1.5869768990363414E-3</v>
      </c>
      <c r="Y149" s="348">
        <f t="shared" si="12"/>
        <v>3.6506916439594882E-4</v>
      </c>
      <c r="AD149" s="155"/>
      <c r="AE149" s="155"/>
    </row>
    <row r="150" spans="5:31" ht="11.25" customHeight="1" x14ac:dyDescent="0.2">
      <c r="E150" s="340"/>
      <c r="F150" s="340"/>
      <c r="G150" s="155"/>
      <c r="K150" s="155"/>
      <c r="L150" s="155"/>
      <c r="R150" s="183">
        <f>_xll.qlCalendarAdvance(Calendar,R149,"1D","f")</f>
        <v>42318</v>
      </c>
      <c r="S150" s="183">
        <f>_xll.qlCalendarAdvance(Calendar,R150,$F$1,"mf",,Trigger)</f>
        <v>42410</v>
      </c>
      <c r="T150" s="169">
        <f>_xll.qlDayCounterYearFraction(DayCounter,R150,S150,,,Trigger)</f>
        <v>0.25555555555555554</v>
      </c>
      <c r="U150" s="181">
        <f>_xll.qlInterpolationInterpolate(B3Minterpolation,R150,TRUE)</f>
        <v>1.4295143052139875E-3</v>
      </c>
      <c r="V150" s="184">
        <f>_xll.qlYieldTSDiscount(Discounting,R150,,AllTriggers)</f>
        <v>1.0007478649208572</v>
      </c>
      <c r="W150" s="184">
        <f>_xll.qlYieldTSDiscount(Discounting,S150,,AllTriggers)</f>
        <v>1.0011544298806232</v>
      </c>
      <c r="X150" s="181">
        <f t="shared" si="11"/>
        <v>-1.5890718922270072E-3</v>
      </c>
      <c r="Y150" s="348">
        <f t="shared" si="12"/>
        <v>3.654019704590399E-4</v>
      </c>
      <c r="AD150" s="155"/>
      <c r="AE150" s="155"/>
    </row>
    <row r="151" spans="5:31" ht="11.25" customHeight="1" x14ac:dyDescent="0.2">
      <c r="E151" s="340"/>
      <c r="F151" s="340"/>
      <c r="G151" s="155"/>
      <c r="K151" s="155"/>
      <c r="L151" s="155"/>
      <c r="R151" s="183">
        <f>_xll.qlCalendarAdvance(Calendar,R150,"1D","f")</f>
        <v>42319</v>
      </c>
      <c r="S151" s="183">
        <f>_xll.qlCalendarAdvance(Calendar,R151,$F$1,"mf",,Trigger)</f>
        <v>42411</v>
      </c>
      <c r="T151" s="169">
        <f>_xll.qlDayCounterYearFraction(DayCounter,R151,S151,,,Trigger)</f>
        <v>0.25555555555555554</v>
      </c>
      <c r="U151" s="181">
        <f>_xll.qlInterpolationInterpolate(B3Minterpolation,R151,TRUE)</f>
        <v>1.4308110777876664E-3</v>
      </c>
      <c r="V151" s="184">
        <f>_xll.qlYieldTSDiscount(Discounting,R151,,AllTriggers)</f>
        <v>1.0007520984642706</v>
      </c>
      <c r="W151" s="184">
        <f>_xll.qlYieldTSDiscount(Discounting,S151,,AllTriggers)</f>
        <v>1.0011591945077842</v>
      </c>
      <c r="X151" s="181">
        <f t="shared" si="11"/>
        <v>-1.5911400772580678E-3</v>
      </c>
      <c r="Y151" s="348">
        <f t="shared" si="12"/>
        <v>3.6573357469969108E-4</v>
      </c>
      <c r="AD151" s="155"/>
      <c r="AE151" s="155"/>
    </row>
    <row r="152" spans="5:31" ht="11.25" customHeight="1" x14ac:dyDescent="0.2">
      <c r="E152" s="340"/>
      <c r="F152" s="340"/>
      <c r="G152" s="155"/>
      <c r="K152" s="155"/>
      <c r="L152" s="155"/>
      <c r="R152" s="183">
        <f>_xll.qlCalendarAdvance(Calendar,R151,"1D","f")</f>
        <v>42320</v>
      </c>
      <c r="S152" s="183">
        <f>_xll.qlCalendarAdvance(Calendar,R152,$F$1,"mf",,Trigger)</f>
        <v>42412</v>
      </c>
      <c r="T152" s="169">
        <f>_xll.qlDayCounterYearFraction(DayCounter,R152,S152,,,Trigger)</f>
        <v>0.25555555555555554</v>
      </c>
      <c r="U152" s="181">
        <f>_xll.qlInterpolationInterpolate(B3Minterpolation,R152,TRUE)</f>
        <v>1.4321022924186355E-3</v>
      </c>
      <c r="V152" s="184">
        <f>_xll.qlYieldTSDiscount(Discounting,R152,,AllTriggers)</f>
        <v>1.0007563376655668</v>
      </c>
      <c r="W152" s="184">
        <f>_xll.qlYieldTSDiscount(Discounting,S152,,AllTriggers)</f>
        <v>1.0011639576840716</v>
      </c>
      <c r="X152" s="181">
        <f t="shared" si="11"/>
        <v>-1.593180460379658E-3</v>
      </c>
      <c r="Y152" s="348">
        <f t="shared" si="12"/>
        <v>3.6606375615814713E-4</v>
      </c>
      <c r="AD152" s="155"/>
      <c r="AE152" s="155"/>
    </row>
    <row r="153" spans="5:31" ht="11.25" customHeight="1" x14ac:dyDescent="0.2">
      <c r="E153" s="340"/>
      <c r="F153" s="340"/>
      <c r="G153" s="155"/>
      <c r="K153" s="155"/>
      <c r="L153" s="155"/>
      <c r="R153" s="183">
        <f>_xll.qlCalendarAdvance(Calendar,R152,"1D","f")</f>
        <v>42321</v>
      </c>
      <c r="S153" s="183">
        <f>_xll.qlCalendarAdvance(Calendar,R153,$F$1,"mf",,Trigger)</f>
        <v>42415</v>
      </c>
      <c r="T153" s="169">
        <f>_xll.qlDayCounterYearFraction(DayCounter,R153,S153,,,Trigger)</f>
        <v>0.26111111111111113</v>
      </c>
      <c r="U153" s="181">
        <f>_xll.qlInterpolationInterpolate(B3Minterpolation,R153,TRUE)</f>
        <v>1.4333870849092549E-3</v>
      </c>
      <c r="V153" s="184">
        <f>_xll.qlYieldTSDiscount(Discounting,R153,,AllTriggers)</f>
        <v>1.0007605828166537</v>
      </c>
      <c r="W153" s="184">
        <f>_xll.qlYieldTSDiscount(Discounting,S153,,AllTriggers)</f>
        <v>1.0011782388833481</v>
      </c>
      <c r="X153" s="181">
        <f t="shared" si="11"/>
        <v>-1.5976514573777729E-3</v>
      </c>
      <c r="Y153" s="348">
        <f t="shared" si="12"/>
        <v>3.7435941187341124E-4</v>
      </c>
      <c r="AD153" s="155"/>
      <c r="AE153" s="155"/>
    </row>
    <row r="154" spans="5:31" ht="11.25" customHeight="1" x14ac:dyDescent="0.2">
      <c r="E154" s="340"/>
      <c r="F154" s="340"/>
      <c r="G154" s="155"/>
      <c r="K154" s="155"/>
      <c r="L154" s="155"/>
      <c r="R154" s="183">
        <f>_xll.qlCalendarAdvance(Calendar,R153,"1D","f")</f>
        <v>42324</v>
      </c>
      <c r="S154" s="183">
        <f>_xll.qlCalendarAdvance(Calendar,R154,$F$1,"mf",,Trigger)</f>
        <v>42416</v>
      </c>
      <c r="T154" s="169">
        <f>_xll.qlDayCounterYearFraction(DayCounter,R154,S154,,,Trigger)</f>
        <v>0.25555555555555554</v>
      </c>
      <c r="U154" s="181">
        <f>_xll.qlInterpolationInterpolate(B3Minterpolation,R154,TRUE)</f>
        <v>1.4371942875626251E-3</v>
      </c>
      <c r="V154" s="184">
        <f>_xll.qlYieldTSDiscount(Discounting,R154,,AllTriggers)</f>
        <v>1.0007733568878137</v>
      </c>
      <c r="W154" s="184">
        <f>_xll.qlYieldTSDiscount(Discounting,S154,,AllTriggers)</f>
        <v>1.0011829966318</v>
      </c>
      <c r="X154" s="181">
        <f t="shared" si="11"/>
        <v>-1.6010440988656822E-3</v>
      </c>
      <c r="Y154" s="348">
        <f t="shared" si="12"/>
        <v>3.673658349504563E-4</v>
      </c>
      <c r="AD154" s="155"/>
      <c r="AE154" s="155"/>
    </row>
    <row r="155" spans="5:31" ht="11.25" customHeight="1" x14ac:dyDescent="0.2">
      <c r="E155" s="340"/>
      <c r="F155" s="340"/>
      <c r="G155" s="155"/>
      <c r="K155" s="155"/>
      <c r="L155" s="155"/>
      <c r="R155" s="183">
        <f>_xll.qlCalendarAdvance(Calendar,R154,"1D","f")</f>
        <v>42325</v>
      </c>
      <c r="S155" s="183">
        <f>_xll.qlCalendarAdvance(Calendar,R155,$F$1,"mf",,Trigger)</f>
        <v>42417</v>
      </c>
      <c r="T155" s="169">
        <f>_xll.qlDayCounterYearFraction(DayCounter,R155,S155,,,Trigger)</f>
        <v>0.25555555555555554</v>
      </c>
      <c r="U155" s="181">
        <f>_xll.qlInterpolationInterpolate(B3Minterpolation,R155,TRUE)</f>
        <v>1.438444749515455E-3</v>
      </c>
      <c r="V155" s="184">
        <f>_xll.qlYieldTSDiscount(Discounting,R155,,AllTriggers)</f>
        <v>1.0007776287572436</v>
      </c>
      <c r="W155" s="184">
        <f>_xll.qlYieldTSDiscount(Discounting,S155,,AllTriggers)</f>
        <v>1.0011877531172111</v>
      </c>
      <c r="X155" s="181">
        <f t="shared" si="11"/>
        <v>-1.60293056626971E-3</v>
      </c>
      <c r="Y155" s="348">
        <f t="shared" si="12"/>
        <v>3.67685588080203E-4</v>
      </c>
      <c r="AD155" s="155"/>
      <c r="AE155" s="155"/>
    </row>
    <row r="156" spans="5:31" ht="11.25" customHeight="1" x14ac:dyDescent="0.2">
      <c r="E156" s="340"/>
      <c r="F156" s="340"/>
      <c r="G156" s="155"/>
      <c r="K156" s="155"/>
      <c r="L156" s="155"/>
      <c r="R156" s="183">
        <f>_xll.qlCalendarAdvance(Calendar,R155,"1D","f")</f>
        <v>42326</v>
      </c>
      <c r="S156" s="183">
        <f>_xll.qlCalendarAdvance(Calendar,R156,$F$1,"mf",,Trigger)</f>
        <v>42418</v>
      </c>
      <c r="T156" s="169">
        <f>_xll.qlDayCounterYearFraction(DayCounter,R156,S156,,,Trigger)</f>
        <v>0.25555555555555554</v>
      </c>
      <c r="U156" s="181">
        <f>_xll.qlInterpolationInterpolate(B3Minterpolation,R156,TRUE)</f>
        <v>1.4396844683397391E-3</v>
      </c>
      <c r="V156" s="184">
        <f>_xll.qlYieldTSDiscount(Discounting,R156,,AllTriggers)</f>
        <v>1.00078190803608</v>
      </c>
      <c r="W156" s="184">
        <f>_xll.qlYieldTSDiscount(Discounting,S156,,AllTriggers)</f>
        <v>1.00119250837715</v>
      </c>
      <c r="X156" s="181">
        <f t="shared" si="11"/>
        <v>-1.6047832693033078E-3</v>
      </c>
      <c r="Y156" s="348">
        <f t="shared" si="12"/>
        <v>3.6800259265778697E-4</v>
      </c>
      <c r="AD156" s="155"/>
      <c r="AE156" s="155"/>
    </row>
    <row r="157" spans="5:31" ht="11.25" customHeight="1" x14ac:dyDescent="0.2">
      <c r="E157" s="340"/>
      <c r="F157" s="340"/>
      <c r="G157" s="155"/>
      <c r="K157" s="155"/>
      <c r="L157" s="155"/>
      <c r="R157" s="183">
        <f>_xll.qlCalendarAdvance(Calendar,R156,"1D","f")</f>
        <v>42327</v>
      </c>
      <c r="S157" s="183">
        <f>_xll.qlCalendarAdvance(Calendar,R157,$F$1,"mf",,Trigger)</f>
        <v>42419</v>
      </c>
      <c r="T157" s="169">
        <f>_xll.qlDayCounterYearFraction(DayCounter,R157,S157,,,Trigger)</f>
        <v>0.25555555555555554</v>
      </c>
      <c r="U157" s="181">
        <f>_xll.qlInterpolationInterpolate(B3Minterpolation,R157,TRUE)</f>
        <v>1.4409125798378385E-3</v>
      </c>
      <c r="V157" s="184">
        <f>_xll.qlYieldTSDiscount(Discounting,R157,,AllTriggers)</f>
        <v>1.0007861950162613</v>
      </c>
      <c r="W157" s="184">
        <f>_xll.qlYieldTSDiscount(Discounting,S157,,AllTriggers)</f>
        <v>1.0011972624491865</v>
      </c>
      <c r="X157" s="181">
        <f t="shared" si="11"/>
        <v>-1.6066012142287747E-3</v>
      </c>
      <c r="Y157" s="348">
        <f t="shared" si="12"/>
        <v>3.683166277207077E-4</v>
      </c>
      <c r="AD157" s="155"/>
      <c r="AE157" s="155"/>
    </row>
    <row r="158" spans="5:31" ht="11.25" customHeight="1" x14ac:dyDescent="0.2">
      <c r="E158" s="340"/>
      <c r="F158" s="340"/>
      <c r="G158" s="155"/>
      <c r="K158" s="155"/>
      <c r="L158" s="155"/>
      <c r="R158" s="183">
        <f>_xll.qlCalendarAdvance(Calendar,R157,"1D","f")</f>
        <v>42328</v>
      </c>
      <c r="S158" s="183">
        <f>_xll.qlCalendarAdvance(Calendar,R158,$F$1,"mf",,Trigger)</f>
        <v>42422</v>
      </c>
      <c r="T158" s="169">
        <f>_xll.qlDayCounterYearFraction(DayCounter,R158,S158,,,Trigger)</f>
        <v>0.26111111111111113</v>
      </c>
      <c r="U158" s="181">
        <f>_xll.qlInterpolationInterpolate(B3Minterpolation,R158,TRUE)</f>
        <v>1.4421282198121138E-3</v>
      </c>
      <c r="V158" s="184">
        <f>_xll.qlYieldTSDiscount(Discounting,R158,,AllTriggers)</f>
        <v>1.0007904899897311</v>
      </c>
      <c r="W158" s="184">
        <f>_xll.qlYieldTSDiscount(Discounting,S158,,AllTriggers)</f>
        <v>1.001211517913585</v>
      </c>
      <c r="X158" s="181">
        <f t="shared" si="11"/>
        <v>-1.6104962229272618E-3</v>
      </c>
      <c r="Y158" s="348">
        <f t="shared" si="12"/>
        <v>3.7664317813164135E-4</v>
      </c>
      <c r="AD158" s="155"/>
      <c r="AE158" s="155"/>
    </row>
    <row r="159" spans="5:31" ht="11.25" customHeight="1" x14ac:dyDescent="0.2">
      <c r="E159" s="340"/>
      <c r="F159" s="340"/>
      <c r="G159" s="155"/>
      <c r="K159" s="155"/>
      <c r="L159" s="155"/>
      <c r="R159" s="183">
        <f>_xll.qlCalendarAdvance(Calendar,R158,"1D","f")</f>
        <v>42331</v>
      </c>
      <c r="S159" s="183">
        <f>_xll.qlCalendarAdvance(Calendar,R159,$F$1,"mf",,Trigger)</f>
        <v>42423</v>
      </c>
      <c r="T159" s="169">
        <f>_xll.qlDayCounterYearFraction(DayCounter,R159,S159,,,Trigger)</f>
        <v>0.25555555555555554</v>
      </c>
      <c r="U159" s="181">
        <f>_xll.qlInterpolationInterpolate(B3Minterpolation,R159,TRUE)</f>
        <v>1.4456916686156028E-3</v>
      </c>
      <c r="V159" s="184">
        <f>_xll.qlYieldTSDiscount(Discounting,R159,,AllTriggers)</f>
        <v>1.0008034257893863</v>
      </c>
      <c r="W159" s="184">
        <f>_xll.qlYieldTSDiscount(Discounting,S159,,AllTriggers)</f>
        <v>1.0012162676097196</v>
      </c>
      <c r="X159" s="181">
        <f t="shared" si="11"/>
        <v>-1.6135055380844569E-3</v>
      </c>
      <c r="Y159" s="348">
        <f t="shared" si="12"/>
        <v>3.6953865355402881E-4</v>
      </c>
      <c r="AD159" s="155"/>
      <c r="AE159" s="155"/>
    </row>
    <row r="160" spans="5:31" ht="11.25" customHeight="1" x14ac:dyDescent="0.2">
      <c r="E160" s="340"/>
      <c r="F160" s="340"/>
      <c r="G160" s="155"/>
      <c r="K160" s="155"/>
      <c r="L160" s="155"/>
      <c r="R160" s="183">
        <f>_xll.qlCalendarAdvance(Calendar,R159,"1D","f")</f>
        <v>42332</v>
      </c>
      <c r="S160" s="183">
        <f>_xll.qlCalendarAdvance(Calendar,R160,$F$1,"mf",,Trigger)</f>
        <v>42424</v>
      </c>
      <c r="T160" s="169">
        <f>_xll.qlDayCounterYearFraction(DayCounter,R160,S160,,,Trigger)</f>
        <v>0.25555555555555554</v>
      </c>
      <c r="U160" s="181">
        <f>_xll.qlInterpolationInterpolate(B3Minterpolation,R160,TRUE)</f>
        <v>1.4468487805181895E-3</v>
      </c>
      <c r="V160" s="184">
        <f>_xll.qlYieldTSDiscount(Discounting,R160,,AllTriggers)</f>
        <v>1.0008077556555515</v>
      </c>
      <c r="W160" s="184">
        <f>_xll.qlYieldTSDiscount(Discounting,S160,,AllTriggers)</f>
        <v>1.0012210163058095</v>
      </c>
      <c r="X160" s="181">
        <f t="shared" si="11"/>
        <v>-1.6151347864037575E-3</v>
      </c>
      <c r="Y160" s="348">
        <f t="shared" si="12"/>
        <v>3.6983452658829867E-4</v>
      </c>
      <c r="AD160" s="155"/>
      <c r="AE160" s="155"/>
    </row>
    <row r="161" spans="5:31" ht="11.25" customHeight="1" x14ac:dyDescent="0.2">
      <c r="E161" s="340"/>
      <c r="F161" s="340"/>
      <c r="G161" s="155"/>
      <c r="K161" s="155"/>
      <c r="L161" s="155"/>
      <c r="R161" s="183">
        <f>_xll.qlCalendarAdvance(Calendar,R160,"1D","f")</f>
        <v>42333</v>
      </c>
      <c r="S161" s="183">
        <f>_xll.qlCalendarAdvance(Calendar,R161,$F$1,"mf",,Trigger)</f>
        <v>42425</v>
      </c>
      <c r="T161" s="169">
        <f>_xll.qlDayCounterYearFraction(DayCounter,R161,S161,,,Trigger)</f>
        <v>0.25555555555555554</v>
      </c>
      <c r="U161" s="181">
        <f>_xll.qlInterpolationInterpolate(B3Minterpolation,R161,TRUE)</f>
        <v>1.4479890999087558E-3</v>
      </c>
      <c r="V161" s="184">
        <f>_xll.qlYieldTSDiscount(Discounting,R161,,AllTriggers)</f>
        <v>1.0008120949748016</v>
      </c>
      <c r="W161" s="184">
        <f>_xll.qlYieldTSDiscount(Discounting,S161,,AllTriggers)</f>
        <v>1.0012257640394284</v>
      </c>
      <c r="X161" s="181">
        <f t="shared" si="11"/>
        <v>-1.6167233141961075E-3</v>
      </c>
      <c r="Y161" s="348">
        <f t="shared" si="12"/>
        <v>3.7012610432396377E-4</v>
      </c>
      <c r="AD161" s="155"/>
      <c r="AE161" s="155"/>
    </row>
    <row r="162" spans="5:31" ht="11.25" customHeight="1" x14ac:dyDescent="0.2">
      <c r="E162" s="340"/>
      <c r="F162" s="340"/>
      <c r="G162" s="155"/>
      <c r="K162" s="155"/>
      <c r="L162" s="155"/>
      <c r="R162" s="183">
        <f>_xll.qlCalendarAdvance(Calendar,R161,"1D","f")</f>
        <v>42334</v>
      </c>
      <c r="S162" s="183">
        <f>_xll.qlCalendarAdvance(Calendar,R162,$F$1,"mf",,Trigger)</f>
        <v>42426</v>
      </c>
      <c r="T162" s="169">
        <f>_xll.qlDayCounterYearFraction(DayCounter,R162,S162,,,Trigger)</f>
        <v>0.25555555555555554</v>
      </c>
      <c r="U162" s="181">
        <f>_xll.qlInterpolationInterpolate(B3Minterpolation,R162,TRUE)</f>
        <v>1.4491117625896623E-3</v>
      </c>
      <c r="V162" s="184">
        <f>_xll.qlYieldTSDiscount(Discounting,R162,,AllTriggers)</f>
        <v>1.0008164440391125</v>
      </c>
      <c r="W162" s="184">
        <f>_xll.qlYieldTSDiscount(Discounting,S162,,AllTriggers)</f>
        <v>1.0012305108481507</v>
      </c>
      <c r="X162" s="181">
        <f t="shared" si="11"/>
        <v>-1.6182701277238064E-3</v>
      </c>
      <c r="Y162" s="348">
        <f t="shared" si="12"/>
        <v>3.7041316579657893E-4</v>
      </c>
      <c r="AD162" s="155"/>
      <c r="AE162" s="155"/>
    </row>
    <row r="163" spans="5:31" ht="11.25" customHeight="1" x14ac:dyDescent="0.2">
      <c r="E163" s="340"/>
      <c r="F163" s="340"/>
      <c r="G163" s="155"/>
      <c r="K163" s="155"/>
      <c r="L163" s="155"/>
      <c r="R163" s="183">
        <f>_xll.qlCalendarAdvance(Calendar,R162,"1D","f")</f>
        <v>42335</v>
      </c>
      <c r="S163" s="183">
        <f>_xll.qlCalendarAdvance(Calendar,R163,$F$1,"mf",,Trigger)</f>
        <v>42429</v>
      </c>
      <c r="T163" s="169">
        <f>_xll.qlDayCounterYearFraction(DayCounter,R163,S163,,,Trigger)</f>
        <v>0.26111111111111113</v>
      </c>
      <c r="U163" s="181">
        <f>_xll.qlInterpolationInterpolate(B3Minterpolation,R163,TRUE)</f>
        <v>1.4502159043632704E-3</v>
      </c>
      <c r="V163" s="184">
        <f>_xll.qlYieldTSDiscount(Discounting,R163,,AllTriggers)</f>
        <v>1.0008208031404644</v>
      </c>
      <c r="W163" s="184">
        <f>_xll.qlYieldTSDiscount(Discounting,S163,,AllTriggers)</f>
        <v>1.0012447461006935</v>
      </c>
      <c r="X163" s="181">
        <f t="shared" si="11"/>
        <v>-1.6215928656511066E-3</v>
      </c>
      <c r="Y163" s="348">
        <f t="shared" si="12"/>
        <v>3.7875615072846904E-4</v>
      </c>
      <c r="AD163" s="155"/>
      <c r="AE163" s="155"/>
    </row>
    <row r="164" spans="5:31" ht="11.25" customHeight="1" x14ac:dyDescent="0.2">
      <c r="E164" s="340"/>
      <c r="F164" s="340"/>
      <c r="G164" s="155"/>
      <c r="K164" s="155"/>
      <c r="L164" s="155"/>
      <c r="R164" s="183">
        <f>_xll.qlCalendarAdvance(Calendar,R163,"1D","f")</f>
        <v>42338</v>
      </c>
      <c r="S164" s="183">
        <f>_xll.qlCalendarAdvance(Calendar,R164,$F$1,"mf",,Trigger)</f>
        <v>42429</v>
      </c>
      <c r="T164" s="169">
        <f>_xll.qlDayCounterYearFraction(DayCounter,R164,S164,,,Trigger)</f>
        <v>0.25277777777777777</v>
      </c>
      <c r="U164" s="181">
        <f>_xll.qlInterpolationInterpolate(B3Minterpolation,R164,TRUE)</f>
        <v>1.4534085622639086E-3</v>
      </c>
      <c r="V164" s="184">
        <f>_xll.qlYieldTSDiscount(Discounting,R164,,AllTriggers)</f>
        <v>1.0008339435866538</v>
      </c>
      <c r="W164" s="184">
        <f>_xll.qlYieldTSDiscount(Discounting,S164,,AllTriggers)</f>
        <v>1.0012447461006935</v>
      </c>
      <c r="X164" s="181">
        <f t="shared" si="11"/>
        <v>-1.6231324150497903E-3</v>
      </c>
      <c r="Y164" s="348">
        <f t="shared" si="12"/>
        <v>3.6747265894962949E-4</v>
      </c>
      <c r="AD164" s="155"/>
      <c r="AE164" s="155"/>
    </row>
    <row r="165" spans="5:31" ht="11.25" customHeight="1" x14ac:dyDescent="0.2">
      <c r="E165" s="340"/>
      <c r="F165" s="340"/>
      <c r="G165" s="155"/>
      <c r="K165" s="155"/>
      <c r="L165" s="155"/>
      <c r="R165" s="183">
        <f>_xll.qlCalendarAdvance(Calendar,R164,"1D","f")</f>
        <v>42339</v>
      </c>
      <c r="S165" s="183">
        <f>_xll.qlCalendarAdvance(Calendar,R165,$F$1,"mf",,Trigger)</f>
        <v>42430</v>
      </c>
      <c r="T165" s="169">
        <f>_xll.qlDayCounterYearFraction(DayCounter,R165,S165,,,Trigger)</f>
        <v>0.25277777777777777</v>
      </c>
      <c r="U165" s="181">
        <f>_xll.qlInterpolationInterpolate(B3Minterpolation,R165,TRUE)</f>
        <v>1.4544299784319289E-3</v>
      </c>
      <c r="V165" s="184">
        <f>_xll.qlYieldTSDiscount(Discounting,R165,,AllTriggers)</f>
        <v>1.0008375450854075</v>
      </c>
      <c r="W165" s="184">
        <f>_xll.qlYieldTSDiscount(Discounting,S165,,AllTriggers)</f>
        <v>1.0012494895855883</v>
      </c>
      <c r="X165" s="181">
        <f t="shared" si="11"/>
        <v>-1.6276368348917475E-3</v>
      </c>
      <c r="Y165" s="348">
        <f t="shared" si="12"/>
        <v>3.6773128010293921E-4</v>
      </c>
      <c r="AD165" s="155"/>
      <c r="AE165" s="155"/>
    </row>
    <row r="166" spans="5:31" ht="11.25" customHeight="1" x14ac:dyDescent="0.2">
      <c r="E166" s="340"/>
      <c r="F166" s="340"/>
      <c r="G166" s="155"/>
      <c r="K166" s="155"/>
      <c r="L166" s="155"/>
      <c r="R166" s="183">
        <f>_xll.qlCalendarAdvance(Calendar,R165,"1D","f")</f>
        <v>42340</v>
      </c>
      <c r="S166" s="183">
        <f>_xll.qlCalendarAdvance(Calendar,R166,$F$1,"mf",,Trigger)</f>
        <v>42431</v>
      </c>
      <c r="T166" s="169">
        <f>_xll.qlDayCounterYearFraction(DayCounter,R166,S166,,,Trigger)</f>
        <v>0.25277777777777777</v>
      </c>
      <c r="U166" s="181">
        <f>_xll.qlInterpolationInterpolate(B3Minterpolation,R166,TRUE)</f>
        <v>1.455428552704454E-3</v>
      </c>
      <c r="V166" s="184">
        <f>_xll.qlYieldTSDiscount(Discounting,R166,,AllTriggers)</f>
        <v>1.0008419587483324</v>
      </c>
      <c r="W166" s="184">
        <f>_xll.qlYieldTSDiscount(Discounting,S166,,AllTriggers)</f>
        <v>1.0012542323334697</v>
      </c>
      <c r="X166" s="181">
        <f t="shared" si="11"/>
        <v>-1.6289293688357984E-3</v>
      </c>
      <c r="Y166" s="348">
        <f t="shared" si="12"/>
        <v>3.6798382876512749E-4</v>
      </c>
      <c r="AD166" s="155"/>
      <c r="AE166" s="155"/>
    </row>
    <row r="167" spans="5:31" ht="11.25" customHeight="1" x14ac:dyDescent="0.2">
      <c r="E167" s="340"/>
      <c r="F167" s="340"/>
      <c r="G167" s="155"/>
      <c r="K167" s="155"/>
      <c r="L167" s="155"/>
      <c r="R167" s="183">
        <f>_xll.qlCalendarAdvance(Calendar,R166,"1D","f")</f>
        <v>42341</v>
      </c>
      <c r="S167" s="183">
        <f>_xll.qlCalendarAdvance(Calendar,R167,$F$1,"mf",,Trigger)</f>
        <v>42432</v>
      </c>
      <c r="T167" s="169">
        <f>_xll.qlDayCounterYearFraction(DayCounter,R167,S167,,,Trigger)</f>
        <v>0.25277777777777777</v>
      </c>
      <c r="U167" s="181">
        <f>_xll.qlInterpolationInterpolate(B3Minterpolation,R167,TRUE)</f>
        <v>1.4564034208838449E-3</v>
      </c>
      <c r="V167" s="184">
        <f>_xll.qlYieldTSDiscount(Discounting,R167,,AllTriggers)</f>
        <v>1.0008463842002866</v>
      </c>
      <c r="W167" s="184">
        <f>_xll.qlYieldTSDiscount(Discounting,S167,,AllTriggers)</f>
        <v>1.001258974381916</v>
      </c>
      <c r="X167" s="181">
        <f t="shared" si="11"/>
        <v>-1.6301725488808596E-3</v>
      </c>
      <c r="Y167" s="348">
        <f t="shared" si="12"/>
        <v>3.6823038029696291E-4</v>
      </c>
      <c r="AD167" s="155"/>
      <c r="AE167" s="155"/>
    </row>
    <row r="168" spans="5:31" ht="11.25" customHeight="1" x14ac:dyDescent="0.2">
      <c r="E168" s="340"/>
      <c r="F168" s="340"/>
      <c r="G168" s="155"/>
      <c r="K168" s="155"/>
      <c r="L168" s="155"/>
      <c r="R168" s="183">
        <f>_xll.qlCalendarAdvance(Calendar,R167,"1D","f")</f>
        <v>42342</v>
      </c>
      <c r="S168" s="183">
        <f>_xll.qlCalendarAdvance(Calendar,R168,$F$1,"mf",,Trigger)</f>
        <v>42433</v>
      </c>
      <c r="T168" s="169">
        <f>_xll.qlDayCounterYearFraction(DayCounter,R168,S168,,,Trigger)</f>
        <v>0.25277777777777777</v>
      </c>
      <c r="U168" s="181">
        <f>_xll.qlInterpolationInterpolate(B3Minterpolation,R168,TRUE)</f>
        <v>1.4573537187724623E-3</v>
      </c>
      <c r="V168" s="184">
        <f>_xll.qlYieldTSDiscount(Discounting,R168,,AllTriggers)</f>
        <v>1.0008508217332883</v>
      </c>
      <c r="W168" s="184">
        <f>_xll.qlYieldTSDiscount(Discounting,S168,,AllTriggers)</f>
        <v>1.0012637157685069</v>
      </c>
      <c r="X168" s="181">
        <f t="shared" si="11"/>
        <v>-1.6313653703703536E-3</v>
      </c>
      <c r="Y168" s="348">
        <f t="shared" si="12"/>
        <v>3.6847071613455538E-4</v>
      </c>
      <c r="AD168" s="155"/>
      <c r="AE168" s="155"/>
    </row>
    <row r="169" spans="5:31" ht="11.25" customHeight="1" x14ac:dyDescent="0.2">
      <c r="E169" s="340"/>
      <c r="F169" s="340"/>
      <c r="G169" s="155"/>
      <c r="K169" s="155"/>
      <c r="L169" s="155"/>
      <c r="R169" s="183">
        <f>_xll.qlCalendarAdvance(Calendar,R168,"1D","f")</f>
        <v>42345</v>
      </c>
      <c r="S169" s="183">
        <f>_xll.qlCalendarAdvance(Calendar,R169,$F$1,"mf",,Trigger)</f>
        <v>42436</v>
      </c>
      <c r="T169" s="169">
        <f>_xll.qlDayCounterYearFraction(DayCounter,R169,S169,,,Trigger)</f>
        <v>0.25277777777777777</v>
      </c>
      <c r="U169" s="181">
        <f>_xll.qlInterpolationInterpolate(B3Minterpolation,R169,TRUE)</f>
        <v>1.4600485487172804E-3</v>
      </c>
      <c r="V169" s="184">
        <f>_xll.qlYieldTSDiscount(Discounting,R169,,AllTriggers)</f>
        <v>1.0008642097388532</v>
      </c>
      <c r="W169" s="184">
        <f>_xll.qlYieldTSDiscount(Discounting,S169,,AllTriggers)</f>
        <v>1.0012779363329525</v>
      </c>
      <c r="X169" s="181">
        <f t="shared" si="11"/>
        <v>-1.6346316368816786E-3</v>
      </c>
      <c r="Y169" s="348">
        <f t="shared" si="12"/>
        <v>3.691522438481173E-4</v>
      </c>
      <c r="AD169" s="155"/>
      <c r="AE169" s="155"/>
    </row>
    <row r="170" spans="5:31" ht="11.25" customHeight="1" x14ac:dyDescent="0.2">
      <c r="E170" s="340"/>
      <c r="F170" s="340"/>
      <c r="G170" s="155"/>
      <c r="K170" s="155"/>
      <c r="L170" s="155"/>
      <c r="R170" s="183">
        <f>_xll.qlCalendarAdvance(Calendar,R169,"1D","f")</f>
        <v>42346</v>
      </c>
      <c r="S170" s="183">
        <f>_xll.qlCalendarAdvance(Calendar,R170,$F$1,"mf",,Trigger)</f>
        <v>42437</v>
      </c>
      <c r="T170" s="169">
        <f>_xll.qlDayCounterYearFraction(DayCounter,R170,S170,,,Trigger)</f>
        <v>0.25277777777777777</v>
      </c>
      <c r="U170" s="181">
        <f>_xll.qlInterpolationInterpolate(B3Minterpolation,R170,TRUE)</f>
        <v>1.4608919234664112E-3</v>
      </c>
      <c r="V170" s="184">
        <f>_xll.qlYieldTSDiscount(Discounting,R170,,AllTriggers)</f>
        <v>1.0008686985163462</v>
      </c>
      <c r="W170" s="184">
        <f>_xll.qlYieldTSDiscount(Discounting,S170,,AllTriggers)</f>
        <v>1.0012826754479305</v>
      </c>
      <c r="X170" s="181">
        <f t="shared" si="11"/>
        <v>-1.6356129775269073E-3</v>
      </c>
      <c r="Y170" s="348">
        <f t="shared" si="12"/>
        <v>3.6936553127489379E-4</v>
      </c>
      <c r="AD170" s="155"/>
      <c r="AE170" s="155"/>
    </row>
    <row r="171" spans="5:31" ht="11.25" customHeight="1" x14ac:dyDescent="0.2">
      <c r="E171" s="340"/>
      <c r="F171" s="340"/>
      <c r="G171" s="155"/>
      <c r="K171" s="155"/>
      <c r="L171" s="155"/>
      <c r="R171" s="183">
        <f>_xll.qlCalendarAdvance(Calendar,R170,"1D","f")</f>
        <v>42347</v>
      </c>
      <c r="S171" s="183">
        <f>_xll.qlCalendarAdvance(Calendar,R171,$F$1,"mf",,Trigger)</f>
        <v>42438</v>
      </c>
      <c r="T171" s="169">
        <f>_xll.qlDayCounterYearFraction(DayCounter,R171,S171,,,Trigger)</f>
        <v>0.25277777777777777</v>
      </c>
      <c r="U171" s="181">
        <f>_xll.qlInterpolationInterpolate(B3Minterpolation,R171,TRUE)</f>
        <v>1.461706406936572E-3</v>
      </c>
      <c r="V171" s="184">
        <f>_xll.qlYieldTSDiscount(Discounting,R171,,AllTriggers)</f>
        <v>1.0008732008350654</v>
      </c>
      <c r="W171" s="184">
        <f>_xll.qlYieldTSDiscount(Discounting,S171,,AllTriggers)</f>
        <v>1.0012874140889609</v>
      </c>
      <c r="X171" s="181">
        <f t="shared" si="11"/>
        <v>-1.6365389363029357E-3</v>
      </c>
      <c r="Y171" s="348">
        <f t="shared" si="12"/>
        <v>3.6957151019114407E-4</v>
      </c>
      <c r="AD171" s="155"/>
      <c r="AE171" s="155"/>
    </row>
    <row r="172" spans="5:31" ht="11.25" customHeight="1" x14ac:dyDescent="0.2">
      <c r="E172" s="340"/>
      <c r="F172" s="340"/>
      <c r="G172" s="155"/>
      <c r="K172" s="155"/>
      <c r="L172" s="155"/>
      <c r="R172" s="183">
        <f>_xll.qlCalendarAdvance(Calendar,R171,"1D","f")</f>
        <v>42348</v>
      </c>
      <c r="S172" s="183">
        <f>_xll.qlCalendarAdvance(Calendar,R172,$F$1,"mf",,Trigger)</f>
        <v>42439</v>
      </c>
      <c r="T172" s="169">
        <f>_xll.qlDayCounterYearFraction(DayCounter,R172,S172,,,Trigger)</f>
        <v>0.25277777777777777</v>
      </c>
      <c r="U172" s="181">
        <f>_xll.qlInterpolationInterpolate(B3Minterpolation,R172,TRUE)</f>
        <v>1.4624911349301237E-3</v>
      </c>
      <c r="V172" s="184">
        <f>_xll.qlYieldTSDiscount(Discounting,R172,,AllTriggers)</f>
        <v>1.0008777168832541</v>
      </c>
      <c r="W172" s="184">
        <f>_xll.qlYieldTSDiscount(Discounting,S172,,AllTriggers)</f>
        <v>1.0012921522936276</v>
      </c>
      <c r="X172" s="181">
        <f t="shared" si="11"/>
        <v>-1.6374089186884083E-3</v>
      </c>
      <c r="Y172" s="348">
        <f t="shared" si="12"/>
        <v>3.6976996207218585E-4</v>
      </c>
      <c r="AD172" s="155"/>
      <c r="AE172" s="155"/>
    </row>
    <row r="173" spans="5:31" ht="11.25" customHeight="1" x14ac:dyDescent="0.2">
      <c r="E173" s="340"/>
      <c r="F173" s="340"/>
      <c r="G173" s="155"/>
      <c r="K173" s="155"/>
      <c r="L173" s="155"/>
      <c r="R173" s="183">
        <f>_xll.qlCalendarAdvance(Calendar,R172,"1D","f")</f>
        <v>42349</v>
      </c>
      <c r="S173" s="183">
        <f>_xll.qlCalendarAdvance(Calendar,R173,$F$1,"mf",,Trigger)</f>
        <v>42440</v>
      </c>
      <c r="T173" s="169">
        <f>_xll.qlDayCounterYearFraction(DayCounter,R173,S173,,,Trigger)</f>
        <v>0.25277777777777777</v>
      </c>
      <c r="U173" s="181">
        <f>_xll.qlInterpolationInterpolate(B3Minterpolation,R173,TRUE)</f>
        <v>1.4632452432494275E-3</v>
      </c>
      <c r="V173" s="184">
        <f>_xll.qlYieldTSDiscount(Discounting,R173,,AllTriggers)</f>
        <v>1.0008822464339198</v>
      </c>
      <c r="W173" s="184">
        <f>_xll.qlYieldTSDiscount(Discounting,S173,,AllTriggers)</f>
        <v>1.0012968900995149</v>
      </c>
      <c r="X173" s="181">
        <f t="shared" si="11"/>
        <v>-1.6382239707410709E-3</v>
      </c>
      <c r="Y173" s="348">
        <f t="shared" si="12"/>
        <v>3.6996066854716355E-4</v>
      </c>
      <c r="AD173" s="155"/>
      <c r="AE173" s="155"/>
    </row>
    <row r="174" spans="5:31" ht="11.25" customHeight="1" x14ac:dyDescent="0.2">
      <c r="E174" s="340"/>
      <c r="F174" s="340"/>
      <c r="G174" s="155"/>
      <c r="K174" s="155"/>
      <c r="L174" s="155"/>
      <c r="R174" s="183">
        <f>_xll.qlCalendarAdvance(Calendar,R173,"1D","f")</f>
        <v>42352</v>
      </c>
      <c r="S174" s="183">
        <f>_xll.qlCalendarAdvance(Calendar,R174,$F$1,"mf",,Trigger)</f>
        <v>42443</v>
      </c>
      <c r="T174" s="169">
        <f>_xll.qlDayCounterYearFraction(DayCounter,R174,S174,,,Trigger)</f>
        <v>0.25277777777777777</v>
      </c>
      <c r="U174" s="181">
        <f>_xll.qlInterpolationInterpolate(B3Minterpolation,R174,TRUE)</f>
        <v>1.4653152081854559E-3</v>
      </c>
      <c r="V174" s="184">
        <f>_xll.qlYieldTSDiscount(Discounting,R174,,AllTriggers)</f>
        <v>1.0008959127926873</v>
      </c>
      <c r="W174" s="184">
        <f>_xll.qlYieldTSDiscount(Discounting,S174,,AllTriggers)</f>
        <v>1.0013111015003562</v>
      </c>
      <c r="X174" s="181">
        <f t="shared" si="11"/>
        <v>-1.6403541068604327E-3</v>
      </c>
      <c r="Y174" s="348">
        <f t="shared" si="12"/>
        <v>3.7048413222465893E-4</v>
      </c>
      <c r="AD174" s="155"/>
      <c r="AE174" s="155"/>
    </row>
    <row r="175" spans="5:31" ht="11.25" customHeight="1" x14ac:dyDescent="0.2">
      <c r="E175" s="340"/>
      <c r="F175" s="340"/>
      <c r="G175" s="155"/>
      <c r="K175" s="155"/>
      <c r="L175" s="155"/>
      <c r="R175" s="183">
        <f>_xll.qlCalendarAdvance(Calendar,R174,"1D","f")</f>
        <v>42353</v>
      </c>
      <c r="S175" s="183">
        <f>_xll.qlCalendarAdvance(Calendar,R175,$F$1,"mf",,Trigger)</f>
        <v>42444</v>
      </c>
      <c r="T175" s="169">
        <f>_xll.qlDayCounterYearFraction(DayCounter,R175,S175,,,Trigger)</f>
        <v>0.25277777777777777</v>
      </c>
      <c r="U175" s="181">
        <f>_xll.qlInterpolationInterpolate(B3Minterpolation,R175,TRUE)</f>
        <v>1.4659381958313739E-3</v>
      </c>
      <c r="V175" s="184">
        <f>_xll.qlYieldTSDiscount(Discounting,R175,,AllTriggers)</f>
        <v>1.0009004930451417</v>
      </c>
      <c r="W175" s="184">
        <f>_xll.qlYieldTSDiscount(Discounting,S175,,AllTriggers)</f>
        <v>1.0013158380869844</v>
      </c>
      <c r="X175" s="181">
        <f t="shared" si="11"/>
        <v>-1.6409639995247165E-3</v>
      </c>
      <c r="Y175" s="348">
        <f t="shared" si="12"/>
        <v>3.7064167376678342E-4</v>
      </c>
      <c r="AD175" s="155"/>
      <c r="AE175" s="155"/>
    </row>
    <row r="176" spans="5:31" ht="11.25" customHeight="1" x14ac:dyDescent="0.2">
      <c r="E176" s="340"/>
      <c r="F176" s="340"/>
      <c r="G176" s="155"/>
      <c r="K176" s="155"/>
      <c r="L176" s="155"/>
      <c r="R176" s="183">
        <f>_xll.qlCalendarAdvance(Calendar,R175,"1D","f")</f>
        <v>42354</v>
      </c>
      <c r="S176" s="183">
        <f>_xll.qlCalendarAdvance(Calendar,R176,$F$1,"mf",,Trigger)</f>
        <v>42445</v>
      </c>
      <c r="T176" s="169">
        <f>_xll.qlDayCounterYearFraction(DayCounter,R176,S176,,,Trigger)</f>
        <v>0.25277777777777777</v>
      </c>
      <c r="U176" s="181">
        <f>_xll.qlInterpolationInterpolate(B3Minterpolation,R176,TRUE)</f>
        <v>1.4665262428148473E-3</v>
      </c>
      <c r="V176" s="184">
        <f>_xll.qlYieldTSDiscount(Discounting,R176,,AllTriggers)</f>
        <v>1.000905085145986</v>
      </c>
      <c r="W176" s="184">
        <f>_xll.qlYieldTSDiscount(Discounting,S176,,AllTriggers)</f>
        <v>1.0013205744627667</v>
      </c>
      <c r="X176" s="181">
        <f t="shared" si="11"/>
        <v>-1.6415262428148836E-3</v>
      </c>
      <c r="Y176" s="348">
        <f t="shared" si="12"/>
        <v>3.7079037825204825E-4</v>
      </c>
      <c r="AD176" s="155"/>
      <c r="AE176" s="155"/>
    </row>
    <row r="177" spans="5:31" ht="11.25" customHeight="1" x14ac:dyDescent="0.2">
      <c r="E177" s="340"/>
      <c r="F177" s="340"/>
      <c r="G177" s="155"/>
      <c r="K177" s="155"/>
      <c r="L177" s="155"/>
      <c r="R177" s="183">
        <f>_xll.qlCalendarAdvance(Calendar,R176,"1D","f")</f>
        <v>42355</v>
      </c>
      <c r="S177" s="183">
        <f>_xll.qlCalendarAdvance(Calendar,R177,$F$1,"mf",,Trigger)</f>
        <v>42446</v>
      </c>
      <c r="T177" s="169">
        <f>_xll.qlDayCounterYearFraction(DayCounter,R177,S177,,,Trigger)</f>
        <v>0.25277777777777777</v>
      </c>
      <c r="U177" s="181">
        <f>_xll.qlInterpolationInterpolate(B3Minterpolation,R177,TRUE)</f>
        <v>1.4670902874493815E-3</v>
      </c>
      <c r="V177" s="184">
        <f>_xll.qlYieldTSDiscount(Discounting,R177,,AllTriggers)</f>
        <v>1.0009096887643854</v>
      </c>
      <c r="W177" s="184">
        <f>_xll.qlYieldTSDiscount(Discounting,S177,,AllTriggers)</f>
        <v>1.0013253106571849</v>
      </c>
      <c r="X177" s="181">
        <f t="shared" si="11"/>
        <v>-1.6420422609011664E-3</v>
      </c>
      <c r="Y177" s="348">
        <f t="shared" si="12"/>
        <v>3.7093301089352078E-4</v>
      </c>
      <c r="AD177" s="155"/>
      <c r="AE177" s="155"/>
    </row>
    <row r="178" spans="5:31" ht="11.25" customHeight="1" x14ac:dyDescent="0.2">
      <c r="E178" s="340"/>
      <c r="F178" s="340"/>
      <c r="G178" s="155"/>
      <c r="K178" s="155"/>
      <c r="L178" s="155"/>
      <c r="R178" s="183">
        <f>_xll.qlCalendarAdvance(Calendar,R177,"1D","f")</f>
        <v>42356</v>
      </c>
      <c r="S178" s="183">
        <f>_xll.qlCalendarAdvance(Calendar,R178,$F$1,"mf",,Trigger)</f>
        <v>42447</v>
      </c>
      <c r="T178" s="169">
        <f>_xll.qlDayCounterYearFraction(DayCounter,R178,S178,,,Trigger)</f>
        <v>0.25277777777777777</v>
      </c>
      <c r="U178" s="181">
        <f>_xll.qlInterpolationInterpolate(B3Minterpolation,R178,TRUE)</f>
        <v>1.4676419360030624E-3</v>
      </c>
      <c r="V178" s="184">
        <f>_xll.qlYieldTSDiscount(Discounting,R178,,AllTriggers)</f>
        <v>1.0009143035695003</v>
      </c>
      <c r="W178" s="184">
        <f>_xll.qlYieldTSDiscount(Discounting,S178,,AllTriggers)</f>
        <v>1.0013300466672992</v>
      </c>
      <c r="X178" s="181">
        <f t="shared" si="11"/>
        <v>-1.6425133499072125E-3</v>
      </c>
      <c r="Y178" s="348">
        <f t="shared" si="12"/>
        <v>3.7107250574409874E-4</v>
      </c>
      <c r="AD178" s="155"/>
      <c r="AE178" s="155"/>
    </row>
    <row r="179" spans="5:31" ht="11.25" customHeight="1" x14ac:dyDescent="0.2">
      <c r="E179" s="340"/>
      <c r="F179" s="340"/>
      <c r="G179" s="155"/>
      <c r="K179" s="155"/>
      <c r="L179" s="155"/>
      <c r="R179" s="183">
        <f>_xll.qlCalendarAdvance(Calendar,R178,"1D","f")</f>
        <v>42359</v>
      </c>
      <c r="S179" s="183">
        <f>_xll.qlCalendarAdvance(Calendar,R179,$F$1,"mf",,Trigger)</f>
        <v>42450</v>
      </c>
      <c r="T179" s="169">
        <f>_xll.qlDayCounterYearFraction(DayCounter,R179,S179,,,Trigger)</f>
        <v>0.25277777777777777</v>
      </c>
      <c r="U179" s="181">
        <f>_xll.qlInterpolationInterpolate(B3Minterpolation,R179,TRUE)</f>
        <v>1.4692238825213015E-3</v>
      </c>
      <c r="V179" s="184">
        <f>_xll.qlYieldTSDiscount(Discounting,R179,,AllTriggers)</f>
        <v>1.0009282117966527</v>
      </c>
      <c r="W179" s="184">
        <f>_xll.qlYieldTSDiscount(Discounting,S179,,AllTriggers)</f>
        <v>1.0013442534813521</v>
      </c>
      <c r="X179" s="181">
        <f t="shared" si="11"/>
        <v>-1.6436696835233243E-3</v>
      </c>
      <c r="Y179" s="348">
        <f t="shared" si="12"/>
        <v>3.7147251287125656E-4</v>
      </c>
      <c r="AD179" s="155"/>
      <c r="AE179" s="155"/>
    </row>
    <row r="180" spans="5:31" ht="11.25" customHeight="1" x14ac:dyDescent="0.2">
      <c r="E180" s="340"/>
      <c r="F180" s="340"/>
      <c r="G180" s="155"/>
      <c r="K180" s="155"/>
      <c r="L180" s="155"/>
      <c r="R180" s="183">
        <f>_xll.qlCalendarAdvance(Calendar,R179,"1D","f")</f>
        <v>42360</v>
      </c>
      <c r="S180" s="183">
        <f>_xll.qlCalendarAdvance(Calendar,R180,$F$1,"mf",,Trigger)</f>
        <v>42451</v>
      </c>
      <c r="T180" s="169">
        <f>_xll.qlDayCounterYearFraction(DayCounter,R180,S180,,,Trigger)</f>
        <v>0.25277777777777777</v>
      </c>
      <c r="U180" s="181">
        <f>_xll.qlInterpolationInterpolate(B3Minterpolation,R180,TRUE)</f>
        <v>1.4697273240938857E-3</v>
      </c>
      <c r="V180" s="184">
        <f>_xll.qlYieldTSDiscount(Discounting,R180,,AllTriggers)</f>
        <v>1.0009328680401151</v>
      </c>
      <c r="W180" s="184">
        <f>_xll.qlYieldTSDiscount(Discounting,S180,,AllTriggers)</f>
        <v>1.0013489886437834</v>
      </c>
      <c r="X180" s="181">
        <f t="shared" si="11"/>
        <v>-1.6439736972794718E-3</v>
      </c>
      <c r="Y180" s="348">
        <f t="shared" si="12"/>
        <v>3.7159980588014275E-4</v>
      </c>
      <c r="AD180" s="155"/>
      <c r="AE180" s="155"/>
    </row>
    <row r="181" spans="5:31" ht="11.25" customHeight="1" x14ac:dyDescent="0.2">
      <c r="E181" s="340"/>
      <c r="F181" s="340"/>
      <c r="G181" s="155"/>
      <c r="K181" s="155"/>
      <c r="L181" s="155"/>
      <c r="R181" s="183">
        <f>_xll.qlCalendarAdvance(Calendar,R180,"1D","f")</f>
        <v>42361</v>
      </c>
      <c r="S181" s="183">
        <f>_xll.qlCalendarAdvance(Calendar,R181,$F$1,"mf",,Trigger)</f>
        <v>42452</v>
      </c>
      <c r="T181" s="169">
        <f>_xll.qlDayCounterYearFraction(DayCounter,R181,S181,,,Trigger)</f>
        <v>0.25277777777777777</v>
      </c>
      <c r="U181" s="181">
        <f>_xll.qlInterpolationInterpolate(B3Minterpolation,R181,TRUE)</f>
        <v>1.4702190582567751E-3</v>
      </c>
      <c r="V181" s="184">
        <f>_xll.qlYieldTSDiscount(Discounting,R181,,AllTriggers)</f>
        <v>1.0009375338160067</v>
      </c>
      <c r="W181" s="184">
        <f>_xll.qlYieldTSDiscount(Discounting,S181,,AllTriggers)</f>
        <v>1.0013537235666761</v>
      </c>
      <c r="X181" s="181">
        <f t="shared" si="11"/>
        <v>-1.6442391024805848E-3</v>
      </c>
      <c r="Y181" s="348">
        <f t="shared" si="12"/>
        <v>3.7172413576050959E-4</v>
      </c>
      <c r="AD181" s="155"/>
      <c r="AE181" s="155"/>
    </row>
    <row r="182" spans="5:31" ht="11.25" customHeight="1" x14ac:dyDescent="0.2">
      <c r="E182" s="340"/>
      <c r="F182" s="340"/>
      <c r="G182" s="155"/>
      <c r="K182" s="155"/>
      <c r="L182" s="155"/>
      <c r="R182" s="183">
        <f>_xll.qlCalendarAdvance(Calendar,R181,"1D","f")</f>
        <v>42362</v>
      </c>
      <c r="S182" s="183">
        <f>_xll.qlCalendarAdvance(Calendar,R182,$F$1,"mf",,Trigger)</f>
        <v>42453</v>
      </c>
      <c r="T182" s="169">
        <f>_xll.qlDayCounterYearFraction(DayCounter,R182,S182,,,Trigger)</f>
        <v>0.25277777777777777</v>
      </c>
      <c r="U182" s="181">
        <f>_xll.qlInterpolationInterpolate(B3Minterpolation,R182,TRUE)</f>
        <v>1.4706992227442013E-3</v>
      </c>
      <c r="V182" s="184">
        <f>_xll.qlYieldTSDiscount(Discounting,R182,,AllTriggers)</f>
        <v>1.000942208793453</v>
      </c>
      <c r="W182" s="184">
        <f>_xll.qlYieldTSDiscount(Discounting,S182,,AllTriggers)</f>
        <v>1.001358458238983</v>
      </c>
      <c r="X182" s="181">
        <f t="shared" si="11"/>
        <v>-1.644467163228893E-3</v>
      </c>
      <c r="Y182" s="348">
        <f t="shared" si="12"/>
        <v>3.7184553744585029E-4</v>
      </c>
      <c r="AD182" s="155"/>
      <c r="AE182" s="155"/>
    </row>
    <row r="183" spans="5:31" ht="11.25" customHeight="1" x14ac:dyDescent="0.2">
      <c r="E183" s="340"/>
      <c r="F183" s="340"/>
      <c r="G183" s="155"/>
      <c r="K183" s="155"/>
      <c r="L183" s="155"/>
      <c r="R183" s="183">
        <f>_xll.qlCalendarAdvance(Calendar,R182,"1D","f")</f>
        <v>42366</v>
      </c>
      <c r="S183" s="183">
        <f>_xll.qlCalendarAdvance(Calendar,R183,$F$1,"mf",,Trigger)</f>
        <v>42458</v>
      </c>
      <c r="T183" s="169">
        <f>_xll.qlDayCounterYearFraction(DayCounter,R183,S183,,,Trigger)</f>
        <v>0.25555555555555554</v>
      </c>
      <c r="U183" s="181">
        <f>_xll.qlInterpolationInterpolate(B3Minterpolation,R183,TRUE)</f>
        <v>1.472506938623909E-3</v>
      </c>
      <c r="V183" s="184">
        <f>_xll.qlYieldTSDiscount(Discounting,R183,,AllTriggers)</f>
        <v>1.0009609941010782</v>
      </c>
      <c r="W183" s="184">
        <f>_xll.qlYieldTSDiscount(Discounting,S183,,AllTriggers)</f>
        <v>1.0013821274550512</v>
      </c>
      <c r="X183" s="181">
        <f t="shared" si="11"/>
        <v>-1.6456386418939801E-3</v>
      </c>
      <c r="Y183" s="348">
        <f t="shared" si="12"/>
        <v>3.7639480676557552E-4</v>
      </c>
      <c r="AD183" s="155"/>
      <c r="AE183" s="155"/>
    </row>
    <row r="184" spans="5:31" ht="11.25" customHeight="1" x14ac:dyDescent="0.2">
      <c r="E184" s="340"/>
      <c r="F184" s="340"/>
      <c r="G184" s="155"/>
      <c r="K184" s="155"/>
      <c r="L184" s="155"/>
      <c r="R184" s="183">
        <f>_xll.qlCalendarAdvance(Calendar,R183,"1D","f")</f>
        <v>42367</v>
      </c>
      <c r="S184" s="183">
        <f>_xll.qlCalendarAdvance(Calendar,R184,$F$1,"mf",,Trigger)</f>
        <v>42458</v>
      </c>
      <c r="T184" s="169">
        <f>_xll.qlDayCounterYearFraction(DayCounter,R184,S184,,,Trigger)</f>
        <v>0.25277777777777777</v>
      </c>
      <c r="U184" s="181">
        <f>_xll.qlInterpolationInterpolate(B3Minterpolation,R184,TRUE)</f>
        <v>1.472931320747495E-3</v>
      </c>
      <c r="V184" s="184">
        <f>_xll.qlYieldTSDiscount(Discounting,R184,,AllTriggers)</f>
        <v>1.0009657101229665</v>
      </c>
      <c r="W184" s="184">
        <f>_xll.qlYieldTSDiscount(Discounting,S184,,AllTriggers)</f>
        <v>1.0013821274550512</v>
      </c>
      <c r="X184" s="181">
        <f t="shared" si="11"/>
        <v>-1.6450915435969608E-3</v>
      </c>
      <c r="Y184" s="348">
        <f t="shared" si="12"/>
        <v>3.724098456349035E-4</v>
      </c>
      <c r="AD184" s="155"/>
      <c r="AE184" s="155"/>
    </row>
    <row r="185" spans="5:31" ht="11.25" customHeight="1" x14ac:dyDescent="0.2">
      <c r="E185" s="340"/>
      <c r="F185" s="340"/>
      <c r="G185" s="155"/>
      <c r="K185" s="155"/>
      <c r="L185" s="155"/>
      <c r="R185" s="183">
        <f>_xll.qlCalendarAdvance(Calendar,R184,"1D","f")</f>
        <v>42368</v>
      </c>
      <c r="S185" s="183">
        <f>_xll.qlCalendarAdvance(Calendar,R185,$F$1,"mf",,Trigger)</f>
        <v>42459</v>
      </c>
      <c r="T185" s="169">
        <f>_xll.qlDayCounterYearFraction(DayCounter,R185,S185,,,Trigger)</f>
        <v>0.25277777777777777</v>
      </c>
      <c r="U185" s="181">
        <f>_xll.qlInterpolationInterpolate(B3Minterpolation,R185,TRUE)</f>
        <v>1.4733449596010082E-3</v>
      </c>
      <c r="V185" s="184">
        <f>_xll.qlYieldTSDiscount(Discounting,R185,,AllTriggers)</f>
        <v>1.0009704333610352</v>
      </c>
      <c r="W185" s="184">
        <f>_xll.qlYieldTSDiscount(Discounting,S185,,AllTriggers)</f>
        <v>1.0013868603918334</v>
      </c>
      <c r="X185" s="181">
        <f t="shared" si="11"/>
        <v>-1.6451220836650176E-3</v>
      </c>
      <c r="Y185" s="348">
        <f t="shared" si="12"/>
        <v>3.7251441176665203E-4</v>
      </c>
      <c r="AD185" s="155"/>
      <c r="AE185" s="155"/>
    </row>
    <row r="186" spans="5:31" ht="11.25" customHeight="1" x14ac:dyDescent="0.2">
      <c r="E186" s="340"/>
      <c r="F186" s="340"/>
      <c r="G186" s="155"/>
      <c r="K186" s="155"/>
      <c r="L186" s="155"/>
      <c r="R186" s="183">
        <f>_xll.qlCalendarAdvance(Calendar,R185,"1D","f")</f>
        <v>42369</v>
      </c>
      <c r="S186" s="183">
        <f>_xll.qlCalendarAdvance(Calendar,R186,$F$1,"mf",,Trigger)</f>
        <v>42460</v>
      </c>
      <c r="T186" s="169">
        <f>_xll.qlDayCounterYearFraction(DayCounter,R186,S186,,,Trigger)</f>
        <v>0.25277777777777777</v>
      </c>
      <c r="U186" s="181">
        <f>_xll.qlInterpolationInterpolate(B3Minterpolation,R186,TRUE)</f>
        <v>1.4737479929186801E-3</v>
      </c>
      <c r="V186" s="184">
        <f>_xll.qlYieldTSDiscount(Discounting,R186,,AllTriggers)</f>
        <v>1.0009751634843669</v>
      </c>
      <c r="W186" s="184">
        <f>_xll.qlYieldTSDiscount(Discounting,S186,,AllTriggers)</f>
        <v>1.0013915930006914</v>
      </c>
      <c r="X186" s="181">
        <f t="shared" si="11"/>
        <v>-1.6451241279519552E-3</v>
      </c>
      <c r="Y186" s="348">
        <f t="shared" si="12"/>
        <v>3.7261629424422912E-4</v>
      </c>
      <c r="AD186" s="155"/>
      <c r="AE186" s="155"/>
    </row>
    <row r="187" spans="5:31" ht="11.25" customHeight="1" x14ac:dyDescent="0.2">
      <c r="E187" s="340"/>
      <c r="F187" s="340"/>
      <c r="G187" s="155"/>
      <c r="K187" s="155"/>
      <c r="L187" s="155"/>
      <c r="R187" s="183">
        <f>_xll.qlCalendarAdvance(Calendar,R186,"1D","f")</f>
        <v>42373</v>
      </c>
      <c r="S187" s="183">
        <f>_xll.qlCalendarAdvance(Calendar,R187,$F$1,"mf",,Trigger)</f>
        <v>42464</v>
      </c>
      <c r="T187" s="169">
        <f>_xll.qlDayCounterYearFraction(DayCounter,R187,S187,,,Trigger)</f>
        <v>0.25277777777777777</v>
      </c>
      <c r="U187" s="181">
        <f>_xll.qlInterpolationInterpolate(B3Minterpolation,R187,TRUE)</f>
        <v>1.4752568255155896E-3</v>
      </c>
      <c r="V187" s="184">
        <f>_xll.qlYieldTSDiscount(Discounting,R187,,AllTriggers)</f>
        <v>1.0009774296095362</v>
      </c>
      <c r="W187" s="184">
        <f>_xll.qlYieldTSDiscount(Discounting,S187,,AllTriggers)</f>
        <v>1.0014105199358942</v>
      </c>
      <c r="X187" s="181">
        <f t="shared" si="11"/>
        <v>-1.7109110938035694E-3</v>
      </c>
      <c r="Y187" s="348">
        <f t="shared" si="12"/>
        <v>3.730039143310152E-4</v>
      </c>
      <c r="AD187" s="155"/>
      <c r="AE187" s="155"/>
    </row>
    <row r="188" spans="5:31" ht="11.25" customHeight="1" x14ac:dyDescent="0.2">
      <c r="E188" s="340"/>
      <c r="F188" s="340"/>
      <c r="G188" s="155"/>
      <c r="K188" s="155"/>
      <c r="L188" s="155"/>
      <c r="R188" s="183">
        <f>_xll.qlCalendarAdvance(Calendar,R187,"1D","f")</f>
        <v>42374</v>
      </c>
      <c r="S188" s="183">
        <f>_xll.qlCalendarAdvance(Calendar,R188,$F$1,"mf",,Trigger)</f>
        <v>42465</v>
      </c>
      <c r="T188" s="169">
        <f>_xll.qlDayCounterYearFraction(DayCounter,R188,S188,,,Trigger)</f>
        <v>0.25277777777777777</v>
      </c>
      <c r="U188" s="181">
        <f>_xll.qlInterpolationInterpolate(B3Minterpolation,R188,TRUE)</f>
        <v>1.4756088971675308E-3</v>
      </c>
      <c r="V188" s="184">
        <f>_xll.qlYieldTSDiscount(Discounting,R188,,AllTriggers)</f>
        <v>1.0009821891157331</v>
      </c>
      <c r="W188" s="184">
        <f>_xll.qlYieldTSDiscount(Discounting,S188,,AllTriggers)</f>
        <v>1.0014152507393896</v>
      </c>
      <c r="X188" s="181">
        <f t="shared" si="11"/>
        <v>-1.7107896225827951E-3</v>
      </c>
      <c r="Y188" s="348">
        <f t="shared" si="12"/>
        <v>3.7309290405992664E-4</v>
      </c>
      <c r="AD188" s="155"/>
      <c r="AE188" s="155"/>
    </row>
    <row r="189" spans="5:31" ht="11.25" customHeight="1" x14ac:dyDescent="0.2">
      <c r="E189" s="340"/>
      <c r="F189" s="340"/>
      <c r="G189" s="155"/>
      <c r="K189" s="155"/>
      <c r="L189" s="155"/>
      <c r="R189" s="183">
        <f>_xll.qlCalendarAdvance(Calendar,R188,"1D","f")</f>
        <v>42375</v>
      </c>
      <c r="S189" s="183">
        <f>_xll.qlCalendarAdvance(Calendar,R189,$F$1,"mf",,Trigger)</f>
        <v>42466</v>
      </c>
      <c r="T189" s="169">
        <f>_xll.qlDayCounterYearFraction(DayCounter,R189,S189,,,Trigger)</f>
        <v>0.25277777777777777</v>
      </c>
      <c r="U189" s="181">
        <f>_xll.qlInterpolationInterpolate(B3Minterpolation,R189,TRUE)</f>
        <v>1.4759511896890211E-3</v>
      </c>
      <c r="V189" s="184">
        <f>_xll.qlYieldTSDiscount(Discounting,R189,,AllTriggers)</f>
        <v>1.0009869535214815</v>
      </c>
      <c r="W189" s="184">
        <f>_xll.qlYieldTSDiscount(Discounting,S189,,AllTriggers)</f>
        <v>1.0014199811486624</v>
      </c>
      <c r="X189" s="181">
        <f t="shared" si="11"/>
        <v>-1.7106472404753721E-3</v>
      </c>
      <c r="Y189" s="348">
        <f t="shared" si="12"/>
        <v>3.7317941970860328E-4</v>
      </c>
      <c r="AD189" s="155"/>
      <c r="AE189" s="155"/>
    </row>
    <row r="190" spans="5:31" ht="11.25" customHeight="1" x14ac:dyDescent="0.2">
      <c r="E190" s="340"/>
      <c r="F190" s="340"/>
      <c r="G190" s="155"/>
      <c r="K190" s="155"/>
      <c r="L190" s="155"/>
      <c r="R190" s="183">
        <f>_xll.qlCalendarAdvance(Calendar,R189,"1D","f")</f>
        <v>42376</v>
      </c>
      <c r="S190" s="183">
        <f>_xll.qlCalendarAdvance(Calendar,R190,$F$1,"mf",,Trigger)</f>
        <v>42467</v>
      </c>
      <c r="T190" s="169">
        <f>_xll.qlDayCounterYearFraction(DayCounter,R190,S190,,,Trigger)</f>
        <v>0.25277777777777777</v>
      </c>
      <c r="U190" s="181">
        <f>_xll.qlInterpolationInterpolate(B3Minterpolation,R190,TRUE)</f>
        <v>1.4762838408142922E-3</v>
      </c>
      <c r="V190" s="184">
        <f>_xll.qlYieldTSDiscount(Discounting,R190,,AllTriggers)</f>
        <v>1.0009917224958267</v>
      </c>
      <c r="W190" s="184">
        <f>_xll.qlYieldTSDiscount(Discounting,S190,,AllTriggers)</f>
        <v>1.0014247111526622</v>
      </c>
      <c r="X190" s="181">
        <f t="shared" si="11"/>
        <v>-1.7104852115523463E-3</v>
      </c>
      <c r="Y190" s="348">
        <f t="shared" si="12"/>
        <v>3.7326349621446495E-4</v>
      </c>
      <c r="AD190" s="155"/>
      <c r="AE190" s="155"/>
    </row>
    <row r="191" spans="5:31" ht="11.25" customHeight="1" x14ac:dyDescent="0.2">
      <c r="E191" s="340"/>
      <c r="F191" s="340"/>
      <c r="G191" s="155"/>
      <c r="K191" s="155"/>
      <c r="L191" s="155"/>
      <c r="R191" s="183">
        <f>_xll.qlCalendarAdvance(Calendar,R190,"1D","f")</f>
        <v>42377</v>
      </c>
      <c r="S191" s="183">
        <f>_xll.qlCalendarAdvance(Calendar,R191,$F$1,"mf",,Trigger)</f>
        <v>42468</v>
      </c>
      <c r="T191" s="169">
        <f>_xll.qlDayCounterYearFraction(DayCounter,R191,S191,,,Trigger)</f>
        <v>0.25277777777777777</v>
      </c>
      <c r="U191" s="181">
        <f>_xll.qlInterpolationInterpolate(B3Minterpolation,R191,TRUE)</f>
        <v>1.4766069882775755E-3</v>
      </c>
      <c r="V191" s="184">
        <f>_xll.qlYieldTSDiscount(Discounting,R191,,AllTriggers)</f>
        <v>1.0009964957078081</v>
      </c>
      <c r="W191" s="184">
        <f>_xll.qlYieldTSDiscount(Discounting,S191,,AllTriggers)</f>
        <v>1.0014294407403388</v>
      </c>
      <c r="X191" s="181">
        <f t="shared" si="11"/>
        <v>-1.7103047998830061E-3</v>
      </c>
      <c r="Y191" s="348">
        <f t="shared" si="12"/>
        <v>3.7334516851467988E-4</v>
      </c>
      <c r="AD191" s="155"/>
      <c r="AE191" s="155"/>
    </row>
    <row r="192" spans="5:31" ht="11.25" customHeight="1" x14ac:dyDescent="0.2">
      <c r="E192" s="340"/>
      <c r="F192" s="340"/>
      <c r="G192" s="155"/>
      <c r="K192" s="155"/>
      <c r="L192" s="155"/>
      <c r="R192" s="183">
        <f>_xll.qlCalendarAdvance(Calendar,R191,"1D","f")</f>
        <v>42380</v>
      </c>
      <c r="S192" s="183">
        <f>_xll.qlCalendarAdvance(Calendar,R192,$F$1,"mf",,Trigger)</f>
        <v>42471</v>
      </c>
      <c r="T192" s="169">
        <f>_xll.qlDayCounterYearFraction(DayCounter,R192,S192,,,Trigger)</f>
        <v>0.25277777777777777</v>
      </c>
      <c r="U192" s="181">
        <f>_xll.qlInterpolationInterpolate(B3Minterpolation,R192,TRUE)</f>
        <v>1.4775207860378175E-3</v>
      </c>
      <c r="V192" s="184">
        <f>_xll.qlYieldTSDiscount(Discounting,R192,,AllTriggers)</f>
        <v>1.0010108374598683</v>
      </c>
      <c r="W192" s="184">
        <f>_xll.qlYieldTSDiscount(Discounting,S192,,AllTriggers)</f>
        <v>1.0014436268949194</v>
      </c>
      <c r="X192" s="181">
        <f t="shared" si="11"/>
        <v>-1.709665909086036E-3</v>
      </c>
      <c r="Y192" s="348">
        <f t="shared" si="12"/>
        <v>3.7357610955491644E-4</v>
      </c>
      <c r="AD192" s="155"/>
      <c r="AE192" s="155"/>
    </row>
    <row r="193" spans="5:31" ht="11.25" customHeight="1" x14ac:dyDescent="0.2">
      <c r="E193" s="340"/>
      <c r="F193" s="340"/>
      <c r="G193" s="155"/>
      <c r="K193" s="155"/>
      <c r="L193" s="155"/>
      <c r="R193" s="183">
        <f>_xll.qlCalendarAdvance(Calendar,R192,"1D","f")</f>
        <v>42381</v>
      </c>
      <c r="S193" s="183">
        <f>_xll.qlCalendarAdvance(Calendar,R193,$F$1,"mf",,Trigger)</f>
        <v>42472</v>
      </c>
      <c r="T193" s="169">
        <f>_xll.qlDayCounterYearFraction(DayCounter,R193,S193,,,Trigger)</f>
        <v>0.25277777777777777</v>
      </c>
      <c r="U193" s="181">
        <f>_xll.qlInterpolationInterpolate(B3Minterpolation,R193,TRUE)</f>
        <v>1.4778072961954675E-3</v>
      </c>
      <c r="V193" s="184">
        <f>_xll.qlYieldTSDiscount(Discounting,R193,,AllTriggers)</f>
        <v>1.0010156243126616</v>
      </c>
      <c r="W193" s="184">
        <f>_xll.qlYieldTSDiscount(Discounting,S193,,AllTriggers)</f>
        <v>1.0014483547067921</v>
      </c>
      <c r="X193" s="181">
        <f t="shared" si="11"/>
        <v>-1.7094246071208137E-3</v>
      </c>
      <c r="Y193" s="348">
        <f t="shared" si="12"/>
        <v>3.7364851440676737E-4</v>
      </c>
      <c r="AD193" s="155"/>
      <c r="AE193" s="155"/>
    </row>
    <row r="194" spans="5:31" ht="11.25" customHeight="1" x14ac:dyDescent="0.2">
      <c r="E194" s="340"/>
      <c r="F194" s="340"/>
      <c r="G194" s="155"/>
      <c r="K194" s="155"/>
      <c r="L194" s="155"/>
      <c r="R194" s="183">
        <f>_xll.qlCalendarAdvance(Calendar,R193,"1D","f")</f>
        <v>42382</v>
      </c>
      <c r="S194" s="183">
        <f>_xll.qlCalendarAdvance(Calendar,R194,$F$1,"mf",,Trigger)</f>
        <v>42473</v>
      </c>
      <c r="T194" s="169">
        <f>_xll.qlDayCounterYearFraction(DayCounter,R194,S194,,,Trigger)</f>
        <v>0.25277777777777777</v>
      </c>
      <c r="U194" s="181">
        <f>_xll.qlInterpolationInterpolate(B3Minterpolation,R194,TRUE)</f>
        <v>1.4780849913622887E-3</v>
      </c>
      <c r="V194" s="184">
        <f>_xll.qlYieldTSDiscount(Discounting,R194,,AllTriggers)</f>
        <v>1.0010204137481931</v>
      </c>
      <c r="W194" s="184">
        <f>_xll.qlYieldTSDiscount(Discounting,S194,,AllTriggers)</f>
        <v>1.0014530820470853</v>
      </c>
      <c r="X194" s="181">
        <f t="shared" si="11"/>
        <v>-1.7091712427561604E-3</v>
      </c>
      <c r="Y194" s="348">
        <f t="shared" si="12"/>
        <v>3.7371868974083659E-4</v>
      </c>
      <c r="AD194" s="155"/>
      <c r="AE194" s="155"/>
    </row>
    <row r="195" spans="5:31" ht="11.25" customHeight="1" x14ac:dyDescent="0.2">
      <c r="E195" s="340"/>
      <c r="F195" s="340"/>
      <c r="G195" s="155"/>
      <c r="K195" s="155"/>
      <c r="L195" s="155"/>
      <c r="R195" s="183">
        <f>_xll.qlCalendarAdvance(Calendar,R194,"1D","f")</f>
        <v>42383</v>
      </c>
      <c r="S195" s="183">
        <f>_xll.qlCalendarAdvance(Calendar,R195,$F$1,"mf",,Trigger)</f>
        <v>42474</v>
      </c>
      <c r="T195" s="169">
        <f>_xll.qlDayCounterYearFraction(DayCounter,R195,S195,,,Trigger)</f>
        <v>0.25277777777777777</v>
      </c>
      <c r="U195" s="181">
        <f>_xll.qlInterpolationInterpolate(B3Minterpolation,R195,TRUE)</f>
        <v>1.4783540092725123E-3</v>
      </c>
      <c r="V195" s="184">
        <f>_xll.qlYieldTSDiscount(Discounting,R195,,AllTriggers)</f>
        <v>1.0010252054354645</v>
      </c>
      <c r="W195" s="184">
        <f>_xll.qlYieldTSDiscount(Discounting,S195,,AllTriggers)</f>
        <v>1.001457808904747</v>
      </c>
      <c r="X195" s="181">
        <f t="shared" si="11"/>
        <v>-1.7089070800600473E-3</v>
      </c>
      <c r="Y195" s="348">
        <f t="shared" si="12"/>
        <v>3.7378667049479687E-4</v>
      </c>
      <c r="AD195" s="155"/>
      <c r="AE195" s="155"/>
    </row>
    <row r="196" spans="5:31" ht="11.25" customHeight="1" x14ac:dyDescent="0.2">
      <c r="E196" s="340"/>
      <c r="F196" s="340"/>
      <c r="G196" s="155"/>
      <c r="K196" s="155"/>
      <c r="L196" s="155"/>
      <c r="R196" s="183">
        <f>_xll.qlCalendarAdvance(Calendar,R195,"1D","f")</f>
        <v>42384</v>
      </c>
      <c r="S196" s="183">
        <f>_xll.qlCalendarAdvance(Calendar,R196,$F$1,"mf",,Trigger)</f>
        <v>42475</v>
      </c>
      <c r="T196" s="169">
        <f>_xll.qlDayCounterYearFraction(DayCounter,R196,S196,,,Trigger)</f>
        <v>0.25277777777777777</v>
      </c>
      <c r="U196" s="181">
        <f>_xll.qlInterpolationInterpolate(B3Minterpolation,R196,TRUE)</f>
        <v>1.4786144876603703E-3</v>
      </c>
      <c r="V196" s="184">
        <f>_xll.qlYieldTSDiscount(Discounting,R196,,AllTriggers)</f>
        <v>1.0010299990434708</v>
      </c>
      <c r="W196" s="184">
        <f>_xll.qlYieldTSDiscount(Discounting,S196,,AllTriggers)</f>
        <v>1.001462535268725</v>
      </c>
      <c r="X196" s="181">
        <f t="shared" ref="X196:X259" si="13">(V196/W196-1)/T196</f>
        <v>-1.7086333831026416E-3</v>
      </c>
      <c r="Y196" s="348">
        <f t="shared" ref="Y196:Y259" si="14">LN((1+(U196+X196)*T196)/(1+X196*T196))</f>
        <v>3.7385249160718469E-4</v>
      </c>
      <c r="AD196" s="155"/>
      <c r="AE196" s="155"/>
    </row>
    <row r="197" spans="5:31" ht="11.25" customHeight="1" x14ac:dyDescent="0.2">
      <c r="E197" s="340"/>
      <c r="F197" s="340"/>
      <c r="G197" s="155"/>
      <c r="K197" s="155"/>
      <c r="L197" s="155"/>
      <c r="R197" s="183">
        <f>_xll.qlCalendarAdvance(Calendar,R196,"1D","f")</f>
        <v>42387</v>
      </c>
      <c r="S197" s="183">
        <f>_xll.qlCalendarAdvance(Calendar,R197,$F$1,"mf",,Trigger)</f>
        <v>42478</v>
      </c>
      <c r="T197" s="169">
        <f>_xll.qlDayCounterYearFraction(DayCounter,R197,S197,,,Trigger)</f>
        <v>0.25277777777777777</v>
      </c>
      <c r="U197" s="181">
        <f>_xll.qlInterpolationInterpolate(B3Minterpolation,R197,TRUE)</f>
        <v>1.4793460630320673E-3</v>
      </c>
      <c r="V197" s="184">
        <f>_xll.qlYieldTSDiscount(Discounting,R197,,AllTriggers)</f>
        <v>1.0010443880817568</v>
      </c>
      <c r="W197" s="184">
        <f>_xll.qlYieldTSDiscount(Discounting,S197,,AllTriggers)</f>
        <v>1.0014767112880343</v>
      </c>
      <c r="X197" s="181">
        <f t="shared" si="13"/>
        <v>-1.7077677273713689E-3</v>
      </c>
      <c r="Y197" s="348">
        <f t="shared" si="14"/>
        <v>3.740373464732743E-4</v>
      </c>
      <c r="AD197" s="155"/>
      <c r="AE197" s="155"/>
    </row>
    <row r="198" spans="5:31" ht="11.25" customHeight="1" x14ac:dyDescent="0.2">
      <c r="E198" s="340"/>
      <c r="F198" s="340"/>
      <c r="G198" s="155"/>
      <c r="K198" s="155"/>
      <c r="L198" s="155"/>
      <c r="R198" s="183">
        <f>_xll.qlCalendarAdvance(Calendar,R197,"1D","f")</f>
        <v>42388</v>
      </c>
      <c r="S198" s="183">
        <f>_xll.qlCalendarAdvance(Calendar,R198,$F$1,"mf",,Trigger)</f>
        <v>42479</v>
      </c>
      <c r="T198" s="169">
        <f>_xll.qlDayCounterYearFraction(DayCounter,R198,S198,,,Trigger)</f>
        <v>0.25277777777777777</v>
      </c>
      <c r="U198" s="181">
        <f>_xll.qlInterpolationInterpolate(B3Minterpolation,R198,TRUE)</f>
        <v>1.4795737606727798E-3</v>
      </c>
      <c r="V198" s="184">
        <f>_xll.qlYieldTSDiscount(Discounting,R198,,AllTriggers)</f>
        <v>1.0010491860625286</v>
      </c>
      <c r="W198" s="184">
        <f>_xll.qlYieldTSDiscount(Discounting,S198,,AllTriggers)</f>
        <v>1.0014814355667532</v>
      </c>
      <c r="X198" s="181">
        <f t="shared" si="13"/>
        <v>-1.7074685340752963E-3</v>
      </c>
      <c r="Y198" s="348">
        <f t="shared" si="14"/>
        <v>3.7409487839939874E-4</v>
      </c>
      <c r="AD198" s="155"/>
      <c r="AE198" s="155"/>
    </row>
    <row r="199" spans="5:31" ht="11.25" customHeight="1" x14ac:dyDescent="0.2">
      <c r="E199" s="340"/>
      <c r="F199" s="340"/>
      <c r="G199" s="155"/>
      <c r="K199" s="155"/>
      <c r="L199" s="155"/>
      <c r="R199" s="183">
        <f>_xll.qlCalendarAdvance(Calendar,R198,"1D","f")</f>
        <v>42389</v>
      </c>
      <c r="S199" s="183">
        <f>_xll.qlCalendarAdvance(Calendar,R199,$F$1,"mf",,Trigger)</f>
        <v>42480</v>
      </c>
      <c r="T199" s="169">
        <f>_xll.qlDayCounterYearFraction(DayCounter,R199,S199,,,Trigger)</f>
        <v>0.25277777777777777</v>
      </c>
      <c r="U199" s="181">
        <f>_xll.qlInterpolationInterpolate(B3Minterpolation,R199,TRUE)</f>
        <v>1.479793607462285E-3</v>
      </c>
      <c r="V199" s="184">
        <f>_xll.qlYieldTSDiscount(Discounting,R199,,AllTriggers)</f>
        <v>1.0010539843089161</v>
      </c>
      <c r="W199" s="184">
        <f>_xll.qlYieldTSDiscount(Discounting,S199,,AllTriggers)</f>
        <v>1.0014861592965252</v>
      </c>
      <c r="X199" s="181">
        <f t="shared" si="13"/>
        <v>-1.7071661268740382E-3</v>
      </c>
      <c r="Y199" s="348">
        <f t="shared" si="14"/>
        <v>3.7415042537430031E-4</v>
      </c>
      <c r="AD199" s="155"/>
      <c r="AE199" s="155"/>
    </row>
    <row r="200" spans="5:31" ht="11.25" customHeight="1" x14ac:dyDescent="0.2">
      <c r="E200" s="340"/>
      <c r="F200" s="340"/>
      <c r="G200" s="155"/>
      <c r="K200" s="155"/>
      <c r="L200" s="155"/>
      <c r="R200" s="183">
        <f>_xll.qlCalendarAdvance(Calendar,R199,"1D","f")</f>
        <v>42390</v>
      </c>
      <c r="S200" s="183">
        <f>_xll.qlCalendarAdvance(Calendar,R200,$F$1,"mf",,Trigger)</f>
        <v>42481</v>
      </c>
      <c r="T200" s="169">
        <f>_xll.qlDayCounterYearFraction(DayCounter,R200,S200,,,Trigger)</f>
        <v>0.25277777777777777</v>
      </c>
      <c r="U200" s="181">
        <f>_xll.qlInterpolationInterpolate(B3Minterpolation,R200,TRUE)</f>
        <v>1.4800057411348149E-3</v>
      </c>
      <c r="V200" s="184">
        <f>_xll.qlYieldTSDiscount(Discounting,R200,,AllTriggers)</f>
        <v>1.0010587824898765</v>
      </c>
      <c r="W200" s="184">
        <f>_xll.qlYieldTSDiscount(Discounting,S200,,AllTriggers)</f>
        <v>1.0014908824662967</v>
      </c>
      <c r="X200" s="181">
        <f t="shared" si="13"/>
        <v>-1.7068617698390786E-3</v>
      </c>
      <c r="Y200" s="348">
        <f t="shared" si="14"/>
        <v>3.7420402233727433E-4</v>
      </c>
      <c r="AD200" s="155"/>
      <c r="AE200" s="155"/>
    </row>
    <row r="201" spans="5:31" ht="11.25" customHeight="1" x14ac:dyDescent="0.2">
      <c r="E201" s="340"/>
      <c r="F201" s="340"/>
      <c r="G201" s="155"/>
      <c r="K201" s="155"/>
      <c r="L201" s="155"/>
      <c r="R201" s="183">
        <f>_xll.qlCalendarAdvance(Calendar,R200,"1D","f")</f>
        <v>42391</v>
      </c>
      <c r="S201" s="183">
        <f>_xll.qlCalendarAdvance(Calendar,R201,$F$1,"mf",,Trigger)</f>
        <v>42482</v>
      </c>
      <c r="T201" s="169">
        <f>_xll.qlDayCounterYearFraction(DayCounter,R201,S201,,,Trigger)</f>
        <v>0.25277777777777777</v>
      </c>
      <c r="U201" s="181">
        <f>_xll.qlInterpolationInterpolate(B3Minterpolation,R201,TRUE)</f>
        <v>1.480210299424601E-3</v>
      </c>
      <c r="V201" s="184">
        <f>_xll.qlYieldTSDiscount(Discounting,R201,,AllTriggers)</f>
        <v>1.001063580274361</v>
      </c>
      <c r="W201" s="184">
        <f>_xll.qlYieldTSDiscount(Discounting,S201,,AllTriggers)</f>
        <v>1.0014956050650146</v>
      </c>
      <c r="X201" s="181">
        <f t="shared" si="13"/>
        <v>-1.7065567270414638E-3</v>
      </c>
      <c r="Y201" s="348">
        <f t="shared" si="14"/>
        <v>3.7425570422582136E-4</v>
      </c>
      <c r="AD201" s="155"/>
      <c r="AE201" s="155"/>
    </row>
    <row r="202" spans="5:31" ht="11.25" customHeight="1" x14ac:dyDescent="0.2">
      <c r="E202" s="340"/>
      <c r="F202" s="340"/>
      <c r="G202" s="155"/>
      <c r="K202" s="155"/>
      <c r="L202" s="155"/>
      <c r="R202" s="183">
        <f>_xll.qlCalendarAdvance(Calendar,R201,"1D","f")</f>
        <v>42394</v>
      </c>
      <c r="S202" s="183">
        <f>_xll.qlCalendarAdvance(Calendar,R202,$F$1,"mf",,Trigger)</f>
        <v>42485</v>
      </c>
      <c r="T202" s="169">
        <f>_xll.qlDayCounterYearFraction(DayCounter,R202,S202,,,Trigger)</f>
        <v>0.25277777777777777</v>
      </c>
      <c r="U202" s="181">
        <f>_xll.qlInterpolationInterpolate(B3Minterpolation,R202,TRUE)</f>
        <v>1.4807798993398138E-3</v>
      </c>
      <c r="V202" s="184">
        <f>_xll.qlYieldTSDiscount(Discounting,R202,,AllTriggers)</f>
        <v>1.0010779679383706</v>
      </c>
      <c r="W202" s="184">
        <f>_xll.qlYieldTSDiscount(Discounting,S202,,AllTriggers)</f>
        <v>1.0015097693243056</v>
      </c>
      <c r="X202" s="181">
        <f t="shared" si="13"/>
        <v>-1.7056501248033467E-3</v>
      </c>
      <c r="Y202" s="348">
        <f t="shared" si="14"/>
        <v>3.7439960883295218E-4</v>
      </c>
      <c r="AD202" s="155"/>
      <c r="AE202" s="155"/>
    </row>
    <row r="203" spans="5:31" ht="11.25" customHeight="1" x14ac:dyDescent="0.2">
      <c r="E203" s="340"/>
      <c r="F203" s="340"/>
      <c r="G203" s="155"/>
      <c r="K203" s="155"/>
      <c r="L203" s="155"/>
      <c r="R203" s="183">
        <f>_xll.qlCalendarAdvance(Calendar,R202,"1D","f")</f>
        <v>42395</v>
      </c>
      <c r="S203" s="183">
        <f>_xll.qlCalendarAdvance(Calendar,R203,$F$1,"mf",,Trigger)</f>
        <v>42486</v>
      </c>
      <c r="T203" s="169">
        <f>_xll.qlDayCounterYearFraction(DayCounter,R203,S203,,,Trigger)</f>
        <v>0.25277777777777777</v>
      </c>
      <c r="U203" s="181">
        <f>_xll.qlInterpolationInterpolate(B3Minterpolation,R203,TRUE)</f>
        <v>1.480955533440942E-3</v>
      </c>
      <c r="V203" s="184">
        <f>_xll.qlYieldTSDiscount(Discounting,R203,,AllTriggers)</f>
        <v>1.0010827608263317</v>
      </c>
      <c r="W203" s="184">
        <f>_xll.qlYieldTSDiscount(Discounting,S203,,AllTriggers)</f>
        <v>1.0015144895282682</v>
      </c>
      <c r="X203" s="181">
        <f t="shared" si="13"/>
        <v>-1.7053549796875267E-3</v>
      </c>
      <c r="Y203" s="348">
        <f t="shared" si="14"/>
        <v>3.7444397981086934E-4</v>
      </c>
      <c r="AD203" s="155"/>
      <c r="AE203" s="155"/>
    </row>
    <row r="204" spans="5:31" ht="11.25" customHeight="1" x14ac:dyDescent="0.2">
      <c r="E204" s="340"/>
      <c r="F204" s="340"/>
      <c r="G204" s="155"/>
      <c r="K204" s="155"/>
      <c r="L204" s="155"/>
      <c r="R204" s="183">
        <f>_xll.qlCalendarAdvance(Calendar,R203,"1D","f")</f>
        <v>42396</v>
      </c>
      <c r="S204" s="183">
        <f>_xll.qlCalendarAdvance(Calendar,R204,$F$1,"mf",,Trigger)</f>
        <v>42487</v>
      </c>
      <c r="T204" s="169">
        <f>_xll.qlDayCounterYearFraction(DayCounter,R204,S204,,,Trigger)</f>
        <v>0.25277777777777777</v>
      </c>
      <c r="U204" s="181">
        <f>_xll.qlInterpolationInterpolate(B3Minterpolation,R204,TRUE)</f>
        <v>1.4811242808304851E-3</v>
      </c>
      <c r="V204" s="184">
        <f>_xll.qlYieldTSDiscount(Discounting,R204,,AllTriggers)</f>
        <v>1.0010875517239155</v>
      </c>
      <c r="W204" s="184">
        <f>_xll.qlYieldTSDiscount(Discounting,S204,,AllTriggers)</f>
        <v>1.0015192091059062</v>
      </c>
      <c r="X204" s="181">
        <f t="shared" si="13"/>
        <v>-1.7050652264876316E-3</v>
      </c>
      <c r="Y204" s="348">
        <f t="shared" si="14"/>
        <v>3.7448661038450888E-4</v>
      </c>
      <c r="AD204" s="155"/>
      <c r="AE204" s="155"/>
    </row>
    <row r="205" spans="5:31" ht="11.25" customHeight="1" x14ac:dyDescent="0.2">
      <c r="E205" s="340"/>
      <c r="F205" s="340"/>
      <c r="G205" s="155"/>
      <c r="K205" s="155"/>
      <c r="L205" s="155"/>
      <c r="R205" s="183">
        <f>_xll.qlCalendarAdvance(Calendar,R204,"1D","f")</f>
        <v>42397</v>
      </c>
      <c r="S205" s="183">
        <f>_xll.qlCalendarAdvance(Calendar,R205,$F$1,"mf",,Trigger)</f>
        <v>42488</v>
      </c>
      <c r="T205" s="169">
        <f>_xll.qlDayCounterYearFraction(DayCounter,R205,S205,,,Trigger)</f>
        <v>0.25277777777777777</v>
      </c>
      <c r="U205" s="181">
        <f>_xll.qlInterpolationInterpolate(B3Minterpolation,R205,TRUE)</f>
        <v>1.4812862792426744E-3</v>
      </c>
      <c r="V205" s="184">
        <f>_xll.qlYieldTSDiscount(Discounting,R205,,AllTriggers)</f>
        <v>1.0010923406072361</v>
      </c>
      <c r="W205" s="184">
        <f>_xll.qlYieldTSDiscount(Discounting,S205,,AllTriggers)</f>
        <v>1.001523928077644</v>
      </c>
      <c r="X205" s="181">
        <f t="shared" si="13"/>
        <v>-1.7047810401182497E-3</v>
      </c>
      <c r="Y205" s="348">
        <f t="shared" si="14"/>
        <v>3.7452753538939063E-4</v>
      </c>
      <c r="AD205" s="155"/>
      <c r="AE205" s="155"/>
    </row>
    <row r="206" spans="5:31" ht="11.25" customHeight="1" x14ac:dyDescent="0.2">
      <c r="E206" s="340"/>
      <c r="F206" s="340"/>
      <c r="G206" s="155"/>
      <c r="K206" s="155"/>
      <c r="L206" s="155"/>
      <c r="R206" s="183">
        <f>_xll.qlCalendarAdvance(Calendar,R205,"1D","f")</f>
        <v>42398</v>
      </c>
      <c r="S206" s="183">
        <f>_xll.qlCalendarAdvance(Calendar,R206,$F$1,"mf",,Trigger)</f>
        <v>42489</v>
      </c>
      <c r="T206" s="169">
        <f>_xll.qlDayCounterYearFraction(DayCounter,R206,S206,,,Trigger)</f>
        <v>0.25277777777777777</v>
      </c>
      <c r="U206" s="181">
        <f>_xll.qlInterpolationInterpolate(B3Minterpolation,R206,TRUE)</f>
        <v>1.4814416664117422E-3</v>
      </c>
      <c r="V206" s="184">
        <f>_xll.qlYieldTSDiscount(Discounting,R206,,AllTriggers)</f>
        <v>1.0010971275138481</v>
      </c>
      <c r="W206" s="184">
        <f>_xll.qlYieldTSDiscount(Discounting,S206,,AllTriggers)</f>
        <v>1.0015286465898252</v>
      </c>
      <c r="X206" s="181">
        <f t="shared" si="13"/>
        <v>-1.7045028499682129E-3</v>
      </c>
      <c r="Y206" s="348">
        <f t="shared" si="14"/>
        <v>3.7456678968499172E-4</v>
      </c>
      <c r="AD206" s="155"/>
      <c r="AE206" s="155"/>
    </row>
    <row r="207" spans="5:31" ht="11.25" customHeight="1" x14ac:dyDescent="0.2">
      <c r="E207" s="340"/>
      <c r="F207" s="340"/>
      <c r="G207" s="155"/>
      <c r="K207" s="155"/>
      <c r="L207" s="155"/>
      <c r="R207" s="183">
        <f>_xll.qlCalendarAdvance(Calendar,R206,"1D","f")</f>
        <v>42401</v>
      </c>
      <c r="S207" s="183">
        <f>_xll.qlCalendarAdvance(Calendar,R207,$F$1,"mf",,Trigger)</f>
        <v>42492</v>
      </c>
      <c r="T207" s="169">
        <f>_xll.qlDayCounterYearFraction(DayCounter,R207,S207,,,Trigger)</f>
        <v>0.25277777777777777</v>
      </c>
      <c r="U207" s="181">
        <f>_xll.qlInterpolationInterpolate(B3Minterpolation,R207,TRUE)</f>
        <v>1.4818695378025315E-3</v>
      </c>
      <c r="V207" s="184">
        <f>_xll.qlYieldTSDiscount(Discounting,R207,,AllTriggers)</f>
        <v>1.0011114767489828</v>
      </c>
      <c r="W207" s="184">
        <f>_xll.qlYieldTSDiscount(Discounting,S207,,AllTriggers)</f>
        <v>1.0015428011473027</v>
      </c>
      <c r="X207" s="181">
        <f t="shared" si="13"/>
        <v>-1.7037097936429873E-3</v>
      </c>
      <c r="Y207" s="348">
        <f t="shared" si="14"/>
        <v>3.7467487702898104E-4</v>
      </c>
      <c r="AD207" s="155"/>
      <c r="AE207" s="155"/>
    </row>
    <row r="208" spans="5:31" ht="11.25" customHeight="1" x14ac:dyDescent="0.2">
      <c r="E208" s="340"/>
      <c r="F208" s="340"/>
      <c r="G208" s="155"/>
      <c r="K208" s="155"/>
      <c r="L208" s="155"/>
      <c r="R208" s="183">
        <f>_xll.qlCalendarAdvance(Calendar,R207,"1D","f")</f>
        <v>42402</v>
      </c>
      <c r="S208" s="183">
        <f>_xll.qlCalendarAdvance(Calendar,R208,$F$1,"mf",,Trigger)</f>
        <v>42492</v>
      </c>
      <c r="T208" s="169">
        <f>_xll.qlDayCounterYearFraction(DayCounter,R208,S208,,,Trigger)</f>
        <v>0.25</v>
      </c>
      <c r="U208" s="181">
        <f>_xll.qlInterpolationInterpolate(B3Minterpolation,R208,TRUE)</f>
        <v>1.4819998573414289E-3</v>
      </c>
      <c r="V208" s="184">
        <f>_xll.qlYieldTSDiscount(Discounting,R208,,AllTriggers)</f>
        <v>1.0011162561243159</v>
      </c>
      <c r="W208" s="184">
        <f>_xll.qlYieldTSDiscount(Discounting,S208,,AllTriggers)</f>
        <v>1.0015428011473027</v>
      </c>
      <c r="X208" s="181">
        <f t="shared" si="13"/>
        <v>-1.7035518501979929E-3</v>
      </c>
      <c r="Y208" s="348">
        <f t="shared" si="14"/>
        <v>3.7058914639940714E-4</v>
      </c>
      <c r="AD208" s="155"/>
      <c r="AE208" s="155"/>
    </row>
    <row r="209" spans="5:31" ht="11.25" customHeight="1" x14ac:dyDescent="0.2">
      <c r="E209" s="340"/>
      <c r="F209" s="340"/>
      <c r="G209" s="155"/>
      <c r="K209" s="155"/>
      <c r="L209" s="155"/>
      <c r="R209" s="183">
        <f>_xll.qlCalendarAdvance(Calendar,R208,"1D","f")</f>
        <v>42403</v>
      </c>
      <c r="S209" s="183">
        <f>_xll.qlCalendarAdvance(Calendar,R209,$F$1,"mf",,Trigger)</f>
        <v>42493</v>
      </c>
      <c r="T209" s="169">
        <f>_xll.qlDayCounterYearFraction(DayCounter,R209,S209,,,Trigger)</f>
        <v>0.25</v>
      </c>
      <c r="U209" s="181">
        <f>_xll.qlInterpolationInterpolate(B3Minterpolation,R209,TRUE)</f>
        <v>1.482124254308363E-3</v>
      </c>
      <c r="V209" s="184">
        <f>_xll.qlYieldTSDiscount(Discounting,R209,,AllTriggers)</f>
        <v>1.0011210337107215</v>
      </c>
      <c r="W209" s="184">
        <f>_xll.qlYieldTSDiscount(Discounting,S209,,AllTriggers)</f>
        <v>1.001547519599548</v>
      </c>
      <c r="X209" s="181">
        <f t="shared" si="13"/>
        <v>-1.7033076533286007E-3</v>
      </c>
      <c r="Y209" s="348">
        <f t="shared" si="14"/>
        <v>3.706202247317452E-4</v>
      </c>
      <c r="AD209" s="155"/>
      <c r="AE209" s="155"/>
    </row>
    <row r="210" spans="5:31" ht="11.25" customHeight="1" x14ac:dyDescent="0.2">
      <c r="E210" s="340"/>
      <c r="F210" s="340"/>
      <c r="G210" s="155"/>
      <c r="K210" s="155"/>
      <c r="L210" s="155"/>
      <c r="R210" s="183">
        <f>_xll.qlCalendarAdvance(Calendar,R209,"1D","f")</f>
        <v>42404</v>
      </c>
      <c r="S210" s="183">
        <f>_xll.qlCalendarAdvance(Calendar,R210,$F$1,"mf",,Trigger)</f>
        <v>42494</v>
      </c>
      <c r="T210" s="169">
        <f>_xll.qlDayCounterYearFraction(DayCounter,R210,S210,,,Trigger)</f>
        <v>0.25</v>
      </c>
      <c r="U210" s="181">
        <f>_xll.qlInterpolationInterpolate(B3Minterpolation,R210,TRUE)</f>
        <v>1.4822428664375657E-3</v>
      </c>
      <c r="V210" s="184">
        <f>_xll.qlYieldTSDiscount(Discounting,R210,,AllTriggers)</f>
        <v>1.0011258095457591</v>
      </c>
      <c r="W210" s="184">
        <f>_xll.qlYieldTSDiscount(Discounting,S210,,AllTriggers)</f>
        <v>1.0015522384813991</v>
      </c>
      <c r="X210" s="181">
        <f t="shared" si="13"/>
        <v>-1.7030721684032635E-3</v>
      </c>
      <c r="Y210" s="348">
        <f t="shared" si="14"/>
        <v>3.7064985757746208E-4</v>
      </c>
      <c r="AD210" s="155"/>
      <c r="AE210" s="155"/>
    </row>
    <row r="211" spans="5:31" ht="11.25" customHeight="1" x14ac:dyDescent="0.2">
      <c r="E211" s="340"/>
      <c r="F211" s="340"/>
      <c r="G211" s="155"/>
      <c r="K211" s="155"/>
      <c r="L211" s="155"/>
      <c r="R211" s="183">
        <f>_xll.qlCalendarAdvance(Calendar,R210,"1D","f")</f>
        <v>42405</v>
      </c>
      <c r="S211" s="183">
        <f>_xll.qlCalendarAdvance(Calendar,R211,$F$1,"mf",,Trigger)</f>
        <v>42495</v>
      </c>
      <c r="T211" s="169">
        <f>_xll.qlDayCounterYearFraction(DayCounter,R211,S211,,,Trigger)</f>
        <v>0.25</v>
      </c>
      <c r="U211" s="181">
        <f>_xll.qlInterpolationInterpolate(B3Minterpolation,R211,TRUE)</f>
        <v>1.4823558314632685E-3</v>
      </c>
      <c r="V211" s="184">
        <f>_xll.qlYieldTSDiscount(Discounting,R211,,AllTriggers)</f>
        <v>1.0011305836669879</v>
      </c>
      <c r="W211" s="184">
        <f>_xll.qlYieldTSDiscount(Discounting,S211,,AllTriggers)</f>
        <v>1.0015569579706982</v>
      </c>
      <c r="X211" s="181">
        <f t="shared" si="13"/>
        <v>-1.7028459552581587E-3</v>
      </c>
      <c r="Y211" s="348">
        <f t="shared" si="14"/>
        <v>3.7067807942452456E-4</v>
      </c>
      <c r="AD211" s="155"/>
      <c r="AE211" s="155"/>
    </row>
    <row r="212" spans="5:31" ht="11.25" customHeight="1" x14ac:dyDescent="0.2">
      <c r="E212" s="340"/>
      <c r="F212" s="340"/>
      <c r="G212" s="155"/>
      <c r="K212" s="155"/>
      <c r="L212" s="155"/>
      <c r="R212" s="183">
        <f>_xll.qlCalendarAdvance(Calendar,R211,"1D","f")</f>
        <v>42408</v>
      </c>
      <c r="S212" s="183">
        <f>_xll.qlCalendarAdvance(Calendar,R212,$F$1,"mf",,Trigger)</f>
        <v>42499</v>
      </c>
      <c r="T212" s="169">
        <f>_xll.qlDayCounterYearFraction(DayCounter,R212,S212,,,Trigger)</f>
        <v>0.25277777777777777</v>
      </c>
      <c r="U212" s="181">
        <f>_xll.qlInterpolationInterpolate(B3Minterpolation,R212,TRUE)</f>
        <v>1.4826622212616946E-3</v>
      </c>
      <c r="V212" s="184">
        <f>_xll.qlYieldTSDiscount(Discounting,R212,,AllTriggers)</f>
        <v>1.0011448961234242</v>
      </c>
      <c r="W212" s="184">
        <f>_xll.qlYieldTSDiscount(Discounting,S212,,AllTriggers)</f>
        <v>1.0015758455593433</v>
      </c>
      <c r="X212" s="181">
        <f t="shared" si="13"/>
        <v>-1.7021725502739053E-3</v>
      </c>
      <c r="Y212" s="348">
        <f t="shared" si="14"/>
        <v>3.7487511530431611E-4</v>
      </c>
      <c r="AD212" s="155"/>
      <c r="AE212" s="155"/>
    </row>
    <row r="213" spans="5:31" ht="11.25" customHeight="1" x14ac:dyDescent="0.2">
      <c r="E213" s="340"/>
      <c r="F213" s="340"/>
      <c r="G213" s="155"/>
      <c r="K213" s="155"/>
      <c r="L213" s="155"/>
      <c r="R213" s="183">
        <f>_xll.qlCalendarAdvance(Calendar,R212,"1D","f")</f>
        <v>42409</v>
      </c>
      <c r="S213" s="183">
        <f>_xll.qlCalendarAdvance(Calendar,R213,$F$1,"mf",,Trigger)</f>
        <v>42499</v>
      </c>
      <c r="T213" s="169">
        <f>_xll.qlDayCounterYearFraction(DayCounter,R213,S213,,,Trigger)</f>
        <v>0.25</v>
      </c>
      <c r="U213" s="181">
        <f>_xll.qlInterpolationInterpolate(B3Minterpolation,R213,TRUE)</f>
        <v>1.4827539752157149E-3</v>
      </c>
      <c r="V213" s="184">
        <f>_xll.qlYieldTSDiscount(Discounting,R213,,AllTriggers)</f>
        <v>1.0011496637650246</v>
      </c>
      <c r="W213" s="184">
        <f>_xll.qlYieldTSDiscount(Discounting,S213,,AllTriggers)</f>
        <v>1.0015758455593433</v>
      </c>
      <c r="X213" s="181">
        <f t="shared" si="13"/>
        <v>-1.7020450171929546E-3</v>
      </c>
      <c r="Y213" s="348">
        <f t="shared" si="14"/>
        <v>3.7077754658456269E-4</v>
      </c>
      <c r="AD213" s="155"/>
      <c r="AE213" s="155"/>
    </row>
    <row r="214" spans="5:31" ht="11.25" customHeight="1" x14ac:dyDescent="0.2">
      <c r="E214" s="340"/>
      <c r="F214" s="340"/>
      <c r="G214" s="155"/>
      <c r="K214" s="155"/>
      <c r="L214" s="155"/>
      <c r="R214" s="183">
        <f>_xll.qlCalendarAdvance(Calendar,R213,"1D","f")</f>
        <v>42410</v>
      </c>
      <c r="S214" s="183">
        <f>_xll.qlCalendarAdvance(Calendar,R214,$F$1,"mf",,Trigger)</f>
        <v>42500</v>
      </c>
      <c r="T214" s="169">
        <f>_xll.qlDayCounterYearFraction(DayCounter,R214,S214,,,Trigger)</f>
        <v>0.25</v>
      </c>
      <c r="U214" s="181">
        <f>_xll.qlInterpolationInterpolate(B3Minterpolation,R214,TRUE)</f>
        <v>1.4828407707373939E-3</v>
      </c>
      <c r="V214" s="184">
        <f>_xll.qlYieldTSDiscount(Discounting,R214,,AllTriggers)</f>
        <v>1.0011544298806232</v>
      </c>
      <c r="W214" s="184">
        <f>_xll.qlYieldTSDiscount(Discounting,S214,,AllTriggers)</f>
        <v>1.0015805707536383</v>
      </c>
      <c r="X214" s="181">
        <f t="shared" si="13"/>
        <v>-1.701873560484124E-3</v>
      </c>
      <c r="Y214" s="348">
        <f t="shared" si="14"/>
        <v>3.707992307564137E-4</v>
      </c>
      <c r="AD214" s="155"/>
      <c r="AE214" s="155"/>
    </row>
    <row r="215" spans="5:31" ht="11.25" customHeight="1" x14ac:dyDescent="0.2">
      <c r="E215" s="340"/>
      <c r="F215" s="340"/>
      <c r="G215" s="155"/>
      <c r="K215" s="155"/>
      <c r="L215" s="155"/>
      <c r="R215" s="183">
        <f>_xll.qlCalendarAdvance(Calendar,R214,"1D","f")</f>
        <v>42411</v>
      </c>
      <c r="S215" s="183">
        <f>_xll.qlCalendarAdvance(Calendar,R215,$F$1,"mf",,Trigger)</f>
        <v>42501</v>
      </c>
      <c r="T215" s="169">
        <f>_xll.qlDayCounterYearFraction(DayCounter,R215,S215,,,Trigger)</f>
        <v>0.25</v>
      </c>
      <c r="U215" s="181">
        <f>_xll.qlInterpolationInterpolate(B3Minterpolation,R215,TRUE)</f>
        <v>1.4829227455609632E-3</v>
      </c>
      <c r="V215" s="184">
        <f>_xll.qlYieldTSDiscount(Discounting,R215,,AllTriggers)</f>
        <v>1.0011591945077842</v>
      </c>
      <c r="W215" s="184">
        <f>_xll.qlYieldTSDiscount(Discounting,S215,,AllTriggers)</f>
        <v>1.0015852976225066</v>
      </c>
      <c r="X215" s="181">
        <f t="shared" si="13"/>
        <v>-1.701714734566373E-3</v>
      </c>
      <c r="Y215" s="348">
        <f t="shared" si="14"/>
        <v>3.7081971085699646E-4</v>
      </c>
      <c r="AD215" s="155"/>
      <c r="AE215" s="155"/>
    </row>
    <row r="216" spans="5:31" ht="11.25" customHeight="1" x14ac:dyDescent="0.2">
      <c r="E216" s="340"/>
      <c r="F216" s="340"/>
      <c r="G216" s="155"/>
      <c r="K216" s="155"/>
      <c r="L216" s="155"/>
      <c r="R216" s="183">
        <f>_xll.qlCalendarAdvance(Calendar,R215,"1D","f")</f>
        <v>42412</v>
      </c>
      <c r="S216" s="183">
        <f>_xll.qlCalendarAdvance(Calendar,R216,$F$1,"mf",,Trigger)</f>
        <v>42502</v>
      </c>
      <c r="T216" s="169">
        <f>_xll.qlDayCounterYearFraction(DayCounter,R216,S216,,,Trigger)</f>
        <v>0.25</v>
      </c>
      <c r="U216" s="181">
        <f>_xll.qlInterpolationInterpolate(B3Minterpolation,R216,TRUE)</f>
        <v>1.4830000374206546E-3</v>
      </c>
      <c r="V216" s="184">
        <f>_xll.qlYieldTSDiscount(Discounting,R216,,AllTriggers)</f>
        <v>1.0011639576840716</v>
      </c>
      <c r="W216" s="184">
        <f>_xll.qlYieldTSDiscount(Discounting,S216,,AllTriggers)</f>
        <v>1.0015900263438147</v>
      </c>
      <c r="X216" s="181">
        <f t="shared" si="13"/>
        <v>-1.7015690992785437E-3</v>
      </c>
      <c r="Y216" s="348">
        <f t="shared" si="14"/>
        <v>3.7083902137355189E-4</v>
      </c>
      <c r="AD216" s="155"/>
      <c r="AE216" s="155"/>
    </row>
    <row r="217" spans="5:31" ht="11.25" customHeight="1" x14ac:dyDescent="0.2">
      <c r="E217" s="340"/>
      <c r="F217" s="340"/>
      <c r="G217" s="155"/>
      <c r="K217" s="155"/>
      <c r="L217" s="155"/>
      <c r="R217" s="183">
        <f>_xll.qlCalendarAdvance(Calendar,R216,"1D","f")</f>
        <v>42415</v>
      </c>
      <c r="S217" s="183">
        <f>_xll.qlCalendarAdvance(Calendar,R217,$F$1,"mf",,Trigger)</f>
        <v>42506</v>
      </c>
      <c r="T217" s="169">
        <f>_xll.qlDayCounterYearFraction(DayCounter,R217,S217,,,Trigger)</f>
        <v>0.25277777777777777</v>
      </c>
      <c r="U217" s="181">
        <f>_xll.qlInterpolationInterpolate(B3Minterpolation,R217,TRUE)</f>
        <v>1.483205192558778E-3</v>
      </c>
      <c r="V217" s="184">
        <f>_xll.qlYieldTSDiscount(Discounting,R217,,AllTriggers)</f>
        <v>1.0011782388833481</v>
      </c>
      <c r="W217" s="184">
        <f>_xll.qlYieldTSDiscount(Discounting,S217,,AllTriggers)</f>
        <v>1.0016089633108833</v>
      </c>
      <c r="X217" s="181">
        <f t="shared" si="13"/>
        <v>-1.7012275555509922E-3</v>
      </c>
      <c r="Y217" s="348">
        <f t="shared" si="14"/>
        <v>3.7501228438649025E-4</v>
      </c>
      <c r="AD217" s="155"/>
      <c r="AE217" s="155"/>
    </row>
    <row r="218" spans="5:31" ht="11.25" customHeight="1" x14ac:dyDescent="0.2">
      <c r="E218" s="340"/>
      <c r="F218" s="340"/>
      <c r="G218" s="155"/>
      <c r="K218" s="155"/>
      <c r="L218" s="155"/>
      <c r="R218" s="183">
        <f>_xll.qlCalendarAdvance(Calendar,R217,"1D","f")</f>
        <v>42416</v>
      </c>
      <c r="S218" s="183">
        <f>_xll.qlCalendarAdvance(Calendar,R218,$F$1,"mf",,Trigger)</f>
        <v>42506</v>
      </c>
      <c r="T218" s="169">
        <f>_xll.qlDayCounterYearFraction(DayCounter,R218,S218,,,Trigger)</f>
        <v>0.25</v>
      </c>
      <c r="U218" s="181">
        <f>_xll.qlInterpolationInterpolate(B3Minterpolation,R218,TRUE)</f>
        <v>1.4832651299052746E-3</v>
      </c>
      <c r="V218" s="184">
        <f>_xll.qlYieldTSDiscount(Discounting,R218,,AllTriggers)</f>
        <v>1.0011829966318</v>
      </c>
      <c r="W218" s="184">
        <f>_xll.qlYieldTSDiscount(Discounting,S218,,AllTriggers)</f>
        <v>1.0016089633108833</v>
      </c>
      <c r="X218" s="181">
        <f t="shared" si="13"/>
        <v>-1.7011296611215698E-3</v>
      </c>
      <c r="Y218" s="348">
        <f t="shared" si="14"/>
        <v>3.7090525735673763E-4</v>
      </c>
      <c r="AD218" s="155"/>
      <c r="AE218" s="155"/>
    </row>
    <row r="219" spans="5:31" ht="11.25" customHeight="1" x14ac:dyDescent="0.2">
      <c r="E219" s="340"/>
      <c r="F219" s="340"/>
      <c r="G219" s="155"/>
      <c r="K219" s="155"/>
      <c r="L219" s="155"/>
      <c r="R219" s="183">
        <f>_xll.qlCalendarAdvance(Calendar,R218,"1D","f")</f>
        <v>42417</v>
      </c>
      <c r="S219" s="183">
        <f>_xll.qlCalendarAdvance(Calendar,R219,$F$1,"mf",,Trigger)</f>
        <v>42507</v>
      </c>
      <c r="T219" s="169">
        <f>_xll.qlDayCounterYearFraction(DayCounter,R219,S219,,,Trigger)</f>
        <v>0.25</v>
      </c>
      <c r="U219" s="181">
        <f>_xll.qlInterpolationInterpolate(B3Minterpolation,R219,TRUE)</f>
        <v>1.4833210729590519E-3</v>
      </c>
      <c r="V219" s="184">
        <f>_xll.qlYieldTSDiscount(Discounting,R219,,AllTriggers)</f>
        <v>1.0011877531172111</v>
      </c>
      <c r="W219" s="184">
        <f>_xll.qlYieldTSDiscount(Discounting,S219,,AllTriggers)</f>
        <v>1.0016137039624984</v>
      </c>
      <c r="X219" s="181">
        <f t="shared" si="13"/>
        <v>-1.7010583765064702E-3</v>
      </c>
      <c r="Y219" s="348">
        <f t="shared" si="14"/>
        <v>3.7091923727019968E-4</v>
      </c>
      <c r="AD219" s="155"/>
      <c r="AE219" s="155"/>
    </row>
    <row r="220" spans="5:31" ht="11.25" customHeight="1" x14ac:dyDescent="0.2">
      <c r="E220" s="340"/>
      <c r="F220" s="340"/>
      <c r="G220" s="155"/>
      <c r="K220" s="155"/>
      <c r="L220" s="155"/>
      <c r="R220" s="183">
        <f>_xll.qlCalendarAdvance(Calendar,R219,"1D","f")</f>
        <v>42418</v>
      </c>
      <c r="S220" s="183">
        <f>_xll.qlCalendarAdvance(Calendar,R220,$F$1,"mf",,Trigger)</f>
        <v>42508</v>
      </c>
      <c r="T220" s="169">
        <f>_xll.qlDayCounterYearFraction(DayCounter,R220,S220,,,Trigger)</f>
        <v>0.25</v>
      </c>
      <c r="U220" s="181">
        <f>_xll.qlInterpolationInterpolate(B3Minterpolation,R220,TRUE)</f>
        <v>1.4833731594543413E-3</v>
      </c>
      <c r="V220" s="184">
        <f>_xll.qlYieldTSDiscount(Discounting,R220,,AllTriggers)</f>
        <v>1.00119250837715</v>
      </c>
      <c r="W220" s="184">
        <f>_xll.qlYieldTSDiscount(Discounting,S220,,AllTriggers)</f>
        <v>1.0016184475338203</v>
      </c>
      <c r="X220" s="181">
        <f t="shared" si="13"/>
        <v>-1.7010036415325835E-3</v>
      </c>
      <c r="Y220" s="348">
        <f t="shared" si="14"/>
        <v>3.7093225452583469E-4</v>
      </c>
      <c r="AD220" s="155"/>
      <c r="AE220" s="155"/>
    </row>
    <row r="221" spans="5:31" ht="11.25" customHeight="1" x14ac:dyDescent="0.2">
      <c r="E221" s="340"/>
      <c r="F221" s="340"/>
      <c r="G221" s="155"/>
      <c r="K221" s="155"/>
      <c r="L221" s="155"/>
      <c r="R221" s="183">
        <f>_xll.qlCalendarAdvance(Calendar,R220,"1D","f")</f>
        <v>42419</v>
      </c>
      <c r="S221" s="183">
        <f>_xll.qlCalendarAdvance(Calendar,R221,$F$1,"mf",,Trigger)</f>
        <v>42509</v>
      </c>
      <c r="T221" s="169">
        <f>_xll.qlDayCounterYearFraction(DayCounter,R221,S221,,,Trigger)</f>
        <v>0.25</v>
      </c>
      <c r="U221" s="181">
        <f>_xll.qlInterpolationInterpolate(B3Minterpolation,R221,TRUE)</f>
        <v>1.4834215271253748E-3</v>
      </c>
      <c r="V221" s="184">
        <f>_xll.qlYieldTSDiscount(Discounting,R221,,AllTriggers)</f>
        <v>1.0011972624491865</v>
      </c>
      <c r="W221" s="184">
        <f>_xll.qlYieldTSDiscount(Discounting,S221,,AllTriggers)</f>
        <v>1.0016231942027387</v>
      </c>
      <c r="X221" s="181">
        <f t="shared" si="13"/>
        <v>-1.7009660160325346E-3</v>
      </c>
      <c r="Y221" s="348">
        <f t="shared" si="14"/>
        <v>3.7094434361128749E-4</v>
      </c>
      <c r="AD221" s="155"/>
      <c r="AE221" s="155"/>
    </row>
    <row r="222" spans="5:31" ht="11.25" customHeight="1" x14ac:dyDescent="0.2">
      <c r="E222" s="340"/>
      <c r="F222" s="340"/>
      <c r="G222" s="155"/>
      <c r="K222" s="155"/>
      <c r="L222" s="155"/>
      <c r="R222" s="183">
        <f>_xll.qlCalendarAdvance(Calendar,R221,"1D","f")</f>
        <v>42422</v>
      </c>
      <c r="S222" s="183">
        <f>_xll.qlCalendarAdvance(Calendar,R222,$F$1,"mf",,Trigger)</f>
        <v>42513</v>
      </c>
      <c r="T222" s="169">
        <f>_xll.qlDayCounterYearFraction(DayCounter,R222,S222,,,Trigger)</f>
        <v>0.25277777777777777</v>
      </c>
      <c r="U222" s="181">
        <f>_xll.qlInterpolationInterpolate(B3Minterpolation,R222,TRUE)</f>
        <v>1.4835456945352561E-3</v>
      </c>
      <c r="V222" s="184">
        <f>_xll.qlYieldTSDiscount(Discounting,R222,,AllTriggers)</f>
        <v>1.001211517913585</v>
      </c>
      <c r="W222" s="184">
        <f>_xll.qlYieldTSDiscount(Discounting,S222,,AllTriggers)</f>
        <v>1.001642215412289</v>
      </c>
      <c r="X222" s="181">
        <f t="shared" si="13"/>
        <v>-1.7010647219279234E-3</v>
      </c>
      <c r="Y222" s="348">
        <f t="shared" si="14"/>
        <v>3.7509834501640491E-4</v>
      </c>
      <c r="AD222" s="155"/>
      <c r="AE222" s="155"/>
    </row>
    <row r="223" spans="5:31" ht="11.25" customHeight="1" x14ac:dyDescent="0.2">
      <c r="E223" s="340"/>
      <c r="F223" s="340"/>
      <c r="G223" s="155"/>
      <c r="K223" s="155"/>
      <c r="L223" s="155"/>
      <c r="R223" s="183">
        <f>_xll.qlCalendarAdvance(Calendar,R222,"1D","f")</f>
        <v>42423</v>
      </c>
      <c r="S223" s="183">
        <f>_xll.qlCalendarAdvance(Calendar,R223,$F$1,"mf",,Trigger)</f>
        <v>42513</v>
      </c>
      <c r="T223" s="169">
        <f>_xll.qlDayCounterYearFraction(DayCounter,R223,S223,,,Trigger)</f>
        <v>0.25</v>
      </c>
      <c r="U223" s="181">
        <f>_xll.qlInterpolationInterpolate(B3Minterpolation,R223,TRUE)</f>
        <v>1.4835805642515827E-3</v>
      </c>
      <c r="V223" s="184">
        <f>_xll.qlYieldTSDiscount(Discounting,R223,,AllTriggers)</f>
        <v>1.0012162676097196</v>
      </c>
      <c r="W223" s="184">
        <f>_xll.qlYieldTSDiscount(Discounting,S223,,AllTriggers)</f>
        <v>1.001642215412289</v>
      </c>
      <c r="X223" s="181">
        <f t="shared" si="13"/>
        <v>-1.7009978054653985E-3</v>
      </c>
      <c r="Y223" s="348">
        <f t="shared" si="14"/>
        <v>3.7098410800358333E-4</v>
      </c>
      <c r="AD223" s="155"/>
      <c r="AE223" s="155"/>
    </row>
    <row r="224" spans="5:31" ht="11.25" customHeight="1" x14ac:dyDescent="0.2">
      <c r="E224" s="340"/>
      <c r="F224" s="340"/>
      <c r="G224" s="155"/>
      <c r="K224" s="155"/>
      <c r="L224" s="155"/>
      <c r="R224" s="183">
        <f>_xll.qlCalendarAdvance(Calendar,R223,"1D","f")</f>
        <v>42424</v>
      </c>
      <c r="S224" s="183">
        <f>_xll.qlCalendarAdvance(Calendar,R224,$F$1,"mf",,Trigger)</f>
        <v>42514</v>
      </c>
      <c r="T224" s="169">
        <f>_xll.qlDayCounterYearFraction(DayCounter,R224,S224,,,Trigger)</f>
        <v>0.25</v>
      </c>
      <c r="U224" s="181">
        <f>_xll.qlInterpolationInterpolate(B3Minterpolation,R224,TRUE)</f>
        <v>1.4836124038148117E-3</v>
      </c>
      <c r="V224" s="184">
        <f>_xll.qlYieldTSDiscount(Discounting,R224,,AllTriggers)</f>
        <v>1.0012210163058095</v>
      </c>
      <c r="W224" s="184">
        <f>_xll.qlYieldTSDiscount(Discounting,S224,,AllTriggers)</f>
        <v>1.001646980237654</v>
      </c>
      <c r="X224" s="181">
        <f t="shared" si="13"/>
        <v>-1.7010541248509981E-3</v>
      </c>
      <c r="Y224" s="348">
        <f t="shared" si="14"/>
        <v>3.7099207355176836E-4</v>
      </c>
      <c r="AD224" s="155"/>
      <c r="AE224" s="155"/>
    </row>
    <row r="225" spans="5:31" ht="11.25" customHeight="1" x14ac:dyDescent="0.2">
      <c r="E225" s="340"/>
      <c r="F225" s="340"/>
      <c r="G225" s="155"/>
      <c r="K225" s="155"/>
      <c r="L225" s="155"/>
      <c r="R225" s="183">
        <f>_xll.qlCalendarAdvance(Calendar,R224,"1D","f")</f>
        <v>42425</v>
      </c>
      <c r="S225" s="183">
        <f>_xll.qlCalendarAdvance(Calendar,R225,$F$1,"mf",,Trigger)</f>
        <v>42515</v>
      </c>
      <c r="T225" s="169">
        <f>_xll.qlDayCounterYearFraction(DayCounter,R225,S225,,,Trigger)</f>
        <v>0.25</v>
      </c>
      <c r="U225" s="181">
        <f>_xll.qlInterpolationInterpolate(B3Minterpolation,R225,TRUE)</f>
        <v>1.4836413509591749E-3</v>
      </c>
      <c r="V225" s="184">
        <f>_xll.qlYieldTSDiscount(Discounting,R225,,AllTriggers)</f>
        <v>1.0012257640394284</v>
      </c>
      <c r="W225" s="184">
        <f>_xll.qlYieldTSDiscount(Discounting,S225,,AllTriggers)</f>
        <v>1.0016517492280248</v>
      </c>
      <c r="X225" s="181">
        <f t="shared" si="13"/>
        <v>-1.7011309127137331E-3</v>
      </c>
      <c r="Y225" s="348">
        <f t="shared" si="14"/>
        <v>3.7099931785511577E-4</v>
      </c>
      <c r="AD225" s="155"/>
      <c r="AE225" s="155"/>
    </row>
    <row r="226" spans="5:31" ht="11.25" customHeight="1" x14ac:dyDescent="0.2">
      <c r="E226" s="340"/>
      <c r="F226" s="340"/>
      <c r="G226" s="155"/>
      <c r="K226" s="155"/>
      <c r="L226" s="155"/>
      <c r="R226" s="183">
        <f>_xll.qlCalendarAdvance(Calendar,R225,"1D","f")</f>
        <v>42426</v>
      </c>
      <c r="S226" s="183">
        <f>_xll.qlCalendarAdvance(Calendar,R226,$F$1,"mf",,Trigger)</f>
        <v>42516</v>
      </c>
      <c r="T226" s="169">
        <f>_xll.qlDayCounterYearFraction(DayCounter,R226,S226,,,Trigger)</f>
        <v>0.25</v>
      </c>
      <c r="U226" s="181">
        <f>_xll.qlInterpolationInterpolate(B3Minterpolation,R226,TRUE)</f>
        <v>1.4836675434189038E-3</v>
      </c>
      <c r="V226" s="184">
        <f>_xll.qlYieldTSDiscount(Discounting,R226,,AllTriggers)</f>
        <v>1.0012305108481507</v>
      </c>
      <c r="W226" s="184">
        <f>_xll.qlYieldTSDiscount(Discounting,S226,,AllTriggers)</f>
        <v>1.0016565225613157</v>
      </c>
      <c r="X226" s="181">
        <f t="shared" si="13"/>
        <v>-1.7012287288884487E-3</v>
      </c>
      <c r="Y226" s="348">
        <f t="shared" si="14"/>
        <v>3.710058754008024E-4</v>
      </c>
      <c r="AD226" s="155"/>
      <c r="AE226" s="155"/>
    </row>
    <row r="227" spans="5:31" ht="11.25" customHeight="1" x14ac:dyDescent="0.2">
      <c r="E227" s="340"/>
      <c r="F227" s="340"/>
      <c r="G227" s="155"/>
      <c r="K227" s="155"/>
      <c r="L227" s="155"/>
      <c r="R227" s="183">
        <f>_xll.qlCalendarAdvance(Calendar,R226,"1D","f")</f>
        <v>42429</v>
      </c>
      <c r="S227" s="183">
        <f>_xll.qlCalendarAdvance(Calendar,R227,$F$1,"mf",,Trigger)</f>
        <v>42520</v>
      </c>
      <c r="T227" s="169">
        <f>_xll.qlDayCounterYearFraction(DayCounter,R227,S227,,,Trigger)</f>
        <v>0.25277777777777777</v>
      </c>
      <c r="U227" s="181">
        <f>_xll.qlInterpolationInterpolate(B3Minterpolation,R227,TRUE)</f>
        <v>1.4837309700326037E-3</v>
      </c>
      <c r="V227" s="184">
        <f>_xll.qlYieldTSDiscount(Discounting,R227,,AllTriggers)</f>
        <v>1.0012447461006935</v>
      </c>
      <c r="W227" s="184">
        <f>_xll.qlYieldTSDiscount(Discounting,S227,,AllTriggers)</f>
        <v>1.0016756628820693</v>
      </c>
      <c r="X227" s="181">
        <f t="shared" si="13"/>
        <v>-1.701873961492513E-3</v>
      </c>
      <c r="Y227" s="348">
        <f t="shared" si="14"/>
        <v>3.7514525787658409E-4</v>
      </c>
      <c r="AD227" s="155"/>
      <c r="AE227" s="155"/>
    </row>
    <row r="228" spans="5:31" ht="11.25" customHeight="1" x14ac:dyDescent="0.2">
      <c r="E228" s="340"/>
      <c r="F228" s="340"/>
      <c r="G228" s="155"/>
      <c r="K228" s="155"/>
      <c r="L228" s="155"/>
      <c r="R228" s="183">
        <f>_xll.qlCalendarAdvance(Calendar,R227,"1D","f")</f>
        <v>42430</v>
      </c>
      <c r="S228" s="183">
        <f>_xll.qlCalendarAdvance(Calendar,R228,$F$1,"mf",,Trigger)</f>
        <v>42522</v>
      </c>
      <c r="T228" s="169">
        <f>_xll.qlDayCounterYearFraction(DayCounter,R228,S228,,,Trigger)</f>
        <v>0.25555555555555554</v>
      </c>
      <c r="U228" s="181">
        <f>_xll.qlInterpolationInterpolate(B3Minterpolation,R228,TRUE)</f>
        <v>1.4837475210961134E-3</v>
      </c>
      <c r="V228" s="184">
        <f>_xll.qlYieldTSDiscount(Discounting,R228,,AllTriggers)</f>
        <v>1.0012494895855883</v>
      </c>
      <c r="W228" s="184">
        <f>_xll.qlYieldTSDiscount(Discounting,S228,,AllTriggers)</f>
        <v>1.0016852637259721</v>
      </c>
      <c r="X228" s="181">
        <f t="shared" si="13"/>
        <v>-1.7023342758190015E-3</v>
      </c>
      <c r="Y228" s="348">
        <f t="shared" si="14"/>
        <v>3.7927301955307841E-4</v>
      </c>
      <c r="AD228" s="155"/>
      <c r="AE228" s="155"/>
    </row>
    <row r="229" spans="5:31" ht="11.25" customHeight="1" x14ac:dyDescent="0.2">
      <c r="E229" s="340"/>
      <c r="F229" s="340"/>
      <c r="G229" s="155"/>
      <c r="K229" s="155"/>
      <c r="L229" s="155"/>
      <c r="R229" s="183">
        <f>_xll.qlCalendarAdvance(Calendar,R228,"1D","f")</f>
        <v>42431</v>
      </c>
      <c r="S229" s="183">
        <f>_xll.qlCalendarAdvance(Calendar,R229,$F$1,"mf",,Trigger)</f>
        <v>42523</v>
      </c>
      <c r="T229" s="169">
        <f>_xll.qlDayCounterYearFraction(DayCounter,R229,S229,,,Trigger)</f>
        <v>0.25555555555555554</v>
      </c>
      <c r="U229" s="181">
        <f>_xll.qlInterpolationInterpolate(B3Minterpolation,R229,TRUE)</f>
        <v>1.4837620061461476E-3</v>
      </c>
      <c r="V229" s="184">
        <f>_xll.qlYieldTSDiscount(Discounting,R229,,AllTriggers)</f>
        <v>1.0012542323334697</v>
      </c>
      <c r="W229" s="184">
        <f>_xll.qlYieldTSDiscount(Discounting,S229,,AllTriggers)</f>
        <v>1.0016900724415727</v>
      </c>
      <c r="X229" s="181">
        <f t="shared" si="13"/>
        <v>-1.7025838026130116E-3</v>
      </c>
      <c r="Y229" s="348">
        <f t="shared" si="14"/>
        <v>3.7927674568629738E-4</v>
      </c>
      <c r="AD229" s="155"/>
      <c r="AE229" s="155"/>
    </row>
    <row r="230" spans="5:31" ht="11.25" customHeight="1" x14ac:dyDescent="0.2">
      <c r="E230" s="340"/>
      <c r="F230" s="340"/>
      <c r="G230" s="155"/>
      <c r="K230" s="155"/>
      <c r="L230" s="155"/>
      <c r="R230" s="183">
        <f>_xll.qlCalendarAdvance(Calendar,R229,"1D","f")</f>
        <v>42432</v>
      </c>
      <c r="S230" s="183">
        <f>_xll.qlCalendarAdvance(Calendar,R230,$F$1,"mf",,Trigger)</f>
        <v>42524</v>
      </c>
      <c r="T230" s="169">
        <f>_xll.qlDayCounterYearFraction(DayCounter,R230,S230,,,Trigger)</f>
        <v>0.25555555555555554</v>
      </c>
      <c r="U230" s="181">
        <f>_xll.qlInterpolationInterpolate(B3Minterpolation,R230,TRUE)</f>
        <v>1.4837745629169381E-3</v>
      </c>
      <c r="V230" s="184">
        <f>_xll.qlYieldTSDiscount(Discounting,R230,,AllTriggers)</f>
        <v>1.001258974381916</v>
      </c>
      <c r="W230" s="184">
        <f>_xll.qlYieldTSDiscount(Discounting,S230,,AllTriggers)</f>
        <v>1.0016948869235263</v>
      </c>
      <c r="X230" s="181">
        <f t="shared" si="13"/>
        <v>-1.7028585753080432E-3</v>
      </c>
      <c r="Y230" s="348">
        <f t="shared" si="14"/>
        <v>3.7927998145791965E-4</v>
      </c>
      <c r="AD230" s="155"/>
      <c r="AE230" s="155"/>
    </row>
    <row r="231" spans="5:31" ht="11.25" customHeight="1" x14ac:dyDescent="0.2">
      <c r="E231" s="340"/>
      <c r="F231" s="340"/>
      <c r="G231" s="155"/>
      <c r="K231" s="155"/>
      <c r="L231" s="155"/>
      <c r="R231" s="183">
        <f>_xll.qlCalendarAdvance(Calendar,R230,"1D","f")</f>
        <v>42433</v>
      </c>
      <c r="S231" s="183">
        <f>_xll.qlCalendarAdvance(Calendar,R231,$F$1,"mf",,Trigger)</f>
        <v>42527</v>
      </c>
      <c r="T231" s="169">
        <f>_xll.qlDayCounterYearFraction(DayCounter,R231,S231,,,Trigger)</f>
        <v>0.26111111111111113</v>
      </c>
      <c r="U231" s="181">
        <f>_xll.qlInterpolationInterpolate(B3Minterpolation,R231,TRUE)</f>
        <v>1.4837853291427162E-3</v>
      </c>
      <c r="V231" s="184">
        <f>_xll.qlYieldTSDiscount(Discounting,R231,,AllTriggers)</f>
        <v>1.0012637157685069</v>
      </c>
      <c r="W231" s="184">
        <f>_xll.qlYieldTSDiscount(Discounting,S231,,AllTriggers)</f>
        <v>1.0017093667469747</v>
      </c>
      <c r="X231" s="181">
        <f t="shared" si="13"/>
        <v>-1.7038359476634227E-3</v>
      </c>
      <c r="Y231" s="348">
        <f t="shared" si="14"/>
        <v>3.8753017832740376E-4</v>
      </c>
      <c r="AD231" s="155"/>
      <c r="AE231" s="155"/>
    </row>
    <row r="232" spans="5:31" ht="11.25" customHeight="1" x14ac:dyDescent="0.2">
      <c r="E232" s="340"/>
      <c r="F232" s="340"/>
      <c r="G232" s="155"/>
      <c r="K232" s="155"/>
      <c r="L232" s="155"/>
      <c r="R232" s="183">
        <f>_xll.qlCalendarAdvance(Calendar,R231,"1D","f")</f>
        <v>42436</v>
      </c>
      <c r="S232" s="183">
        <f>_xll.qlCalendarAdvance(Calendar,R232,$F$1,"mf",,Trigger)</f>
        <v>42528</v>
      </c>
      <c r="T232" s="169">
        <f>_xll.qlDayCounterYearFraction(DayCounter,R232,S232,,,Trigger)</f>
        <v>0.25555555555555554</v>
      </c>
      <c r="U232" s="181">
        <f>_xll.qlInterpolationInterpolate(B3Minterpolation,R232,TRUE)</f>
        <v>1.483808261892295E-3</v>
      </c>
      <c r="V232" s="184">
        <f>_xll.qlYieldTSDiscount(Discounting,R232,,AllTriggers)</f>
        <v>1.0012779363329525</v>
      </c>
      <c r="W232" s="184">
        <f>_xll.qlYieldTSDiscount(Discounting,S232,,AllTriggers)</f>
        <v>1.0017142060738264</v>
      </c>
      <c r="X232" s="181">
        <f t="shared" si="13"/>
        <v>-1.7042210781659723E-3</v>
      </c>
      <c r="Y232" s="348">
        <f t="shared" si="14"/>
        <v>3.7928872599928253E-4</v>
      </c>
      <c r="AD232" s="155"/>
      <c r="AE232" s="155"/>
    </row>
    <row r="233" spans="5:31" ht="11.25" customHeight="1" x14ac:dyDescent="0.2">
      <c r="E233" s="340"/>
      <c r="F233" s="340"/>
      <c r="G233" s="155"/>
      <c r="K233" s="155"/>
      <c r="L233" s="155"/>
      <c r="R233" s="183">
        <f>_xll.qlCalendarAdvance(Calendar,R232,"1D","f")</f>
        <v>42437</v>
      </c>
      <c r="S233" s="183">
        <f>_xll.qlCalendarAdvance(Calendar,R233,$F$1,"mf",,Trigger)</f>
        <v>42529</v>
      </c>
      <c r="T233" s="169">
        <f>_xll.qlDayCounterYearFraction(DayCounter,R233,S233,,,Trigger)</f>
        <v>0.25555555555555554</v>
      </c>
      <c r="U233" s="181">
        <f>_xll.qlInterpolationInterpolate(B3Minterpolation,R233,TRUE)</f>
        <v>1.4838132432803417E-3</v>
      </c>
      <c r="V233" s="184">
        <f>_xll.qlYieldTSDiscount(Discounting,R233,,AllTriggers)</f>
        <v>1.0012826754479305</v>
      </c>
      <c r="W233" s="184">
        <f>_xll.qlYieldTSDiscount(Discounting,S233,,AllTriggers)</f>
        <v>1.0017190520567916</v>
      </c>
      <c r="X233" s="181">
        <f t="shared" si="13"/>
        <v>-1.7046302951545282E-3</v>
      </c>
      <c r="Y233" s="348">
        <f t="shared" si="14"/>
        <v>3.792900387674316E-4</v>
      </c>
      <c r="AD233" s="155"/>
      <c r="AE233" s="155"/>
    </row>
    <row r="234" spans="5:31" ht="11.25" customHeight="1" x14ac:dyDescent="0.2">
      <c r="E234" s="340"/>
      <c r="F234" s="340"/>
      <c r="G234" s="155"/>
      <c r="K234" s="155"/>
      <c r="L234" s="155"/>
      <c r="R234" s="183">
        <f>_xll.qlCalendarAdvance(Calendar,R233,"1D","f")</f>
        <v>42438</v>
      </c>
      <c r="S234" s="183">
        <f>_xll.qlCalendarAdvance(Calendar,R234,$F$1,"mf",,Trigger)</f>
        <v>42530</v>
      </c>
      <c r="T234" s="169">
        <f>_xll.qlDayCounterYearFraction(DayCounter,R234,S234,,,Trigger)</f>
        <v>0.25555555555555554</v>
      </c>
      <c r="U234" s="181">
        <f>_xll.qlInterpolationInterpolate(B3Minterpolation,R234,TRUE)</f>
        <v>1.4838171227945346E-3</v>
      </c>
      <c r="V234" s="184">
        <f>_xll.qlYieldTSDiscount(Discounting,R234,,AllTriggers)</f>
        <v>1.0012874140889609</v>
      </c>
      <c r="W234" s="184">
        <f>_xll.qlYieldTSDiscount(Discounting,S234,,AllTriggers)</f>
        <v>1.0017239047977096</v>
      </c>
      <c r="X234" s="181">
        <f t="shared" si="13"/>
        <v>-1.7050677467212378E-3</v>
      </c>
      <c r="Y234" s="348">
        <f t="shared" si="14"/>
        <v>3.7929107266741616E-4</v>
      </c>
      <c r="AD234" s="155"/>
      <c r="AE234" s="155"/>
    </row>
    <row r="235" spans="5:31" ht="11.25" customHeight="1" x14ac:dyDescent="0.2">
      <c r="E235" s="340"/>
      <c r="F235" s="340"/>
      <c r="G235" s="155"/>
      <c r="K235" s="155"/>
      <c r="L235" s="155"/>
      <c r="R235" s="183">
        <f>_xll.qlCalendarAdvance(Calendar,R234,"1D","f")</f>
        <v>42439</v>
      </c>
      <c r="S235" s="183">
        <f>_xll.qlCalendarAdvance(Calendar,R235,$F$1,"mf",,Trigger)</f>
        <v>42531</v>
      </c>
      <c r="T235" s="169">
        <f>_xll.qlDayCounterYearFraction(DayCounter,R235,S235,,,Trigger)</f>
        <v>0.25555555555555554</v>
      </c>
      <c r="U235" s="181">
        <f>_xll.qlInterpolationInterpolate(B3Minterpolation,R235,TRUE)</f>
        <v>1.4838200381691057E-3</v>
      </c>
      <c r="V235" s="184">
        <f>_xll.qlYieldTSDiscount(Discounting,R235,,AllTriggers)</f>
        <v>1.0012921522936276</v>
      </c>
      <c r="W235" s="184">
        <f>_xll.qlYieldTSDiscount(Discounting,S235,,AllTriggers)</f>
        <v>1.0017287640939287</v>
      </c>
      <c r="X235" s="181">
        <f t="shared" si="13"/>
        <v>-1.7055324943629131E-3</v>
      </c>
      <c r="Y235" s="348">
        <f t="shared" si="14"/>
        <v>3.7929186280893337E-4</v>
      </c>
      <c r="AD235" s="155"/>
      <c r="AE235" s="155"/>
    </row>
    <row r="236" spans="5:31" ht="11.25" customHeight="1" x14ac:dyDescent="0.2">
      <c r="E236" s="340"/>
      <c r="F236" s="340"/>
      <c r="G236" s="155"/>
      <c r="K236" s="155"/>
      <c r="L236" s="155"/>
      <c r="R236" s="183">
        <f>_xll.qlCalendarAdvance(Calendar,R235,"1D","f")</f>
        <v>42440</v>
      </c>
      <c r="S236" s="183">
        <f>_xll.qlCalendarAdvance(Calendar,R236,$F$1,"mf",,Trigger)</f>
        <v>42534</v>
      </c>
      <c r="T236" s="169">
        <f>_xll.qlDayCounterYearFraction(DayCounter,R236,S236,,,Trigger)</f>
        <v>0.26111111111111113</v>
      </c>
      <c r="U236" s="181">
        <f>_xll.qlInterpolationInterpolate(B3Minterpolation,R236,TRUE)</f>
        <v>1.4838221271382865E-3</v>
      </c>
      <c r="V236" s="184">
        <f>_xll.qlYieldTSDiscount(Discounting,R236,,AllTriggers)</f>
        <v>1.0012968900995149</v>
      </c>
      <c r="W236" s="184">
        <f>_xll.qlYieldTSDiscount(Discounting,S236,,AllTriggers)</f>
        <v>1.0017433785265699</v>
      </c>
      <c r="X236" s="181">
        <f t="shared" si="13"/>
        <v>-1.7069797662131671E-3</v>
      </c>
      <c r="Y236" s="348">
        <f t="shared" si="14"/>
        <v>3.8754010545114957E-4</v>
      </c>
      <c r="AD236" s="155"/>
      <c r="AE236" s="155"/>
    </row>
    <row r="237" spans="5:31" ht="11.25" customHeight="1" x14ac:dyDescent="0.2">
      <c r="E237" s="340"/>
      <c r="F237" s="340"/>
      <c r="G237" s="155"/>
      <c r="K237" s="155"/>
      <c r="L237" s="155"/>
      <c r="R237" s="183">
        <f>_xll.qlCalendarAdvance(Calendar,R236,"1D","f")</f>
        <v>42443</v>
      </c>
      <c r="S237" s="183">
        <f>_xll.qlCalendarAdvance(Calendar,R237,$F$1,"mf",,Trigger)</f>
        <v>42535</v>
      </c>
      <c r="T237" s="169">
        <f>_xll.qlDayCounterYearFraction(DayCounter,R237,S237,,,Trigger)</f>
        <v>0.25555555555555554</v>
      </c>
      <c r="U237" s="181">
        <f>_xll.qlInterpolationInterpolate(B3Minterpolation,R237,TRUE)</f>
        <v>1.4838248129558048E-3</v>
      </c>
      <c r="V237" s="184">
        <f>_xll.qlYieldTSDiscount(Discounting,R237,,AllTriggers)</f>
        <v>1.0013111015003562</v>
      </c>
      <c r="W237" s="184">
        <f>_xll.qlYieldTSDiscount(Discounting,S237,,AllTriggers)</f>
        <v>1.0017482612561441</v>
      </c>
      <c r="X237" s="181">
        <f t="shared" si="13"/>
        <v>-1.7076397309629086E-3</v>
      </c>
      <c r="Y237" s="348">
        <f t="shared" si="14"/>
        <v>3.7929328740716507E-4</v>
      </c>
      <c r="AD237" s="155"/>
      <c r="AE237" s="155"/>
    </row>
    <row r="238" spans="5:31" ht="11.25" customHeight="1" x14ac:dyDescent="0.2">
      <c r="E238" s="340"/>
      <c r="F238" s="340"/>
      <c r="G238" s="155"/>
      <c r="K238" s="155"/>
      <c r="L238" s="155"/>
      <c r="R238" s="183">
        <f>_xll.qlCalendarAdvance(Calendar,R237,"1D","f")</f>
        <v>42444</v>
      </c>
      <c r="S238" s="183">
        <f>_xll.qlCalendarAdvance(Calendar,R238,$F$1,"mf",,Trigger)</f>
        <v>42536</v>
      </c>
      <c r="T238" s="169">
        <f>_xll.qlDayCounterYearFraction(DayCounter,R238,S238,,,Trigger)</f>
        <v>0.25555555555555554</v>
      </c>
      <c r="U238" s="181">
        <f>_xll.qlInterpolationInterpolate(B3Minterpolation,R238,TRUE)</f>
        <v>1.4838249736457418E-3</v>
      </c>
      <c r="V238" s="184">
        <f>_xll.qlYieldTSDiscount(Discounting,R238,,AllTriggers)</f>
        <v>1.0013158380869844</v>
      </c>
      <c r="W238" s="184">
        <f>_xll.qlYieldTSDiscount(Discounting,S238,,AllTriggers)</f>
        <v>1.0017531491470688</v>
      </c>
      <c r="X238" s="181">
        <f t="shared" si="13"/>
        <v>-1.7082224229506126E-3</v>
      </c>
      <c r="Y238" s="348">
        <f t="shared" si="14"/>
        <v>3.7929338496919341E-4</v>
      </c>
      <c r="AD238" s="155"/>
      <c r="AE238" s="155"/>
    </row>
    <row r="239" spans="5:31" ht="11.25" customHeight="1" x14ac:dyDescent="0.2">
      <c r="E239" s="340"/>
      <c r="F239" s="340"/>
      <c r="G239" s="155"/>
      <c r="K239" s="155"/>
      <c r="L239" s="155"/>
      <c r="R239" s="183">
        <f>_xll.qlCalendarAdvance(Calendar,R238,"1D","f")</f>
        <v>42445</v>
      </c>
      <c r="S239" s="183">
        <f>_xll.qlCalendarAdvance(Calendar,R239,$F$1,"mf",,Trigger)</f>
        <v>42537</v>
      </c>
      <c r="T239" s="169">
        <f>_xll.qlDayCounterYearFraction(DayCounter,R239,S239,,,Trigger)</f>
        <v>0.25555555555555554</v>
      </c>
      <c r="U239" s="181">
        <f>_xll.qlInterpolationInterpolate(B3Minterpolation,R239,TRUE)</f>
        <v>1.4838249966014471E-3</v>
      </c>
      <c r="V239" s="184">
        <f>_xll.qlYieldTSDiscount(Discounting,R239,,AllTriggers)</f>
        <v>1.0013205744627667</v>
      </c>
      <c r="W239" s="184">
        <f>_xll.qlYieldTSDiscount(Discounting,S239,,AllTriggers)</f>
        <v>1.0017580419205372</v>
      </c>
      <c r="X239" s="181">
        <f t="shared" si="13"/>
        <v>-1.7088249966015889E-3</v>
      </c>
      <c r="Y239" s="348">
        <f t="shared" si="14"/>
        <v>3.7929344925824779E-4</v>
      </c>
      <c r="AD239" s="155"/>
      <c r="AE239" s="155"/>
    </row>
    <row r="240" spans="5:31" ht="11.25" customHeight="1" x14ac:dyDescent="0.2">
      <c r="E240" s="340"/>
      <c r="F240" s="340"/>
      <c r="G240" s="155"/>
      <c r="K240" s="155"/>
      <c r="L240" s="155"/>
      <c r="R240" s="183">
        <f>_xll.qlCalendarAdvance(Calendar,R239,"1D","f")</f>
        <v>42446</v>
      </c>
      <c r="S240" s="183">
        <f>_xll.qlCalendarAdvance(Calendar,R240,$F$1,"mf",,Trigger)</f>
        <v>42538</v>
      </c>
      <c r="T240" s="169">
        <f>_xll.qlDayCounterYearFraction(DayCounter,R240,S240,,,Trigger)</f>
        <v>0.25555555555555554</v>
      </c>
      <c r="U240" s="181">
        <f>_xll.qlInterpolationInterpolate(B3Minterpolation,R240,TRUE)</f>
        <v>1.483816965250655E-3</v>
      </c>
      <c r="V240" s="184">
        <f>_xll.qlYieldTSDiscount(Discounting,R240,,AllTriggers)</f>
        <v>1.0013253106571849</v>
      </c>
      <c r="W240" s="184">
        <f>_xll.qlYieldTSDiscount(Discounting,S240,,AllTriggers)</f>
        <v>1.0017629392977379</v>
      </c>
      <c r="X240" s="181">
        <f t="shared" si="13"/>
        <v>-1.7094462478481223E-3</v>
      </c>
      <c r="Y240" s="348">
        <f t="shared" si="14"/>
        <v>3.7929145691660646E-4</v>
      </c>
      <c r="AD240" s="155"/>
      <c r="AE240" s="155"/>
    </row>
    <row r="241" spans="5:31" ht="11.25" customHeight="1" x14ac:dyDescent="0.2">
      <c r="E241" s="340"/>
      <c r="F241" s="340"/>
      <c r="G241" s="155"/>
      <c r="K241" s="155"/>
      <c r="L241" s="155"/>
      <c r="R241" s="183">
        <f>_xll.qlCalendarAdvance(Calendar,R240,"1D","f")</f>
        <v>42447</v>
      </c>
      <c r="S241" s="183">
        <f>_xll.qlCalendarAdvance(Calendar,R241,$F$1,"mf",,Trigger)</f>
        <v>42541</v>
      </c>
      <c r="T241" s="169">
        <f>_xll.qlDayCounterYearFraction(DayCounter,R241,S241,,,Trigger)</f>
        <v>0.26111111111111113</v>
      </c>
      <c r="U241" s="181">
        <f>_xll.qlInterpolationInterpolate(B3Minterpolation,R241,TRUE)</f>
        <v>1.4837931681058866E-3</v>
      </c>
      <c r="V241" s="184">
        <f>_xll.qlYieldTSDiscount(Discounting,R241,,AllTriggers)</f>
        <v>1.0013300466672992</v>
      </c>
      <c r="W241" s="184">
        <f>_xll.qlYieldTSDiscount(Discounting,S241,,AllTriggers)</f>
        <v>1.0017776562635368</v>
      </c>
      <c r="X241" s="181">
        <f t="shared" si="13"/>
        <v>-1.7112075786350222E-3</v>
      </c>
      <c r="Y241" s="348">
        <f t="shared" si="14"/>
        <v>3.8753297140191735E-4</v>
      </c>
      <c r="AD241" s="155"/>
      <c r="AE241" s="155"/>
    </row>
    <row r="242" spans="5:31" ht="11.25" customHeight="1" x14ac:dyDescent="0.2">
      <c r="E242" s="340"/>
      <c r="F242" s="340"/>
      <c r="G242" s="155"/>
      <c r="K242" s="155"/>
      <c r="L242" s="155"/>
      <c r="R242" s="183">
        <f>_xll.qlCalendarAdvance(Calendar,R241,"1D","f")</f>
        <v>42450</v>
      </c>
      <c r="S242" s="183">
        <f>_xll.qlCalendarAdvance(Calendar,R242,$F$1,"mf",,Trigger)</f>
        <v>42542</v>
      </c>
      <c r="T242" s="169">
        <f>_xll.qlDayCounterYearFraction(DayCounter,R242,S242,,,Trigger)</f>
        <v>0.25555555555555554</v>
      </c>
      <c r="U242" s="181">
        <f>_xll.qlInterpolationInterpolate(B3Minterpolation,R242,TRUE)</f>
        <v>1.4836316355218409E-3</v>
      </c>
      <c r="V242" s="184">
        <f>_xll.qlYieldTSDiscount(Discounting,R242,,AllTriggers)</f>
        <v>1.0013442534813521</v>
      </c>
      <c r="W242" s="184">
        <f>_xll.qlYieldTSDiscount(Discounting,S242,,AllTriggers)</f>
        <v>1.0017825692674429</v>
      </c>
      <c r="X242" s="181">
        <f t="shared" si="13"/>
        <v>-1.7120967970478105E-3</v>
      </c>
      <c r="Y242" s="348">
        <f t="shared" si="14"/>
        <v>3.7924434909202296E-4</v>
      </c>
      <c r="AD242" s="155"/>
      <c r="AE242" s="155"/>
    </row>
    <row r="243" spans="5:31" ht="11.25" customHeight="1" x14ac:dyDescent="0.2">
      <c r="E243" s="340"/>
      <c r="F243" s="340"/>
      <c r="G243" s="155"/>
      <c r="K243" s="155"/>
      <c r="L243" s="155"/>
      <c r="R243" s="183">
        <f>_xll.qlCalendarAdvance(Calendar,R242,"1D","f")</f>
        <v>42451</v>
      </c>
      <c r="S243" s="183">
        <f>_xll.qlCalendarAdvance(Calendar,R243,$F$1,"mf",,Trigger)</f>
        <v>42543</v>
      </c>
      <c r="T243" s="169">
        <f>_xll.qlDayCounterYearFraction(DayCounter,R243,S243,,,Trigger)</f>
        <v>0.25555555555555554</v>
      </c>
      <c r="U243" s="181">
        <f>_xll.qlInterpolationInterpolate(B3Minterpolation,R243,TRUE)</f>
        <v>1.4835492288152849E-3</v>
      </c>
      <c r="V243" s="184">
        <f>_xll.qlYieldTSDiscount(Discounting,R243,,AllTriggers)</f>
        <v>1.0013489886437834</v>
      </c>
      <c r="W243" s="184">
        <f>_xll.qlYieldTSDiscount(Discounting,S243,,AllTriggers)</f>
        <v>1.0017874854809423</v>
      </c>
      <c r="X243" s="181">
        <f t="shared" si="13"/>
        <v>-1.7127955916308784E-3</v>
      </c>
      <c r="Y243" s="348">
        <f t="shared" si="14"/>
        <v>3.7922335610957725E-4</v>
      </c>
      <c r="AD243" s="155"/>
      <c r="AE243" s="155"/>
    </row>
    <row r="244" spans="5:31" ht="11.25" customHeight="1" x14ac:dyDescent="0.2">
      <c r="E244" s="340"/>
      <c r="F244" s="340"/>
      <c r="G244" s="155"/>
      <c r="K244" s="155"/>
      <c r="L244" s="155"/>
      <c r="R244" s="183">
        <f>_xll.qlCalendarAdvance(Calendar,R243,"1D","f")</f>
        <v>42452</v>
      </c>
      <c r="S244" s="183">
        <f>_xll.qlCalendarAdvance(Calendar,R244,$F$1,"mf",,Trigger)</f>
        <v>42544</v>
      </c>
      <c r="T244" s="169">
        <f>_xll.qlDayCounterYearFraction(DayCounter,R244,S244,,,Trigger)</f>
        <v>0.25555555555555554</v>
      </c>
      <c r="U244" s="181">
        <f>_xll.qlInterpolationInterpolate(B3Minterpolation,R244,TRUE)</f>
        <v>1.4834532831218112E-3</v>
      </c>
      <c r="V244" s="184">
        <f>_xll.qlYieldTSDiscount(Discounting,R244,,AllTriggers)</f>
        <v>1.0013537235666761</v>
      </c>
      <c r="W244" s="184">
        <f>_xll.qlYieldTSDiscount(Discounting,S244,,AllTriggers)</f>
        <v>1.0017924046251909</v>
      </c>
      <c r="X244" s="181">
        <f t="shared" si="13"/>
        <v>-1.7135067576204543E-3</v>
      </c>
      <c r="Y244" s="348">
        <f t="shared" si="14"/>
        <v>3.7919890415119534E-4</v>
      </c>
      <c r="AD244" s="155"/>
      <c r="AE244" s="155"/>
    </row>
    <row r="245" spans="5:31" ht="11.25" customHeight="1" x14ac:dyDescent="0.2">
      <c r="E245" s="340"/>
      <c r="F245" s="340"/>
      <c r="G245" s="155"/>
      <c r="K245" s="155"/>
      <c r="L245" s="155"/>
      <c r="R245" s="183">
        <f>_xll.qlCalendarAdvance(Calendar,R244,"1D","f")</f>
        <v>42453</v>
      </c>
      <c r="S245" s="183">
        <f>_xll.qlCalendarAdvance(Calendar,R245,$F$1,"mf",,Trigger)</f>
        <v>42545</v>
      </c>
      <c r="T245" s="169">
        <f>_xll.qlDayCounterYearFraction(DayCounter,R245,S245,,,Trigger)</f>
        <v>0.25555555555555554</v>
      </c>
      <c r="U245" s="181">
        <f>_xll.qlInterpolationInterpolate(B3Minterpolation,R245,TRUE)</f>
        <v>1.4833442438028318E-3</v>
      </c>
      <c r="V245" s="184">
        <f>_xll.qlYieldTSDiscount(Discounting,R245,,AllTriggers)</f>
        <v>1.001358458238983</v>
      </c>
      <c r="W245" s="184">
        <f>_xll.qlYieldTSDiscount(Discounting,S245,,AllTriggers)</f>
        <v>1.0017973264213393</v>
      </c>
      <c r="X245" s="181">
        <f t="shared" si="13"/>
        <v>-1.7142292492639231E-3</v>
      </c>
      <c r="Y245" s="348">
        <f t="shared" si="14"/>
        <v>3.7917110693516323E-4</v>
      </c>
      <c r="AD245" s="155"/>
      <c r="AE245" s="155"/>
    </row>
    <row r="246" spans="5:31" ht="11.25" customHeight="1" x14ac:dyDescent="0.2">
      <c r="E246" s="340"/>
      <c r="F246" s="340"/>
      <c r="G246" s="155"/>
      <c r="K246" s="155"/>
      <c r="L246" s="155"/>
      <c r="R246" s="183">
        <f>_xll.qlCalendarAdvance(Calendar,R245,"1D","f")</f>
        <v>42458</v>
      </c>
      <c r="S246" s="183">
        <f>_xll.qlCalendarAdvance(Calendar,R246,$F$1,"mf",,Trigger)</f>
        <v>42550</v>
      </c>
      <c r="T246" s="169">
        <f>_xll.qlDayCounterYearFraction(DayCounter,R246,S246,,,Trigger)</f>
        <v>0.25555555555555554</v>
      </c>
      <c r="U246" s="181">
        <f>_xll.qlInterpolationInterpolate(B3Minterpolation,R246,TRUE)</f>
        <v>1.4826182304747597E-3</v>
      </c>
      <c r="V246" s="184">
        <f>_xll.qlYieldTSDiscount(Discounting,R246,,AllTriggers)</f>
        <v>1.0013821274550512</v>
      </c>
      <c r="W246" s="184">
        <f>_xll.qlYieldTSDiscount(Discounting,S246,,AllTriggers)</f>
        <v>1.0018219654204608</v>
      </c>
      <c r="X246" s="181">
        <f t="shared" si="13"/>
        <v>-1.7179749910106977E-3</v>
      </c>
      <c r="Y246" s="348">
        <f t="shared" si="14"/>
        <v>3.7898592210297956E-4</v>
      </c>
      <c r="AD246" s="155"/>
      <c r="AE246" s="155"/>
    </row>
    <row r="247" spans="5:31" ht="11.25" customHeight="1" x14ac:dyDescent="0.2">
      <c r="E247" s="340"/>
      <c r="F247" s="340"/>
      <c r="G247" s="155"/>
      <c r="K247" s="155"/>
      <c r="L247" s="155"/>
      <c r="R247" s="183">
        <f>_xll.qlCalendarAdvance(Calendar,R246,"1D","f")</f>
        <v>42459</v>
      </c>
      <c r="S247" s="183">
        <f>_xll.qlCalendarAdvance(Calendar,R247,$F$1,"mf",,Trigger)</f>
        <v>42551</v>
      </c>
      <c r="T247" s="169">
        <f>_xll.qlDayCounterYearFraction(DayCounter,R247,S247,,,Trigger)</f>
        <v>0.25555555555555554</v>
      </c>
      <c r="U247" s="181">
        <f>_xll.qlInterpolationInterpolate(B3Minterpolation,R247,TRUE)</f>
        <v>1.4824399819923927E-3</v>
      </c>
      <c r="V247" s="184">
        <f>_xll.qlYieldTSDiscount(Discounting,R247,,AllTriggers)</f>
        <v>1.0013868603918334</v>
      </c>
      <c r="W247" s="184">
        <f>_xll.qlYieldTSDiscount(Discounting,S247,,AllTriggers)</f>
        <v>1.0018268972718614</v>
      </c>
      <c r="X247" s="181">
        <f t="shared" si="13"/>
        <v>-1.7187434758203985E-3</v>
      </c>
      <c r="Y247" s="348">
        <f t="shared" si="14"/>
        <v>3.7894044141099725E-4</v>
      </c>
      <c r="AD247" s="155"/>
      <c r="AE247" s="155"/>
    </row>
    <row r="248" spans="5:31" ht="11.25" customHeight="1" x14ac:dyDescent="0.2">
      <c r="E248" s="340"/>
      <c r="F248" s="340"/>
      <c r="G248" s="155"/>
      <c r="K248" s="155"/>
      <c r="L248" s="155"/>
      <c r="R248" s="183">
        <f>_xll.qlCalendarAdvance(Calendar,R247,"1D","f")</f>
        <v>42460</v>
      </c>
      <c r="S248" s="183">
        <f>_xll.qlCalendarAdvance(Calendar,R248,$F$1,"mf",,Trigger)</f>
        <v>42551</v>
      </c>
      <c r="T248" s="169">
        <f>_xll.qlDayCounterYearFraction(DayCounter,R248,S248,,,Trigger)</f>
        <v>0.25277777777777777</v>
      </c>
      <c r="U248" s="181">
        <f>_xll.qlInterpolationInterpolate(B3Minterpolation,R248,TRUE)</f>
        <v>1.4822517574144022E-3</v>
      </c>
      <c r="V248" s="184">
        <f>_xll.qlYieldTSDiscount(Discounting,R248,,AllTriggers)</f>
        <v>1.0013915930006914</v>
      </c>
      <c r="W248" s="184">
        <f>_xll.qlYieldTSDiscount(Discounting,S248,,AllTriggers)</f>
        <v>1.0018268972718614</v>
      </c>
      <c r="X248" s="181">
        <f t="shared" si="13"/>
        <v>-1.7189424996393384E-3</v>
      </c>
      <c r="Y248" s="348">
        <f t="shared" si="14"/>
        <v>3.7477294247721058E-4</v>
      </c>
      <c r="AD248" s="155"/>
      <c r="AE248" s="155"/>
    </row>
    <row r="249" spans="5:31" ht="11.25" customHeight="1" x14ac:dyDescent="0.2">
      <c r="E249" s="340"/>
      <c r="F249" s="340"/>
      <c r="G249" s="155"/>
      <c r="K249" s="155"/>
      <c r="L249" s="155"/>
      <c r="R249" s="183">
        <f>_xll.qlCalendarAdvance(Calendar,R248,"1D","f")</f>
        <v>42461</v>
      </c>
      <c r="S249" s="183">
        <f>_xll.qlCalendarAdvance(Calendar,R249,$F$1,"mf",,Trigger)</f>
        <v>42552</v>
      </c>
      <c r="T249" s="169">
        <f>_xll.qlDayCounterYearFraction(DayCounter,R249,S249,,,Trigger)</f>
        <v>0.25277777777777777</v>
      </c>
      <c r="U249" s="181">
        <f>_xll.qlInterpolationInterpolate(B3Minterpolation,R249,TRUE)</f>
        <v>1.4820540021022002E-3</v>
      </c>
      <c r="V249" s="184">
        <f>_xll.qlYieldTSDiscount(Discounting,R249,,AllTriggers)</f>
        <v>1.001396325270576</v>
      </c>
      <c r="W249" s="184">
        <f>_xll.qlYieldTSDiscount(Discounting,S249,,AllTriggers)</f>
        <v>1.0018318298230617</v>
      </c>
      <c r="X249" s="181">
        <f t="shared" si="13"/>
        <v>-1.7197249093144089E-3</v>
      </c>
      <c r="Y249" s="348">
        <f t="shared" si="14"/>
        <v>3.7472302546612377E-4</v>
      </c>
      <c r="AD249" s="155"/>
      <c r="AE249" s="155"/>
    </row>
    <row r="250" spans="5:31" ht="11.25" customHeight="1" x14ac:dyDescent="0.2">
      <c r="E250" s="340"/>
      <c r="F250" s="340"/>
      <c r="G250" s="155"/>
      <c r="K250" s="155"/>
      <c r="L250" s="155"/>
      <c r="R250" s="183">
        <f>_xll.qlCalendarAdvance(Calendar,R249,"1D","f")</f>
        <v>42464</v>
      </c>
      <c r="S250" s="183">
        <f>_xll.qlCalendarAdvance(Calendar,R250,$F$1,"mf",,Trigger)</f>
        <v>42555</v>
      </c>
      <c r="T250" s="169">
        <f>_xll.qlDayCounterYearFraction(DayCounter,R250,S250,,,Trigger)</f>
        <v>0.25277777777777777</v>
      </c>
      <c r="U250" s="181">
        <f>_xll.qlInterpolationInterpolate(B3Minterpolation,R250,TRUE)</f>
        <v>1.4814080053744412E-3</v>
      </c>
      <c r="V250" s="184">
        <f>_xll.qlYieldTSDiscount(Discounting,R250,,AllTriggers)</f>
        <v>1.0014105199358942</v>
      </c>
      <c r="W250" s="184">
        <f>_xll.qlYieldTSDiscount(Discounting,S250,,AllTriggers)</f>
        <v>1.0018466288865009</v>
      </c>
      <c r="X250" s="181">
        <f t="shared" si="13"/>
        <v>-1.7220861242421667E-3</v>
      </c>
      <c r="Y250" s="348">
        <f t="shared" si="14"/>
        <v>3.7455994564083083E-4</v>
      </c>
      <c r="AD250" s="155"/>
      <c r="AE250" s="155"/>
    </row>
    <row r="251" spans="5:31" ht="11.25" customHeight="1" x14ac:dyDescent="0.2">
      <c r="E251" s="340"/>
      <c r="F251" s="340"/>
      <c r="G251" s="155"/>
      <c r="K251" s="155"/>
      <c r="L251" s="155"/>
      <c r="R251" s="183">
        <f>_xll.qlCalendarAdvance(Calendar,R250,"1D","f")</f>
        <v>42465</v>
      </c>
      <c r="S251" s="183">
        <f>_xll.qlCalendarAdvance(Calendar,R251,$F$1,"mf",,Trigger)</f>
        <v>42556</v>
      </c>
      <c r="T251" s="169">
        <f>_xll.qlDayCounterYearFraction(DayCounter,R251,S251,,,Trigger)</f>
        <v>0.25277777777777777</v>
      </c>
      <c r="U251" s="181">
        <f>_xll.qlInterpolationInterpolate(B3Minterpolation,R251,TRUE)</f>
        <v>1.4811765807395099E-3</v>
      </c>
      <c r="V251" s="184">
        <f>_xll.qlYieldTSDiscount(Discounting,R251,,AllTriggers)</f>
        <v>1.0014152507393896</v>
      </c>
      <c r="W251" s="184">
        <f>_xll.qlYieldTSDiscount(Discounting,S251,,AllTriggers)</f>
        <v>1.0018515614479122</v>
      </c>
      <c r="X251" s="181">
        <f t="shared" si="13"/>
        <v>-1.7228743337121672E-3</v>
      </c>
      <c r="Y251" s="348">
        <f t="shared" si="14"/>
        <v>3.7450151770966638E-4</v>
      </c>
      <c r="AD251" s="155"/>
      <c r="AE251" s="155"/>
    </row>
    <row r="252" spans="5:31" ht="11.25" customHeight="1" x14ac:dyDescent="0.2">
      <c r="E252" s="340"/>
      <c r="F252" s="340"/>
      <c r="G252" s="155"/>
      <c r="K252" s="155"/>
      <c r="L252" s="155"/>
      <c r="R252" s="183">
        <f>_xll.qlCalendarAdvance(Calendar,R251,"1D","f")</f>
        <v>42466</v>
      </c>
      <c r="S252" s="183">
        <f>_xll.qlCalendarAdvance(Calendar,R252,$F$1,"mf",,Trigger)</f>
        <v>42557</v>
      </c>
      <c r="T252" s="169">
        <f>_xll.qlDayCounterYearFraction(DayCounter,R252,S252,,,Trigger)</f>
        <v>0.25277777777777777</v>
      </c>
      <c r="U252" s="181">
        <f>_xll.qlInterpolationInterpolate(B3Minterpolation,R252,TRUE)</f>
        <v>1.4809378521774257E-3</v>
      </c>
      <c r="V252" s="184">
        <f>_xll.qlYieldTSDiscount(Discounting,R252,,AllTriggers)</f>
        <v>1.0014199811486624</v>
      </c>
      <c r="W252" s="184">
        <f>_xll.qlYieldTSDiscount(Discounting,S252,,AllTriggers)</f>
        <v>1.0018564933146019</v>
      </c>
      <c r="X252" s="181">
        <f t="shared" si="13"/>
        <v>-1.7236613500319739E-3</v>
      </c>
      <c r="Y252" s="348">
        <f t="shared" si="14"/>
        <v>3.7444124325535958E-4</v>
      </c>
      <c r="AD252" s="155"/>
      <c r="AE252" s="155"/>
    </row>
    <row r="253" spans="5:31" ht="11.25" customHeight="1" x14ac:dyDescent="0.2">
      <c r="E253" s="340"/>
      <c r="F253" s="340"/>
      <c r="G253" s="155"/>
      <c r="K253" s="155"/>
      <c r="L253" s="155"/>
      <c r="R253" s="183">
        <f>_xll.qlCalendarAdvance(Calendar,R252,"1D","f")</f>
        <v>42467</v>
      </c>
      <c r="S253" s="183">
        <f>_xll.qlCalendarAdvance(Calendar,R253,$F$1,"mf",,Trigger)</f>
        <v>42558</v>
      </c>
      <c r="T253" s="169">
        <f>_xll.qlDayCounterYearFraction(DayCounter,R253,S253,,,Trigger)</f>
        <v>0.25277777777777777</v>
      </c>
      <c r="U253" s="181">
        <f>_xll.qlInterpolationInterpolate(B3Minterpolation,R253,TRUE)</f>
        <v>1.4806922650496004E-3</v>
      </c>
      <c r="V253" s="184">
        <f>_xll.qlYieldTSDiscount(Discounting,R253,,AllTriggers)</f>
        <v>1.0014247111526622</v>
      </c>
      <c r="W253" s="184">
        <f>_xll.qlYieldTSDiscount(Discounting,S253,,AllTriggers)</f>
        <v>1.0018614242076489</v>
      </c>
      <c r="X253" s="181">
        <f t="shared" si="13"/>
        <v>-1.7244461159606982E-3</v>
      </c>
      <c r="Y253" s="348">
        <f t="shared" si="14"/>
        <v>3.7437923476055772E-4</v>
      </c>
      <c r="AD253" s="155"/>
      <c r="AE253" s="155"/>
    </row>
    <row r="254" spans="5:31" ht="11.25" customHeight="1" x14ac:dyDescent="0.2">
      <c r="E254" s="340"/>
      <c r="F254" s="340"/>
      <c r="G254" s="155"/>
      <c r="K254" s="155"/>
      <c r="L254" s="155"/>
      <c r="R254" s="183">
        <f>_xll.qlCalendarAdvance(Calendar,R253,"1D","f")</f>
        <v>42468</v>
      </c>
      <c r="S254" s="183">
        <f>_xll.qlCalendarAdvance(Calendar,R254,$F$1,"mf",,Trigger)</f>
        <v>42559</v>
      </c>
      <c r="T254" s="169">
        <f>_xll.qlDayCounterYearFraction(DayCounter,R254,S254,,,Trigger)</f>
        <v>0.25277777777777777</v>
      </c>
      <c r="U254" s="181">
        <f>_xll.qlInterpolationInterpolate(B3Minterpolation,R254,TRUE)</f>
        <v>1.4804402647174458E-3</v>
      </c>
      <c r="V254" s="184">
        <f>_xll.qlYieldTSDiscount(Discounting,R254,,AllTriggers)</f>
        <v>1.0014294407403388</v>
      </c>
      <c r="W254" s="184">
        <f>_xll.qlYieldTSDiscount(Discounting,S254,,AllTriggers)</f>
        <v>1.0018663538481269</v>
      </c>
      <c r="X254" s="181">
        <f t="shared" si="13"/>
        <v>-1.725227574259648E-3</v>
      </c>
      <c r="Y254" s="348">
        <f t="shared" si="14"/>
        <v>3.7431560470837052E-4</v>
      </c>
      <c r="AD254" s="155"/>
      <c r="AE254" s="155"/>
    </row>
    <row r="255" spans="5:31" ht="11.25" customHeight="1" x14ac:dyDescent="0.2">
      <c r="E255" s="340"/>
      <c r="F255" s="340"/>
      <c r="G255" s="155"/>
      <c r="K255" s="155"/>
      <c r="L255" s="155"/>
      <c r="R255" s="183">
        <f>_xll.qlCalendarAdvance(Calendar,R254,"1D","f")</f>
        <v>42471</v>
      </c>
      <c r="S255" s="183">
        <f>_xll.qlCalendarAdvance(Calendar,R255,$F$1,"mf",,Trigger)</f>
        <v>42562</v>
      </c>
      <c r="T255" s="169">
        <f>_xll.qlDayCounterYearFraction(DayCounter,R255,S255,,,Trigger)</f>
        <v>0.25277777777777777</v>
      </c>
      <c r="U255" s="181">
        <f>_xll.qlInterpolationInterpolate(B3Minterpolation,R255,TRUE)</f>
        <v>1.4796502381091235E-3</v>
      </c>
      <c r="V255" s="184">
        <f>_xll.qlYieldTSDiscount(Discounting,R255,,AllTriggers)</f>
        <v>1.0014436268949194</v>
      </c>
      <c r="W255" s="184">
        <f>_xll.qlYieldTSDiscount(Discounting,S255,,AllTriggers)</f>
        <v>1.0018811324648029</v>
      </c>
      <c r="X255" s="181">
        <f t="shared" si="13"/>
        <v>-1.7275415310150852E-3</v>
      </c>
      <c r="Y255" s="348">
        <f t="shared" si="14"/>
        <v>3.7411611004157283E-4</v>
      </c>
      <c r="AD255" s="155"/>
      <c r="AE255" s="155"/>
    </row>
    <row r="256" spans="5:31" ht="11.25" customHeight="1" x14ac:dyDescent="0.2">
      <c r="E256" s="340"/>
      <c r="F256" s="340"/>
      <c r="G256" s="155"/>
      <c r="K256" s="155"/>
      <c r="L256" s="155"/>
      <c r="R256" s="183">
        <f>_xll.qlCalendarAdvance(Calendar,R255,"1D","f")</f>
        <v>42472</v>
      </c>
      <c r="S256" s="183">
        <f>_xll.qlCalendarAdvance(Calendar,R256,$F$1,"mf",,Trigger)</f>
        <v>42563</v>
      </c>
      <c r="T256" s="169">
        <f>_xll.qlDayCounterYearFraction(DayCounter,R256,S256,,,Trigger)</f>
        <v>0.25277777777777777</v>
      </c>
      <c r="U256" s="181">
        <f>_xll.qlInterpolationInterpolate(B3Minterpolation,R256,TRUE)</f>
        <v>1.479377038573769E-3</v>
      </c>
      <c r="V256" s="184">
        <f>_xll.qlYieldTSDiscount(Discounting,R256,,AllTriggers)</f>
        <v>1.0014483547067921</v>
      </c>
      <c r="W256" s="184">
        <f>_xll.qlYieldTSDiscount(Discounting,S256,,AllTriggers)</f>
        <v>1.0018860543056329</v>
      </c>
      <c r="X256" s="181">
        <f t="shared" si="13"/>
        <v>-1.7282991864352461E-3</v>
      </c>
      <c r="Y256" s="348">
        <f t="shared" si="14"/>
        <v>3.7404711859514718E-4</v>
      </c>
      <c r="AD256" s="155"/>
      <c r="AE256" s="155"/>
    </row>
    <row r="257" spans="5:31" ht="11.25" customHeight="1" x14ac:dyDescent="0.2">
      <c r="E257" s="340"/>
      <c r="F257" s="340"/>
      <c r="G257" s="155"/>
      <c r="K257" s="155"/>
      <c r="L257" s="155"/>
      <c r="R257" s="183">
        <f>_xll.qlCalendarAdvance(Calendar,R256,"1D","f")</f>
        <v>42473</v>
      </c>
      <c r="S257" s="183">
        <f>_xll.qlCalendarAdvance(Calendar,R257,$F$1,"mf",,Trigger)</f>
        <v>42564</v>
      </c>
      <c r="T257" s="169">
        <f>_xll.qlDayCounterYearFraction(DayCounter,R257,S257,,,Trigger)</f>
        <v>0.25277777777777777</v>
      </c>
      <c r="U257" s="181">
        <f>_xll.qlInterpolationInterpolate(B3Minterpolation,R257,TRUE)</f>
        <v>1.479099652641144E-3</v>
      </c>
      <c r="V257" s="184">
        <f>_xll.qlYieldTSDiscount(Discounting,R257,,AllTriggers)</f>
        <v>1.0014530820470853</v>
      </c>
      <c r="W257" s="184">
        <f>_xll.qlYieldTSDiscount(Discounting,S257,,AllTriggers)</f>
        <v>1.0018909734991803</v>
      </c>
      <c r="X257" s="181">
        <f t="shared" si="13"/>
        <v>-1.7290482480479832E-3</v>
      </c>
      <c r="Y257" s="348">
        <f t="shared" si="14"/>
        <v>3.7397706800966496E-4</v>
      </c>
      <c r="AD257" s="155"/>
      <c r="AE257" s="155"/>
    </row>
    <row r="258" spans="5:31" ht="11.25" customHeight="1" x14ac:dyDescent="0.2">
      <c r="E258" s="340"/>
      <c r="F258" s="340"/>
      <c r="G258" s="155"/>
      <c r="K258" s="155"/>
      <c r="L258" s="155"/>
      <c r="R258" s="183">
        <f>_xll.qlCalendarAdvance(Calendar,R257,"1D","f")</f>
        <v>42474</v>
      </c>
      <c r="S258" s="183">
        <f>_xll.qlCalendarAdvance(Calendar,R258,$F$1,"mf",,Trigger)</f>
        <v>42565</v>
      </c>
      <c r="T258" s="169">
        <f>_xll.qlDayCounterYearFraction(DayCounter,R258,S258,,,Trigger)</f>
        <v>0.25277777777777777</v>
      </c>
      <c r="U258" s="181">
        <f>_xll.qlInterpolationInterpolate(B3Minterpolation,R258,TRUE)</f>
        <v>1.4788185256726601E-3</v>
      </c>
      <c r="V258" s="184">
        <f>_xll.qlYieldTSDiscount(Discounting,R258,,AllTriggers)</f>
        <v>1.001457808904747</v>
      </c>
      <c r="W258" s="184">
        <f>_xll.qlYieldTSDiscount(Discounting,S258,,AllTriggers)</f>
        <v>1.0018958897664858</v>
      </c>
      <c r="X258" s="181">
        <f t="shared" si="13"/>
        <v>-1.7297876586203137E-3</v>
      </c>
      <c r="Y258" s="348">
        <f t="shared" si="14"/>
        <v>3.7390607076949169E-4</v>
      </c>
      <c r="AD258" s="155"/>
      <c r="AE258" s="155"/>
    </row>
    <row r="259" spans="5:31" ht="11.25" customHeight="1" x14ac:dyDescent="0.2">
      <c r="E259" s="340"/>
      <c r="F259" s="340"/>
      <c r="G259" s="155"/>
      <c r="K259" s="155"/>
      <c r="L259" s="155"/>
      <c r="R259" s="183">
        <f>_xll.qlCalendarAdvance(Calendar,R258,"1D","f")</f>
        <v>42475</v>
      </c>
      <c r="S259" s="183">
        <f>_xll.qlCalendarAdvance(Calendar,R259,$F$1,"mf",,Trigger)</f>
        <v>42566</v>
      </c>
      <c r="T259" s="169">
        <f>_xll.qlDayCounterYearFraction(DayCounter,R259,S259,,,Trigger)</f>
        <v>0.25277777777777777</v>
      </c>
      <c r="U259" s="181">
        <f>_xll.qlInterpolationInterpolate(B3Minterpolation,R259,TRUE)</f>
        <v>1.4785341030297294E-3</v>
      </c>
      <c r="V259" s="184">
        <f>_xll.qlYieldTSDiscount(Discounting,R259,,AllTriggers)</f>
        <v>1.001462535268725</v>
      </c>
      <c r="W259" s="184">
        <f>_xll.qlYieldTSDiscount(Discounting,S259,,AllTriggers)</f>
        <v>1.0019008028285854</v>
      </c>
      <c r="X259" s="181">
        <f t="shared" si="13"/>
        <v>-1.7305163609223299E-3</v>
      </c>
      <c r="Y259" s="348">
        <f t="shared" si="14"/>
        <v>3.7383423935946581E-4</v>
      </c>
      <c r="AD259" s="155"/>
      <c r="AE259" s="155"/>
    </row>
    <row r="260" spans="5:31" ht="11.25" customHeight="1" x14ac:dyDescent="0.2">
      <c r="E260" s="340"/>
      <c r="F260" s="340"/>
      <c r="G260" s="155"/>
      <c r="K260" s="155"/>
      <c r="L260" s="155"/>
      <c r="R260" s="183">
        <f>_xll.qlCalendarAdvance(Calendar,R259,"1D","f")</f>
        <v>42478</v>
      </c>
      <c r="S260" s="183">
        <f>_xll.qlCalendarAdvance(Calendar,R260,$F$1,"mf",,Trigger)</f>
        <v>42569</v>
      </c>
      <c r="T260" s="169">
        <f>_xll.qlDayCounterYearFraction(DayCounter,R260,S260,,,Trigger)</f>
        <v>0.25277777777777777</v>
      </c>
      <c r="U260" s="181">
        <f>_xll.qlInterpolationInterpolate(B3Minterpolation,R260,TRUE)</f>
        <v>1.4776655146683726E-3</v>
      </c>
      <c r="V260" s="184">
        <f>_xll.qlYieldTSDiscount(Discounting,R260,,AllTriggers)</f>
        <v>1.0014767112880343</v>
      </c>
      <c r="W260" s="184">
        <f>_xll.qlYieldTSDiscount(Discounting,S260,,AllTriggers)</f>
        <v>1.0019155199939185</v>
      </c>
      <c r="X260" s="181">
        <f t="shared" ref="X260:X261" si="15">(V260/W260-1)/T260</f>
        <v>-1.7326276458749105E-3</v>
      </c>
      <c r="Y260" s="348">
        <f t="shared" ref="Y260:Y261" si="16">LN((1+(U260+X260)*T260)/(1+X260*T260))</f>
        <v>3.7361486495667207E-4</v>
      </c>
      <c r="AD260" s="155"/>
      <c r="AE260" s="155"/>
    </row>
    <row r="261" spans="5:31" ht="11.25" customHeight="1" x14ac:dyDescent="0.2">
      <c r="E261" s="340"/>
      <c r="F261" s="340"/>
      <c r="G261" s="155"/>
      <c r="K261" s="155"/>
      <c r="L261" s="155"/>
      <c r="R261" s="187">
        <f>_xll.qlCalendarAdvance(Calendar,R260,"1D","f")</f>
        <v>42479</v>
      </c>
      <c r="S261" s="187">
        <f>_xll.qlCalendarAdvance(Calendar,R261,$F$1,"mf",,Trigger)</f>
        <v>42570</v>
      </c>
      <c r="T261" s="174">
        <f>_xll.qlDayCounterYearFraction(DayCounter,R261,S261,,,Trigger)</f>
        <v>0.25277777777777777</v>
      </c>
      <c r="U261" s="190">
        <f>_xll.qlInterpolationInterpolate(B3Minterpolation,R261,TRUE)</f>
        <v>1.4773723629417711E-3</v>
      </c>
      <c r="V261" s="188">
        <f>_xll.qlYieldTSDiscount(Discounting,R261,,AllTriggers)</f>
        <v>1.0014814355667532</v>
      </c>
      <c r="W261" s="188">
        <f>_xll.qlYieldTSDiscount(Discounting,S261,,AllTriggers)</f>
        <v>1.0019204175098091</v>
      </c>
      <c r="X261" s="190">
        <f t="shared" si="15"/>
        <v>-1.7333031968298667E-3</v>
      </c>
      <c r="Y261" s="350">
        <f t="shared" si="16"/>
        <v>3.7354082173931809E-4</v>
      </c>
      <c r="AD261" s="155"/>
      <c r="AE261" s="155"/>
    </row>
    <row r="262" spans="5:31" ht="11.25" customHeight="1" x14ac:dyDescent="0.2">
      <c r="E262" s="340"/>
      <c r="F262" s="340"/>
      <c r="G262" s="155"/>
      <c r="K262" s="155"/>
      <c r="L262" s="155"/>
      <c r="R262" s="342"/>
      <c r="S262" s="342"/>
      <c r="T262" s="342"/>
      <c r="U262" s="342"/>
      <c r="V262" s="342"/>
      <c r="W262" s="342"/>
      <c r="X262" s="343"/>
      <c r="Y262" s="154"/>
      <c r="AD262" s="155"/>
      <c r="AE262" s="155"/>
    </row>
    <row r="263" spans="5:31" ht="11.25" customHeight="1" x14ac:dyDescent="0.2">
      <c r="E263" s="340"/>
      <c r="F263" s="340"/>
      <c r="G263" s="155"/>
      <c r="K263" s="155"/>
      <c r="L263" s="155"/>
      <c r="R263" s="342"/>
      <c r="S263" s="342"/>
      <c r="T263" s="342"/>
      <c r="U263" s="342"/>
      <c r="V263" s="342"/>
      <c r="W263" s="342"/>
      <c r="X263" s="343"/>
      <c r="Y263" s="154"/>
      <c r="AD263" s="155"/>
      <c r="AE263" s="155"/>
    </row>
    <row r="264" spans="5:31" ht="11.25" customHeight="1" x14ac:dyDescent="0.2">
      <c r="E264" s="340"/>
      <c r="F264" s="340"/>
      <c r="G264" s="155"/>
      <c r="K264" s="155"/>
      <c r="L264" s="155"/>
      <c r="R264" s="342"/>
      <c r="S264" s="342"/>
      <c r="T264" s="342"/>
      <c r="U264" s="342"/>
      <c r="V264" s="342"/>
      <c r="W264" s="342"/>
      <c r="X264" s="343"/>
      <c r="Y264" s="154"/>
      <c r="AD264" s="155"/>
      <c r="AE264" s="155"/>
    </row>
    <row r="265" spans="5:31" ht="11.25" customHeight="1" x14ac:dyDescent="0.2">
      <c r="E265" s="340"/>
      <c r="F265" s="340"/>
      <c r="G265" s="155"/>
      <c r="K265" s="155"/>
      <c r="L265" s="155"/>
      <c r="R265" s="342"/>
      <c r="S265" s="342"/>
      <c r="T265" s="342"/>
      <c r="U265" s="342"/>
      <c r="V265" s="342"/>
      <c r="W265" s="342"/>
      <c r="X265" s="343"/>
      <c r="Y265" s="154"/>
      <c r="AD265" s="155"/>
      <c r="AE265" s="155"/>
    </row>
    <row r="266" spans="5:31" ht="11.25" customHeight="1" x14ac:dyDescent="0.2">
      <c r="E266" s="340"/>
      <c r="F266" s="340"/>
      <c r="G266" s="155"/>
      <c r="K266" s="155"/>
      <c r="L266" s="155"/>
      <c r="R266" s="342"/>
      <c r="S266" s="342"/>
      <c r="T266" s="342"/>
      <c r="U266" s="342"/>
      <c r="V266" s="342"/>
      <c r="W266" s="342"/>
      <c r="X266" s="343"/>
      <c r="Y266" s="154"/>
      <c r="AD266" s="155"/>
      <c r="AE266" s="155"/>
    </row>
    <row r="267" spans="5:31" ht="11.25" customHeight="1" x14ac:dyDescent="0.2">
      <c r="E267" s="340"/>
      <c r="F267" s="340"/>
      <c r="G267" s="155"/>
      <c r="K267" s="155"/>
      <c r="L267" s="155"/>
      <c r="R267" s="342"/>
      <c r="S267" s="342"/>
      <c r="T267" s="342"/>
      <c r="U267" s="342"/>
      <c r="V267" s="342"/>
      <c r="W267" s="342"/>
      <c r="X267" s="343"/>
      <c r="Y267" s="154"/>
      <c r="AD267" s="155"/>
      <c r="AE267" s="155"/>
    </row>
    <row r="268" spans="5:31" ht="11.25" customHeight="1" x14ac:dyDescent="0.2">
      <c r="E268" s="340"/>
      <c r="F268" s="340"/>
      <c r="G268" s="155"/>
      <c r="K268" s="155"/>
      <c r="L268" s="155"/>
      <c r="R268" s="342"/>
      <c r="S268" s="342"/>
      <c r="T268" s="342"/>
      <c r="U268" s="342"/>
      <c r="V268" s="342"/>
      <c r="W268" s="342"/>
      <c r="X268" s="343"/>
      <c r="Y268" s="154"/>
      <c r="AD268" s="155"/>
      <c r="AE268" s="155"/>
    </row>
    <row r="269" spans="5:31" ht="11.25" customHeight="1" x14ac:dyDescent="0.2">
      <c r="E269" s="340"/>
      <c r="F269" s="340"/>
      <c r="G269" s="155"/>
      <c r="K269" s="155"/>
      <c r="L269" s="155"/>
      <c r="R269" s="342"/>
      <c r="S269" s="342"/>
      <c r="T269" s="342"/>
      <c r="U269" s="342"/>
      <c r="V269" s="342"/>
      <c r="W269" s="342"/>
      <c r="X269" s="343"/>
      <c r="Y269" s="154"/>
      <c r="AD269" s="155"/>
      <c r="AE269" s="155"/>
    </row>
    <row r="270" spans="5:31" ht="11.25" customHeight="1" x14ac:dyDescent="0.2">
      <c r="E270" s="340"/>
      <c r="F270" s="340"/>
      <c r="G270" s="155"/>
      <c r="K270" s="155"/>
      <c r="L270" s="155"/>
      <c r="R270" s="342"/>
      <c r="S270" s="342"/>
      <c r="T270" s="342"/>
      <c r="U270" s="342"/>
      <c r="V270" s="342"/>
      <c r="W270" s="342"/>
      <c r="X270" s="343"/>
      <c r="Y270" s="154"/>
      <c r="AD270" s="155"/>
      <c r="AE270" s="155"/>
    </row>
    <row r="271" spans="5:31" ht="11.25" customHeight="1" x14ac:dyDescent="0.2">
      <c r="E271" s="340"/>
      <c r="F271" s="340"/>
      <c r="G271" s="155"/>
      <c r="K271" s="155"/>
      <c r="L271" s="155"/>
      <c r="R271" s="342"/>
      <c r="S271" s="342"/>
      <c r="T271" s="342"/>
      <c r="U271" s="342"/>
      <c r="V271" s="342"/>
      <c r="W271" s="342"/>
      <c r="X271" s="343"/>
      <c r="Y271" s="154"/>
      <c r="AD271" s="155"/>
      <c r="AE271" s="155"/>
    </row>
    <row r="272" spans="5:31" ht="11.25" customHeight="1" x14ac:dyDescent="0.2">
      <c r="E272" s="340"/>
      <c r="F272" s="340"/>
      <c r="G272" s="155"/>
      <c r="K272" s="155"/>
      <c r="L272" s="155"/>
      <c r="R272" s="342"/>
      <c r="S272" s="342"/>
      <c r="T272" s="342"/>
      <c r="U272" s="342"/>
      <c r="V272" s="342"/>
      <c r="W272" s="342"/>
      <c r="X272" s="343"/>
      <c r="Y272" s="154"/>
      <c r="AD272" s="155"/>
      <c r="AE272" s="155"/>
    </row>
    <row r="273" spans="5:31" ht="11.25" customHeight="1" x14ac:dyDescent="0.2">
      <c r="E273" s="340"/>
      <c r="F273" s="340"/>
      <c r="G273" s="155"/>
      <c r="K273" s="155"/>
      <c r="L273" s="155"/>
      <c r="R273" s="342"/>
      <c r="S273" s="342"/>
      <c r="T273" s="342"/>
      <c r="U273" s="342"/>
      <c r="V273" s="342"/>
      <c r="W273" s="342"/>
      <c r="X273" s="343"/>
      <c r="Y273" s="154"/>
      <c r="AD273" s="155"/>
      <c r="AE273" s="155"/>
    </row>
    <row r="274" spans="5:31" ht="11.25" customHeight="1" x14ac:dyDescent="0.2">
      <c r="E274" s="340"/>
      <c r="F274" s="340"/>
      <c r="G274" s="155"/>
      <c r="K274" s="155"/>
      <c r="L274" s="155"/>
      <c r="R274" s="342"/>
      <c r="S274" s="342"/>
      <c r="T274" s="342"/>
      <c r="U274" s="342"/>
      <c r="V274" s="342"/>
      <c r="W274" s="342"/>
      <c r="X274" s="343"/>
      <c r="Y274" s="154"/>
      <c r="AD274" s="155"/>
      <c r="AE274" s="155"/>
    </row>
    <row r="275" spans="5:31" ht="11.25" customHeight="1" x14ac:dyDescent="0.2">
      <c r="E275" s="340"/>
      <c r="F275" s="340"/>
      <c r="G275" s="155"/>
      <c r="K275" s="155"/>
      <c r="L275" s="155"/>
      <c r="R275" s="342"/>
      <c r="S275" s="342"/>
      <c r="T275" s="342"/>
      <c r="U275" s="342"/>
      <c r="V275" s="342"/>
      <c r="W275" s="342"/>
      <c r="X275" s="343"/>
      <c r="Y275" s="154"/>
      <c r="AD275" s="155"/>
      <c r="AE275" s="155"/>
    </row>
    <row r="276" spans="5:31" ht="11.25" customHeight="1" x14ac:dyDescent="0.2">
      <c r="E276" s="340"/>
      <c r="F276" s="340"/>
      <c r="G276" s="155"/>
      <c r="K276" s="155"/>
      <c r="L276" s="155"/>
      <c r="R276" s="342"/>
      <c r="S276" s="342"/>
      <c r="T276" s="342"/>
      <c r="U276" s="342"/>
      <c r="V276" s="342"/>
      <c r="W276" s="342"/>
      <c r="X276" s="343"/>
      <c r="Y276" s="154"/>
      <c r="AD276" s="155"/>
      <c r="AE276" s="155"/>
    </row>
    <row r="277" spans="5:31" ht="11.25" customHeight="1" x14ac:dyDescent="0.2">
      <c r="E277" s="340"/>
      <c r="F277" s="340"/>
      <c r="G277" s="155"/>
      <c r="K277" s="155"/>
      <c r="L277" s="155"/>
      <c r="R277" s="342"/>
      <c r="S277" s="342"/>
      <c r="T277" s="342"/>
      <c r="U277" s="342"/>
      <c r="V277" s="342"/>
      <c r="W277" s="342"/>
      <c r="X277" s="343"/>
      <c r="Y277" s="154"/>
      <c r="AD277" s="155"/>
      <c r="AE277" s="155"/>
    </row>
    <row r="278" spans="5:31" ht="11.25" customHeight="1" x14ac:dyDescent="0.2">
      <c r="E278" s="340"/>
      <c r="F278" s="340"/>
      <c r="G278" s="155"/>
      <c r="K278" s="155"/>
      <c r="L278" s="155"/>
      <c r="R278" s="342"/>
      <c r="S278" s="342"/>
      <c r="T278" s="342"/>
      <c r="U278" s="342"/>
      <c r="V278" s="342"/>
      <c r="W278" s="342"/>
      <c r="X278" s="343"/>
      <c r="Y278" s="154"/>
      <c r="AD278" s="155"/>
      <c r="AE278" s="155"/>
    </row>
    <row r="279" spans="5:31" ht="11.25" customHeight="1" x14ac:dyDescent="0.2">
      <c r="E279" s="340"/>
      <c r="F279" s="340"/>
      <c r="G279" s="155"/>
      <c r="K279" s="155"/>
      <c r="L279" s="155"/>
      <c r="R279" s="342"/>
      <c r="S279" s="342"/>
      <c r="T279" s="342"/>
      <c r="U279" s="342"/>
      <c r="V279" s="342"/>
      <c r="W279" s="342"/>
      <c r="X279" s="343"/>
      <c r="Y279" s="154"/>
      <c r="AD279" s="155"/>
      <c r="AE279" s="155"/>
    </row>
    <row r="280" spans="5:31" ht="11.25" customHeight="1" x14ac:dyDescent="0.2">
      <c r="E280" s="340"/>
      <c r="F280" s="340"/>
      <c r="G280" s="155"/>
      <c r="K280" s="155"/>
      <c r="L280" s="155"/>
      <c r="R280" s="342"/>
      <c r="S280" s="342"/>
      <c r="T280" s="342"/>
      <c r="U280" s="342"/>
      <c r="V280" s="342"/>
      <c r="W280" s="342"/>
      <c r="X280" s="343"/>
      <c r="Y280" s="154"/>
      <c r="AD280" s="155"/>
      <c r="AE280" s="155"/>
    </row>
    <row r="281" spans="5:31" ht="11.25" customHeight="1" x14ac:dyDescent="0.2">
      <c r="E281" s="340"/>
      <c r="F281" s="340"/>
      <c r="G281" s="155"/>
      <c r="K281" s="155"/>
      <c r="L281" s="155"/>
      <c r="R281" s="342"/>
      <c r="S281" s="342"/>
      <c r="T281" s="342"/>
      <c r="U281" s="342"/>
      <c r="V281" s="342"/>
      <c r="W281" s="342"/>
      <c r="X281" s="343"/>
      <c r="Y281" s="154"/>
      <c r="AD281" s="155"/>
      <c r="AE281" s="155"/>
    </row>
    <row r="282" spans="5:31" ht="11.25" customHeight="1" x14ac:dyDescent="0.2">
      <c r="E282" s="340"/>
      <c r="F282" s="340"/>
      <c r="G282" s="155"/>
      <c r="K282" s="155"/>
      <c r="L282" s="155"/>
      <c r="R282" s="342"/>
      <c r="S282" s="342"/>
      <c r="T282" s="342"/>
      <c r="U282" s="342"/>
      <c r="V282" s="342"/>
      <c r="W282" s="342"/>
      <c r="X282" s="343"/>
      <c r="Y282" s="154"/>
      <c r="AD282" s="155"/>
      <c r="AE282" s="155"/>
    </row>
    <row r="283" spans="5:31" ht="11.25" customHeight="1" x14ac:dyDescent="0.2">
      <c r="E283" s="340"/>
      <c r="F283" s="340"/>
      <c r="G283" s="155"/>
      <c r="K283" s="155"/>
      <c r="L283" s="155"/>
      <c r="R283" s="342"/>
      <c r="S283" s="342"/>
      <c r="T283" s="342"/>
      <c r="U283" s="342"/>
      <c r="V283" s="342"/>
      <c r="W283" s="342"/>
      <c r="X283" s="343"/>
      <c r="Y283" s="154"/>
      <c r="AD283" s="155"/>
      <c r="AE283" s="155"/>
    </row>
    <row r="284" spans="5:31" ht="11.25" customHeight="1" x14ac:dyDescent="0.2">
      <c r="E284" s="340"/>
      <c r="F284" s="340"/>
      <c r="G284" s="155"/>
      <c r="K284" s="155"/>
      <c r="L284" s="155"/>
      <c r="R284" s="342"/>
      <c r="S284" s="342"/>
      <c r="T284" s="342"/>
      <c r="U284" s="342"/>
      <c r="V284" s="342"/>
      <c r="W284" s="342"/>
      <c r="X284" s="343"/>
      <c r="Y284" s="154"/>
      <c r="AD284" s="155"/>
      <c r="AE284" s="155"/>
    </row>
    <row r="285" spans="5:31" ht="11.25" customHeight="1" x14ac:dyDescent="0.2">
      <c r="E285" s="340"/>
      <c r="F285" s="340"/>
      <c r="G285" s="155"/>
      <c r="K285" s="155"/>
      <c r="L285" s="155"/>
      <c r="R285" s="342"/>
      <c r="S285" s="342"/>
      <c r="T285" s="342"/>
      <c r="U285" s="342"/>
      <c r="V285" s="342"/>
      <c r="W285" s="342"/>
      <c r="X285" s="343"/>
      <c r="Y285" s="154"/>
      <c r="AD285" s="155"/>
      <c r="AE285" s="155"/>
    </row>
    <row r="286" spans="5:31" ht="11.25" customHeight="1" x14ac:dyDescent="0.2">
      <c r="E286" s="340"/>
      <c r="F286" s="340"/>
      <c r="G286" s="155"/>
      <c r="K286" s="155"/>
      <c r="L286" s="155"/>
      <c r="R286" s="342"/>
      <c r="S286" s="342"/>
      <c r="T286" s="342"/>
      <c r="U286" s="342"/>
      <c r="V286" s="342"/>
      <c r="W286" s="342"/>
      <c r="X286" s="343"/>
      <c r="Y286" s="154"/>
      <c r="AD286" s="155"/>
      <c r="AE286" s="155"/>
    </row>
    <row r="287" spans="5:31" ht="11.25" customHeight="1" x14ac:dyDescent="0.2">
      <c r="E287" s="340"/>
      <c r="F287" s="340"/>
      <c r="G287" s="155"/>
      <c r="K287" s="155"/>
      <c r="L287" s="155"/>
      <c r="R287" s="342"/>
      <c r="S287" s="342"/>
      <c r="T287" s="342"/>
      <c r="U287" s="342"/>
      <c r="V287" s="342"/>
      <c r="W287" s="342"/>
      <c r="X287" s="343"/>
      <c r="Y287" s="154"/>
      <c r="AD287" s="155"/>
      <c r="AE287" s="155"/>
    </row>
    <row r="288" spans="5:31" ht="11.25" customHeight="1" x14ac:dyDescent="0.2">
      <c r="E288" s="340"/>
      <c r="F288" s="340"/>
      <c r="G288" s="155"/>
      <c r="K288" s="155"/>
      <c r="L288" s="155"/>
      <c r="R288" s="342"/>
      <c r="S288" s="342"/>
      <c r="T288" s="342"/>
      <c r="U288" s="342"/>
      <c r="V288" s="342"/>
      <c r="W288" s="342"/>
      <c r="X288" s="343"/>
      <c r="Y288" s="154"/>
      <c r="AD288" s="155"/>
      <c r="AE288" s="155"/>
    </row>
    <row r="289" spans="5:31" ht="11.25" customHeight="1" x14ac:dyDescent="0.2">
      <c r="E289" s="340"/>
      <c r="F289" s="340"/>
      <c r="G289" s="155"/>
      <c r="K289" s="155"/>
      <c r="L289" s="155"/>
      <c r="R289" s="342"/>
      <c r="S289" s="342"/>
      <c r="T289" s="342"/>
      <c r="U289" s="342"/>
      <c r="V289" s="342"/>
      <c r="W289" s="342"/>
      <c r="X289" s="343"/>
      <c r="Y289" s="154"/>
      <c r="AD289" s="155"/>
      <c r="AE289" s="155"/>
    </row>
    <row r="290" spans="5:31" ht="11.25" customHeight="1" x14ac:dyDescent="0.2">
      <c r="E290" s="340"/>
      <c r="F290" s="340"/>
      <c r="G290" s="155"/>
      <c r="K290" s="155"/>
      <c r="L290" s="155"/>
      <c r="R290" s="342"/>
      <c r="S290" s="342"/>
      <c r="T290" s="342"/>
      <c r="U290" s="342"/>
      <c r="V290" s="342"/>
      <c r="W290" s="342"/>
      <c r="X290" s="343"/>
      <c r="Y290" s="154"/>
      <c r="AD290" s="155"/>
      <c r="AE290" s="155"/>
    </row>
    <row r="291" spans="5:31" ht="11.25" customHeight="1" x14ac:dyDescent="0.2">
      <c r="E291" s="340"/>
      <c r="F291" s="340"/>
      <c r="G291" s="155"/>
      <c r="K291" s="155"/>
      <c r="L291" s="155"/>
      <c r="R291" s="342"/>
      <c r="S291" s="342"/>
      <c r="T291" s="342"/>
      <c r="U291" s="342"/>
      <c r="V291" s="342"/>
      <c r="W291" s="342"/>
      <c r="X291" s="343"/>
      <c r="Y291" s="154"/>
      <c r="AD291" s="155"/>
      <c r="AE291" s="155"/>
    </row>
    <row r="292" spans="5:31" ht="11.25" customHeight="1" x14ac:dyDescent="0.2">
      <c r="E292" s="340"/>
      <c r="F292" s="340"/>
      <c r="G292" s="155"/>
      <c r="K292" s="155"/>
      <c r="L292" s="155"/>
      <c r="R292" s="342"/>
      <c r="S292" s="342"/>
      <c r="T292" s="342"/>
      <c r="U292" s="342"/>
      <c r="V292" s="342"/>
      <c r="W292" s="342"/>
      <c r="X292" s="343"/>
      <c r="Y292" s="154"/>
      <c r="AD292" s="155"/>
      <c r="AE292" s="155"/>
    </row>
    <row r="293" spans="5:31" ht="11.25" customHeight="1" x14ac:dyDescent="0.2">
      <c r="E293" s="340"/>
      <c r="F293" s="340"/>
      <c r="G293" s="155"/>
      <c r="K293" s="155"/>
      <c r="L293" s="155"/>
      <c r="R293" s="342"/>
      <c r="S293" s="342"/>
      <c r="T293" s="342"/>
      <c r="U293" s="342"/>
      <c r="V293" s="342"/>
      <c r="W293" s="342"/>
      <c r="X293" s="343"/>
      <c r="Y293" s="154"/>
      <c r="AD293" s="155"/>
      <c r="AE293" s="155"/>
    </row>
    <row r="294" spans="5:31" ht="11.25" customHeight="1" x14ac:dyDescent="0.2">
      <c r="E294" s="340"/>
      <c r="F294" s="340"/>
      <c r="G294" s="155"/>
      <c r="K294" s="155"/>
      <c r="L294" s="155"/>
      <c r="R294" s="342"/>
      <c r="S294" s="342"/>
      <c r="T294" s="342"/>
      <c r="U294" s="342"/>
      <c r="V294" s="342"/>
      <c r="W294" s="342"/>
      <c r="X294" s="343"/>
      <c r="Y294" s="154"/>
      <c r="AD294" s="155"/>
      <c r="AE294" s="155"/>
    </row>
    <row r="295" spans="5:31" ht="11.25" customHeight="1" x14ac:dyDescent="0.2">
      <c r="E295" s="340"/>
      <c r="F295" s="340"/>
      <c r="G295" s="155"/>
      <c r="K295" s="155"/>
      <c r="L295" s="155"/>
      <c r="R295" s="342"/>
      <c r="S295" s="342"/>
      <c r="T295" s="342"/>
      <c r="U295" s="342"/>
      <c r="V295" s="342"/>
      <c r="W295" s="342"/>
      <c r="X295" s="343"/>
      <c r="Y295" s="154"/>
      <c r="AD295" s="155"/>
      <c r="AE295" s="155"/>
    </row>
    <row r="296" spans="5:31" ht="11.25" customHeight="1" x14ac:dyDescent="0.2">
      <c r="E296" s="340"/>
      <c r="F296" s="340"/>
      <c r="G296" s="155"/>
      <c r="K296" s="155"/>
      <c r="L296" s="155"/>
      <c r="R296" s="342"/>
      <c r="S296" s="342"/>
      <c r="T296" s="342"/>
      <c r="U296" s="342"/>
      <c r="V296" s="342"/>
      <c r="W296" s="342"/>
      <c r="X296" s="343"/>
      <c r="Y296" s="154"/>
      <c r="AD296" s="155"/>
      <c r="AE296" s="155"/>
    </row>
    <row r="297" spans="5:31" ht="11.25" customHeight="1" x14ac:dyDescent="0.2">
      <c r="E297" s="340"/>
      <c r="F297" s="340"/>
      <c r="G297" s="155"/>
      <c r="K297" s="155"/>
      <c r="L297" s="155"/>
      <c r="R297" s="342"/>
      <c r="S297" s="342"/>
      <c r="T297" s="342"/>
      <c r="U297" s="342"/>
      <c r="V297" s="342"/>
      <c r="W297" s="342"/>
      <c r="X297" s="343"/>
      <c r="Y297" s="154"/>
      <c r="AD297" s="155"/>
      <c r="AE297" s="155"/>
    </row>
    <row r="298" spans="5:31" ht="11.25" customHeight="1" x14ac:dyDescent="0.2">
      <c r="E298" s="340"/>
      <c r="F298" s="340"/>
      <c r="G298" s="155"/>
      <c r="K298" s="155"/>
      <c r="L298" s="155"/>
      <c r="R298" s="342"/>
      <c r="S298" s="342"/>
      <c r="T298" s="342"/>
      <c r="U298" s="342"/>
      <c r="V298" s="342"/>
      <c r="W298" s="342"/>
      <c r="X298" s="343"/>
      <c r="Y298" s="154"/>
      <c r="AD298" s="155"/>
      <c r="AE298" s="155"/>
    </row>
    <row r="299" spans="5:31" ht="11.25" customHeight="1" x14ac:dyDescent="0.2">
      <c r="E299" s="340"/>
      <c r="F299" s="340"/>
      <c r="G299" s="155"/>
      <c r="K299" s="155"/>
      <c r="L299" s="155"/>
      <c r="R299" s="342"/>
      <c r="S299" s="342"/>
      <c r="T299" s="342"/>
      <c r="U299" s="342"/>
      <c r="V299" s="342"/>
      <c r="W299" s="342"/>
      <c r="X299" s="343"/>
      <c r="Y299" s="154"/>
      <c r="AD299" s="155"/>
      <c r="AE299" s="155"/>
    </row>
    <row r="300" spans="5:31" ht="11.25" customHeight="1" x14ac:dyDescent="0.2">
      <c r="E300" s="340"/>
      <c r="F300" s="340"/>
      <c r="G300" s="155"/>
      <c r="K300" s="155"/>
      <c r="L300" s="155"/>
      <c r="R300" s="342"/>
      <c r="S300" s="342"/>
      <c r="T300" s="342"/>
      <c r="U300" s="342"/>
      <c r="V300" s="342"/>
      <c r="W300" s="342"/>
      <c r="X300" s="343"/>
      <c r="Y300" s="154"/>
      <c r="AD300" s="155"/>
      <c r="AE300" s="155"/>
    </row>
    <row r="301" spans="5:31" ht="11.25" customHeight="1" x14ac:dyDescent="0.2">
      <c r="E301" s="340"/>
      <c r="F301" s="340"/>
      <c r="G301" s="155"/>
      <c r="K301" s="155"/>
      <c r="L301" s="155"/>
      <c r="R301" s="342"/>
      <c r="S301" s="342"/>
      <c r="T301" s="342"/>
      <c r="U301" s="342"/>
      <c r="V301" s="342"/>
      <c r="W301" s="342"/>
      <c r="X301" s="343"/>
      <c r="Y301" s="154"/>
      <c r="AD301" s="155"/>
      <c r="AE301" s="155"/>
    </row>
    <row r="302" spans="5:31" ht="11.25" customHeight="1" x14ac:dyDescent="0.2">
      <c r="E302" s="340"/>
      <c r="F302" s="340"/>
      <c r="G302" s="155"/>
      <c r="K302" s="155"/>
      <c r="L302" s="155"/>
      <c r="R302" s="342"/>
      <c r="S302" s="342"/>
      <c r="T302" s="342"/>
      <c r="U302" s="342"/>
      <c r="V302" s="342"/>
      <c r="W302" s="342"/>
      <c r="X302" s="343"/>
      <c r="Y302" s="154"/>
      <c r="AD302" s="155"/>
      <c r="AE302" s="155"/>
    </row>
    <row r="303" spans="5:31" ht="11.25" customHeight="1" x14ac:dyDescent="0.2">
      <c r="E303" s="340"/>
      <c r="F303" s="340"/>
      <c r="G303" s="155"/>
      <c r="K303" s="155"/>
      <c r="L303" s="155"/>
      <c r="R303" s="342"/>
      <c r="S303" s="342"/>
      <c r="T303" s="342"/>
      <c r="U303" s="342"/>
      <c r="V303" s="342"/>
      <c r="W303" s="342"/>
      <c r="X303" s="343"/>
      <c r="Y303" s="154"/>
      <c r="AD303" s="155"/>
      <c r="AE303" s="155"/>
    </row>
    <row r="304" spans="5:31" ht="11.25" customHeight="1" x14ac:dyDescent="0.2">
      <c r="E304" s="340"/>
      <c r="F304" s="340"/>
      <c r="G304" s="155"/>
      <c r="K304" s="155"/>
      <c r="L304" s="155"/>
      <c r="R304" s="342"/>
      <c r="S304" s="342"/>
      <c r="T304" s="342"/>
      <c r="U304" s="342"/>
      <c r="V304" s="342"/>
      <c r="W304" s="342"/>
      <c r="X304" s="343"/>
      <c r="Y304" s="154"/>
      <c r="AD304" s="155"/>
      <c r="AE304" s="155"/>
    </row>
    <row r="305" spans="5:31" ht="11.25" customHeight="1" x14ac:dyDescent="0.2">
      <c r="E305" s="340"/>
      <c r="F305" s="340"/>
      <c r="G305" s="155"/>
      <c r="K305" s="155"/>
      <c r="L305" s="155"/>
      <c r="R305" s="342"/>
      <c r="S305" s="342"/>
      <c r="T305" s="342"/>
      <c r="U305" s="342"/>
      <c r="V305" s="342"/>
      <c r="W305" s="342"/>
      <c r="X305" s="343"/>
      <c r="Y305" s="154"/>
      <c r="AD305" s="155"/>
      <c r="AE305" s="155"/>
    </row>
    <row r="306" spans="5:31" ht="11.25" customHeight="1" x14ac:dyDescent="0.2">
      <c r="E306" s="340"/>
      <c r="F306" s="340"/>
      <c r="G306" s="155"/>
      <c r="K306" s="155"/>
      <c r="L306" s="155"/>
      <c r="R306" s="342"/>
      <c r="S306" s="342"/>
      <c r="T306" s="342"/>
      <c r="U306" s="342"/>
      <c r="V306" s="342"/>
      <c r="W306" s="342"/>
      <c r="X306" s="343"/>
      <c r="Y306" s="154"/>
      <c r="AD306" s="155"/>
      <c r="AE306" s="155"/>
    </row>
    <row r="307" spans="5:31" ht="11.25" customHeight="1" x14ac:dyDescent="0.2">
      <c r="E307" s="340"/>
      <c r="F307" s="340"/>
      <c r="G307" s="155"/>
      <c r="K307" s="155"/>
      <c r="L307" s="155"/>
      <c r="R307" s="342"/>
      <c r="S307" s="342"/>
      <c r="T307" s="342"/>
      <c r="U307" s="342"/>
      <c r="V307" s="342"/>
      <c r="W307" s="342"/>
      <c r="X307" s="343"/>
      <c r="Y307" s="154"/>
      <c r="AD307" s="155"/>
      <c r="AE307" s="155"/>
    </row>
    <row r="308" spans="5:31" ht="11.25" customHeight="1" x14ac:dyDescent="0.2">
      <c r="E308" s="340"/>
      <c r="F308" s="340"/>
      <c r="G308" s="155"/>
      <c r="K308" s="155"/>
      <c r="L308" s="155"/>
      <c r="R308" s="342"/>
      <c r="S308" s="342"/>
      <c r="T308" s="342"/>
      <c r="U308" s="342"/>
      <c r="V308" s="342"/>
      <c r="W308" s="342"/>
      <c r="X308" s="343"/>
      <c r="Y308" s="154"/>
      <c r="AD308" s="155"/>
      <c r="AE308" s="155"/>
    </row>
    <row r="309" spans="5:31" ht="11.25" customHeight="1" x14ac:dyDescent="0.2">
      <c r="E309" s="340"/>
      <c r="F309" s="340"/>
      <c r="G309" s="155"/>
      <c r="K309" s="155"/>
      <c r="L309" s="155"/>
      <c r="R309" s="342"/>
      <c r="S309" s="342"/>
      <c r="T309" s="342"/>
      <c r="U309" s="342"/>
      <c r="V309" s="342"/>
      <c r="W309" s="342"/>
      <c r="X309" s="343"/>
      <c r="Y309" s="154"/>
      <c r="AD309" s="155"/>
      <c r="AE309" s="155"/>
    </row>
    <row r="310" spans="5:31" ht="11.25" customHeight="1" x14ac:dyDescent="0.2">
      <c r="E310" s="340"/>
      <c r="F310" s="340"/>
      <c r="G310" s="155"/>
      <c r="K310" s="155"/>
      <c r="L310" s="155"/>
      <c r="R310" s="342"/>
      <c r="S310" s="342"/>
      <c r="T310" s="342"/>
      <c r="U310" s="342"/>
      <c r="V310" s="342"/>
      <c r="W310" s="342"/>
      <c r="X310" s="343"/>
      <c r="Y310" s="154"/>
      <c r="AD310" s="155"/>
      <c r="AE310" s="155"/>
    </row>
    <row r="311" spans="5:31" ht="11.25" customHeight="1" x14ac:dyDescent="0.2">
      <c r="E311" s="340"/>
      <c r="F311" s="340"/>
      <c r="G311" s="155"/>
      <c r="K311" s="155"/>
      <c r="L311" s="155"/>
      <c r="R311" s="342"/>
      <c r="S311" s="342"/>
      <c r="T311" s="342"/>
      <c r="U311" s="342"/>
      <c r="V311" s="342"/>
      <c r="W311" s="342"/>
      <c r="X311" s="343"/>
      <c r="Y311" s="154"/>
      <c r="AD311" s="155"/>
      <c r="AE311" s="155"/>
    </row>
    <row r="312" spans="5:31" ht="11.25" customHeight="1" x14ac:dyDescent="0.2">
      <c r="E312" s="340"/>
      <c r="F312" s="340"/>
      <c r="G312" s="155"/>
      <c r="K312" s="155"/>
      <c r="L312" s="155"/>
      <c r="R312" s="342"/>
      <c r="S312" s="342"/>
      <c r="T312" s="342"/>
      <c r="U312" s="342"/>
      <c r="V312" s="342"/>
      <c r="W312" s="342"/>
      <c r="X312" s="343"/>
      <c r="Y312" s="154"/>
      <c r="AD312" s="155"/>
      <c r="AE312" s="155"/>
    </row>
    <row r="313" spans="5:31" ht="11.25" customHeight="1" x14ac:dyDescent="0.2">
      <c r="E313" s="340"/>
      <c r="F313" s="340"/>
      <c r="G313" s="155"/>
      <c r="K313" s="155"/>
      <c r="L313" s="155"/>
      <c r="R313" s="342"/>
      <c r="S313" s="342"/>
      <c r="T313" s="342"/>
      <c r="U313" s="342"/>
      <c r="V313" s="342"/>
      <c r="W313" s="342"/>
      <c r="X313" s="343"/>
      <c r="Y313" s="154"/>
      <c r="AD313" s="155"/>
      <c r="AE313" s="155"/>
    </row>
    <row r="314" spans="5:31" ht="11.25" customHeight="1" x14ac:dyDescent="0.2">
      <c r="E314" s="340"/>
      <c r="F314" s="340"/>
      <c r="G314" s="155"/>
      <c r="K314" s="155"/>
      <c r="L314" s="155"/>
      <c r="R314" s="342"/>
      <c r="S314" s="342"/>
      <c r="T314" s="342"/>
      <c r="U314" s="342"/>
      <c r="V314" s="342"/>
      <c r="W314" s="342"/>
      <c r="X314" s="343"/>
      <c r="Y314" s="154"/>
      <c r="AD314" s="155"/>
      <c r="AE314" s="155"/>
    </row>
    <row r="315" spans="5:31" ht="11.25" customHeight="1" x14ac:dyDescent="0.2">
      <c r="E315" s="340"/>
      <c r="F315" s="340"/>
      <c r="G315" s="155"/>
      <c r="K315" s="155"/>
      <c r="L315" s="155"/>
      <c r="R315" s="342"/>
      <c r="S315" s="342"/>
      <c r="T315" s="342"/>
      <c r="U315" s="342"/>
      <c r="V315" s="342"/>
      <c r="W315" s="342"/>
      <c r="X315" s="343"/>
      <c r="Y315" s="154"/>
      <c r="AD315" s="155"/>
      <c r="AE315" s="155"/>
    </row>
    <row r="316" spans="5:31" ht="11.25" customHeight="1" x14ac:dyDescent="0.2">
      <c r="E316" s="340"/>
      <c r="F316" s="340"/>
      <c r="G316" s="155"/>
      <c r="K316" s="155"/>
      <c r="L316" s="155"/>
      <c r="R316" s="342"/>
      <c r="S316" s="342"/>
      <c r="T316" s="342"/>
      <c r="U316" s="342"/>
      <c r="V316" s="342"/>
      <c r="W316" s="342"/>
      <c r="X316" s="343"/>
      <c r="Y316" s="154"/>
      <c r="AD316" s="155"/>
      <c r="AE316" s="155"/>
    </row>
    <row r="317" spans="5:31" ht="11.25" customHeight="1" x14ac:dyDescent="0.2">
      <c r="E317" s="340"/>
      <c r="F317" s="340"/>
      <c r="G317" s="155"/>
      <c r="K317" s="155"/>
      <c r="L317" s="155"/>
      <c r="R317" s="342"/>
      <c r="S317" s="342"/>
      <c r="T317" s="342"/>
      <c r="U317" s="342"/>
      <c r="V317" s="342"/>
      <c r="W317" s="342"/>
      <c r="X317" s="343"/>
      <c r="Y317" s="154"/>
      <c r="AD317" s="155"/>
      <c r="AE317" s="155"/>
    </row>
    <row r="318" spans="5:31" ht="11.25" customHeight="1" x14ac:dyDescent="0.2">
      <c r="E318" s="340"/>
      <c r="F318" s="340"/>
      <c r="G318" s="155"/>
      <c r="K318" s="155"/>
      <c r="L318" s="155"/>
      <c r="R318" s="342"/>
      <c r="S318" s="342"/>
      <c r="T318" s="342"/>
      <c r="U318" s="342"/>
      <c r="V318" s="342"/>
      <c r="W318" s="342"/>
      <c r="X318" s="343"/>
      <c r="Y318" s="154"/>
      <c r="AD318" s="155"/>
      <c r="AE318" s="155"/>
    </row>
    <row r="319" spans="5:31" ht="11.25" customHeight="1" x14ac:dyDescent="0.2">
      <c r="E319" s="340"/>
      <c r="F319" s="340"/>
      <c r="G319" s="155"/>
      <c r="K319" s="155"/>
      <c r="L319" s="155"/>
      <c r="R319" s="342"/>
      <c r="S319" s="342"/>
      <c r="T319" s="342"/>
      <c r="U319" s="342"/>
      <c r="V319" s="342"/>
      <c r="W319" s="342"/>
      <c r="X319" s="343"/>
      <c r="Y319" s="154"/>
      <c r="AD319" s="155"/>
      <c r="AE319" s="155"/>
    </row>
    <row r="320" spans="5:31" ht="11.25" customHeight="1" x14ac:dyDescent="0.2">
      <c r="E320" s="340"/>
      <c r="F320" s="340"/>
      <c r="G320" s="155"/>
      <c r="K320" s="155"/>
      <c r="L320" s="155"/>
      <c r="R320" s="342"/>
      <c r="S320" s="342"/>
      <c r="T320" s="342"/>
      <c r="U320" s="342"/>
      <c r="V320" s="342"/>
      <c r="W320" s="342"/>
      <c r="X320" s="343"/>
      <c r="Y320" s="154"/>
      <c r="AD320" s="155"/>
      <c r="AE320" s="155"/>
    </row>
    <row r="321" spans="5:31" ht="11.25" customHeight="1" x14ac:dyDescent="0.2">
      <c r="E321" s="340"/>
      <c r="F321" s="340"/>
      <c r="G321" s="155"/>
      <c r="K321" s="155"/>
      <c r="L321" s="155"/>
      <c r="R321" s="342"/>
      <c r="S321" s="342"/>
      <c r="T321" s="342"/>
      <c r="U321" s="342"/>
      <c r="V321" s="342"/>
      <c r="W321" s="342"/>
      <c r="X321" s="343"/>
      <c r="Y321" s="154"/>
      <c r="AD321" s="155"/>
      <c r="AE321" s="155"/>
    </row>
    <row r="322" spans="5:31" ht="11.25" customHeight="1" x14ac:dyDescent="0.2">
      <c r="E322" s="340"/>
      <c r="F322" s="340"/>
      <c r="G322" s="155"/>
      <c r="K322" s="155"/>
      <c r="L322" s="155"/>
      <c r="R322" s="342"/>
      <c r="S322" s="342"/>
      <c r="T322" s="342"/>
      <c r="U322" s="342"/>
      <c r="V322" s="342"/>
      <c r="W322" s="342"/>
      <c r="X322" s="343"/>
      <c r="Y322" s="154"/>
      <c r="AD322" s="155"/>
      <c r="AE322" s="155"/>
    </row>
    <row r="323" spans="5:31" ht="11.25" customHeight="1" x14ac:dyDescent="0.2">
      <c r="E323" s="340"/>
      <c r="F323" s="340"/>
      <c r="G323" s="155"/>
      <c r="K323" s="155"/>
      <c r="L323" s="155"/>
      <c r="R323" s="342"/>
      <c r="S323" s="342"/>
      <c r="T323" s="342"/>
      <c r="U323" s="342"/>
      <c r="V323" s="342"/>
      <c r="W323" s="342"/>
      <c r="X323" s="343"/>
      <c r="Y323" s="154"/>
      <c r="AD323" s="155"/>
      <c r="AE323" s="155"/>
    </row>
    <row r="324" spans="5:31" ht="11.25" customHeight="1" x14ac:dyDescent="0.2">
      <c r="E324" s="340"/>
      <c r="F324" s="340"/>
      <c r="G324" s="155"/>
      <c r="K324" s="155"/>
      <c r="L324" s="155"/>
      <c r="R324" s="342"/>
      <c r="S324" s="342"/>
      <c r="T324" s="342"/>
      <c r="U324" s="342"/>
      <c r="V324" s="342"/>
      <c r="W324" s="342"/>
      <c r="X324" s="343"/>
      <c r="Y324" s="154"/>
      <c r="AD324" s="155"/>
      <c r="AE324" s="155"/>
    </row>
    <row r="325" spans="5:31" ht="11.25" customHeight="1" x14ac:dyDescent="0.2">
      <c r="E325" s="340"/>
      <c r="F325" s="340"/>
      <c r="G325" s="155"/>
      <c r="K325" s="155"/>
      <c r="L325" s="155"/>
      <c r="R325" s="342"/>
      <c r="S325" s="342"/>
      <c r="T325" s="342"/>
      <c r="U325" s="342"/>
      <c r="V325" s="342"/>
      <c r="W325" s="342"/>
      <c r="X325" s="343"/>
      <c r="Y325" s="154"/>
      <c r="AD325" s="155"/>
      <c r="AE325" s="155"/>
    </row>
    <row r="326" spans="5:31" ht="11.25" customHeight="1" x14ac:dyDescent="0.2">
      <c r="E326" s="340"/>
      <c r="F326" s="340"/>
      <c r="G326" s="155"/>
      <c r="K326" s="155"/>
      <c r="L326" s="155"/>
      <c r="R326" s="342"/>
      <c r="S326" s="342"/>
      <c r="T326" s="342"/>
      <c r="U326" s="342"/>
      <c r="V326" s="342"/>
      <c r="W326" s="342"/>
      <c r="X326" s="343"/>
      <c r="Y326" s="154"/>
      <c r="AD326" s="155"/>
      <c r="AE326" s="155"/>
    </row>
    <row r="327" spans="5:31" ht="11.25" customHeight="1" x14ac:dyDescent="0.2">
      <c r="E327" s="340"/>
      <c r="F327" s="340"/>
      <c r="G327" s="155"/>
      <c r="K327" s="155"/>
      <c r="L327" s="155"/>
      <c r="R327" s="342"/>
      <c r="S327" s="342"/>
      <c r="T327" s="342"/>
      <c r="U327" s="342"/>
      <c r="V327" s="342"/>
      <c r="W327" s="342"/>
      <c r="X327" s="343"/>
      <c r="Y327" s="154"/>
      <c r="AD327" s="155"/>
      <c r="AE327" s="155"/>
    </row>
    <row r="328" spans="5:31" ht="11.25" customHeight="1" x14ac:dyDescent="0.2">
      <c r="E328" s="340"/>
      <c r="F328" s="340"/>
      <c r="G328" s="155"/>
      <c r="K328" s="155"/>
      <c r="L328" s="155"/>
      <c r="R328" s="342"/>
      <c r="S328" s="342"/>
      <c r="T328" s="342"/>
      <c r="U328" s="342"/>
      <c r="V328" s="342"/>
      <c r="W328" s="342"/>
      <c r="X328" s="343"/>
      <c r="Y328" s="154"/>
      <c r="AD328" s="155"/>
      <c r="AE328" s="155"/>
    </row>
    <row r="329" spans="5:31" ht="11.25" customHeight="1" x14ac:dyDescent="0.2">
      <c r="E329" s="340"/>
      <c r="F329" s="340"/>
      <c r="G329" s="155"/>
      <c r="K329" s="155"/>
      <c r="L329" s="155"/>
      <c r="R329" s="342"/>
      <c r="S329" s="342"/>
      <c r="T329" s="342"/>
      <c r="U329" s="342"/>
      <c r="V329" s="342"/>
      <c r="W329" s="342"/>
      <c r="X329" s="343"/>
      <c r="Y329" s="154"/>
      <c r="AD329" s="155"/>
      <c r="AE329" s="155"/>
    </row>
    <row r="330" spans="5:31" ht="11.25" customHeight="1" x14ac:dyDescent="0.2">
      <c r="E330" s="340"/>
      <c r="F330" s="340"/>
      <c r="G330" s="155"/>
      <c r="K330" s="155"/>
      <c r="L330" s="155"/>
      <c r="R330" s="342"/>
      <c r="S330" s="342"/>
      <c r="T330" s="342"/>
      <c r="U330" s="342"/>
      <c r="V330" s="342"/>
      <c r="W330" s="342"/>
      <c r="X330" s="343"/>
      <c r="Y330" s="154"/>
      <c r="AD330" s="155"/>
      <c r="AE330" s="155"/>
    </row>
    <row r="331" spans="5:31" ht="11.25" customHeight="1" x14ac:dyDescent="0.2">
      <c r="E331" s="340"/>
      <c r="F331" s="340"/>
      <c r="G331" s="155"/>
      <c r="K331" s="155"/>
      <c r="L331" s="155"/>
      <c r="R331" s="342"/>
      <c r="S331" s="342"/>
      <c r="T331" s="342"/>
      <c r="U331" s="342"/>
      <c r="V331" s="342"/>
      <c r="W331" s="342"/>
      <c r="X331" s="343"/>
      <c r="Y331" s="154"/>
      <c r="AD331" s="155"/>
      <c r="AE331" s="155"/>
    </row>
    <row r="332" spans="5:31" ht="11.25" customHeight="1" x14ac:dyDescent="0.2">
      <c r="E332" s="340"/>
      <c r="F332" s="340"/>
      <c r="G332" s="155"/>
      <c r="K332" s="155"/>
      <c r="L332" s="155"/>
      <c r="R332" s="342"/>
      <c r="S332" s="342"/>
      <c r="T332" s="342"/>
      <c r="U332" s="342"/>
      <c r="V332" s="342"/>
      <c r="W332" s="342"/>
      <c r="X332" s="343"/>
      <c r="Y332" s="154"/>
      <c r="AD332" s="155"/>
      <c r="AE332" s="155"/>
    </row>
    <row r="333" spans="5:31" ht="11.25" customHeight="1" x14ac:dyDescent="0.2">
      <c r="E333" s="340"/>
      <c r="F333" s="340"/>
      <c r="G333" s="155"/>
      <c r="K333" s="155"/>
      <c r="L333" s="155"/>
      <c r="R333" s="342"/>
      <c r="S333" s="342"/>
      <c r="T333" s="342"/>
      <c r="U333" s="342"/>
      <c r="V333" s="342"/>
      <c r="W333" s="342"/>
      <c r="X333" s="343"/>
      <c r="Y333" s="154"/>
      <c r="AD333" s="155"/>
      <c r="AE333" s="155"/>
    </row>
    <row r="334" spans="5:31" ht="11.25" customHeight="1" x14ac:dyDescent="0.2">
      <c r="E334" s="340"/>
      <c r="F334" s="340"/>
      <c r="G334" s="155"/>
      <c r="K334" s="155"/>
      <c r="L334" s="155"/>
      <c r="R334" s="342"/>
      <c r="S334" s="342"/>
      <c r="T334" s="342"/>
      <c r="U334" s="342"/>
      <c r="V334" s="342"/>
      <c r="W334" s="342"/>
      <c r="X334" s="343"/>
      <c r="Y334" s="154"/>
      <c r="AD334" s="155"/>
      <c r="AE334" s="155"/>
    </row>
    <row r="335" spans="5:31" ht="11.25" customHeight="1" x14ac:dyDescent="0.2">
      <c r="E335" s="340"/>
      <c r="F335" s="340"/>
      <c r="G335" s="155"/>
      <c r="K335" s="155"/>
      <c r="L335" s="155"/>
      <c r="R335" s="342"/>
      <c r="S335" s="342"/>
      <c r="T335" s="342"/>
      <c r="U335" s="342"/>
      <c r="V335" s="342"/>
      <c r="W335" s="342"/>
      <c r="X335" s="343"/>
      <c r="Y335" s="154"/>
      <c r="AD335" s="155"/>
      <c r="AE335" s="155"/>
    </row>
    <row r="336" spans="5:31" ht="11.25" customHeight="1" x14ac:dyDescent="0.2">
      <c r="E336" s="340"/>
      <c r="F336" s="340"/>
      <c r="G336" s="155"/>
      <c r="K336" s="155"/>
      <c r="L336" s="155"/>
      <c r="R336" s="342"/>
      <c r="S336" s="342"/>
      <c r="T336" s="342"/>
      <c r="U336" s="342"/>
      <c r="V336" s="342"/>
      <c r="W336" s="342"/>
      <c r="X336" s="343"/>
      <c r="Y336" s="154"/>
      <c r="AD336" s="155"/>
      <c r="AE336" s="155"/>
    </row>
    <row r="337" spans="5:31" ht="11.25" customHeight="1" x14ac:dyDescent="0.2">
      <c r="E337" s="340"/>
      <c r="F337" s="340"/>
      <c r="G337" s="155"/>
      <c r="K337" s="155"/>
      <c r="L337" s="155"/>
      <c r="R337" s="342"/>
      <c r="S337" s="342"/>
      <c r="T337" s="342"/>
      <c r="U337" s="342"/>
      <c r="V337" s="342"/>
      <c r="W337" s="342"/>
      <c r="X337" s="343"/>
      <c r="Y337" s="154"/>
      <c r="AD337" s="155"/>
      <c r="AE337" s="155"/>
    </row>
    <row r="338" spans="5:31" ht="11.25" customHeight="1" x14ac:dyDescent="0.2">
      <c r="E338" s="340"/>
      <c r="F338" s="340"/>
      <c r="G338" s="155"/>
      <c r="K338" s="155"/>
      <c r="L338" s="155"/>
      <c r="R338" s="342"/>
      <c r="S338" s="342"/>
      <c r="T338" s="342"/>
      <c r="U338" s="342"/>
      <c r="V338" s="342"/>
      <c r="W338" s="342"/>
      <c r="X338" s="343"/>
      <c r="Y338" s="154"/>
      <c r="AD338" s="155"/>
      <c r="AE338" s="155"/>
    </row>
    <row r="339" spans="5:31" ht="11.25" customHeight="1" x14ac:dyDescent="0.2">
      <c r="E339" s="340"/>
      <c r="F339" s="340"/>
      <c r="G339" s="155"/>
      <c r="K339" s="155"/>
      <c r="L339" s="155"/>
      <c r="R339" s="342"/>
      <c r="S339" s="342"/>
      <c r="T339" s="342"/>
      <c r="U339" s="342"/>
      <c r="V339" s="342"/>
      <c r="W339" s="342"/>
      <c r="X339" s="343"/>
      <c r="Y339" s="154"/>
      <c r="AD339" s="155"/>
      <c r="AE339" s="155"/>
    </row>
    <row r="340" spans="5:31" ht="11.25" customHeight="1" x14ac:dyDescent="0.2">
      <c r="E340" s="340"/>
      <c r="F340" s="340"/>
      <c r="G340" s="155"/>
      <c r="K340" s="155"/>
      <c r="L340" s="155"/>
      <c r="R340" s="342"/>
      <c r="S340" s="342"/>
      <c r="T340" s="342"/>
      <c r="U340" s="342"/>
      <c r="V340" s="342"/>
      <c r="W340" s="342"/>
      <c r="X340" s="343"/>
      <c r="Y340" s="154"/>
      <c r="AD340" s="155"/>
      <c r="AE340" s="155"/>
    </row>
    <row r="341" spans="5:31" ht="11.25" customHeight="1" x14ac:dyDescent="0.2">
      <c r="E341" s="340"/>
      <c r="F341" s="340"/>
      <c r="G341" s="155"/>
      <c r="K341" s="155"/>
      <c r="L341" s="155"/>
      <c r="R341" s="342"/>
      <c r="S341" s="342"/>
      <c r="T341" s="342"/>
      <c r="U341" s="342"/>
      <c r="V341" s="342"/>
      <c r="W341" s="342"/>
      <c r="X341" s="343"/>
      <c r="Y341" s="154"/>
      <c r="AD341" s="155"/>
      <c r="AE341" s="155"/>
    </row>
    <row r="342" spans="5:31" ht="11.25" customHeight="1" x14ac:dyDescent="0.2">
      <c r="E342" s="340"/>
      <c r="F342" s="340"/>
      <c r="G342" s="155"/>
      <c r="K342" s="155"/>
      <c r="L342" s="155"/>
      <c r="R342" s="342"/>
      <c r="S342" s="342"/>
      <c r="T342" s="342"/>
      <c r="U342" s="342"/>
      <c r="V342" s="342"/>
      <c r="W342" s="342"/>
      <c r="X342" s="343"/>
      <c r="Y342" s="154"/>
      <c r="AD342" s="155"/>
      <c r="AE342" s="155"/>
    </row>
    <row r="343" spans="5:31" ht="11.25" customHeight="1" x14ac:dyDescent="0.2">
      <c r="E343" s="340"/>
      <c r="F343" s="340"/>
      <c r="G343" s="155"/>
      <c r="K343" s="155"/>
      <c r="L343" s="155"/>
      <c r="R343" s="342"/>
      <c r="S343" s="342"/>
      <c r="T343" s="342"/>
      <c r="U343" s="342"/>
      <c r="V343" s="342"/>
      <c r="W343" s="342"/>
      <c r="X343" s="343"/>
      <c r="Y343" s="154"/>
      <c r="AD343" s="155"/>
      <c r="AE343" s="155"/>
    </row>
    <row r="344" spans="5:31" ht="11.25" customHeight="1" x14ac:dyDescent="0.2">
      <c r="E344" s="340"/>
      <c r="F344" s="340"/>
      <c r="G344" s="155"/>
      <c r="K344" s="155"/>
      <c r="L344" s="155"/>
      <c r="R344" s="342"/>
      <c r="S344" s="342"/>
      <c r="T344" s="342"/>
      <c r="U344" s="342"/>
      <c r="V344" s="342"/>
      <c r="W344" s="342"/>
      <c r="X344" s="343"/>
      <c r="Y344" s="154"/>
      <c r="AD344" s="155"/>
      <c r="AE344" s="155"/>
    </row>
    <row r="345" spans="5:31" ht="11.25" customHeight="1" x14ac:dyDescent="0.2">
      <c r="E345" s="340"/>
      <c r="F345" s="340"/>
      <c r="G345" s="155"/>
      <c r="K345" s="155"/>
      <c r="L345" s="155"/>
      <c r="R345" s="342"/>
      <c r="S345" s="342"/>
      <c r="T345" s="342"/>
      <c r="U345" s="342"/>
      <c r="V345" s="342"/>
      <c r="W345" s="342"/>
      <c r="X345" s="343"/>
      <c r="Y345" s="154"/>
      <c r="AD345" s="155"/>
      <c r="AE345" s="155"/>
    </row>
    <row r="346" spans="5:31" ht="11.25" customHeight="1" x14ac:dyDescent="0.2">
      <c r="E346" s="340"/>
      <c r="F346" s="340"/>
      <c r="G346" s="155"/>
      <c r="K346" s="155"/>
      <c r="L346" s="155"/>
      <c r="R346" s="342"/>
      <c r="S346" s="342"/>
      <c r="T346" s="342"/>
      <c r="U346" s="342"/>
      <c r="V346" s="342"/>
      <c r="W346" s="342"/>
      <c r="X346" s="343"/>
      <c r="Y346" s="154"/>
      <c r="AD346" s="155"/>
      <c r="AE346" s="155"/>
    </row>
    <row r="347" spans="5:31" ht="11.25" customHeight="1" x14ac:dyDescent="0.2">
      <c r="E347" s="340"/>
      <c r="F347" s="340"/>
      <c r="G347" s="155"/>
      <c r="K347" s="155"/>
      <c r="L347" s="155"/>
      <c r="R347" s="342"/>
      <c r="S347" s="342"/>
      <c r="T347" s="342"/>
      <c r="U347" s="342"/>
      <c r="V347" s="342"/>
      <c r="W347" s="342"/>
      <c r="X347" s="343"/>
      <c r="Y347" s="154"/>
      <c r="AD347" s="155"/>
      <c r="AE347" s="155"/>
    </row>
    <row r="348" spans="5:31" ht="11.25" customHeight="1" x14ac:dyDescent="0.2">
      <c r="E348" s="340"/>
      <c r="F348" s="340"/>
      <c r="G348" s="155"/>
      <c r="K348" s="155"/>
      <c r="L348" s="155"/>
      <c r="R348" s="342"/>
      <c r="S348" s="342"/>
      <c r="T348" s="342"/>
      <c r="U348" s="342"/>
      <c r="V348" s="342"/>
      <c r="W348" s="342"/>
      <c r="X348" s="343"/>
      <c r="Y348" s="154"/>
      <c r="AD348" s="155"/>
      <c r="AE348" s="155"/>
    </row>
    <row r="349" spans="5:31" ht="11.25" customHeight="1" x14ac:dyDescent="0.2">
      <c r="E349" s="340"/>
      <c r="F349" s="340"/>
      <c r="G349" s="155"/>
      <c r="K349" s="155"/>
      <c r="L349" s="155"/>
      <c r="R349" s="342"/>
      <c r="S349" s="342"/>
      <c r="T349" s="342"/>
      <c r="U349" s="342"/>
      <c r="V349" s="342"/>
      <c r="W349" s="342"/>
      <c r="X349" s="343"/>
      <c r="Y349" s="154"/>
      <c r="AD349" s="155"/>
      <c r="AE349" s="155"/>
    </row>
    <row r="350" spans="5:31" ht="11.25" customHeight="1" x14ac:dyDescent="0.2">
      <c r="E350" s="340"/>
      <c r="F350" s="340"/>
      <c r="G350" s="155"/>
      <c r="K350" s="155"/>
      <c r="L350" s="155"/>
      <c r="R350" s="342"/>
      <c r="S350" s="342"/>
      <c r="T350" s="342"/>
      <c r="U350" s="342"/>
      <c r="V350" s="342"/>
      <c r="W350" s="342"/>
      <c r="X350" s="343"/>
      <c r="Y350" s="154"/>
      <c r="AD350" s="155"/>
      <c r="AE350" s="155"/>
    </row>
    <row r="351" spans="5:31" ht="11.25" customHeight="1" x14ac:dyDescent="0.2">
      <c r="E351" s="340"/>
      <c r="F351" s="340"/>
      <c r="G351" s="155"/>
      <c r="K351" s="155"/>
      <c r="L351" s="155"/>
      <c r="R351" s="342"/>
      <c r="S351" s="342"/>
      <c r="T351" s="342"/>
      <c r="U351" s="342"/>
      <c r="V351" s="342"/>
      <c r="W351" s="342"/>
      <c r="X351" s="343"/>
      <c r="Y351" s="154"/>
      <c r="AD351" s="155"/>
      <c r="AE351" s="155"/>
    </row>
    <row r="352" spans="5:31" ht="11.25" customHeight="1" x14ac:dyDescent="0.2">
      <c r="E352" s="340"/>
      <c r="F352" s="340"/>
      <c r="G352" s="155"/>
      <c r="K352" s="155"/>
      <c r="L352" s="155"/>
      <c r="R352" s="342"/>
      <c r="S352" s="342"/>
      <c r="T352" s="342"/>
      <c r="U352" s="342"/>
      <c r="V352" s="342"/>
      <c r="W352" s="342"/>
      <c r="X352" s="343"/>
      <c r="Y352" s="154"/>
      <c r="AD352" s="155"/>
      <c r="AE352" s="155"/>
    </row>
    <row r="353" spans="5:31" ht="11.25" customHeight="1" x14ac:dyDescent="0.2">
      <c r="E353" s="340"/>
      <c r="F353" s="340"/>
      <c r="G353" s="155"/>
      <c r="K353" s="155"/>
      <c r="L353" s="155"/>
      <c r="R353" s="342"/>
      <c r="S353" s="342"/>
      <c r="T353" s="342"/>
      <c r="U353" s="342"/>
      <c r="V353" s="342"/>
      <c r="W353" s="342"/>
      <c r="X353" s="343"/>
      <c r="Y353" s="154"/>
      <c r="AD353" s="155"/>
      <c r="AE353" s="155"/>
    </row>
    <row r="354" spans="5:31" ht="11.25" customHeight="1" x14ac:dyDescent="0.2">
      <c r="E354" s="340"/>
      <c r="F354" s="340"/>
      <c r="G354" s="155"/>
      <c r="K354" s="155"/>
      <c r="L354" s="155"/>
      <c r="R354" s="342"/>
      <c r="S354" s="342"/>
      <c r="T354" s="342"/>
      <c r="U354" s="342"/>
      <c r="V354" s="342"/>
      <c r="W354" s="342"/>
      <c r="X354" s="343"/>
      <c r="Y354" s="154"/>
      <c r="AD354" s="155"/>
      <c r="AE354" s="155"/>
    </row>
    <row r="355" spans="5:31" ht="11.25" customHeight="1" x14ac:dyDescent="0.2">
      <c r="E355" s="340"/>
      <c r="F355" s="340"/>
      <c r="G355" s="155"/>
      <c r="K355" s="155"/>
      <c r="L355" s="155"/>
      <c r="R355" s="342"/>
      <c r="S355" s="342"/>
      <c r="T355" s="342"/>
      <c r="U355" s="342"/>
      <c r="V355" s="342"/>
      <c r="W355" s="342"/>
      <c r="X355" s="343"/>
      <c r="Y355" s="154"/>
      <c r="AD355" s="155"/>
      <c r="AE355" s="155"/>
    </row>
    <row r="356" spans="5:31" ht="11.25" customHeight="1" x14ac:dyDescent="0.2">
      <c r="E356" s="340"/>
      <c r="F356" s="340"/>
      <c r="G356" s="155"/>
      <c r="K356" s="155"/>
      <c r="L356" s="155"/>
      <c r="R356" s="342"/>
      <c r="S356" s="342"/>
      <c r="T356" s="342"/>
      <c r="U356" s="342"/>
      <c r="V356" s="342"/>
      <c r="W356" s="342"/>
      <c r="X356" s="343"/>
      <c r="Y356" s="154"/>
      <c r="AD356" s="155"/>
      <c r="AE356" s="155"/>
    </row>
    <row r="357" spans="5:31" ht="11.25" customHeight="1" x14ac:dyDescent="0.2">
      <c r="E357" s="340"/>
      <c r="F357" s="340"/>
      <c r="G357" s="155"/>
      <c r="K357" s="155"/>
      <c r="L357" s="155"/>
      <c r="R357" s="342"/>
      <c r="S357" s="342"/>
      <c r="T357" s="342"/>
      <c r="U357" s="342"/>
      <c r="V357" s="342"/>
      <c r="W357" s="342"/>
      <c r="X357" s="343"/>
      <c r="Y357" s="154"/>
      <c r="AD357" s="155"/>
      <c r="AE357" s="155"/>
    </row>
    <row r="358" spans="5:31" ht="11.25" customHeight="1" x14ac:dyDescent="0.2">
      <c r="E358" s="340"/>
      <c r="F358" s="340"/>
      <c r="G358" s="155"/>
      <c r="K358" s="155"/>
      <c r="L358" s="155"/>
      <c r="R358" s="342"/>
      <c r="S358" s="342"/>
      <c r="T358" s="342"/>
      <c r="U358" s="342"/>
      <c r="V358" s="342"/>
      <c r="W358" s="342"/>
      <c r="X358" s="343"/>
      <c r="Y358" s="154"/>
      <c r="AD358" s="155"/>
      <c r="AE358" s="155"/>
    </row>
    <row r="359" spans="5:31" ht="11.25" customHeight="1" x14ac:dyDescent="0.2">
      <c r="E359" s="340"/>
      <c r="F359" s="340"/>
      <c r="G359" s="155"/>
      <c r="K359" s="155"/>
      <c r="L359" s="155"/>
      <c r="R359" s="342"/>
      <c r="S359" s="342"/>
      <c r="T359" s="342"/>
      <c r="U359" s="342"/>
      <c r="V359" s="342"/>
      <c r="W359" s="342"/>
      <c r="X359" s="343"/>
      <c r="Y359" s="154"/>
      <c r="AD359" s="155"/>
      <c r="AE359" s="155"/>
    </row>
    <row r="360" spans="5:31" ht="11.25" customHeight="1" x14ac:dyDescent="0.2">
      <c r="E360" s="340"/>
      <c r="F360" s="340"/>
      <c r="G360" s="155"/>
      <c r="K360" s="155"/>
      <c r="L360" s="155"/>
      <c r="R360" s="342"/>
      <c r="S360" s="342"/>
      <c r="T360" s="342"/>
      <c r="U360" s="342"/>
      <c r="V360" s="342"/>
      <c r="W360" s="342"/>
      <c r="X360" s="343"/>
      <c r="Y360" s="154"/>
      <c r="AD360" s="155"/>
      <c r="AE360" s="155"/>
    </row>
    <row r="361" spans="5:31" ht="11.25" customHeight="1" x14ac:dyDescent="0.2">
      <c r="E361" s="340"/>
      <c r="F361" s="340"/>
      <c r="G361" s="155"/>
      <c r="K361" s="155"/>
      <c r="L361" s="155"/>
      <c r="R361" s="342"/>
      <c r="S361" s="342"/>
      <c r="T361" s="342"/>
      <c r="U361" s="342"/>
      <c r="V361" s="342"/>
      <c r="W361" s="342"/>
      <c r="X361" s="343"/>
      <c r="Y361" s="154"/>
      <c r="AD361" s="155"/>
      <c r="AE361" s="155"/>
    </row>
    <row r="362" spans="5:31" ht="11.25" customHeight="1" x14ac:dyDescent="0.2">
      <c r="E362" s="340"/>
      <c r="F362" s="340"/>
      <c r="G362" s="155"/>
      <c r="K362" s="155"/>
      <c r="L362" s="155"/>
      <c r="R362" s="342"/>
      <c r="S362" s="342"/>
      <c r="T362" s="342"/>
      <c r="U362" s="342"/>
      <c r="V362" s="342"/>
      <c r="W362" s="342"/>
      <c r="X362" s="343"/>
      <c r="Y362" s="154"/>
      <c r="AD362" s="155"/>
      <c r="AE362" s="155"/>
    </row>
    <row r="363" spans="5:31" ht="11.25" customHeight="1" x14ac:dyDescent="0.2">
      <c r="E363" s="340"/>
      <c r="F363" s="340"/>
      <c r="G363" s="155"/>
      <c r="K363" s="155"/>
      <c r="L363" s="155"/>
      <c r="R363" s="342"/>
      <c r="S363" s="342"/>
      <c r="T363" s="342"/>
      <c r="U363" s="342"/>
      <c r="V363" s="342"/>
      <c r="W363" s="342"/>
      <c r="X363" s="343"/>
      <c r="Y363" s="154"/>
      <c r="AD363" s="155"/>
      <c r="AE363" s="155"/>
    </row>
    <row r="364" spans="5:31" ht="11.25" customHeight="1" x14ac:dyDescent="0.2">
      <c r="E364" s="340"/>
      <c r="F364" s="340"/>
      <c r="G364" s="155"/>
      <c r="K364" s="155"/>
      <c r="L364" s="155"/>
      <c r="R364" s="342"/>
      <c r="S364" s="342"/>
      <c r="T364" s="342"/>
      <c r="U364" s="342"/>
      <c r="V364" s="342"/>
      <c r="W364" s="342"/>
      <c r="X364" s="343"/>
      <c r="Y364" s="154"/>
      <c r="AD364" s="155"/>
      <c r="AE364" s="155"/>
    </row>
    <row r="365" spans="5:31" ht="11.25" customHeight="1" x14ac:dyDescent="0.2">
      <c r="E365" s="340"/>
      <c r="F365" s="340"/>
      <c r="G365" s="155"/>
      <c r="K365" s="155"/>
      <c r="L365" s="155"/>
      <c r="R365" s="342"/>
      <c r="S365" s="342"/>
      <c r="T365" s="342"/>
      <c r="U365" s="342"/>
      <c r="V365" s="342"/>
      <c r="W365" s="342"/>
      <c r="X365" s="343"/>
      <c r="Y365" s="154"/>
      <c r="AD365" s="155"/>
      <c r="AE365" s="155"/>
    </row>
    <row r="366" spans="5:31" ht="11.25" customHeight="1" x14ac:dyDescent="0.2">
      <c r="E366" s="340"/>
      <c r="F366" s="340"/>
      <c r="G366" s="155"/>
      <c r="K366" s="155"/>
      <c r="L366" s="155"/>
      <c r="R366" s="342"/>
      <c r="S366" s="342"/>
      <c r="T366" s="342"/>
      <c r="U366" s="342"/>
      <c r="V366" s="342"/>
      <c r="W366" s="342"/>
      <c r="X366" s="343"/>
      <c r="Y366" s="154"/>
      <c r="AD366" s="155"/>
      <c r="AE366" s="155"/>
    </row>
    <row r="367" spans="5:31" ht="11.25" customHeight="1" x14ac:dyDescent="0.2">
      <c r="E367" s="340"/>
      <c r="F367" s="340"/>
      <c r="G367" s="155"/>
      <c r="K367" s="155"/>
      <c r="L367" s="155"/>
      <c r="R367" s="342"/>
      <c r="S367" s="342"/>
      <c r="T367" s="342"/>
      <c r="U367" s="342"/>
      <c r="V367" s="342"/>
      <c r="W367" s="342"/>
      <c r="X367" s="343"/>
      <c r="Y367" s="154"/>
      <c r="AD367" s="155"/>
      <c r="AE367" s="155"/>
    </row>
    <row r="368" spans="5:31" ht="11.25" customHeight="1" x14ac:dyDescent="0.2">
      <c r="E368" s="340"/>
      <c r="F368" s="340"/>
      <c r="G368" s="155"/>
      <c r="K368" s="155"/>
      <c r="L368" s="155"/>
      <c r="R368" s="342"/>
      <c r="S368" s="342"/>
      <c r="T368" s="342"/>
      <c r="U368" s="342"/>
      <c r="V368" s="342"/>
      <c r="W368" s="342"/>
      <c r="X368" s="343"/>
      <c r="Y368" s="154"/>
      <c r="AD368" s="155"/>
      <c r="AE368" s="155"/>
    </row>
    <row r="369" spans="5:31" ht="11.25" customHeight="1" x14ac:dyDescent="0.2">
      <c r="E369" s="340"/>
      <c r="F369" s="340"/>
      <c r="G369" s="155"/>
      <c r="K369" s="155"/>
      <c r="L369" s="155"/>
      <c r="R369" s="342"/>
      <c r="S369" s="342"/>
      <c r="T369" s="342"/>
      <c r="U369" s="342"/>
      <c r="V369" s="342"/>
      <c r="W369" s="342"/>
      <c r="X369" s="343"/>
      <c r="Y369" s="154"/>
      <c r="AD369" s="155"/>
      <c r="AE369" s="155"/>
    </row>
    <row r="370" spans="5:31" ht="11.25" customHeight="1" x14ac:dyDescent="0.2">
      <c r="E370" s="340"/>
      <c r="F370" s="340"/>
      <c r="G370" s="155"/>
      <c r="K370" s="155"/>
      <c r="L370" s="155"/>
      <c r="R370" s="342"/>
      <c r="S370" s="342"/>
      <c r="T370" s="342"/>
      <c r="U370" s="342"/>
      <c r="V370" s="342"/>
      <c r="W370" s="342"/>
      <c r="X370" s="343"/>
      <c r="Y370" s="154"/>
      <c r="AD370" s="155"/>
      <c r="AE370" s="155"/>
    </row>
    <row r="371" spans="5:31" ht="11.25" customHeight="1" x14ac:dyDescent="0.2">
      <c r="E371" s="340"/>
      <c r="F371" s="340"/>
      <c r="G371" s="155"/>
      <c r="K371" s="155"/>
      <c r="L371" s="155"/>
      <c r="R371" s="342"/>
      <c r="S371" s="342"/>
      <c r="T371" s="342"/>
      <c r="U371" s="342"/>
      <c r="V371" s="342"/>
      <c r="W371" s="342"/>
      <c r="X371" s="343"/>
      <c r="Y371" s="154"/>
      <c r="AD371" s="155"/>
      <c r="AE371" s="155"/>
    </row>
    <row r="372" spans="5:31" ht="11.25" customHeight="1" x14ac:dyDescent="0.2">
      <c r="E372" s="340"/>
      <c r="F372" s="340"/>
      <c r="G372" s="155"/>
      <c r="K372" s="155"/>
      <c r="L372" s="155"/>
      <c r="R372" s="342"/>
      <c r="S372" s="342"/>
      <c r="T372" s="342"/>
      <c r="U372" s="342"/>
      <c r="V372" s="342"/>
      <c r="W372" s="342"/>
      <c r="X372" s="343"/>
      <c r="Y372" s="154"/>
      <c r="AD372" s="155"/>
      <c r="AE372" s="155"/>
    </row>
    <row r="373" spans="5:31" ht="11.25" customHeight="1" x14ac:dyDescent="0.2">
      <c r="E373" s="340"/>
      <c r="F373" s="340"/>
      <c r="G373" s="155"/>
      <c r="K373" s="155"/>
      <c r="L373" s="155"/>
      <c r="R373" s="342"/>
      <c r="S373" s="342"/>
      <c r="T373" s="342"/>
      <c r="U373" s="342"/>
      <c r="V373" s="342"/>
      <c r="W373" s="342"/>
      <c r="X373" s="343"/>
      <c r="Y373" s="154"/>
      <c r="AD373" s="155"/>
      <c r="AE373" s="155"/>
    </row>
    <row r="374" spans="5:31" ht="11.25" customHeight="1" x14ac:dyDescent="0.2">
      <c r="E374" s="340"/>
      <c r="F374" s="340"/>
      <c r="G374" s="155"/>
      <c r="K374" s="155"/>
      <c r="L374" s="155"/>
      <c r="R374" s="342"/>
      <c r="S374" s="342"/>
      <c r="T374" s="342"/>
      <c r="U374" s="342"/>
      <c r="V374" s="342"/>
      <c r="W374" s="342"/>
      <c r="X374" s="343"/>
      <c r="Y374" s="154"/>
      <c r="AD374" s="155"/>
      <c r="AE374" s="155"/>
    </row>
    <row r="375" spans="5:31" ht="11.25" customHeight="1" x14ac:dyDescent="0.2">
      <c r="E375" s="340"/>
      <c r="F375" s="340"/>
      <c r="G375" s="155"/>
      <c r="K375" s="155"/>
      <c r="L375" s="155"/>
      <c r="R375" s="342"/>
      <c r="S375" s="342"/>
      <c r="T375" s="342"/>
      <c r="U375" s="342"/>
      <c r="V375" s="342"/>
      <c r="W375" s="342"/>
      <c r="X375" s="343"/>
      <c r="Y375" s="154"/>
      <c r="AD375" s="155"/>
      <c r="AE375" s="155"/>
    </row>
    <row r="376" spans="5:31" ht="11.25" customHeight="1" x14ac:dyDescent="0.2">
      <c r="E376" s="340"/>
      <c r="F376" s="340"/>
      <c r="G376" s="155"/>
      <c r="K376" s="155"/>
      <c r="L376" s="155"/>
      <c r="R376" s="342"/>
      <c r="S376" s="342"/>
      <c r="T376" s="342"/>
      <c r="U376" s="342"/>
      <c r="V376" s="342"/>
      <c r="W376" s="342"/>
      <c r="X376" s="343"/>
      <c r="Y376" s="154"/>
      <c r="AD376" s="155"/>
      <c r="AE376" s="155"/>
    </row>
    <row r="377" spans="5:31" ht="11.25" customHeight="1" x14ac:dyDescent="0.2">
      <c r="E377" s="340"/>
      <c r="F377" s="340"/>
      <c r="G377" s="155"/>
      <c r="K377" s="155"/>
      <c r="L377" s="155"/>
      <c r="R377" s="342"/>
      <c r="S377" s="342"/>
      <c r="T377" s="342"/>
      <c r="U377" s="342"/>
      <c r="V377" s="342"/>
      <c r="W377" s="342"/>
      <c r="X377" s="343"/>
      <c r="Y377" s="154"/>
      <c r="AD377" s="155"/>
      <c r="AE377" s="155"/>
    </row>
    <row r="378" spans="5:31" ht="11.25" customHeight="1" x14ac:dyDescent="0.2">
      <c r="E378" s="340"/>
      <c r="F378" s="340"/>
      <c r="G378" s="155"/>
      <c r="K378" s="155"/>
      <c r="L378" s="155"/>
      <c r="R378" s="342"/>
      <c r="S378" s="342"/>
      <c r="T378" s="342"/>
      <c r="U378" s="342"/>
      <c r="V378" s="342"/>
      <c r="W378" s="342"/>
      <c r="X378" s="343"/>
      <c r="Y378" s="154"/>
      <c r="AD378" s="155"/>
      <c r="AE378" s="155"/>
    </row>
    <row r="379" spans="5:31" ht="11.25" customHeight="1" x14ac:dyDescent="0.2">
      <c r="E379" s="340"/>
      <c r="F379" s="340"/>
      <c r="G379" s="155"/>
      <c r="K379" s="155"/>
      <c r="L379" s="155"/>
      <c r="R379" s="342"/>
      <c r="S379" s="342"/>
      <c r="T379" s="342"/>
      <c r="U379" s="342"/>
      <c r="V379" s="342"/>
      <c r="W379" s="342"/>
      <c r="X379" s="343"/>
      <c r="Y379" s="154"/>
      <c r="AD379" s="155"/>
      <c r="AE379" s="155"/>
    </row>
    <row r="380" spans="5:31" ht="11.25" customHeight="1" x14ac:dyDescent="0.2">
      <c r="E380" s="340"/>
      <c r="F380" s="340"/>
      <c r="G380" s="155"/>
      <c r="K380" s="155"/>
      <c r="L380" s="155"/>
      <c r="R380" s="342"/>
      <c r="S380" s="342"/>
      <c r="T380" s="342"/>
      <c r="U380" s="342"/>
      <c r="V380" s="342"/>
      <c r="W380" s="342"/>
      <c r="X380" s="343"/>
      <c r="Y380" s="154"/>
      <c r="AD380" s="155"/>
      <c r="AE380" s="155"/>
    </row>
    <row r="381" spans="5:31" ht="11.25" customHeight="1" x14ac:dyDescent="0.2">
      <c r="E381" s="340"/>
      <c r="F381" s="340"/>
      <c r="G381" s="155"/>
      <c r="K381" s="155"/>
      <c r="L381" s="155"/>
      <c r="R381" s="342"/>
      <c r="S381" s="342"/>
      <c r="T381" s="342"/>
      <c r="U381" s="342"/>
      <c r="V381" s="342"/>
      <c r="W381" s="342"/>
      <c r="X381" s="343"/>
      <c r="Y381" s="154"/>
      <c r="AD381" s="155"/>
      <c r="AE381" s="155"/>
    </row>
    <row r="382" spans="5:31" ht="11.25" customHeight="1" x14ac:dyDescent="0.2">
      <c r="E382" s="340"/>
      <c r="F382" s="340"/>
      <c r="G382" s="155"/>
      <c r="K382" s="155"/>
      <c r="L382" s="155"/>
      <c r="R382" s="342"/>
      <c r="S382" s="342"/>
      <c r="T382" s="342"/>
      <c r="U382" s="342"/>
      <c r="V382" s="342"/>
      <c r="W382" s="342"/>
      <c r="X382" s="343"/>
      <c r="Y382" s="154"/>
      <c r="AD382" s="155"/>
      <c r="AE382" s="155"/>
    </row>
    <row r="383" spans="5:31" ht="11.25" customHeight="1" x14ac:dyDescent="0.2">
      <c r="E383" s="340"/>
      <c r="F383" s="340"/>
      <c r="G383" s="155"/>
      <c r="K383" s="155"/>
      <c r="L383" s="155"/>
      <c r="R383" s="342"/>
      <c r="S383" s="342"/>
      <c r="T383" s="342"/>
      <c r="U383" s="342"/>
      <c r="V383" s="342"/>
      <c r="W383" s="342"/>
      <c r="X383" s="343"/>
      <c r="Y383" s="154"/>
      <c r="AD383" s="155"/>
      <c r="AE383" s="155"/>
    </row>
    <row r="384" spans="5:31" ht="11.25" customHeight="1" x14ac:dyDescent="0.2">
      <c r="E384" s="340"/>
      <c r="F384" s="340"/>
      <c r="G384" s="155"/>
      <c r="K384" s="155"/>
      <c r="L384" s="155"/>
      <c r="R384" s="342"/>
      <c r="S384" s="342"/>
      <c r="T384" s="342"/>
      <c r="U384" s="342"/>
      <c r="V384" s="342"/>
      <c r="W384" s="342"/>
      <c r="X384" s="343"/>
      <c r="Y384" s="154"/>
      <c r="AD384" s="155"/>
      <c r="AE384" s="155"/>
    </row>
    <row r="385" spans="5:31" ht="11.25" customHeight="1" x14ac:dyDescent="0.2">
      <c r="E385" s="340"/>
      <c r="F385" s="340"/>
      <c r="G385" s="155"/>
      <c r="K385" s="155"/>
      <c r="L385" s="155"/>
      <c r="R385" s="342"/>
      <c r="S385" s="342"/>
      <c r="T385" s="342"/>
      <c r="U385" s="342"/>
      <c r="V385" s="342"/>
      <c r="W385" s="342"/>
      <c r="X385" s="343"/>
      <c r="Y385" s="154"/>
      <c r="AD385" s="155"/>
      <c r="AE385" s="155"/>
    </row>
    <row r="386" spans="5:31" ht="11.25" customHeight="1" x14ac:dyDescent="0.2">
      <c r="E386" s="340"/>
      <c r="F386" s="340"/>
      <c r="G386" s="155"/>
      <c r="K386" s="155"/>
      <c r="L386" s="155"/>
      <c r="R386" s="342"/>
      <c r="S386" s="342"/>
      <c r="T386" s="342"/>
      <c r="U386" s="342"/>
      <c r="V386" s="342"/>
      <c r="W386" s="342"/>
      <c r="X386" s="343"/>
      <c r="Y386" s="154"/>
      <c r="AD386" s="155"/>
      <c r="AE386" s="155"/>
    </row>
    <row r="387" spans="5:31" ht="11.25" customHeight="1" x14ac:dyDescent="0.2">
      <c r="E387" s="340"/>
      <c r="F387" s="340"/>
      <c r="G387" s="155"/>
      <c r="K387" s="155"/>
      <c r="L387" s="155"/>
      <c r="R387" s="342"/>
      <c r="S387" s="342"/>
      <c r="T387" s="342"/>
      <c r="U387" s="342"/>
      <c r="V387" s="342"/>
      <c r="W387" s="342"/>
      <c r="X387" s="343"/>
      <c r="Y387" s="154"/>
      <c r="AD387" s="155"/>
      <c r="AE387" s="155"/>
    </row>
    <row r="388" spans="5:31" ht="11.25" customHeight="1" x14ac:dyDescent="0.2">
      <c r="E388" s="340"/>
      <c r="F388" s="340"/>
      <c r="G388" s="155"/>
      <c r="K388" s="155"/>
      <c r="L388" s="155"/>
      <c r="R388" s="342"/>
      <c r="S388" s="342"/>
      <c r="T388" s="342"/>
      <c r="U388" s="342"/>
      <c r="V388" s="342"/>
      <c r="W388" s="342"/>
      <c r="X388" s="343"/>
      <c r="Y388" s="154"/>
      <c r="AD388" s="155"/>
      <c r="AE388" s="155"/>
    </row>
    <row r="389" spans="5:31" ht="11.25" customHeight="1" x14ac:dyDescent="0.2">
      <c r="E389" s="340"/>
      <c r="F389" s="340"/>
      <c r="G389" s="155"/>
      <c r="K389" s="155"/>
      <c r="L389" s="155"/>
      <c r="R389" s="342"/>
      <c r="S389" s="342"/>
      <c r="T389" s="342"/>
      <c r="U389" s="342"/>
      <c r="V389" s="342"/>
      <c r="W389" s="342"/>
      <c r="X389" s="343"/>
      <c r="Y389" s="154"/>
      <c r="AD389" s="155"/>
      <c r="AE389" s="155"/>
    </row>
    <row r="390" spans="5:31" ht="11.25" customHeight="1" x14ac:dyDescent="0.2">
      <c r="E390" s="340"/>
      <c r="F390" s="340"/>
      <c r="G390" s="155"/>
      <c r="K390" s="155"/>
      <c r="L390" s="155"/>
      <c r="R390" s="342"/>
      <c r="S390" s="342"/>
      <c r="T390" s="342"/>
      <c r="U390" s="342"/>
      <c r="V390" s="342"/>
      <c r="W390" s="342"/>
      <c r="X390" s="343"/>
      <c r="Y390" s="154"/>
      <c r="AD390" s="155"/>
      <c r="AE390" s="155"/>
    </row>
    <row r="391" spans="5:31" ht="11.25" customHeight="1" x14ac:dyDescent="0.2">
      <c r="E391" s="340"/>
      <c r="F391" s="340"/>
      <c r="G391" s="155"/>
      <c r="K391" s="155"/>
      <c r="L391" s="155"/>
      <c r="R391" s="342"/>
      <c r="S391" s="342"/>
      <c r="T391" s="342"/>
      <c r="U391" s="342"/>
      <c r="V391" s="342"/>
      <c r="W391" s="342"/>
      <c r="X391" s="343"/>
      <c r="Y391" s="154"/>
      <c r="AD391" s="155"/>
      <c r="AE391" s="155"/>
    </row>
    <row r="392" spans="5:31" ht="11.25" customHeight="1" x14ac:dyDescent="0.2">
      <c r="E392" s="340"/>
      <c r="F392" s="340"/>
      <c r="G392" s="155"/>
      <c r="K392" s="155"/>
      <c r="L392" s="155"/>
      <c r="R392" s="342"/>
      <c r="S392" s="342"/>
      <c r="T392" s="342"/>
      <c r="U392" s="342"/>
      <c r="V392" s="342"/>
      <c r="W392" s="342"/>
      <c r="X392" s="343"/>
      <c r="Y392" s="154"/>
      <c r="AD392" s="155"/>
      <c r="AE392" s="155"/>
    </row>
    <row r="393" spans="5:31" ht="11.25" customHeight="1" x14ac:dyDescent="0.2">
      <c r="E393" s="340"/>
      <c r="F393" s="340"/>
      <c r="G393" s="155"/>
      <c r="K393" s="155"/>
      <c r="L393" s="155"/>
      <c r="R393" s="342"/>
      <c r="S393" s="342"/>
      <c r="T393" s="342"/>
      <c r="U393" s="342"/>
      <c r="V393" s="342"/>
      <c r="W393" s="342"/>
      <c r="X393" s="343"/>
      <c r="Y393" s="154"/>
      <c r="AD393" s="155"/>
      <c r="AE393" s="155"/>
    </row>
    <row r="394" spans="5:31" ht="11.25" customHeight="1" x14ac:dyDescent="0.2">
      <c r="E394" s="340"/>
      <c r="F394" s="340"/>
      <c r="G394" s="155"/>
      <c r="K394" s="155"/>
      <c r="L394" s="155"/>
      <c r="R394" s="342"/>
      <c r="S394" s="342"/>
      <c r="T394" s="342"/>
      <c r="U394" s="342"/>
      <c r="V394" s="342"/>
      <c r="W394" s="342"/>
      <c r="X394" s="343"/>
      <c r="Y394" s="154"/>
      <c r="AD394" s="155"/>
      <c r="AE394" s="155"/>
    </row>
    <row r="395" spans="5:31" ht="11.25" customHeight="1" x14ac:dyDescent="0.2">
      <c r="E395" s="340"/>
      <c r="F395" s="340"/>
      <c r="G395" s="155"/>
      <c r="K395" s="155"/>
      <c r="L395" s="155"/>
      <c r="R395" s="342"/>
      <c r="S395" s="342"/>
      <c r="T395" s="342"/>
      <c r="U395" s="342"/>
      <c r="V395" s="342"/>
      <c r="W395" s="342"/>
      <c r="X395" s="343"/>
      <c r="Y395" s="154"/>
      <c r="AD395" s="155"/>
      <c r="AE395" s="155"/>
    </row>
    <row r="396" spans="5:31" ht="11.25" customHeight="1" x14ac:dyDescent="0.2">
      <c r="E396" s="340"/>
      <c r="F396" s="340"/>
      <c r="G396" s="155"/>
      <c r="K396" s="155"/>
      <c r="L396" s="155"/>
      <c r="R396" s="342"/>
      <c r="S396" s="342"/>
      <c r="T396" s="342"/>
      <c r="U396" s="342"/>
      <c r="V396" s="342"/>
      <c r="W396" s="342"/>
      <c r="X396" s="343"/>
      <c r="Y396" s="154"/>
      <c r="AD396" s="155"/>
      <c r="AE396" s="155"/>
    </row>
    <row r="397" spans="5:31" ht="11.25" customHeight="1" x14ac:dyDescent="0.2">
      <c r="E397" s="340"/>
      <c r="F397" s="340"/>
      <c r="G397" s="155"/>
      <c r="K397" s="155"/>
      <c r="L397" s="155"/>
      <c r="R397" s="342"/>
      <c r="S397" s="342"/>
      <c r="T397" s="342"/>
      <c r="U397" s="342"/>
      <c r="V397" s="342"/>
      <c r="W397" s="342"/>
      <c r="X397" s="343"/>
      <c r="Y397" s="154"/>
      <c r="AD397" s="155"/>
      <c r="AE397" s="155"/>
    </row>
    <row r="398" spans="5:31" ht="11.25" customHeight="1" x14ac:dyDescent="0.2">
      <c r="E398" s="340"/>
      <c r="F398" s="340"/>
      <c r="G398" s="155"/>
      <c r="K398" s="155"/>
      <c r="L398" s="155"/>
      <c r="R398" s="342"/>
      <c r="S398" s="342"/>
      <c r="T398" s="342"/>
      <c r="U398" s="342"/>
      <c r="V398" s="342"/>
      <c r="W398" s="342"/>
      <c r="X398" s="343"/>
      <c r="Y398" s="154"/>
      <c r="AD398" s="155"/>
      <c r="AE398" s="155"/>
    </row>
    <row r="399" spans="5:31" ht="11.25" customHeight="1" x14ac:dyDescent="0.2">
      <c r="E399" s="340"/>
      <c r="F399" s="340"/>
      <c r="G399" s="155"/>
      <c r="K399" s="155"/>
      <c r="L399" s="155"/>
      <c r="R399" s="342"/>
      <c r="S399" s="342"/>
      <c r="T399" s="342"/>
      <c r="U399" s="342"/>
      <c r="V399" s="342"/>
      <c r="W399" s="342"/>
      <c r="X399" s="343"/>
      <c r="Y399" s="154"/>
      <c r="AD399" s="155"/>
      <c r="AE399" s="155"/>
    </row>
    <row r="400" spans="5:31" ht="11.25" customHeight="1" x14ac:dyDescent="0.2">
      <c r="E400" s="340"/>
      <c r="F400" s="340"/>
      <c r="G400" s="155"/>
      <c r="K400" s="155"/>
      <c r="L400" s="155"/>
      <c r="R400" s="342"/>
      <c r="S400" s="342"/>
      <c r="T400" s="342"/>
      <c r="U400" s="342"/>
      <c r="V400" s="342"/>
      <c r="W400" s="342"/>
      <c r="X400" s="343"/>
      <c r="Y400" s="154"/>
      <c r="AD400" s="155"/>
      <c r="AE400" s="155"/>
    </row>
    <row r="401" spans="5:31" ht="11.25" customHeight="1" x14ac:dyDescent="0.2">
      <c r="E401" s="340"/>
      <c r="F401" s="340"/>
      <c r="G401" s="155"/>
      <c r="K401" s="155"/>
      <c r="L401" s="155"/>
      <c r="R401" s="342"/>
      <c r="S401" s="342"/>
      <c r="T401" s="342"/>
      <c r="U401" s="342"/>
      <c r="V401" s="342"/>
      <c r="W401" s="342"/>
      <c r="X401" s="343"/>
      <c r="Y401" s="154"/>
      <c r="AD401" s="155"/>
      <c r="AE401" s="155"/>
    </row>
    <row r="402" spans="5:31" ht="11.25" customHeight="1" x14ac:dyDescent="0.2">
      <c r="E402" s="340"/>
      <c r="F402" s="340"/>
      <c r="G402" s="155"/>
      <c r="K402" s="155"/>
      <c r="L402" s="155"/>
      <c r="R402" s="342"/>
      <c r="S402" s="342"/>
      <c r="T402" s="342"/>
      <c r="U402" s="342"/>
      <c r="V402" s="342"/>
      <c r="W402" s="342"/>
      <c r="X402" s="343"/>
      <c r="Y402" s="154"/>
      <c r="AD402" s="155"/>
      <c r="AE402" s="155"/>
    </row>
    <row r="403" spans="5:31" ht="11.25" customHeight="1" x14ac:dyDescent="0.2">
      <c r="E403" s="340"/>
      <c r="F403" s="340"/>
      <c r="G403" s="155"/>
      <c r="K403" s="155"/>
      <c r="L403" s="155"/>
      <c r="R403" s="342"/>
      <c r="S403" s="342"/>
      <c r="T403" s="342"/>
      <c r="U403" s="342"/>
      <c r="V403" s="342"/>
      <c r="W403" s="342"/>
      <c r="X403" s="343"/>
      <c r="Y403" s="154"/>
      <c r="AD403" s="155"/>
      <c r="AE403" s="155"/>
    </row>
    <row r="404" spans="5:31" ht="11.25" customHeight="1" x14ac:dyDescent="0.2">
      <c r="E404" s="340"/>
      <c r="F404" s="340"/>
      <c r="G404" s="155"/>
      <c r="K404" s="155"/>
      <c r="L404" s="155"/>
      <c r="R404" s="342"/>
      <c r="S404" s="342"/>
      <c r="T404" s="342"/>
      <c r="U404" s="342"/>
      <c r="V404" s="342"/>
      <c r="W404" s="342"/>
      <c r="X404" s="343"/>
      <c r="Y404" s="154"/>
      <c r="AD404" s="155"/>
      <c r="AE404" s="155"/>
    </row>
    <row r="405" spans="5:31" ht="11.25" customHeight="1" x14ac:dyDescent="0.2">
      <c r="E405" s="340"/>
      <c r="F405" s="340"/>
      <c r="G405" s="155"/>
      <c r="K405" s="155"/>
      <c r="L405" s="155"/>
      <c r="R405" s="342"/>
      <c r="S405" s="342"/>
      <c r="T405" s="342"/>
      <c r="U405" s="342"/>
      <c r="V405" s="342"/>
      <c r="W405" s="342"/>
      <c r="X405" s="343"/>
      <c r="Y405" s="154"/>
      <c r="AD405" s="155"/>
      <c r="AE405" s="155"/>
    </row>
    <row r="406" spans="5:31" ht="11.25" customHeight="1" x14ac:dyDescent="0.2">
      <c r="E406" s="340"/>
      <c r="F406" s="340"/>
      <c r="G406" s="155"/>
      <c r="K406" s="155"/>
      <c r="L406" s="155"/>
      <c r="R406" s="342"/>
      <c r="S406" s="342"/>
      <c r="T406" s="342"/>
      <c r="U406" s="342"/>
      <c r="V406" s="342"/>
      <c r="W406" s="342"/>
      <c r="X406" s="343"/>
      <c r="Y406" s="154"/>
      <c r="AD406" s="155"/>
      <c r="AE406" s="155"/>
    </row>
    <row r="407" spans="5:31" ht="11.25" customHeight="1" x14ac:dyDescent="0.2">
      <c r="E407" s="340"/>
      <c r="F407" s="340"/>
      <c r="G407" s="155"/>
      <c r="K407" s="155"/>
      <c r="L407" s="155"/>
      <c r="R407" s="342"/>
      <c r="S407" s="342"/>
      <c r="T407" s="342"/>
      <c r="U407" s="342"/>
      <c r="V407" s="342"/>
      <c r="W407" s="342"/>
      <c r="X407" s="343"/>
      <c r="Y407" s="154"/>
      <c r="AD407" s="155"/>
      <c r="AE407" s="155"/>
    </row>
    <row r="408" spans="5:31" ht="11.25" customHeight="1" x14ac:dyDescent="0.2">
      <c r="E408" s="340"/>
      <c r="F408" s="340"/>
      <c r="G408" s="155"/>
      <c r="K408" s="155"/>
      <c r="L408" s="155"/>
      <c r="R408" s="342"/>
      <c r="S408" s="342"/>
      <c r="T408" s="342"/>
      <c r="U408" s="342"/>
      <c r="V408" s="342"/>
      <c r="W408" s="342"/>
      <c r="X408" s="343"/>
      <c r="Y408" s="154"/>
      <c r="AD408" s="155"/>
      <c r="AE408" s="155"/>
    </row>
    <row r="409" spans="5:31" ht="11.25" customHeight="1" x14ac:dyDescent="0.2">
      <c r="E409" s="340"/>
      <c r="F409" s="340"/>
      <c r="G409" s="155"/>
      <c r="K409" s="155"/>
      <c r="L409" s="155"/>
      <c r="R409" s="342"/>
      <c r="S409" s="342"/>
      <c r="T409" s="342"/>
      <c r="U409" s="342"/>
      <c r="V409" s="342"/>
      <c r="W409" s="342"/>
      <c r="X409" s="343"/>
      <c r="Y409" s="154"/>
      <c r="AD409" s="155"/>
      <c r="AE409" s="155"/>
    </row>
    <row r="410" spans="5:31" ht="11.25" customHeight="1" x14ac:dyDescent="0.2">
      <c r="E410" s="340"/>
      <c r="F410" s="340"/>
      <c r="G410" s="155"/>
      <c r="K410" s="155"/>
      <c r="L410" s="155"/>
      <c r="R410" s="342"/>
      <c r="S410" s="342"/>
      <c r="T410" s="342"/>
      <c r="U410" s="342"/>
      <c r="V410" s="342"/>
      <c r="W410" s="342"/>
      <c r="X410" s="343"/>
      <c r="Y410" s="154"/>
      <c r="AD410" s="155"/>
      <c r="AE410" s="155"/>
    </row>
    <row r="411" spans="5:31" ht="11.25" customHeight="1" x14ac:dyDescent="0.2">
      <c r="E411" s="340"/>
      <c r="F411" s="340"/>
      <c r="G411" s="155"/>
      <c r="K411" s="155"/>
      <c r="L411" s="155"/>
      <c r="R411" s="342"/>
      <c r="S411" s="342"/>
      <c r="T411" s="342"/>
      <c r="U411" s="342"/>
      <c r="V411" s="342"/>
      <c r="W411" s="342"/>
      <c r="X411" s="343"/>
      <c r="Y411" s="154"/>
      <c r="AD411" s="155"/>
      <c r="AE411" s="155"/>
    </row>
    <row r="412" spans="5:31" ht="11.25" customHeight="1" x14ac:dyDescent="0.2">
      <c r="E412" s="340"/>
      <c r="F412" s="340"/>
      <c r="G412" s="155"/>
      <c r="K412" s="155"/>
      <c r="L412" s="155"/>
      <c r="R412" s="342"/>
      <c r="S412" s="342"/>
      <c r="T412" s="342"/>
      <c r="U412" s="342"/>
      <c r="V412" s="342"/>
      <c r="W412" s="342"/>
      <c r="X412" s="343"/>
      <c r="Y412" s="154"/>
      <c r="AD412" s="155"/>
      <c r="AE412" s="155"/>
    </row>
    <row r="413" spans="5:31" ht="11.25" customHeight="1" x14ac:dyDescent="0.2">
      <c r="E413" s="340"/>
      <c r="F413" s="340"/>
      <c r="G413" s="155"/>
      <c r="K413" s="155"/>
      <c r="L413" s="155"/>
      <c r="R413" s="342"/>
      <c r="S413" s="342"/>
      <c r="T413" s="342"/>
      <c r="U413" s="342"/>
      <c r="V413" s="342"/>
      <c r="W413" s="342"/>
      <c r="X413" s="343"/>
      <c r="Y413" s="154"/>
      <c r="AD413" s="155"/>
      <c r="AE413" s="155"/>
    </row>
    <row r="414" spans="5:31" ht="11.25" customHeight="1" x14ac:dyDescent="0.2">
      <c r="E414" s="340"/>
      <c r="F414" s="340"/>
      <c r="G414" s="155"/>
      <c r="K414" s="155"/>
      <c r="L414" s="155"/>
      <c r="R414" s="342"/>
      <c r="S414" s="342"/>
      <c r="T414" s="342"/>
      <c r="U414" s="342"/>
      <c r="V414" s="342"/>
      <c r="W414" s="342"/>
      <c r="X414" s="343"/>
      <c r="Y414" s="154"/>
      <c r="AD414" s="155"/>
      <c r="AE414" s="155"/>
    </row>
    <row r="415" spans="5:31" ht="11.25" customHeight="1" x14ac:dyDescent="0.2">
      <c r="E415" s="340"/>
      <c r="F415" s="340"/>
      <c r="G415" s="155"/>
      <c r="K415" s="155"/>
      <c r="L415" s="155"/>
      <c r="R415" s="342"/>
      <c r="S415" s="342"/>
      <c r="T415" s="342"/>
      <c r="U415" s="342"/>
      <c r="V415" s="342"/>
      <c r="W415" s="342"/>
      <c r="X415" s="343"/>
      <c r="Y415" s="154"/>
      <c r="AD415" s="155"/>
      <c r="AE415" s="155"/>
    </row>
    <row r="416" spans="5:31" ht="11.25" customHeight="1" x14ac:dyDescent="0.2">
      <c r="E416" s="340"/>
      <c r="F416" s="340"/>
      <c r="G416" s="155"/>
      <c r="K416" s="155"/>
      <c r="L416" s="155"/>
      <c r="R416" s="342"/>
      <c r="S416" s="342"/>
      <c r="T416" s="342"/>
      <c r="U416" s="342"/>
      <c r="V416" s="342"/>
      <c r="W416" s="342"/>
      <c r="X416" s="343"/>
      <c r="Y416" s="154"/>
      <c r="AD416" s="155"/>
      <c r="AE416" s="155"/>
    </row>
    <row r="417" spans="5:31" ht="11.25" customHeight="1" x14ac:dyDescent="0.2">
      <c r="E417" s="340"/>
      <c r="F417" s="340"/>
      <c r="G417" s="155"/>
      <c r="K417" s="155"/>
      <c r="L417" s="155"/>
      <c r="R417" s="342"/>
      <c r="S417" s="342"/>
      <c r="T417" s="342"/>
      <c r="U417" s="342"/>
      <c r="V417" s="342"/>
      <c r="W417" s="342"/>
      <c r="X417" s="343"/>
      <c r="Y417" s="154"/>
      <c r="AD417" s="155"/>
      <c r="AE417" s="155"/>
    </row>
    <row r="418" spans="5:31" ht="11.25" customHeight="1" x14ac:dyDescent="0.2">
      <c r="E418" s="340"/>
      <c r="F418" s="340"/>
      <c r="G418" s="155"/>
      <c r="K418" s="155"/>
      <c r="L418" s="155"/>
      <c r="R418" s="342"/>
      <c r="S418" s="342"/>
      <c r="T418" s="342"/>
      <c r="U418" s="342"/>
      <c r="V418" s="342"/>
      <c r="W418" s="342"/>
      <c r="X418" s="343"/>
      <c r="Y418" s="154"/>
      <c r="AD418" s="155"/>
      <c r="AE418" s="155"/>
    </row>
    <row r="419" spans="5:31" ht="11.25" customHeight="1" x14ac:dyDescent="0.2">
      <c r="E419" s="340"/>
      <c r="F419" s="340"/>
      <c r="G419" s="155"/>
      <c r="K419" s="155"/>
      <c r="L419" s="155"/>
      <c r="R419" s="342"/>
      <c r="S419" s="342"/>
      <c r="T419" s="342"/>
      <c r="U419" s="342"/>
      <c r="V419" s="342"/>
      <c r="W419" s="342"/>
      <c r="X419" s="343"/>
      <c r="Y419" s="154"/>
      <c r="AD419" s="155"/>
      <c r="AE419" s="155"/>
    </row>
    <row r="420" spans="5:31" ht="11.25" customHeight="1" x14ac:dyDescent="0.2">
      <c r="E420" s="340"/>
      <c r="F420" s="340"/>
      <c r="G420" s="155"/>
      <c r="K420" s="155"/>
      <c r="L420" s="155"/>
      <c r="R420" s="342"/>
      <c r="S420" s="342"/>
      <c r="T420" s="342"/>
      <c r="U420" s="342"/>
      <c r="V420" s="342"/>
      <c r="W420" s="342"/>
      <c r="X420" s="343"/>
      <c r="Y420" s="154"/>
      <c r="AD420" s="155"/>
      <c r="AE420" s="155"/>
    </row>
    <row r="421" spans="5:31" ht="11.25" customHeight="1" x14ac:dyDescent="0.2">
      <c r="E421" s="340"/>
      <c r="F421" s="340"/>
      <c r="G421" s="155"/>
      <c r="K421" s="155"/>
      <c r="L421" s="155"/>
      <c r="R421" s="342"/>
      <c r="S421" s="342"/>
      <c r="T421" s="342"/>
      <c r="U421" s="342"/>
      <c r="V421" s="342"/>
      <c r="W421" s="342"/>
      <c r="X421" s="343"/>
      <c r="Y421" s="154"/>
      <c r="AD421" s="155"/>
      <c r="AE421" s="155"/>
    </row>
    <row r="422" spans="5:31" ht="11.25" customHeight="1" x14ac:dyDescent="0.2">
      <c r="E422" s="340"/>
      <c r="F422" s="340"/>
      <c r="G422" s="155"/>
      <c r="K422" s="155"/>
      <c r="L422" s="155"/>
      <c r="R422" s="342"/>
      <c r="S422" s="342"/>
      <c r="T422" s="342"/>
      <c r="U422" s="342"/>
      <c r="V422" s="342"/>
      <c r="W422" s="342"/>
      <c r="X422" s="343"/>
      <c r="Y422" s="154"/>
      <c r="AD422" s="155"/>
      <c r="AE422" s="155"/>
    </row>
    <row r="423" spans="5:31" ht="11.25" customHeight="1" x14ac:dyDescent="0.2">
      <c r="E423" s="340"/>
      <c r="F423" s="340"/>
      <c r="G423" s="155"/>
      <c r="K423" s="155"/>
      <c r="L423" s="155"/>
      <c r="R423" s="342"/>
      <c r="S423" s="342"/>
      <c r="T423" s="342"/>
      <c r="U423" s="342"/>
      <c r="V423" s="342"/>
      <c r="W423" s="342"/>
      <c r="X423" s="343"/>
      <c r="Y423" s="154"/>
      <c r="AD423" s="155"/>
      <c r="AE423" s="155"/>
    </row>
    <row r="424" spans="5:31" ht="11.25" customHeight="1" x14ac:dyDescent="0.2">
      <c r="E424" s="340"/>
      <c r="F424" s="340"/>
      <c r="G424" s="155"/>
      <c r="K424" s="155"/>
      <c r="L424" s="155"/>
      <c r="R424" s="342"/>
      <c r="S424" s="342"/>
      <c r="T424" s="342"/>
      <c r="U424" s="342"/>
      <c r="V424" s="342"/>
      <c r="W424" s="342"/>
      <c r="X424" s="343"/>
      <c r="Y424" s="154"/>
      <c r="AD424" s="155"/>
      <c r="AE424" s="155"/>
    </row>
    <row r="425" spans="5:31" ht="11.25" customHeight="1" x14ac:dyDescent="0.2">
      <c r="E425" s="340"/>
      <c r="F425" s="340"/>
      <c r="G425" s="155"/>
      <c r="K425" s="155"/>
      <c r="L425" s="155"/>
      <c r="R425" s="342"/>
      <c r="S425" s="342"/>
      <c r="T425" s="342"/>
      <c r="U425" s="342"/>
      <c r="V425" s="342"/>
      <c r="W425" s="342"/>
      <c r="X425" s="343"/>
      <c r="Y425" s="154"/>
      <c r="AD425" s="155"/>
      <c r="AE425" s="155"/>
    </row>
    <row r="426" spans="5:31" ht="11.25" customHeight="1" x14ac:dyDescent="0.2">
      <c r="E426" s="340"/>
      <c r="F426" s="340"/>
      <c r="G426" s="155"/>
      <c r="K426" s="155"/>
      <c r="L426" s="155"/>
      <c r="R426" s="342"/>
      <c r="S426" s="342"/>
      <c r="T426" s="342"/>
      <c r="U426" s="342"/>
      <c r="V426" s="342"/>
      <c r="W426" s="342"/>
      <c r="X426" s="343"/>
      <c r="Y426" s="154"/>
      <c r="AD426" s="155"/>
      <c r="AE426" s="155"/>
    </row>
    <row r="427" spans="5:31" ht="11.25" customHeight="1" x14ac:dyDescent="0.2">
      <c r="E427" s="340"/>
      <c r="F427" s="340"/>
      <c r="G427" s="155"/>
      <c r="K427" s="155"/>
      <c r="L427" s="155"/>
      <c r="R427" s="342"/>
      <c r="S427" s="342"/>
      <c r="T427" s="342"/>
      <c r="U427" s="342"/>
      <c r="V427" s="342"/>
      <c r="W427" s="342"/>
      <c r="X427" s="343"/>
      <c r="Y427" s="154"/>
      <c r="AD427" s="155"/>
      <c r="AE427" s="155"/>
    </row>
    <row r="428" spans="5:31" ht="11.25" customHeight="1" x14ac:dyDescent="0.2">
      <c r="E428" s="340"/>
      <c r="F428" s="340"/>
      <c r="G428" s="155"/>
      <c r="K428" s="155"/>
      <c r="L428" s="155"/>
      <c r="R428" s="342"/>
      <c r="S428" s="342"/>
      <c r="T428" s="342"/>
      <c r="U428" s="342"/>
      <c r="V428" s="342"/>
      <c r="W428" s="342"/>
      <c r="X428" s="343"/>
      <c r="Y428" s="154"/>
      <c r="AD428" s="155"/>
      <c r="AE428" s="155"/>
    </row>
    <row r="429" spans="5:31" ht="11.25" customHeight="1" x14ac:dyDescent="0.2">
      <c r="E429" s="340"/>
      <c r="F429" s="340"/>
      <c r="G429" s="155"/>
      <c r="K429" s="155"/>
      <c r="L429" s="155"/>
      <c r="R429" s="342"/>
      <c r="S429" s="342"/>
      <c r="T429" s="342"/>
      <c r="U429" s="342"/>
      <c r="V429" s="342"/>
      <c r="W429" s="342"/>
      <c r="X429" s="343"/>
      <c r="Y429" s="154"/>
      <c r="AD429" s="155"/>
      <c r="AE429" s="155"/>
    </row>
    <row r="430" spans="5:31" ht="11.25" customHeight="1" x14ac:dyDescent="0.2">
      <c r="E430" s="340"/>
      <c r="F430" s="340"/>
      <c r="G430" s="155"/>
      <c r="K430" s="155"/>
      <c r="L430" s="155"/>
      <c r="R430" s="342"/>
      <c r="S430" s="342"/>
      <c r="T430" s="342"/>
      <c r="U430" s="342"/>
      <c r="V430" s="342"/>
      <c r="W430" s="342"/>
      <c r="X430" s="343"/>
      <c r="Y430" s="154"/>
      <c r="AD430" s="155"/>
      <c r="AE430" s="155"/>
    </row>
    <row r="431" spans="5:31" ht="11.25" customHeight="1" x14ac:dyDescent="0.2">
      <c r="E431" s="340"/>
      <c r="F431" s="340"/>
      <c r="G431" s="155"/>
      <c r="K431" s="155"/>
      <c r="L431" s="155"/>
      <c r="R431" s="342"/>
      <c r="S431" s="342"/>
      <c r="T431" s="342"/>
      <c r="U431" s="342"/>
      <c r="V431" s="342"/>
      <c r="W431" s="342"/>
      <c r="X431" s="343"/>
      <c r="Y431" s="154"/>
      <c r="AD431" s="155"/>
      <c r="AE431" s="155"/>
    </row>
    <row r="432" spans="5:31" ht="11.25" customHeight="1" x14ac:dyDescent="0.2">
      <c r="E432" s="340"/>
      <c r="F432" s="340"/>
      <c r="G432" s="155"/>
      <c r="K432" s="155"/>
      <c r="L432" s="155"/>
      <c r="R432" s="342"/>
      <c r="S432" s="342"/>
      <c r="T432" s="342"/>
      <c r="U432" s="342"/>
      <c r="V432" s="342"/>
      <c r="W432" s="342"/>
      <c r="X432" s="343"/>
      <c r="Y432" s="154"/>
      <c r="AD432" s="155"/>
      <c r="AE432" s="155"/>
    </row>
    <row r="433" spans="5:31" ht="11.25" customHeight="1" x14ac:dyDescent="0.2">
      <c r="E433" s="340"/>
      <c r="F433" s="340"/>
      <c r="G433" s="155"/>
      <c r="K433" s="155"/>
      <c r="L433" s="155"/>
      <c r="R433" s="342"/>
      <c r="S433" s="342"/>
      <c r="T433" s="342"/>
      <c r="U433" s="342"/>
      <c r="V433" s="342"/>
      <c r="W433" s="342"/>
      <c r="X433" s="343"/>
      <c r="Y433" s="154"/>
      <c r="AD433" s="155"/>
      <c r="AE433" s="155"/>
    </row>
    <row r="434" spans="5:31" ht="11.25" customHeight="1" x14ac:dyDescent="0.2">
      <c r="E434" s="340"/>
      <c r="F434" s="340"/>
      <c r="G434" s="155"/>
      <c r="K434" s="155"/>
      <c r="L434" s="155"/>
      <c r="R434" s="342"/>
      <c r="S434" s="342"/>
      <c r="T434" s="342"/>
      <c r="U434" s="342"/>
      <c r="V434" s="342"/>
      <c r="W434" s="342"/>
      <c r="X434" s="343"/>
      <c r="Y434" s="154"/>
      <c r="AD434" s="155"/>
      <c r="AE434" s="155"/>
    </row>
    <row r="435" spans="5:31" ht="11.25" customHeight="1" x14ac:dyDescent="0.2">
      <c r="E435" s="340"/>
      <c r="F435" s="340"/>
      <c r="G435" s="155"/>
      <c r="K435" s="155"/>
      <c r="L435" s="155"/>
      <c r="R435" s="342"/>
      <c r="S435" s="342"/>
      <c r="T435" s="342"/>
      <c r="U435" s="342"/>
      <c r="V435" s="342"/>
      <c r="W435" s="342"/>
      <c r="X435" s="343"/>
      <c r="Y435" s="154"/>
      <c r="AD435" s="155"/>
      <c r="AE435" s="155"/>
    </row>
    <row r="436" spans="5:31" ht="11.25" customHeight="1" x14ac:dyDescent="0.2">
      <c r="E436" s="340"/>
      <c r="F436" s="340"/>
      <c r="G436" s="155"/>
      <c r="K436" s="155"/>
      <c r="L436" s="155"/>
      <c r="R436" s="342"/>
      <c r="S436" s="342"/>
      <c r="T436" s="342"/>
      <c r="U436" s="342"/>
      <c r="V436" s="342"/>
      <c r="W436" s="342"/>
      <c r="X436" s="343"/>
      <c r="Y436" s="154"/>
      <c r="AD436" s="155"/>
      <c r="AE436" s="155"/>
    </row>
    <row r="437" spans="5:31" ht="11.25" customHeight="1" x14ac:dyDescent="0.2">
      <c r="E437" s="340"/>
      <c r="F437" s="340"/>
      <c r="G437" s="155"/>
      <c r="K437" s="155"/>
      <c r="L437" s="155"/>
      <c r="R437" s="342"/>
      <c r="S437" s="342"/>
      <c r="T437" s="342"/>
      <c r="U437" s="342"/>
      <c r="V437" s="342"/>
      <c r="W437" s="342"/>
      <c r="X437" s="343"/>
      <c r="Y437" s="154"/>
      <c r="AD437" s="155"/>
      <c r="AE437" s="155"/>
    </row>
    <row r="438" spans="5:31" ht="11.25" customHeight="1" x14ac:dyDescent="0.2">
      <c r="E438" s="340"/>
      <c r="F438" s="340"/>
      <c r="G438" s="155"/>
      <c r="K438" s="155"/>
      <c r="L438" s="155"/>
      <c r="R438" s="342"/>
      <c r="S438" s="342"/>
      <c r="T438" s="342"/>
      <c r="U438" s="342"/>
      <c r="V438" s="342"/>
      <c r="W438" s="342"/>
      <c r="X438" s="343"/>
      <c r="Y438" s="154"/>
      <c r="AD438" s="155"/>
      <c r="AE438" s="155"/>
    </row>
    <row r="439" spans="5:31" ht="11.25" customHeight="1" x14ac:dyDescent="0.2">
      <c r="E439" s="340"/>
      <c r="F439" s="340"/>
      <c r="G439" s="155"/>
      <c r="K439" s="155"/>
      <c r="L439" s="155"/>
      <c r="R439" s="342"/>
      <c r="S439" s="342"/>
      <c r="T439" s="342"/>
      <c r="U439" s="342"/>
      <c r="V439" s="342"/>
      <c r="W439" s="342"/>
      <c r="X439" s="343"/>
      <c r="Y439" s="154"/>
      <c r="AD439" s="155"/>
      <c r="AE439" s="155"/>
    </row>
    <row r="440" spans="5:31" ht="11.25" customHeight="1" x14ac:dyDescent="0.2">
      <c r="E440" s="340"/>
      <c r="F440" s="340"/>
      <c r="G440" s="155"/>
      <c r="K440" s="155"/>
      <c r="L440" s="155"/>
      <c r="R440" s="342"/>
      <c r="S440" s="342"/>
      <c r="T440" s="342"/>
      <c r="U440" s="342"/>
      <c r="V440" s="342"/>
      <c r="W440" s="342"/>
      <c r="X440" s="343"/>
      <c r="Y440" s="154"/>
      <c r="AD440" s="155"/>
      <c r="AE440" s="155"/>
    </row>
    <row r="441" spans="5:31" ht="11.25" customHeight="1" x14ac:dyDescent="0.2">
      <c r="E441" s="340"/>
      <c r="F441" s="340"/>
      <c r="G441" s="155"/>
      <c r="K441" s="155"/>
      <c r="L441" s="155"/>
      <c r="R441" s="342"/>
      <c r="S441" s="342"/>
      <c r="T441" s="342"/>
      <c r="U441" s="342"/>
      <c r="V441" s="342"/>
      <c r="W441" s="342"/>
      <c r="X441" s="343"/>
      <c r="Y441" s="154"/>
      <c r="AD441" s="155"/>
      <c r="AE441" s="155"/>
    </row>
    <row r="442" spans="5:31" ht="11.25" customHeight="1" x14ac:dyDescent="0.2">
      <c r="E442" s="340"/>
      <c r="F442" s="340"/>
      <c r="G442" s="155"/>
      <c r="K442" s="155"/>
      <c r="L442" s="155"/>
      <c r="R442" s="342"/>
      <c r="S442" s="342"/>
      <c r="T442" s="342"/>
      <c r="U442" s="342"/>
      <c r="V442" s="342"/>
      <c r="W442" s="342"/>
      <c r="X442" s="343"/>
      <c r="Y442" s="154"/>
      <c r="AD442" s="155"/>
      <c r="AE442" s="155"/>
    </row>
    <row r="443" spans="5:31" ht="11.25" customHeight="1" x14ac:dyDescent="0.2">
      <c r="E443" s="340"/>
      <c r="F443" s="340"/>
      <c r="G443" s="155"/>
      <c r="K443" s="155"/>
      <c r="L443" s="155"/>
      <c r="R443" s="342"/>
      <c r="S443" s="342"/>
      <c r="T443" s="342"/>
      <c r="U443" s="342"/>
      <c r="V443" s="342"/>
      <c r="W443" s="342"/>
      <c r="X443" s="343"/>
      <c r="Y443" s="154"/>
      <c r="AD443" s="155"/>
      <c r="AE443" s="155"/>
    </row>
    <row r="444" spans="5:31" ht="11.25" customHeight="1" x14ac:dyDescent="0.2">
      <c r="E444" s="340"/>
      <c r="F444" s="340"/>
      <c r="G444" s="155"/>
      <c r="K444" s="155"/>
      <c r="L444" s="155"/>
      <c r="R444" s="342"/>
      <c r="S444" s="342"/>
      <c r="T444" s="342"/>
      <c r="U444" s="342"/>
      <c r="V444" s="342"/>
      <c r="W444" s="342"/>
      <c r="X444" s="343"/>
      <c r="Y444" s="154"/>
      <c r="AD444" s="155"/>
      <c r="AE444" s="155"/>
    </row>
    <row r="445" spans="5:31" ht="11.25" customHeight="1" x14ac:dyDescent="0.2">
      <c r="E445" s="340"/>
      <c r="F445" s="340"/>
      <c r="G445" s="155"/>
      <c r="K445" s="155"/>
      <c r="L445" s="155"/>
      <c r="R445" s="342"/>
      <c r="S445" s="342"/>
      <c r="T445" s="342"/>
      <c r="U445" s="342"/>
      <c r="V445" s="342"/>
      <c r="W445" s="342"/>
      <c r="X445" s="343"/>
      <c r="Y445" s="154"/>
      <c r="AD445" s="155"/>
      <c r="AE445" s="155"/>
    </row>
    <row r="446" spans="5:31" ht="11.25" customHeight="1" x14ac:dyDescent="0.2">
      <c r="E446" s="340"/>
      <c r="F446" s="340"/>
      <c r="G446" s="155"/>
      <c r="K446" s="155"/>
      <c r="L446" s="155"/>
      <c r="R446" s="342"/>
      <c r="S446" s="342"/>
      <c r="T446" s="342"/>
      <c r="U446" s="342"/>
      <c r="V446" s="342"/>
      <c r="W446" s="342"/>
      <c r="X446" s="343"/>
      <c r="Y446" s="154"/>
      <c r="AD446" s="155"/>
      <c r="AE446" s="155"/>
    </row>
    <row r="447" spans="5:31" ht="11.25" customHeight="1" x14ac:dyDescent="0.2">
      <c r="E447" s="340"/>
      <c r="F447" s="340"/>
      <c r="G447" s="155"/>
      <c r="K447" s="155"/>
      <c r="L447" s="155"/>
      <c r="R447" s="342"/>
      <c r="S447" s="342"/>
      <c r="T447" s="342"/>
      <c r="U447" s="342"/>
      <c r="V447" s="342"/>
      <c r="W447" s="342"/>
      <c r="X447" s="343"/>
      <c r="Y447" s="154"/>
      <c r="AD447" s="155"/>
      <c r="AE447" s="155"/>
    </row>
    <row r="448" spans="5:31" ht="11.25" customHeight="1" x14ac:dyDescent="0.2">
      <c r="E448" s="340"/>
      <c r="F448" s="340"/>
      <c r="G448" s="155"/>
      <c r="K448" s="155"/>
      <c r="L448" s="155"/>
      <c r="R448" s="342"/>
      <c r="S448" s="342"/>
      <c r="T448" s="342"/>
      <c r="U448" s="342"/>
      <c r="V448" s="342"/>
      <c r="W448" s="342"/>
      <c r="X448" s="343"/>
      <c r="Y448" s="154"/>
      <c r="AD448" s="155"/>
      <c r="AE448" s="155"/>
    </row>
    <row r="449" spans="5:31" ht="11.25" customHeight="1" x14ac:dyDescent="0.2">
      <c r="E449" s="340"/>
      <c r="F449" s="340"/>
      <c r="G449" s="155"/>
      <c r="K449" s="155"/>
      <c r="L449" s="155"/>
      <c r="R449" s="342"/>
      <c r="S449" s="342"/>
      <c r="T449" s="342"/>
      <c r="U449" s="342"/>
      <c r="V449" s="342"/>
      <c r="W449" s="342"/>
      <c r="X449" s="343"/>
      <c r="Y449" s="154"/>
      <c r="AD449" s="155"/>
      <c r="AE449" s="155"/>
    </row>
    <row r="450" spans="5:31" ht="11.25" customHeight="1" x14ac:dyDescent="0.2">
      <c r="E450" s="340"/>
      <c r="F450" s="340"/>
      <c r="G450" s="155"/>
      <c r="K450" s="155"/>
      <c r="L450" s="155"/>
      <c r="R450" s="342"/>
      <c r="S450" s="342"/>
      <c r="T450" s="342"/>
      <c r="U450" s="342"/>
      <c r="V450" s="342"/>
      <c r="W450" s="342"/>
      <c r="X450" s="343"/>
      <c r="Y450" s="154"/>
      <c r="AD450" s="155"/>
      <c r="AE450" s="155"/>
    </row>
    <row r="451" spans="5:31" ht="11.25" customHeight="1" x14ac:dyDescent="0.2">
      <c r="E451" s="340"/>
      <c r="F451" s="340"/>
      <c r="G451" s="155"/>
      <c r="K451" s="155"/>
      <c r="L451" s="155"/>
      <c r="R451" s="342"/>
      <c r="S451" s="342"/>
      <c r="T451" s="342"/>
      <c r="U451" s="342"/>
      <c r="V451" s="342"/>
      <c r="W451" s="342"/>
      <c r="X451" s="343"/>
      <c r="Y451" s="154"/>
      <c r="AD451" s="155"/>
      <c r="AE451" s="155"/>
    </row>
    <row r="452" spans="5:31" ht="11.25" customHeight="1" x14ac:dyDescent="0.2">
      <c r="E452" s="340"/>
      <c r="F452" s="340"/>
      <c r="G452" s="155"/>
      <c r="K452" s="155"/>
      <c r="L452" s="155"/>
      <c r="R452" s="342"/>
      <c r="S452" s="342"/>
      <c r="T452" s="342"/>
      <c r="U452" s="342"/>
      <c r="V452" s="342"/>
      <c r="W452" s="342"/>
      <c r="X452" s="343"/>
      <c r="Y452" s="154"/>
      <c r="AD452" s="155"/>
      <c r="AE452" s="155"/>
    </row>
    <row r="453" spans="5:31" ht="11.25" customHeight="1" x14ac:dyDescent="0.2">
      <c r="E453" s="340"/>
      <c r="F453" s="340"/>
      <c r="G453" s="155"/>
      <c r="K453" s="155"/>
      <c r="L453" s="155"/>
      <c r="R453" s="342"/>
      <c r="S453" s="342"/>
      <c r="T453" s="342"/>
      <c r="U453" s="342"/>
      <c r="V453" s="342"/>
      <c r="W453" s="342"/>
      <c r="X453" s="343"/>
      <c r="Y453" s="154"/>
      <c r="AD453" s="155"/>
      <c r="AE453" s="155"/>
    </row>
    <row r="454" spans="5:31" ht="11.25" customHeight="1" x14ac:dyDescent="0.2">
      <c r="E454" s="340"/>
      <c r="F454" s="340"/>
      <c r="G454" s="155"/>
      <c r="K454" s="155"/>
      <c r="L454" s="155"/>
      <c r="R454" s="342"/>
      <c r="S454" s="342"/>
      <c r="T454" s="342"/>
      <c r="U454" s="342"/>
      <c r="V454" s="342"/>
      <c r="W454" s="342"/>
      <c r="X454" s="343"/>
      <c r="Y454" s="154"/>
      <c r="AD454" s="155"/>
      <c r="AE454" s="155"/>
    </row>
    <row r="455" spans="5:31" ht="11.25" customHeight="1" x14ac:dyDescent="0.2">
      <c r="E455" s="340"/>
      <c r="F455" s="340"/>
      <c r="G455" s="155"/>
      <c r="K455" s="155"/>
      <c r="L455" s="155"/>
      <c r="R455" s="342"/>
      <c r="S455" s="342"/>
      <c r="T455" s="342"/>
      <c r="U455" s="342"/>
      <c r="V455" s="342"/>
      <c r="W455" s="342"/>
      <c r="X455" s="343"/>
      <c r="Y455" s="154"/>
      <c r="AD455" s="155"/>
      <c r="AE455" s="155"/>
    </row>
    <row r="456" spans="5:31" ht="11.25" customHeight="1" x14ac:dyDescent="0.2">
      <c r="E456" s="340"/>
      <c r="F456" s="340"/>
      <c r="G456" s="155"/>
      <c r="K456" s="155"/>
      <c r="L456" s="155"/>
      <c r="R456" s="342"/>
      <c r="S456" s="342"/>
      <c r="T456" s="342"/>
      <c r="U456" s="342"/>
      <c r="V456" s="342"/>
      <c r="W456" s="342"/>
      <c r="X456" s="343"/>
      <c r="Y456" s="154"/>
      <c r="AD456" s="155"/>
      <c r="AE456" s="155"/>
    </row>
    <row r="457" spans="5:31" ht="11.25" customHeight="1" x14ac:dyDescent="0.2">
      <c r="E457" s="340"/>
      <c r="F457" s="340"/>
      <c r="G457" s="155"/>
      <c r="K457" s="155"/>
      <c r="L457" s="155"/>
      <c r="R457" s="342"/>
      <c r="S457" s="342"/>
      <c r="T457" s="342"/>
      <c r="U457" s="342"/>
      <c r="V457" s="342"/>
      <c r="W457" s="342"/>
      <c r="X457" s="343"/>
      <c r="Y457" s="154"/>
      <c r="AD457" s="155"/>
      <c r="AE457" s="155"/>
    </row>
    <row r="458" spans="5:31" ht="11.25" customHeight="1" x14ac:dyDescent="0.2">
      <c r="E458" s="340"/>
      <c r="F458" s="340"/>
      <c r="G458" s="155"/>
      <c r="K458" s="155"/>
      <c r="L458" s="155"/>
      <c r="R458" s="342"/>
      <c r="S458" s="342"/>
      <c r="T458" s="342"/>
      <c r="U458" s="342"/>
      <c r="V458" s="342"/>
      <c r="W458" s="342"/>
      <c r="X458" s="343"/>
      <c r="Y458" s="154"/>
      <c r="AD458" s="155"/>
      <c r="AE458" s="155"/>
    </row>
    <row r="459" spans="5:31" ht="11.25" customHeight="1" x14ac:dyDescent="0.2">
      <c r="E459" s="340"/>
      <c r="F459" s="340"/>
      <c r="G459" s="155"/>
      <c r="K459" s="155"/>
      <c r="L459" s="155"/>
      <c r="R459" s="342"/>
      <c r="S459" s="342"/>
      <c r="T459" s="342"/>
      <c r="U459" s="342"/>
      <c r="V459" s="342"/>
      <c r="W459" s="342"/>
      <c r="X459" s="343"/>
      <c r="Y459" s="154"/>
      <c r="AD459" s="155"/>
      <c r="AE459" s="155"/>
    </row>
    <row r="460" spans="5:31" ht="11.25" customHeight="1" x14ac:dyDescent="0.2">
      <c r="E460" s="340"/>
      <c r="F460" s="340"/>
      <c r="G460" s="155"/>
      <c r="K460" s="155"/>
      <c r="L460" s="155"/>
      <c r="R460" s="342"/>
      <c r="S460" s="342"/>
      <c r="T460" s="342"/>
      <c r="U460" s="342"/>
      <c r="V460" s="342"/>
      <c r="W460" s="342"/>
      <c r="X460" s="343"/>
      <c r="Y460" s="154"/>
      <c r="AD460" s="155"/>
      <c r="AE460" s="155"/>
    </row>
    <row r="461" spans="5:31" ht="11.25" customHeight="1" x14ac:dyDescent="0.2">
      <c r="E461" s="340"/>
      <c r="F461" s="340"/>
      <c r="G461" s="155"/>
      <c r="K461" s="155"/>
      <c r="L461" s="155"/>
      <c r="R461" s="342"/>
      <c r="S461" s="342"/>
      <c r="T461" s="342"/>
      <c r="U461" s="342"/>
      <c r="V461" s="342"/>
      <c r="W461" s="342"/>
      <c r="X461" s="343"/>
      <c r="Y461" s="154"/>
      <c r="AD461" s="155"/>
      <c r="AE461" s="155"/>
    </row>
    <row r="462" spans="5:31" ht="11.25" customHeight="1" x14ac:dyDescent="0.2">
      <c r="E462" s="340"/>
      <c r="F462" s="340"/>
      <c r="G462" s="155"/>
      <c r="K462" s="155"/>
      <c r="L462" s="155"/>
      <c r="R462" s="342"/>
      <c r="S462" s="342"/>
      <c r="T462" s="342"/>
      <c r="U462" s="342"/>
      <c r="V462" s="342"/>
      <c r="W462" s="342"/>
      <c r="X462" s="343"/>
      <c r="Y462" s="154"/>
      <c r="AD462" s="155"/>
      <c r="AE462" s="155"/>
    </row>
    <row r="463" spans="5:31" ht="11.25" customHeight="1" x14ac:dyDescent="0.2">
      <c r="E463" s="340"/>
      <c r="F463" s="340"/>
      <c r="G463" s="155"/>
      <c r="K463" s="155"/>
      <c r="L463" s="155"/>
      <c r="R463" s="342"/>
      <c r="S463" s="342"/>
      <c r="T463" s="342"/>
      <c r="U463" s="342"/>
      <c r="V463" s="342"/>
      <c r="W463" s="342"/>
      <c r="X463" s="343"/>
      <c r="Y463" s="154"/>
      <c r="AD463" s="155"/>
      <c r="AE463" s="155"/>
    </row>
    <row r="464" spans="5:31" ht="11.25" customHeight="1" x14ac:dyDescent="0.2">
      <c r="E464" s="340"/>
      <c r="F464" s="340"/>
      <c r="G464" s="155"/>
      <c r="K464" s="155"/>
      <c r="L464" s="155"/>
      <c r="R464" s="342"/>
      <c r="S464" s="342"/>
      <c r="T464" s="342"/>
      <c r="U464" s="342"/>
      <c r="V464" s="342"/>
      <c r="W464" s="342"/>
      <c r="X464" s="343"/>
      <c r="Y464" s="154"/>
      <c r="AD464" s="155"/>
      <c r="AE464" s="155"/>
    </row>
    <row r="465" spans="5:31" ht="11.25" customHeight="1" x14ac:dyDescent="0.2">
      <c r="E465" s="340"/>
      <c r="F465" s="340"/>
      <c r="G465" s="155"/>
      <c r="K465" s="155"/>
      <c r="L465" s="155"/>
      <c r="R465" s="342"/>
      <c r="S465" s="342"/>
      <c r="T465" s="342"/>
      <c r="U465" s="342"/>
      <c r="V465" s="342"/>
      <c r="W465" s="342"/>
      <c r="X465" s="343"/>
      <c r="Y465" s="154"/>
      <c r="AD465" s="155"/>
      <c r="AE465" s="155"/>
    </row>
    <row r="466" spans="5:31" ht="11.25" customHeight="1" x14ac:dyDescent="0.2">
      <c r="E466" s="340"/>
      <c r="F466" s="340"/>
      <c r="G466" s="155"/>
      <c r="K466" s="155"/>
      <c r="L466" s="155"/>
      <c r="R466" s="342"/>
      <c r="S466" s="342"/>
      <c r="T466" s="342"/>
      <c r="U466" s="342"/>
      <c r="V466" s="342"/>
      <c r="W466" s="342"/>
      <c r="X466" s="343"/>
      <c r="Y466" s="154"/>
      <c r="AD466" s="155"/>
      <c r="AE466" s="155"/>
    </row>
    <row r="467" spans="5:31" ht="11.25" customHeight="1" x14ac:dyDescent="0.2">
      <c r="E467" s="340"/>
      <c r="F467" s="340"/>
      <c r="G467" s="155"/>
      <c r="K467" s="155"/>
      <c r="L467" s="155"/>
      <c r="R467" s="342"/>
      <c r="S467" s="342"/>
      <c r="T467" s="342"/>
      <c r="U467" s="342"/>
      <c r="V467" s="342"/>
      <c r="W467" s="342"/>
      <c r="X467" s="343"/>
      <c r="Y467" s="154"/>
      <c r="AD467" s="155"/>
      <c r="AE467" s="155"/>
    </row>
    <row r="468" spans="5:31" ht="11.25" customHeight="1" x14ac:dyDescent="0.2">
      <c r="E468" s="340"/>
      <c r="F468" s="340"/>
      <c r="G468" s="155"/>
      <c r="K468" s="155"/>
      <c r="L468" s="155"/>
      <c r="R468" s="342"/>
      <c r="S468" s="342"/>
      <c r="T468" s="342"/>
      <c r="U468" s="342"/>
      <c r="V468" s="342"/>
      <c r="W468" s="342"/>
      <c r="X468" s="343"/>
      <c r="Y468" s="154"/>
      <c r="AD468" s="155"/>
      <c r="AE468" s="155"/>
    </row>
    <row r="469" spans="5:31" ht="11.25" customHeight="1" x14ac:dyDescent="0.2">
      <c r="E469" s="340"/>
      <c r="F469" s="340"/>
      <c r="G469" s="155"/>
      <c r="K469" s="155"/>
      <c r="L469" s="155"/>
      <c r="R469" s="342"/>
      <c r="S469" s="342"/>
      <c r="T469" s="342"/>
      <c r="U469" s="342"/>
      <c r="V469" s="342"/>
      <c r="W469" s="342"/>
      <c r="X469" s="343"/>
      <c r="Y469" s="154"/>
      <c r="AD469" s="155"/>
      <c r="AE469" s="155"/>
    </row>
    <row r="470" spans="5:31" ht="11.25" customHeight="1" x14ac:dyDescent="0.2">
      <c r="E470" s="340"/>
      <c r="F470" s="340"/>
      <c r="G470" s="155"/>
      <c r="K470" s="155"/>
      <c r="L470" s="155"/>
      <c r="R470" s="342"/>
      <c r="S470" s="342"/>
      <c r="T470" s="342"/>
      <c r="U470" s="342"/>
      <c r="V470" s="342"/>
      <c r="W470" s="342"/>
      <c r="X470" s="343"/>
      <c r="Y470" s="154"/>
      <c r="AD470" s="155"/>
      <c r="AE470" s="155"/>
    </row>
    <row r="471" spans="5:31" ht="11.25" customHeight="1" x14ac:dyDescent="0.2">
      <c r="E471" s="340"/>
      <c r="F471" s="340"/>
      <c r="G471" s="155"/>
      <c r="K471" s="155"/>
      <c r="L471" s="155"/>
      <c r="R471" s="342"/>
      <c r="S471" s="342"/>
      <c r="T471" s="342"/>
      <c r="U471" s="342"/>
      <c r="V471" s="342"/>
      <c r="W471" s="342"/>
      <c r="X471" s="343"/>
      <c r="Y471" s="154"/>
      <c r="AD471" s="155"/>
      <c r="AE471" s="155"/>
    </row>
    <row r="472" spans="5:31" ht="11.25" customHeight="1" x14ac:dyDescent="0.2">
      <c r="E472" s="340"/>
      <c r="F472" s="340"/>
      <c r="G472" s="155"/>
      <c r="K472" s="155"/>
      <c r="L472" s="155"/>
      <c r="R472" s="342"/>
      <c r="S472" s="342"/>
      <c r="T472" s="342"/>
      <c r="U472" s="342"/>
      <c r="V472" s="342"/>
      <c r="W472" s="342"/>
      <c r="X472" s="343"/>
      <c r="Y472" s="154"/>
      <c r="AD472" s="155"/>
      <c r="AE472" s="155"/>
    </row>
    <row r="473" spans="5:31" ht="11.25" customHeight="1" x14ac:dyDescent="0.2">
      <c r="E473" s="340"/>
      <c r="F473" s="340"/>
      <c r="G473" s="155"/>
      <c r="K473" s="155"/>
      <c r="L473" s="155"/>
      <c r="R473" s="342"/>
      <c r="S473" s="342"/>
      <c r="T473" s="342"/>
      <c r="U473" s="342"/>
      <c r="V473" s="342"/>
      <c r="W473" s="342"/>
      <c r="X473" s="343"/>
      <c r="Y473" s="154"/>
      <c r="AD473" s="155"/>
      <c r="AE473" s="155"/>
    </row>
    <row r="474" spans="5:31" ht="11.25" customHeight="1" x14ac:dyDescent="0.2">
      <c r="E474" s="340"/>
      <c r="F474" s="340"/>
      <c r="G474" s="155"/>
      <c r="K474" s="155"/>
      <c r="L474" s="155"/>
      <c r="R474" s="342"/>
      <c r="S474" s="342"/>
      <c r="T474" s="342"/>
      <c r="U474" s="342"/>
      <c r="V474" s="342"/>
      <c r="W474" s="342"/>
      <c r="X474" s="343"/>
      <c r="Y474" s="154"/>
      <c r="AD474" s="155"/>
      <c r="AE474" s="155"/>
    </row>
    <row r="475" spans="5:31" ht="11.25" customHeight="1" x14ac:dyDescent="0.2">
      <c r="E475" s="340"/>
      <c r="F475" s="340"/>
      <c r="G475" s="155"/>
      <c r="K475" s="155"/>
      <c r="L475" s="155"/>
      <c r="R475" s="342"/>
      <c r="S475" s="342"/>
      <c r="T475" s="342"/>
      <c r="U475" s="342"/>
      <c r="V475" s="342"/>
      <c r="W475" s="342"/>
      <c r="X475" s="343"/>
      <c r="Y475" s="154"/>
      <c r="AD475" s="155"/>
      <c r="AE475" s="155"/>
    </row>
    <row r="476" spans="5:31" ht="11.25" customHeight="1" x14ac:dyDescent="0.2">
      <c r="E476" s="340"/>
      <c r="F476" s="340"/>
      <c r="G476" s="155"/>
      <c r="K476" s="155"/>
      <c r="L476" s="155"/>
      <c r="R476" s="342"/>
      <c r="S476" s="342"/>
      <c r="T476" s="342"/>
      <c r="U476" s="342"/>
      <c r="V476" s="342"/>
      <c r="W476" s="342"/>
      <c r="X476" s="343"/>
      <c r="Y476" s="154"/>
      <c r="AD476" s="155"/>
      <c r="AE476" s="155"/>
    </row>
    <row r="477" spans="5:31" ht="11.25" customHeight="1" x14ac:dyDescent="0.2">
      <c r="E477" s="340"/>
      <c r="F477" s="340"/>
      <c r="G477" s="155"/>
      <c r="K477" s="155"/>
      <c r="L477" s="155"/>
      <c r="R477" s="342"/>
      <c r="S477" s="342"/>
      <c r="T477" s="342"/>
      <c r="U477" s="342"/>
      <c r="V477" s="342"/>
      <c r="W477" s="342"/>
      <c r="X477" s="343"/>
      <c r="Y477" s="154"/>
      <c r="AD477" s="155"/>
      <c r="AE477" s="155"/>
    </row>
    <row r="478" spans="5:31" ht="11.25" customHeight="1" x14ac:dyDescent="0.2">
      <c r="E478" s="340"/>
      <c r="F478" s="340"/>
      <c r="G478" s="155"/>
      <c r="K478" s="155"/>
      <c r="L478" s="155"/>
      <c r="R478" s="342"/>
      <c r="S478" s="342"/>
      <c r="T478" s="342"/>
      <c r="U478" s="342"/>
      <c r="V478" s="342"/>
      <c r="W478" s="342"/>
      <c r="X478" s="343"/>
      <c r="Y478" s="154"/>
      <c r="AD478" s="155"/>
      <c r="AE478" s="155"/>
    </row>
    <row r="479" spans="5:31" ht="11.25" customHeight="1" x14ac:dyDescent="0.2">
      <c r="E479" s="340"/>
      <c r="F479" s="340"/>
      <c r="G479" s="155"/>
      <c r="K479" s="155"/>
      <c r="L479" s="155"/>
      <c r="R479" s="342"/>
      <c r="S479" s="342"/>
      <c r="T479" s="342"/>
      <c r="U479" s="342"/>
      <c r="V479" s="342"/>
      <c r="W479" s="342"/>
      <c r="X479" s="343"/>
      <c r="Y479" s="154"/>
      <c r="AD479" s="155"/>
      <c r="AE479" s="155"/>
    </row>
    <row r="480" spans="5:31" ht="11.25" customHeight="1" x14ac:dyDescent="0.2">
      <c r="E480" s="340"/>
      <c r="F480" s="340"/>
      <c r="G480" s="155"/>
      <c r="K480" s="155"/>
      <c r="L480" s="155"/>
      <c r="R480" s="342"/>
      <c r="S480" s="342"/>
      <c r="T480" s="342"/>
      <c r="U480" s="342"/>
      <c r="V480" s="342"/>
      <c r="W480" s="342"/>
      <c r="X480" s="343"/>
      <c r="Y480" s="154"/>
      <c r="AB480" s="155"/>
      <c r="AD480" s="155"/>
      <c r="AE480" s="155"/>
    </row>
    <row r="481" spans="5:31" ht="11.25" customHeight="1" x14ac:dyDescent="0.2">
      <c r="E481" s="340"/>
      <c r="F481" s="340"/>
      <c r="G481" s="155"/>
      <c r="K481" s="155"/>
      <c r="L481" s="155"/>
      <c r="R481" s="342"/>
      <c r="S481" s="342"/>
      <c r="T481" s="342"/>
      <c r="U481" s="342"/>
      <c r="V481" s="342"/>
      <c r="W481" s="342"/>
      <c r="X481" s="343"/>
      <c r="Y481" s="154"/>
      <c r="AB481" s="155"/>
      <c r="AD481" s="155"/>
      <c r="AE481" s="155"/>
    </row>
    <row r="482" spans="5:31" ht="11.25" customHeight="1" x14ac:dyDescent="0.2">
      <c r="E482" s="340"/>
      <c r="F482" s="340"/>
      <c r="G482" s="155"/>
      <c r="K482" s="155"/>
      <c r="L482" s="155"/>
      <c r="R482" s="342"/>
      <c r="S482" s="342"/>
      <c r="T482" s="342"/>
      <c r="U482" s="342"/>
      <c r="V482" s="342"/>
      <c r="W482" s="342"/>
      <c r="X482" s="343"/>
      <c r="Y482" s="154"/>
      <c r="AB482" s="155"/>
      <c r="AD482" s="155"/>
      <c r="AE482" s="155"/>
    </row>
    <row r="483" spans="5:31" ht="11.25" customHeight="1" x14ac:dyDescent="0.2">
      <c r="E483" s="340"/>
      <c r="F483" s="340"/>
      <c r="G483" s="155"/>
      <c r="K483" s="155"/>
      <c r="L483" s="155"/>
      <c r="R483" s="342"/>
      <c r="S483" s="342"/>
      <c r="T483" s="342"/>
      <c r="U483" s="342"/>
      <c r="V483" s="342"/>
      <c r="W483" s="342"/>
      <c r="X483" s="343"/>
      <c r="Y483" s="154"/>
      <c r="AB483" s="155"/>
      <c r="AD483" s="155"/>
      <c r="AE483" s="155"/>
    </row>
    <row r="484" spans="5:31" ht="11.25" customHeight="1" x14ac:dyDescent="0.2">
      <c r="E484" s="340"/>
      <c r="F484" s="340"/>
      <c r="G484" s="155"/>
      <c r="K484" s="155"/>
      <c r="L484" s="155"/>
      <c r="R484" s="342"/>
      <c r="S484" s="342"/>
      <c r="T484" s="342"/>
      <c r="U484" s="342"/>
      <c r="V484" s="342"/>
      <c r="W484" s="342"/>
      <c r="X484" s="343"/>
      <c r="Y484" s="154"/>
      <c r="AB484" s="155"/>
      <c r="AD484" s="155"/>
      <c r="AE484" s="155"/>
    </row>
    <row r="485" spans="5:31" ht="11.25" customHeight="1" x14ac:dyDescent="0.2">
      <c r="E485" s="340"/>
      <c r="F485" s="340"/>
      <c r="G485" s="155"/>
      <c r="K485" s="155"/>
      <c r="L485" s="155"/>
      <c r="R485" s="342"/>
      <c r="S485" s="342"/>
      <c r="T485" s="342"/>
      <c r="U485" s="342"/>
      <c r="V485" s="342"/>
      <c r="W485" s="342"/>
      <c r="X485" s="343"/>
      <c r="Y485" s="154"/>
      <c r="AB485" s="155"/>
      <c r="AD485" s="155"/>
      <c r="AE485" s="155"/>
    </row>
    <row r="486" spans="5:31" ht="11.25" customHeight="1" x14ac:dyDescent="0.2">
      <c r="E486" s="340"/>
      <c r="F486" s="340"/>
      <c r="G486" s="155"/>
      <c r="K486" s="155"/>
      <c r="L486" s="155"/>
      <c r="R486" s="342"/>
      <c r="S486" s="342"/>
      <c r="T486" s="342"/>
      <c r="U486" s="342"/>
      <c r="V486" s="342"/>
      <c r="W486" s="342"/>
      <c r="X486" s="343"/>
      <c r="Y486" s="154"/>
      <c r="AB486" s="155"/>
      <c r="AD486" s="155"/>
      <c r="AE486" s="155"/>
    </row>
    <row r="487" spans="5:31" ht="11.25" customHeight="1" x14ac:dyDescent="0.2">
      <c r="E487" s="340"/>
      <c r="F487" s="340"/>
      <c r="G487" s="155"/>
      <c r="K487" s="155"/>
      <c r="L487" s="155"/>
      <c r="R487" s="342"/>
      <c r="S487" s="342"/>
      <c r="T487" s="342"/>
      <c r="U487" s="342"/>
      <c r="V487" s="342"/>
      <c r="W487" s="342"/>
      <c r="X487" s="343"/>
      <c r="Y487" s="154"/>
      <c r="AB487" s="155"/>
      <c r="AD487" s="155"/>
      <c r="AE487" s="155"/>
    </row>
    <row r="488" spans="5:31" ht="11.25" customHeight="1" x14ac:dyDescent="0.2">
      <c r="E488" s="340"/>
      <c r="F488" s="340"/>
      <c r="G488" s="155"/>
      <c r="K488" s="155"/>
      <c r="L488" s="155"/>
      <c r="R488" s="342"/>
      <c r="S488" s="342"/>
      <c r="T488" s="342"/>
      <c r="U488" s="342"/>
      <c r="V488" s="342"/>
      <c r="W488" s="342"/>
      <c r="X488" s="343"/>
      <c r="Y488" s="154"/>
      <c r="AB488" s="155"/>
      <c r="AD488" s="155"/>
      <c r="AE488" s="155"/>
    </row>
    <row r="489" spans="5:31" ht="11.25" customHeight="1" x14ac:dyDescent="0.2">
      <c r="E489" s="340"/>
      <c r="F489" s="340"/>
      <c r="G489" s="155"/>
      <c r="K489" s="155"/>
      <c r="L489" s="155"/>
      <c r="R489" s="342"/>
      <c r="S489" s="342"/>
      <c r="T489" s="342"/>
      <c r="U489" s="342"/>
      <c r="V489" s="342"/>
      <c r="W489" s="342"/>
      <c r="X489" s="343"/>
      <c r="Y489" s="154"/>
      <c r="AB489" s="155"/>
      <c r="AD489" s="155"/>
      <c r="AE489" s="155"/>
    </row>
    <row r="490" spans="5:31" ht="11.25" customHeight="1" x14ac:dyDescent="0.2">
      <c r="E490" s="340"/>
      <c r="F490" s="340"/>
      <c r="G490" s="155"/>
      <c r="K490" s="155"/>
      <c r="L490" s="155"/>
      <c r="R490" s="342"/>
      <c r="S490" s="342"/>
      <c r="T490" s="342"/>
      <c r="U490" s="342"/>
      <c r="V490" s="342"/>
      <c r="W490" s="342"/>
      <c r="X490" s="343"/>
      <c r="Y490" s="154"/>
      <c r="AB490" s="155"/>
      <c r="AD490" s="155"/>
      <c r="AE490" s="155"/>
    </row>
    <row r="491" spans="5:31" ht="11.25" customHeight="1" x14ac:dyDescent="0.2">
      <c r="E491" s="340"/>
      <c r="F491" s="340"/>
      <c r="G491" s="155"/>
      <c r="K491" s="155"/>
      <c r="L491" s="155"/>
      <c r="R491" s="342"/>
      <c r="S491" s="342"/>
      <c r="T491" s="342"/>
      <c r="U491" s="342"/>
      <c r="V491" s="342"/>
      <c r="W491" s="342"/>
      <c r="X491" s="343"/>
      <c r="Y491" s="154"/>
      <c r="AB491" s="155"/>
      <c r="AD491" s="155"/>
      <c r="AE491" s="155"/>
    </row>
    <row r="492" spans="5:31" ht="11.25" customHeight="1" x14ac:dyDescent="0.2">
      <c r="E492" s="340"/>
      <c r="F492" s="340"/>
      <c r="G492" s="155"/>
      <c r="K492" s="155"/>
      <c r="L492" s="155"/>
      <c r="R492" s="342"/>
      <c r="S492" s="342"/>
      <c r="T492" s="342"/>
      <c r="U492" s="342"/>
      <c r="V492" s="342"/>
      <c r="W492" s="342"/>
      <c r="X492" s="343"/>
      <c r="Y492" s="154"/>
      <c r="AB492" s="155"/>
      <c r="AD492" s="155"/>
      <c r="AE492" s="155"/>
    </row>
    <row r="493" spans="5:31" ht="11.25" customHeight="1" x14ac:dyDescent="0.2">
      <c r="E493" s="340"/>
      <c r="F493" s="340"/>
      <c r="G493" s="155"/>
      <c r="K493" s="155"/>
      <c r="L493" s="155"/>
      <c r="R493" s="342"/>
      <c r="S493" s="342"/>
      <c r="T493" s="342"/>
      <c r="U493" s="342"/>
      <c r="V493" s="342"/>
      <c r="W493" s="342"/>
      <c r="X493" s="343"/>
      <c r="Y493" s="154"/>
      <c r="AB493" s="155"/>
      <c r="AD493" s="155"/>
      <c r="AE493" s="155"/>
    </row>
    <row r="494" spans="5:31" ht="11.25" customHeight="1" x14ac:dyDescent="0.2">
      <c r="E494" s="340"/>
      <c r="F494" s="340"/>
      <c r="G494" s="155"/>
      <c r="K494" s="155"/>
      <c r="L494" s="155"/>
      <c r="R494" s="342"/>
      <c r="S494" s="342"/>
      <c r="T494" s="342"/>
      <c r="U494" s="342"/>
      <c r="V494" s="342"/>
      <c r="W494" s="342"/>
      <c r="X494" s="343"/>
      <c r="Y494" s="154"/>
      <c r="AB494" s="155"/>
      <c r="AD494" s="155"/>
      <c r="AE494" s="155"/>
    </row>
    <row r="495" spans="5:31" ht="11.25" customHeight="1" x14ac:dyDescent="0.2">
      <c r="E495" s="340"/>
      <c r="F495" s="340"/>
      <c r="G495" s="155"/>
      <c r="K495" s="155"/>
      <c r="L495" s="155"/>
      <c r="R495" s="342"/>
      <c r="S495" s="342"/>
      <c r="T495" s="342"/>
      <c r="U495" s="342"/>
      <c r="V495" s="342"/>
      <c r="W495" s="342"/>
      <c r="X495" s="343"/>
      <c r="Y495" s="154"/>
      <c r="AB495" s="155"/>
      <c r="AD495" s="155"/>
      <c r="AE495" s="155"/>
    </row>
    <row r="496" spans="5:31" ht="11.25" customHeight="1" x14ac:dyDescent="0.2">
      <c r="E496" s="340"/>
      <c r="F496" s="340"/>
      <c r="G496" s="155"/>
      <c r="K496" s="155"/>
      <c r="L496" s="155"/>
      <c r="R496" s="342"/>
      <c r="S496" s="342"/>
      <c r="T496" s="342"/>
      <c r="U496" s="342"/>
      <c r="V496" s="342"/>
      <c r="W496" s="342"/>
      <c r="X496" s="343"/>
      <c r="Y496" s="154"/>
      <c r="AB496" s="155"/>
      <c r="AD496" s="155"/>
      <c r="AE496" s="155"/>
    </row>
    <row r="497" spans="5:31" ht="11.25" customHeight="1" x14ac:dyDescent="0.2">
      <c r="E497" s="340"/>
      <c r="F497" s="340"/>
      <c r="G497" s="155"/>
      <c r="K497" s="155"/>
      <c r="L497" s="155"/>
      <c r="R497" s="342"/>
      <c r="S497" s="342"/>
      <c r="T497" s="342"/>
      <c r="U497" s="342"/>
      <c r="V497" s="342"/>
      <c r="W497" s="342"/>
      <c r="X497" s="343"/>
      <c r="Y497" s="154"/>
      <c r="AB497" s="155"/>
      <c r="AD497" s="155"/>
      <c r="AE497" s="155"/>
    </row>
    <row r="498" spans="5:31" ht="11.25" customHeight="1" x14ac:dyDescent="0.2">
      <c r="E498" s="340"/>
      <c r="F498" s="340"/>
      <c r="G498" s="155"/>
      <c r="K498" s="155"/>
      <c r="L498" s="155"/>
      <c r="R498" s="342"/>
      <c r="S498" s="342"/>
      <c r="T498" s="342"/>
      <c r="U498" s="342"/>
      <c r="V498" s="342"/>
      <c r="W498" s="342"/>
      <c r="X498" s="343"/>
      <c r="Y498" s="154"/>
      <c r="AB498" s="155"/>
      <c r="AD498" s="155"/>
      <c r="AE498" s="155"/>
    </row>
    <row r="499" spans="5:31" ht="11.25" customHeight="1" x14ac:dyDescent="0.2">
      <c r="E499" s="340"/>
      <c r="F499" s="340"/>
      <c r="G499" s="155"/>
      <c r="K499" s="155"/>
      <c r="L499" s="155"/>
      <c r="R499" s="342"/>
      <c r="S499" s="342"/>
      <c r="T499" s="342"/>
      <c r="U499" s="342"/>
      <c r="V499" s="342"/>
      <c r="W499" s="342"/>
      <c r="X499" s="343"/>
      <c r="Y499" s="154"/>
      <c r="AB499" s="155"/>
      <c r="AD499" s="155"/>
      <c r="AE499" s="155"/>
    </row>
    <row r="500" spans="5:31" ht="11.25" customHeight="1" x14ac:dyDescent="0.2">
      <c r="E500" s="340"/>
      <c r="F500" s="340"/>
      <c r="G500" s="155"/>
      <c r="K500" s="155"/>
      <c r="L500" s="155"/>
      <c r="R500" s="342"/>
      <c r="S500" s="342"/>
      <c r="T500" s="342"/>
      <c r="U500" s="342"/>
      <c r="V500" s="342"/>
      <c r="W500" s="342"/>
      <c r="X500" s="343"/>
      <c r="Y500" s="154"/>
      <c r="AB500" s="155"/>
      <c r="AD500" s="155"/>
      <c r="AE500" s="155"/>
    </row>
    <row r="501" spans="5:31" ht="11.25" customHeight="1" x14ac:dyDescent="0.2">
      <c r="E501" s="340"/>
      <c r="F501" s="340"/>
      <c r="G501" s="155"/>
      <c r="K501" s="155"/>
      <c r="L501" s="155"/>
      <c r="R501" s="342"/>
      <c r="S501" s="342"/>
      <c r="T501" s="342"/>
      <c r="U501" s="342"/>
      <c r="V501" s="342"/>
      <c r="W501" s="342"/>
      <c r="X501" s="343"/>
      <c r="Y501" s="154"/>
      <c r="AB501" s="155"/>
      <c r="AD501" s="155"/>
      <c r="AE501" s="155"/>
    </row>
    <row r="502" spans="5:31" ht="11.25" customHeight="1" x14ac:dyDescent="0.2">
      <c r="E502" s="340"/>
      <c r="F502" s="340"/>
      <c r="G502" s="155"/>
      <c r="K502" s="155"/>
      <c r="L502" s="155"/>
      <c r="R502" s="342"/>
      <c r="S502" s="342"/>
      <c r="T502" s="342"/>
      <c r="U502" s="342"/>
      <c r="V502" s="342"/>
      <c r="W502" s="342"/>
      <c r="X502" s="343"/>
      <c r="Y502" s="154"/>
      <c r="AB502" s="155"/>
      <c r="AD502" s="155"/>
      <c r="AE502" s="155"/>
    </row>
    <row r="503" spans="5:31" ht="11.25" customHeight="1" x14ac:dyDescent="0.2">
      <c r="E503" s="340"/>
      <c r="F503" s="340"/>
      <c r="G503" s="155"/>
      <c r="K503" s="155"/>
      <c r="L503" s="155"/>
      <c r="R503" s="342"/>
      <c r="S503" s="342"/>
      <c r="T503" s="342"/>
      <c r="U503" s="342"/>
      <c r="V503" s="342"/>
      <c r="W503" s="342"/>
      <c r="X503" s="343"/>
      <c r="Y503" s="154"/>
      <c r="AB503" s="155"/>
      <c r="AD503" s="155"/>
      <c r="AE503" s="155"/>
    </row>
    <row r="504" spans="5:31" ht="11.25" customHeight="1" x14ac:dyDescent="0.2">
      <c r="E504" s="340"/>
      <c r="F504" s="340"/>
      <c r="G504" s="155"/>
      <c r="K504" s="155"/>
      <c r="L504" s="155"/>
      <c r="R504" s="342"/>
      <c r="S504" s="342"/>
      <c r="T504" s="342"/>
      <c r="U504" s="342"/>
      <c r="V504" s="342"/>
      <c r="W504" s="342"/>
      <c r="X504" s="343"/>
      <c r="Y504" s="154"/>
      <c r="AB504" s="155"/>
      <c r="AD504" s="155"/>
      <c r="AE504" s="155"/>
    </row>
    <row r="505" spans="5:31" ht="11.25" customHeight="1" x14ac:dyDescent="0.2">
      <c r="E505" s="340"/>
      <c r="F505" s="340"/>
      <c r="G505" s="155"/>
      <c r="K505" s="155"/>
      <c r="L505" s="155"/>
      <c r="R505" s="342"/>
      <c r="S505" s="342"/>
      <c r="T505" s="342"/>
      <c r="U505" s="342"/>
      <c r="V505" s="342"/>
      <c r="W505" s="342"/>
      <c r="X505" s="343"/>
      <c r="Y505" s="154"/>
      <c r="AB505" s="155"/>
      <c r="AD505" s="155"/>
      <c r="AE505" s="155"/>
    </row>
    <row r="506" spans="5:31" ht="11.25" customHeight="1" x14ac:dyDescent="0.2">
      <c r="E506" s="340"/>
      <c r="F506" s="340"/>
      <c r="G506" s="155"/>
      <c r="K506" s="155"/>
      <c r="L506" s="155"/>
      <c r="R506" s="342"/>
      <c r="S506" s="342"/>
      <c r="T506" s="342"/>
      <c r="U506" s="342"/>
      <c r="V506" s="342"/>
      <c r="W506" s="342"/>
      <c r="X506" s="343"/>
      <c r="Y506" s="154"/>
      <c r="AB506" s="155"/>
      <c r="AD506" s="155"/>
      <c r="AE506" s="155"/>
    </row>
    <row r="507" spans="5:31" ht="11.25" customHeight="1" x14ac:dyDescent="0.2">
      <c r="E507" s="340"/>
      <c r="F507" s="340"/>
      <c r="G507" s="155"/>
      <c r="K507" s="155"/>
      <c r="L507" s="155"/>
      <c r="R507" s="342"/>
      <c r="S507" s="342"/>
      <c r="T507" s="342"/>
      <c r="U507" s="342"/>
      <c r="V507" s="342"/>
      <c r="W507" s="342"/>
      <c r="X507" s="343"/>
      <c r="Y507" s="154"/>
      <c r="AB507" s="155"/>
      <c r="AD507" s="155"/>
      <c r="AE507" s="155"/>
    </row>
    <row r="508" spans="5:31" ht="11.25" customHeight="1" x14ac:dyDescent="0.2">
      <c r="E508" s="340"/>
      <c r="F508" s="340"/>
      <c r="G508" s="155"/>
      <c r="K508" s="155"/>
      <c r="L508" s="155"/>
      <c r="R508" s="342"/>
      <c r="S508" s="342"/>
      <c r="T508" s="342"/>
      <c r="U508" s="342"/>
      <c r="V508" s="342"/>
      <c r="W508" s="342"/>
      <c r="X508" s="343"/>
      <c r="Y508" s="154"/>
      <c r="AB508" s="155"/>
      <c r="AD508" s="155"/>
      <c r="AE508" s="155"/>
    </row>
    <row r="509" spans="5:31" ht="11.25" customHeight="1" x14ac:dyDescent="0.2">
      <c r="E509" s="340"/>
      <c r="F509" s="340"/>
      <c r="G509" s="155"/>
      <c r="K509" s="155"/>
      <c r="L509" s="155"/>
      <c r="R509" s="342"/>
      <c r="S509" s="342"/>
      <c r="T509" s="342"/>
      <c r="U509" s="342"/>
      <c r="V509" s="342"/>
      <c r="W509" s="342"/>
      <c r="X509" s="343"/>
      <c r="Y509" s="154"/>
      <c r="AB509" s="155"/>
      <c r="AD509" s="155"/>
      <c r="AE509" s="155"/>
    </row>
    <row r="510" spans="5:31" ht="11.25" customHeight="1" x14ac:dyDescent="0.2">
      <c r="E510" s="340"/>
      <c r="F510" s="340"/>
      <c r="G510" s="155"/>
      <c r="K510" s="155"/>
      <c r="L510" s="155"/>
      <c r="R510" s="342"/>
      <c r="S510" s="342"/>
      <c r="T510" s="342"/>
      <c r="U510" s="342"/>
      <c r="V510" s="342"/>
      <c r="W510" s="342"/>
      <c r="X510" s="343"/>
      <c r="Y510" s="154"/>
      <c r="AB510" s="155"/>
      <c r="AD510" s="155"/>
      <c r="AE510" s="155"/>
    </row>
    <row r="511" spans="5:31" ht="11.25" customHeight="1" x14ac:dyDescent="0.2">
      <c r="E511" s="340"/>
      <c r="F511" s="340"/>
      <c r="G511" s="155"/>
      <c r="K511" s="155"/>
      <c r="L511" s="155"/>
      <c r="R511" s="342"/>
      <c r="S511" s="342"/>
      <c r="T511" s="342"/>
      <c r="U511" s="342"/>
      <c r="V511" s="342"/>
      <c r="W511" s="342"/>
      <c r="X511" s="343"/>
      <c r="Y511" s="154"/>
      <c r="AB511" s="155"/>
      <c r="AD511" s="155"/>
      <c r="AE511" s="155"/>
    </row>
    <row r="512" spans="5:31" ht="11.25" customHeight="1" x14ac:dyDescent="0.2">
      <c r="E512" s="340"/>
      <c r="F512" s="340"/>
      <c r="G512" s="155"/>
      <c r="K512" s="155"/>
      <c r="L512" s="155"/>
      <c r="R512" s="342"/>
      <c r="S512" s="342"/>
      <c r="T512" s="342"/>
      <c r="U512" s="342"/>
      <c r="V512" s="342"/>
      <c r="W512" s="342"/>
      <c r="X512" s="343"/>
      <c r="Y512" s="154"/>
      <c r="AB512" s="155"/>
      <c r="AD512" s="155"/>
      <c r="AE512" s="155"/>
    </row>
    <row r="513" spans="5:31" ht="11.25" customHeight="1" x14ac:dyDescent="0.2">
      <c r="E513" s="340"/>
      <c r="F513" s="340"/>
      <c r="G513" s="155"/>
      <c r="K513" s="155"/>
      <c r="L513" s="155"/>
      <c r="R513" s="342"/>
      <c r="S513" s="342"/>
      <c r="T513" s="342"/>
      <c r="U513" s="342"/>
      <c r="V513" s="342"/>
      <c r="W513" s="342"/>
      <c r="X513" s="343"/>
      <c r="Y513" s="154"/>
      <c r="AB513" s="155"/>
      <c r="AD513" s="155"/>
      <c r="AE513" s="155"/>
    </row>
    <row r="514" spans="5:31" ht="11.25" customHeight="1" x14ac:dyDescent="0.2">
      <c r="E514" s="340"/>
      <c r="F514" s="340"/>
      <c r="G514" s="155"/>
      <c r="K514" s="155"/>
      <c r="L514" s="155"/>
      <c r="R514" s="342"/>
      <c r="S514" s="342"/>
      <c r="T514" s="342"/>
      <c r="U514" s="342"/>
      <c r="V514" s="342"/>
      <c r="W514" s="342"/>
      <c r="X514" s="343"/>
      <c r="Y514" s="154"/>
      <c r="AB514" s="155"/>
      <c r="AD514" s="155"/>
      <c r="AE514" s="155"/>
    </row>
    <row r="515" spans="5:31" ht="11.25" customHeight="1" x14ac:dyDescent="0.2">
      <c r="E515" s="340"/>
      <c r="F515" s="340"/>
      <c r="G515" s="155"/>
      <c r="K515" s="155"/>
      <c r="L515" s="155"/>
      <c r="R515" s="342"/>
      <c r="S515" s="342"/>
      <c r="T515" s="342"/>
      <c r="U515" s="342"/>
      <c r="V515" s="342"/>
      <c r="W515" s="342"/>
      <c r="X515" s="343"/>
      <c r="Y515" s="154"/>
      <c r="AB515" s="155"/>
      <c r="AD515" s="155"/>
      <c r="AE515" s="155"/>
    </row>
    <row r="516" spans="5:31" ht="11.25" customHeight="1" x14ac:dyDescent="0.2">
      <c r="E516" s="340"/>
      <c r="F516" s="340"/>
      <c r="G516" s="155"/>
      <c r="K516" s="155"/>
      <c r="L516" s="155"/>
      <c r="R516" s="342"/>
      <c r="S516" s="342"/>
      <c r="T516" s="342"/>
      <c r="U516" s="342"/>
      <c r="V516" s="342"/>
      <c r="W516" s="342"/>
      <c r="X516" s="343"/>
      <c r="Y516" s="154"/>
      <c r="AB516" s="155"/>
      <c r="AD516" s="155"/>
      <c r="AE516" s="155"/>
    </row>
    <row r="517" spans="5:31" ht="11.25" customHeight="1" x14ac:dyDescent="0.2">
      <c r="E517" s="340"/>
      <c r="F517" s="340"/>
      <c r="G517" s="155"/>
      <c r="K517" s="155"/>
      <c r="L517" s="155"/>
      <c r="R517" s="342"/>
      <c r="S517" s="342"/>
      <c r="T517" s="342"/>
      <c r="U517" s="342"/>
      <c r="V517" s="342"/>
      <c r="W517" s="342"/>
      <c r="X517" s="343"/>
      <c r="Y517" s="154"/>
      <c r="AB517" s="155"/>
      <c r="AD517" s="155"/>
      <c r="AE517" s="155"/>
    </row>
    <row r="518" spans="5:31" ht="11.25" customHeight="1" x14ac:dyDescent="0.2">
      <c r="E518" s="340"/>
      <c r="F518" s="340"/>
      <c r="G518" s="155"/>
      <c r="K518" s="155"/>
      <c r="L518" s="155"/>
      <c r="R518" s="342"/>
      <c r="S518" s="342"/>
      <c r="T518" s="342"/>
      <c r="U518" s="342"/>
      <c r="V518" s="342"/>
      <c r="W518" s="342"/>
      <c r="X518" s="343"/>
      <c r="Y518" s="154"/>
      <c r="AB518" s="155"/>
      <c r="AD518" s="155"/>
      <c r="AE518" s="155"/>
    </row>
    <row r="519" spans="5:31" ht="11.25" customHeight="1" x14ac:dyDescent="0.2">
      <c r="E519" s="340"/>
      <c r="F519" s="340"/>
      <c r="G519" s="155"/>
      <c r="K519" s="155"/>
      <c r="L519" s="155"/>
      <c r="R519" s="342"/>
      <c r="S519" s="342"/>
      <c r="T519" s="342"/>
      <c r="U519" s="342"/>
      <c r="V519" s="342"/>
      <c r="W519" s="342"/>
      <c r="X519" s="343"/>
      <c r="Y519" s="154"/>
      <c r="AB519" s="155"/>
      <c r="AD519" s="155"/>
      <c r="AE519" s="155"/>
    </row>
    <row r="520" spans="5:31" ht="11.25" customHeight="1" x14ac:dyDescent="0.2">
      <c r="E520" s="340"/>
      <c r="F520" s="340"/>
      <c r="G520" s="155"/>
      <c r="K520" s="155"/>
      <c r="L520" s="155"/>
      <c r="R520" s="342"/>
      <c r="S520" s="342"/>
      <c r="T520" s="342"/>
      <c r="U520" s="342"/>
      <c r="V520" s="342"/>
      <c r="W520" s="342"/>
      <c r="X520" s="343"/>
      <c r="Y520" s="154"/>
      <c r="AB520" s="155"/>
      <c r="AD520" s="155"/>
      <c r="AE520" s="155"/>
    </row>
    <row r="521" spans="5:31" ht="11.25" customHeight="1" x14ac:dyDescent="0.2">
      <c r="E521" s="340"/>
      <c r="F521" s="340"/>
      <c r="G521" s="155"/>
      <c r="K521" s="155"/>
      <c r="L521" s="155"/>
      <c r="R521" s="342"/>
      <c r="S521" s="342"/>
      <c r="T521" s="342"/>
      <c r="U521" s="342"/>
      <c r="V521" s="342"/>
      <c r="W521" s="342"/>
      <c r="X521" s="343"/>
      <c r="Y521" s="154"/>
      <c r="AB521" s="155"/>
      <c r="AD521" s="155"/>
      <c r="AE521" s="155"/>
    </row>
    <row r="522" spans="5:31" ht="11.25" customHeight="1" x14ac:dyDescent="0.2">
      <c r="E522" s="340"/>
      <c r="F522" s="340"/>
      <c r="G522" s="155"/>
      <c r="K522" s="155"/>
      <c r="L522" s="155"/>
      <c r="R522" s="342"/>
      <c r="S522" s="342"/>
      <c r="T522" s="342"/>
      <c r="U522" s="342"/>
      <c r="V522" s="342"/>
      <c r="W522" s="342"/>
      <c r="X522" s="343"/>
      <c r="Y522" s="154"/>
      <c r="AB522" s="155"/>
      <c r="AD522" s="155"/>
      <c r="AE522" s="155"/>
    </row>
    <row r="523" spans="5:31" ht="11.25" customHeight="1" x14ac:dyDescent="0.2">
      <c r="E523" s="340"/>
      <c r="F523" s="340"/>
      <c r="G523" s="155"/>
      <c r="K523" s="155"/>
      <c r="L523" s="155"/>
      <c r="R523" s="342"/>
      <c r="S523" s="342"/>
      <c r="T523" s="342"/>
      <c r="U523" s="342"/>
      <c r="V523" s="342"/>
      <c r="W523" s="342"/>
      <c r="X523" s="343"/>
      <c r="Y523" s="154"/>
      <c r="AB523" s="155"/>
      <c r="AD523" s="155"/>
      <c r="AE523" s="155"/>
    </row>
    <row r="524" spans="5:31" ht="11.25" customHeight="1" x14ac:dyDescent="0.2">
      <c r="E524" s="340"/>
      <c r="F524" s="340"/>
      <c r="G524" s="155"/>
      <c r="K524" s="155"/>
      <c r="L524" s="155"/>
      <c r="R524" s="342"/>
      <c r="S524" s="342"/>
      <c r="T524" s="342"/>
      <c r="U524" s="342"/>
      <c r="V524" s="342"/>
      <c r="W524" s="342"/>
      <c r="X524" s="343"/>
      <c r="Y524" s="154"/>
      <c r="AB524" s="155"/>
      <c r="AD524" s="155"/>
      <c r="AE524" s="155"/>
    </row>
    <row r="525" spans="5:31" ht="11.25" customHeight="1" x14ac:dyDescent="0.2">
      <c r="E525" s="340"/>
      <c r="F525" s="340"/>
      <c r="G525" s="155"/>
      <c r="K525" s="155"/>
      <c r="L525" s="155"/>
      <c r="R525" s="342"/>
      <c r="S525" s="342"/>
      <c r="T525" s="342"/>
      <c r="U525" s="342"/>
      <c r="V525" s="342"/>
      <c r="W525" s="342"/>
      <c r="X525" s="343"/>
      <c r="Y525" s="154"/>
      <c r="AB525" s="155"/>
      <c r="AD525" s="155"/>
      <c r="AE525" s="155"/>
    </row>
    <row r="526" spans="5:31" ht="11.25" customHeight="1" x14ac:dyDescent="0.2">
      <c r="E526" s="340"/>
      <c r="F526" s="340"/>
      <c r="G526" s="155"/>
      <c r="K526" s="155"/>
      <c r="L526" s="155"/>
      <c r="R526" s="342"/>
      <c r="S526" s="342"/>
      <c r="T526" s="342"/>
      <c r="U526" s="342"/>
      <c r="V526" s="342"/>
      <c r="W526" s="342"/>
      <c r="X526" s="343"/>
      <c r="Y526" s="154"/>
      <c r="AB526" s="155"/>
      <c r="AD526" s="155"/>
      <c r="AE526" s="155"/>
    </row>
    <row r="527" spans="5:31" ht="11.25" customHeight="1" x14ac:dyDescent="0.2">
      <c r="E527" s="340"/>
      <c r="F527" s="340"/>
      <c r="G527" s="155"/>
      <c r="K527" s="155"/>
      <c r="L527" s="155"/>
      <c r="R527" s="342"/>
      <c r="S527" s="342"/>
      <c r="T527" s="342"/>
      <c r="U527" s="342"/>
      <c r="V527" s="342"/>
      <c r="W527" s="342"/>
      <c r="X527" s="343"/>
      <c r="Y527" s="154"/>
      <c r="AB527" s="155"/>
      <c r="AD527" s="155"/>
      <c r="AE527" s="155"/>
    </row>
    <row r="528" spans="5:31" ht="11.25" customHeight="1" x14ac:dyDescent="0.2">
      <c r="E528" s="340"/>
      <c r="F528" s="340"/>
      <c r="G528" s="155"/>
      <c r="K528" s="155"/>
      <c r="L528" s="155"/>
      <c r="R528" s="342"/>
      <c r="S528" s="342"/>
      <c r="T528" s="342"/>
      <c r="U528" s="342"/>
      <c r="V528" s="342"/>
      <c r="W528" s="342"/>
      <c r="X528" s="343"/>
      <c r="Y528" s="154"/>
      <c r="AB528" s="155"/>
      <c r="AD528" s="155"/>
      <c r="AE528" s="155"/>
    </row>
    <row r="529" spans="5:31" ht="11.25" customHeight="1" x14ac:dyDescent="0.2">
      <c r="E529" s="340"/>
      <c r="F529" s="340"/>
      <c r="G529" s="155"/>
      <c r="K529" s="155"/>
      <c r="L529" s="155"/>
      <c r="R529" s="342"/>
      <c r="S529" s="342"/>
      <c r="T529" s="342"/>
      <c r="U529" s="342"/>
      <c r="V529" s="342"/>
      <c r="W529" s="342"/>
      <c r="X529" s="343"/>
      <c r="Y529" s="154"/>
      <c r="AB529" s="155"/>
      <c r="AD529" s="155"/>
      <c r="AE529" s="155"/>
    </row>
    <row r="530" spans="5:31" ht="11.25" customHeight="1" x14ac:dyDescent="0.2">
      <c r="E530" s="340"/>
      <c r="F530" s="340"/>
      <c r="G530" s="155"/>
      <c r="K530" s="155"/>
      <c r="L530" s="155"/>
      <c r="R530" s="342"/>
      <c r="S530" s="342"/>
      <c r="T530" s="342"/>
      <c r="U530" s="342"/>
      <c r="V530" s="342"/>
      <c r="W530" s="342"/>
      <c r="X530" s="343"/>
      <c r="Y530" s="154"/>
      <c r="AB530" s="155"/>
      <c r="AD530" s="155"/>
      <c r="AE530" s="155"/>
    </row>
    <row r="531" spans="5:31" ht="11.25" customHeight="1" x14ac:dyDescent="0.2">
      <c r="E531" s="340"/>
      <c r="F531" s="340"/>
      <c r="G531" s="155"/>
      <c r="K531" s="155"/>
      <c r="L531" s="155"/>
      <c r="R531" s="342"/>
      <c r="S531" s="342"/>
      <c r="T531" s="342"/>
      <c r="U531" s="342"/>
      <c r="V531" s="342"/>
      <c r="W531" s="342"/>
      <c r="X531" s="343"/>
      <c r="Y531" s="154"/>
      <c r="AB531" s="155"/>
      <c r="AD531" s="155"/>
      <c r="AE531" s="155"/>
    </row>
    <row r="532" spans="5:31" ht="11.25" customHeight="1" x14ac:dyDescent="0.2">
      <c r="E532" s="340"/>
      <c r="F532" s="340"/>
      <c r="G532" s="155"/>
      <c r="K532" s="155"/>
      <c r="L532" s="155"/>
      <c r="R532" s="342"/>
      <c r="S532" s="342"/>
      <c r="T532" s="342"/>
      <c r="U532" s="342"/>
      <c r="V532" s="342"/>
      <c r="W532" s="342"/>
      <c r="X532" s="343"/>
      <c r="Y532" s="154"/>
      <c r="AB532" s="155"/>
      <c r="AD532" s="155"/>
      <c r="AE532" s="155"/>
    </row>
    <row r="533" spans="5:31" ht="11.25" customHeight="1" x14ac:dyDescent="0.2">
      <c r="E533" s="340"/>
      <c r="F533" s="340"/>
      <c r="G533" s="155"/>
      <c r="K533" s="155"/>
      <c r="L533" s="155"/>
      <c r="R533" s="342"/>
      <c r="S533" s="342"/>
      <c r="T533" s="342"/>
      <c r="U533" s="342"/>
      <c r="V533" s="342"/>
      <c r="W533" s="342"/>
      <c r="X533" s="343"/>
      <c r="Y533" s="154"/>
      <c r="AB533" s="155"/>
      <c r="AD533" s="155"/>
      <c r="AE533" s="155"/>
    </row>
    <row r="534" spans="5:31" ht="11.25" customHeight="1" x14ac:dyDescent="0.2">
      <c r="E534" s="340"/>
      <c r="F534" s="340"/>
      <c r="G534" s="155"/>
      <c r="K534" s="155"/>
      <c r="L534" s="155"/>
      <c r="R534" s="342"/>
      <c r="S534" s="342"/>
      <c r="T534" s="342"/>
      <c r="U534" s="342"/>
      <c r="V534" s="342"/>
      <c r="W534" s="342"/>
      <c r="X534" s="343"/>
      <c r="Y534" s="154"/>
      <c r="AB534" s="155"/>
      <c r="AD534" s="155"/>
      <c r="AE534" s="155"/>
    </row>
    <row r="535" spans="5:31" ht="11.25" customHeight="1" x14ac:dyDescent="0.2">
      <c r="E535" s="340"/>
      <c r="F535" s="340"/>
      <c r="G535" s="155"/>
      <c r="K535" s="155"/>
      <c r="L535" s="155"/>
      <c r="AB535" s="155"/>
      <c r="AD535" s="155"/>
      <c r="AE535" s="155"/>
    </row>
    <row r="536" spans="5:31" ht="11.25" customHeight="1" x14ac:dyDescent="0.2">
      <c r="E536" s="340"/>
      <c r="F536" s="340"/>
      <c r="G536" s="155"/>
      <c r="K536" s="155"/>
      <c r="L536" s="155"/>
      <c r="AB536" s="155"/>
      <c r="AD536" s="155"/>
      <c r="AE536" s="155"/>
    </row>
    <row r="537" spans="5:31" ht="11.25" customHeight="1" x14ac:dyDescent="0.2">
      <c r="E537" s="340"/>
      <c r="F537" s="340"/>
      <c r="G537" s="155"/>
      <c r="K537" s="155"/>
      <c r="L537" s="155"/>
      <c r="AB537" s="155"/>
      <c r="AD537" s="155"/>
      <c r="AE537" s="155"/>
    </row>
    <row r="538" spans="5:31" ht="11.25" customHeight="1" x14ac:dyDescent="0.2">
      <c r="E538" s="340"/>
      <c r="F538" s="340"/>
      <c r="G538" s="155"/>
      <c r="K538" s="155"/>
      <c r="L538" s="155"/>
      <c r="AB538" s="155"/>
      <c r="AD538" s="155"/>
      <c r="AE538" s="155"/>
    </row>
    <row r="539" spans="5:31" ht="11.25" customHeight="1" x14ac:dyDescent="0.2">
      <c r="E539" s="340"/>
      <c r="F539" s="340"/>
      <c r="G539" s="155"/>
      <c r="K539" s="155"/>
      <c r="L539" s="155"/>
      <c r="AB539" s="155"/>
      <c r="AD539" s="155"/>
      <c r="AE539" s="155"/>
    </row>
    <row r="540" spans="5:31" ht="11.25" customHeight="1" x14ac:dyDescent="0.2">
      <c r="E540" s="340"/>
      <c r="F540" s="340"/>
      <c r="G540" s="155"/>
      <c r="K540" s="155"/>
      <c r="L540" s="155"/>
      <c r="AB540" s="155"/>
      <c r="AD540" s="155"/>
      <c r="AE540" s="155"/>
    </row>
    <row r="541" spans="5:31" ht="11.25" customHeight="1" x14ac:dyDescent="0.2">
      <c r="E541" s="340"/>
      <c r="F541" s="340"/>
      <c r="G541" s="155"/>
      <c r="K541" s="155"/>
      <c r="L541" s="155"/>
      <c r="AB541" s="155"/>
      <c r="AD541" s="155"/>
      <c r="AE541" s="155"/>
    </row>
    <row r="542" spans="5:31" ht="11.25" customHeight="1" x14ac:dyDescent="0.2">
      <c r="E542" s="340"/>
      <c r="F542" s="340"/>
      <c r="G542" s="155"/>
      <c r="K542" s="155"/>
      <c r="L542" s="155"/>
      <c r="AB542" s="155"/>
      <c r="AD542" s="155"/>
      <c r="AE542" s="155"/>
    </row>
    <row r="543" spans="5:31" ht="11.25" customHeight="1" x14ac:dyDescent="0.2">
      <c r="E543" s="340"/>
      <c r="F543" s="340"/>
      <c r="G543" s="155"/>
      <c r="K543" s="155"/>
      <c r="L543" s="155"/>
      <c r="AB543" s="155"/>
      <c r="AD543" s="155"/>
      <c r="AE543" s="155"/>
    </row>
    <row r="544" spans="5:31" ht="11.25" customHeight="1" x14ac:dyDescent="0.2">
      <c r="E544" s="340"/>
      <c r="F544" s="340"/>
      <c r="G544" s="155"/>
      <c r="K544" s="155"/>
      <c r="L544" s="155"/>
      <c r="AB544" s="155"/>
      <c r="AD544" s="155"/>
      <c r="AE544" s="155"/>
    </row>
    <row r="545" spans="5:31" ht="11.25" customHeight="1" x14ac:dyDescent="0.2">
      <c r="E545" s="340"/>
      <c r="F545" s="340"/>
      <c r="G545" s="155"/>
      <c r="K545" s="155"/>
      <c r="L545" s="155"/>
      <c r="AB545" s="155"/>
      <c r="AD545" s="155"/>
      <c r="AE545" s="155"/>
    </row>
    <row r="546" spans="5:31" ht="11.25" customHeight="1" x14ac:dyDescent="0.2">
      <c r="E546" s="340"/>
      <c r="F546" s="340"/>
      <c r="G546" s="155"/>
      <c r="K546" s="155"/>
      <c r="L546" s="155"/>
      <c r="AB546" s="155"/>
      <c r="AD546" s="155"/>
      <c r="AE546" s="155"/>
    </row>
    <row r="547" spans="5:31" ht="11.25" customHeight="1" x14ac:dyDescent="0.2">
      <c r="E547" s="340"/>
      <c r="F547" s="340"/>
      <c r="G547" s="155"/>
      <c r="K547" s="155"/>
      <c r="L547" s="155"/>
      <c r="AB547" s="155"/>
      <c r="AD547" s="155"/>
      <c r="AE547" s="155"/>
    </row>
    <row r="548" spans="5:31" ht="11.25" customHeight="1" x14ac:dyDescent="0.2">
      <c r="E548" s="340"/>
      <c r="F548" s="340"/>
      <c r="G548" s="155"/>
      <c r="K548" s="155"/>
      <c r="L548" s="155"/>
      <c r="AB548" s="155"/>
      <c r="AD548" s="155"/>
      <c r="AE548" s="155"/>
    </row>
    <row r="549" spans="5:31" ht="11.25" customHeight="1" x14ac:dyDescent="0.2">
      <c r="E549" s="340"/>
      <c r="F549" s="340"/>
      <c r="G549" s="155"/>
      <c r="K549" s="155"/>
      <c r="L549" s="155"/>
      <c r="AB549" s="155"/>
      <c r="AD549" s="155"/>
      <c r="AE549" s="155"/>
    </row>
    <row r="550" spans="5:31" ht="11.25" customHeight="1" x14ac:dyDescent="0.2">
      <c r="E550" s="340"/>
      <c r="F550" s="340"/>
      <c r="G550" s="155"/>
      <c r="K550" s="155"/>
      <c r="L550" s="155"/>
      <c r="AB550" s="155"/>
      <c r="AD550" s="155"/>
      <c r="AE550" s="155"/>
    </row>
    <row r="551" spans="5:31" ht="11.25" customHeight="1" x14ac:dyDescent="0.2">
      <c r="E551" s="340"/>
      <c r="F551" s="340"/>
      <c r="G551" s="155"/>
      <c r="K551" s="155"/>
      <c r="L551" s="155"/>
      <c r="AB551" s="155"/>
      <c r="AD551" s="155"/>
      <c r="AE551" s="155"/>
    </row>
    <row r="552" spans="5:31" ht="11.25" customHeight="1" x14ac:dyDescent="0.2">
      <c r="E552" s="340"/>
      <c r="F552" s="340"/>
      <c r="G552" s="155"/>
      <c r="K552" s="155"/>
      <c r="L552" s="155"/>
      <c r="AB552" s="155"/>
      <c r="AD552" s="155"/>
      <c r="AE552" s="155"/>
    </row>
    <row r="553" spans="5:31" ht="11.25" customHeight="1" x14ac:dyDescent="0.2">
      <c r="E553" s="340"/>
      <c r="F553" s="340"/>
      <c r="G553" s="155"/>
      <c r="K553" s="155"/>
      <c r="L553" s="155"/>
      <c r="AB553" s="155"/>
      <c r="AD553" s="155"/>
      <c r="AE553" s="155"/>
    </row>
    <row r="554" spans="5:31" ht="11.25" customHeight="1" x14ac:dyDescent="0.2">
      <c r="E554" s="340"/>
      <c r="F554" s="340"/>
      <c r="G554" s="155"/>
      <c r="K554" s="155"/>
      <c r="L554" s="155"/>
      <c r="AB554" s="155"/>
      <c r="AD554" s="155"/>
      <c r="AE554" s="155"/>
    </row>
    <row r="555" spans="5:31" ht="11.25" customHeight="1" x14ac:dyDescent="0.2">
      <c r="E555" s="340"/>
      <c r="F555" s="340"/>
      <c r="G555" s="155"/>
      <c r="K555" s="155"/>
      <c r="L555" s="155"/>
      <c r="AB555" s="155"/>
      <c r="AD555" s="155"/>
      <c r="AE555" s="155"/>
    </row>
    <row r="556" spans="5:31" ht="11.25" customHeight="1" x14ac:dyDescent="0.2">
      <c r="E556" s="340"/>
      <c r="F556" s="340"/>
      <c r="G556" s="155"/>
      <c r="K556" s="155"/>
      <c r="L556" s="155"/>
      <c r="AB556" s="155"/>
      <c r="AD556" s="155"/>
      <c r="AE556" s="155"/>
    </row>
    <row r="557" spans="5:31" ht="11.25" customHeight="1" x14ac:dyDescent="0.2">
      <c r="E557" s="340"/>
      <c r="F557" s="340"/>
      <c r="G557" s="155"/>
      <c r="K557" s="155"/>
      <c r="L557" s="155"/>
      <c r="AB557" s="155"/>
      <c r="AD557" s="155"/>
      <c r="AE557" s="155"/>
    </row>
    <row r="558" spans="5:31" ht="11.25" customHeight="1" x14ac:dyDescent="0.2">
      <c r="E558" s="340"/>
      <c r="F558" s="340"/>
      <c r="G558" s="155"/>
      <c r="K558" s="155"/>
      <c r="L558" s="155"/>
      <c r="AB558" s="155"/>
      <c r="AD558" s="155"/>
      <c r="AE558" s="155"/>
    </row>
    <row r="559" spans="5:31" ht="11.25" customHeight="1" x14ac:dyDescent="0.2">
      <c r="E559" s="340"/>
      <c r="F559" s="340"/>
      <c r="G559" s="155"/>
      <c r="K559" s="155"/>
      <c r="L559" s="155"/>
      <c r="AB559" s="155"/>
      <c r="AD559" s="155"/>
      <c r="AE559" s="155"/>
    </row>
    <row r="560" spans="5:31" ht="11.25" customHeight="1" x14ac:dyDescent="0.2">
      <c r="E560" s="340"/>
      <c r="F560" s="340"/>
      <c r="G560" s="155"/>
      <c r="K560" s="155"/>
      <c r="L560" s="155"/>
      <c r="AB560" s="155"/>
      <c r="AD560" s="155"/>
      <c r="AE560" s="155"/>
    </row>
    <row r="561" spans="5:31" ht="11.25" customHeight="1" x14ac:dyDescent="0.2">
      <c r="E561" s="340"/>
      <c r="F561" s="340"/>
      <c r="G561" s="155"/>
      <c r="K561" s="155"/>
      <c r="L561" s="155"/>
      <c r="AB561" s="155"/>
      <c r="AD561" s="155"/>
      <c r="AE561" s="155"/>
    </row>
    <row r="562" spans="5:31" ht="11.25" customHeight="1" x14ac:dyDescent="0.2">
      <c r="E562" s="340"/>
      <c r="F562" s="340"/>
      <c r="G562" s="155"/>
      <c r="K562" s="155"/>
      <c r="L562" s="155"/>
      <c r="AB562" s="155"/>
      <c r="AD562" s="155"/>
      <c r="AE562" s="155"/>
    </row>
    <row r="563" spans="5:31" ht="11.25" customHeight="1" x14ac:dyDescent="0.2">
      <c r="E563" s="340"/>
      <c r="F563" s="340"/>
      <c r="G563" s="155"/>
      <c r="K563" s="155"/>
      <c r="L563" s="155"/>
      <c r="AB563" s="155"/>
      <c r="AD563" s="155"/>
      <c r="AE563" s="155"/>
    </row>
    <row r="564" spans="5:31" ht="11.25" customHeight="1" x14ac:dyDescent="0.2">
      <c r="E564" s="340"/>
      <c r="F564" s="340"/>
      <c r="G564" s="155"/>
      <c r="K564" s="155"/>
      <c r="L564" s="155"/>
      <c r="AB564" s="155"/>
      <c r="AD564" s="155"/>
      <c r="AE564" s="155"/>
    </row>
    <row r="565" spans="5:31" ht="11.25" customHeight="1" x14ac:dyDescent="0.2">
      <c r="E565" s="340"/>
      <c r="F565" s="340"/>
      <c r="G565" s="155"/>
      <c r="K565" s="155"/>
      <c r="L565" s="155"/>
      <c r="AB565" s="155"/>
      <c r="AD565" s="155"/>
      <c r="AE565" s="155"/>
    </row>
    <row r="566" spans="5:31" ht="11.25" customHeight="1" x14ac:dyDescent="0.2">
      <c r="E566" s="340"/>
      <c r="F566" s="340"/>
      <c r="G566" s="155"/>
      <c r="K566" s="155"/>
      <c r="L566" s="155"/>
      <c r="AB566" s="155"/>
      <c r="AD566" s="155"/>
      <c r="AE566" s="155"/>
    </row>
    <row r="567" spans="5:31" ht="11.25" customHeight="1" x14ac:dyDescent="0.2">
      <c r="E567" s="340"/>
      <c r="F567" s="340"/>
      <c r="G567" s="155"/>
      <c r="K567" s="155"/>
      <c r="L567" s="155"/>
      <c r="AB567" s="155"/>
      <c r="AD567" s="155"/>
      <c r="AE567" s="155"/>
    </row>
    <row r="568" spans="5:31" ht="11.25" customHeight="1" x14ac:dyDescent="0.2">
      <c r="E568" s="340"/>
      <c r="F568" s="340"/>
      <c r="G568" s="155"/>
      <c r="K568" s="155"/>
      <c r="L568" s="155"/>
      <c r="AB568" s="155"/>
      <c r="AD568" s="155"/>
      <c r="AE568" s="155"/>
    </row>
    <row r="569" spans="5:31" ht="11.25" customHeight="1" x14ac:dyDescent="0.2">
      <c r="E569" s="340"/>
      <c r="F569" s="340"/>
      <c r="G569" s="155"/>
      <c r="K569" s="155"/>
      <c r="L569" s="155"/>
      <c r="AB569" s="155"/>
      <c r="AD569" s="155"/>
      <c r="AE569" s="155"/>
    </row>
    <row r="570" spans="5:31" ht="11.25" customHeight="1" x14ac:dyDescent="0.2">
      <c r="E570" s="340"/>
      <c r="F570" s="340"/>
      <c r="G570" s="155"/>
      <c r="K570" s="155"/>
      <c r="L570" s="155"/>
      <c r="AB570" s="155"/>
      <c r="AD570" s="155"/>
      <c r="AE570" s="155"/>
    </row>
    <row r="571" spans="5:31" ht="11.25" customHeight="1" x14ac:dyDescent="0.2">
      <c r="E571" s="340"/>
      <c r="F571" s="340"/>
      <c r="G571" s="155"/>
      <c r="K571" s="155"/>
      <c r="L571" s="155"/>
      <c r="AB571" s="155"/>
      <c r="AD571" s="155"/>
      <c r="AE571" s="155"/>
    </row>
    <row r="572" spans="5:31" ht="11.25" customHeight="1" x14ac:dyDescent="0.2">
      <c r="E572" s="340"/>
      <c r="F572" s="340"/>
      <c r="G572" s="155"/>
      <c r="K572" s="155"/>
      <c r="L572" s="155"/>
      <c r="AB572" s="155"/>
      <c r="AD572" s="155"/>
      <c r="AE572" s="155"/>
    </row>
    <row r="573" spans="5:31" ht="11.25" customHeight="1" x14ac:dyDescent="0.2">
      <c r="E573" s="340"/>
      <c r="F573" s="340"/>
      <c r="G573" s="155"/>
      <c r="K573" s="155"/>
      <c r="L573" s="155"/>
      <c r="AB573" s="155"/>
      <c r="AD573" s="155"/>
      <c r="AE573" s="155"/>
    </row>
    <row r="574" spans="5:31" ht="11.25" customHeight="1" x14ac:dyDescent="0.2">
      <c r="E574" s="340"/>
      <c r="F574" s="340"/>
      <c r="G574" s="155"/>
      <c r="K574" s="155"/>
      <c r="L574" s="155"/>
      <c r="AB574" s="155"/>
      <c r="AD574" s="155"/>
      <c r="AE574" s="155"/>
    </row>
    <row r="575" spans="5:31" ht="11.25" customHeight="1" x14ac:dyDescent="0.2">
      <c r="E575" s="340"/>
      <c r="F575" s="340"/>
      <c r="G575" s="155"/>
      <c r="K575" s="155"/>
      <c r="L575" s="155"/>
      <c r="AB575" s="155"/>
      <c r="AD575" s="155"/>
      <c r="AE575" s="155"/>
    </row>
    <row r="576" spans="5:31" ht="11.25" customHeight="1" x14ac:dyDescent="0.2">
      <c r="E576" s="340"/>
      <c r="F576" s="340"/>
      <c r="G576" s="155"/>
      <c r="K576" s="155"/>
      <c r="L576" s="155"/>
      <c r="AB576" s="155"/>
      <c r="AD576" s="155"/>
      <c r="AE576" s="155"/>
    </row>
    <row r="577" spans="5:31" ht="11.25" customHeight="1" x14ac:dyDescent="0.2">
      <c r="E577" s="340"/>
      <c r="F577" s="340"/>
      <c r="G577" s="155"/>
      <c r="K577" s="155"/>
      <c r="L577" s="155"/>
      <c r="AB577" s="155"/>
      <c r="AD577" s="155"/>
      <c r="AE577" s="155"/>
    </row>
    <row r="578" spans="5:31" ht="11.25" customHeight="1" x14ac:dyDescent="0.2">
      <c r="E578" s="340"/>
      <c r="F578" s="340"/>
      <c r="G578" s="155"/>
      <c r="K578" s="155"/>
      <c r="L578" s="155"/>
      <c r="AB578" s="155"/>
      <c r="AD578" s="155"/>
      <c r="AE578" s="155"/>
    </row>
    <row r="579" spans="5:31" ht="11.25" customHeight="1" x14ac:dyDescent="0.2">
      <c r="E579" s="340"/>
      <c r="F579" s="340"/>
      <c r="G579" s="155"/>
      <c r="K579" s="155"/>
      <c r="L579" s="155"/>
      <c r="AB579" s="155"/>
      <c r="AD579" s="155"/>
      <c r="AE579" s="155"/>
    </row>
    <row r="580" spans="5:31" ht="11.25" customHeight="1" x14ac:dyDescent="0.2">
      <c r="E580" s="340"/>
      <c r="F580" s="340"/>
      <c r="G580" s="155"/>
      <c r="K580" s="155"/>
      <c r="L580" s="155"/>
      <c r="AB580" s="155"/>
      <c r="AD580" s="155"/>
      <c r="AE580" s="155"/>
    </row>
    <row r="581" spans="5:31" ht="11.25" customHeight="1" x14ac:dyDescent="0.2">
      <c r="E581" s="340"/>
      <c r="F581" s="340"/>
      <c r="G581" s="155"/>
      <c r="K581" s="155"/>
      <c r="L581" s="155"/>
      <c r="AB581" s="155"/>
      <c r="AD581" s="155"/>
      <c r="AE581" s="155"/>
    </row>
    <row r="582" spans="5:31" ht="11.25" customHeight="1" x14ac:dyDescent="0.2">
      <c r="AB582" s="155"/>
      <c r="AD582" s="155"/>
      <c r="AE582" s="155"/>
    </row>
    <row r="583" spans="5:31" x14ac:dyDescent="0.2">
      <c r="AB583" s="155"/>
      <c r="AD583" s="155"/>
      <c r="AE583" s="155"/>
    </row>
    <row r="584" spans="5:31" x14ac:dyDescent="0.2">
      <c r="AB584" s="155"/>
      <c r="AD584" s="155"/>
      <c r="AE584" s="155"/>
    </row>
    <row r="585" spans="5:31" x14ac:dyDescent="0.2">
      <c r="AB585" s="155"/>
      <c r="AD585" s="155"/>
      <c r="AE585" s="155"/>
    </row>
    <row r="586" spans="5:31" x14ac:dyDescent="0.2">
      <c r="AB586" s="155"/>
      <c r="AD586" s="155"/>
      <c r="AE586" s="155"/>
    </row>
    <row r="587" spans="5:31" x14ac:dyDescent="0.2">
      <c r="AB587" s="155"/>
      <c r="AD587" s="155"/>
      <c r="AE587" s="155"/>
    </row>
    <row r="588" spans="5:31" x14ac:dyDescent="0.2">
      <c r="AB588" s="155"/>
      <c r="AD588" s="155"/>
      <c r="AE588" s="155"/>
    </row>
    <row r="589" spans="5:31" x14ac:dyDescent="0.2">
      <c r="AB589" s="155"/>
      <c r="AD589" s="155"/>
      <c r="AE589" s="155"/>
    </row>
    <row r="590" spans="5:31" x14ac:dyDescent="0.2">
      <c r="AB590" s="155"/>
      <c r="AD590" s="155"/>
      <c r="AE590" s="155"/>
    </row>
    <row r="591" spans="5:31" x14ac:dyDescent="0.2">
      <c r="AB591" s="155"/>
      <c r="AD591" s="155"/>
      <c r="AE591" s="155"/>
    </row>
    <row r="592" spans="5:31" x14ac:dyDescent="0.2">
      <c r="AB592" s="155"/>
      <c r="AD592" s="155"/>
      <c r="AE592" s="155"/>
    </row>
    <row r="593" spans="28:31" x14ac:dyDescent="0.2">
      <c r="AB593" s="155"/>
      <c r="AD593" s="155"/>
      <c r="AE593" s="155"/>
    </row>
    <row r="594" spans="28:31" x14ac:dyDescent="0.2">
      <c r="AB594" s="155"/>
      <c r="AD594" s="155"/>
      <c r="AE594" s="155"/>
    </row>
    <row r="595" spans="28:31" x14ac:dyDescent="0.2">
      <c r="AB595" s="155"/>
      <c r="AD595" s="155"/>
      <c r="AE595" s="155"/>
    </row>
    <row r="596" spans="28:31" x14ac:dyDescent="0.2">
      <c r="AB596" s="155"/>
      <c r="AD596" s="155"/>
      <c r="AE596" s="155"/>
    </row>
    <row r="597" spans="28:31" x14ac:dyDescent="0.2">
      <c r="AB597" s="155"/>
      <c r="AD597" s="155"/>
      <c r="AE597" s="155"/>
    </row>
    <row r="598" spans="28:31" x14ac:dyDescent="0.2">
      <c r="AB598" s="155"/>
      <c r="AD598" s="155"/>
      <c r="AE598" s="155"/>
    </row>
    <row r="599" spans="28:31" x14ac:dyDescent="0.2">
      <c r="AB599" s="155"/>
      <c r="AD599" s="155"/>
      <c r="AE599" s="155"/>
    </row>
    <row r="600" spans="28:31" x14ac:dyDescent="0.2">
      <c r="AB600" s="155"/>
      <c r="AD600" s="155"/>
      <c r="AE600" s="155"/>
    </row>
    <row r="601" spans="28:31" x14ac:dyDescent="0.2">
      <c r="AB601" s="155"/>
      <c r="AD601" s="155"/>
      <c r="AE601" s="155"/>
    </row>
    <row r="602" spans="28:31" x14ac:dyDescent="0.2">
      <c r="AB602" s="155"/>
      <c r="AD602" s="155"/>
      <c r="AE602" s="155"/>
    </row>
    <row r="603" spans="28:31" x14ac:dyDescent="0.2">
      <c r="AB603" s="155"/>
      <c r="AD603" s="155"/>
      <c r="AE603" s="155"/>
    </row>
    <row r="604" spans="28:31" x14ac:dyDescent="0.2">
      <c r="AB604" s="155"/>
      <c r="AD604" s="155"/>
      <c r="AE604" s="155"/>
    </row>
    <row r="605" spans="28:31" x14ac:dyDescent="0.2">
      <c r="AB605" s="155"/>
      <c r="AD605" s="155"/>
      <c r="AE605" s="155"/>
    </row>
    <row r="606" spans="28:31" x14ac:dyDescent="0.2">
      <c r="AB606" s="155"/>
      <c r="AD606" s="155"/>
      <c r="AE606" s="155"/>
    </row>
    <row r="607" spans="28:31" x14ac:dyDescent="0.2">
      <c r="AB607" s="155"/>
      <c r="AD607" s="155"/>
      <c r="AE607" s="155"/>
    </row>
    <row r="608" spans="28:31" x14ac:dyDescent="0.2">
      <c r="AB608" s="155"/>
      <c r="AD608" s="155"/>
      <c r="AE608" s="155"/>
    </row>
    <row r="609" spans="28:31" x14ac:dyDescent="0.2">
      <c r="AB609" s="155"/>
      <c r="AD609" s="155"/>
      <c r="AE609" s="155"/>
    </row>
    <row r="610" spans="28:31" x14ac:dyDescent="0.2">
      <c r="AB610" s="155"/>
      <c r="AD610" s="155"/>
      <c r="AE610" s="155"/>
    </row>
    <row r="611" spans="28:31" x14ac:dyDescent="0.2">
      <c r="AB611" s="155"/>
      <c r="AD611" s="155"/>
      <c r="AE611" s="155"/>
    </row>
    <row r="612" spans="28:31" x14ac:dyDescent="0.2">
      <c r="AB612" s="155"/>
      <c r="AD612" s="155"/>
      <c r="AE612" s="155"/>
    </row>
    <row r="613" spans="28:31" x14ac:dyDescent="0.2">
      <c r="AB613" s="155"/>
      <c r="AD613" s="155"/>
      <c r="AE613" s="155"/>
    </row>
    <row r="614" spans="28:31" x14ac:dyDescent="0.2">
      <c r="AB614" s="155"/>
      <c r="AD614" s="155"/>
      <c r="AE614" s="155"/>
    </row>
    <row r="615" spans="28:31" x14ac:dyDescent="0.2">
      <c r="AB615" s="155"/>
      <c r="AD615" s="155"/>
      <c r="AE615" s="155"/>
    </row>
    <row r="616" spans="28:31" x14ac:dyDescent="0.2">
      <c r="AB616" s="155"/>
      <c r="AD616" s="155"/>
      <c r="AE616" s="155"/>
    </row>
    <row r="617" spans="28:31" x14ac:dyDescent="0.2">
      <c r="AB617" s="155"/>
      <c r="AD617" s="155"/>
      <c r="AE617" s="155"/>
    </row>
    <row r="618" spans="28:31" x14ac:dyDescent="0.2">
      <c r="AB618" s="155"/>
      <c r="AD618" s="155"/>
      <c r="AE618" s="155"/>
    </row>
    <row r="619" spans="28:31" x14ac:dyDescent="0.2">
      <c r="AB619" s="155"/>
      <c r="AD619" s="155"/>
      <c r="AE619" s="155"/>
    </row>
    <row r="620" spans="28:31" x14ac:dyDescent="0.2">
      <c r="AB620" s="155"/>
      <c r="AD620" s="155"/>
      <c r="AE620" s="155"/>
    </row>
    <row r="621" spans="28:31" x14ac:dyDescent="0.2">
      <c r="AB621" s="155"/>
      <c r="AD621" s="155"/>
      <c r="AE621" s="155"/>
    </row>
    <row r="622" spans="28:31" x14ac:dyDescent="0.2">
      <c r="AB622" s="155"/>
      <c r="AD622" s="155"/>
      <c r="AE622" s="155"/>
    </row>
    <row r="623" spans="28:31" x14ac:dyDescent="0.2">
      <c r="AB623" s="155"/>
      <c r="AD623" s="155"/>
      <c r="AE623" s="155"/>
    </row>
    <row r="624" spans="28:31" x14ac:dyDescent="0.2">
      <c r="AB624" s="155"/>
      <c r="AD624" s="155"/>
      <c r="AE624" s="155"/>
    </row>
    <row r="625" spans="28:31" x14ac:dyDescent="0.2">
      <c r="AB625" s="155"/>
      <c r="AD625" s="155"/>
      <c r="AE625" s="155"/>
    </row>
    <row r="626" spans="28:31" x14ac:dyDescent="0.2">
      <c r="AB626" s="155"/>
      <c r="AD626" s="155"/>
      <c r="AE626" s="155"/>
    </row>
    <row r="627" spans="28:31" x14ac:dyDescent="0.2">
      <c r="AB627" s="155"/>
      <c r="AD627" s="155"/>
      <c r="AE627" s="155"/>
    </row>
    <row r="628" spans="28:31" x14ac:dyDescent="0.2">
      <c r="AB628" s="155"/>
      <c r="AD628" s="155"/>
      <c r="AE628" s="155"/>
    </row>
    <row r="629" spans="28:31" x14ac:dyDescent="0.2">
      <c r="AB629" s="155"/>
      <c r="AD629" s="155"/>
      <c r="AE629" s="155"/>
    </row>
    <row r="630" spans="28:31" x14ac:dyDescent="0.2">
      <c r="AB630" s="155"/>
      <c r="AD630" s="155"/>
      <c r="AE630" s="155"/>
    </row>
    <row r="631" spans="28:31" x14ac:dyDescent="0.2">
      <c r="AB631" s="155"/>
      <c r="AD631" s="155"/>
      <c r="AE631" s="155"/>
    </row>
    <row r="632" spans="28:31" x14ac:dyDescent="0.2">
      <c r="AB632" s="155"/>
      <c r="AD632" s="155"/>
      <c r="AE632" s="155"/>
    </row>
    <row r="633" spans="28:31" x14ac:dyDescent="0.2">
      <c r="AB633" s="155"/>
      <c r="AD633" s="155"/>
      <c r="AE633" s="155"/>
    </row>
    <row r="634" spans="28:31" x14ac:dyDescent="0.2">
      <c r="AB634" s="155"/>
      <c r="AD634" s="155"/>
      <c r="AE634" s="155"/>
    </row>
    <row r="635" spans="28:31" x14ac:dyDescent="0.2">
      <c r="AB635" s="155"/>
      <c r="AD635" s="155"/>
      <c r="AE635" s="155"/>
    </row>
    <row r="636" spans="28:31" x14ac:dyDescent="0.2">
      <c r="AB636" s="155"/>
      <c r="AD636" s="155"/>
      <c r="AE636" s="155"/>
    </row>
    <row r="637" spans="28:31" x14ac:dyDescent="0.2">
      <c r="AB637" s="155"/>
      <c r="AD637" s="155"/>
      <c r="AE637" s="155"/>
    </row>
    <row r="638" spans="28:31" x14ac:dyDescent="0.2">
      <c r="AB638" s="155"/>
      <c r="AD638" s="155"/>
      <c r="AE638" s="155"/>
    </row>
    <row r="639" spans="28:31" x14ac:dyDescent="0.2">
      <c r="AB639" s="155"/>
      <c r="AD639" s="155"/>
      <c r="AE639" s="155"/>
    </row>
    <row r="640" spans="28:31" x14ac:dyDescent="0.2">
      <c r="AB640" s="155"/>
      <c r="AD640" s="155"/>
      <c r="AE640" s="155"/>
    </row>
    <row r="641" spans="28:31" x14ac:dyDescent="0.2">
      <c r="AB641" s="155"/>
      <c r="AD641" s="155"/>
      <c r="AE641" s="155"/>
    </row>
    <row r="642" spans="28:31" x14ac:dyDescent="0.2">
      <c r="AB642" s="155"/>
      <c r="AD642" s="155"/>
      <c r="AE642" s="155"/>
    </row>
    <row r="643" spans="28:31" x14ac:dyDescent="0.2">
      <c r="AB643" s="155"/>
      <c r="AD643" s="155"/>
      <c r="AE643" s="155"/>
    </row>
    <row r="644" spans="28:31" x14ac:dyDescent="0.2">
      <c r="AB644" s="155"/>
      <c r="AD644" s="155"/>
      <c r="AE644" s="155"/>
    </row>
    <row r="645" spans="28:31" x14ac:dyDescent="0.2">
      <c r="AB645" s="155"/>
      <c r="AD645" s="155"/>
      <c r="AE645" s="155"/>
    </row>
    <row r="646" spans="28:31" x14ac:dyDescent="0.2">
      <c r="AB646" s="155"/>
      <c r="AD646" s="155"/>
      <c r="AE646" s="155"/>
    </row>
    <row r="647" spans="28:31" x14ac:dyDescent="0.2">
      <c r="AB647" s="155"/>
      <c r="AD647" s="155"/>
      <c r="AE647" s="155"/>
    </row>
    <row r="648" spans="28:31" x14ac:dyDescent="0.2">
      <c r="AB648" s="155"/>
      <c r="AD648" s="155"/>
      <c r="AE648" s="155"/>
    </row>
    <row r="649" spans="28:31" x14ac:dyDescent="0.2">
      <c r="AB649" s="155"/>
      <c r="AD649" s="155"/>
      <c r="AE649" s="155"/>
    </row>
    <row r="650" spans="28:31" x14ac:dyDescent="0.2">
      <c r="AB650" s="155"/>
      <c r="AD650" s="155"/>
      <c r="AE650" s="155"/>
    </row>
    <row r="651" spans="28:31" x14ac:dyDescent="0.2">
      <c r="AB651" s="155"/>
      <c r="AD651" s="155"/>
      <c r="AE651" s="155"/>
    </row>
    <row r="652" spans="28:31" x14ac:dyDescent="0.2">
      <c r="AB652" s="155"/>
      <c r="AD652" s="155"/>
      <c r="AE652" s="155"/>
    </row>
    <row r="653" spans="28:31" x14ac:dyDescent="0.2">
      <c r="AB653" s="155"/>
      <c r="AD653" s="155"/>
      <c r="AE653" s="155"/>
    </row>
    <row r="654" spans="28:31" x14ac:dyDescent="0.2">
      <c r="AB654" s="155"/>
      <c r="AD654" s="155"/>
      <c r="AE654" s="155"/>
    </row>
    <row r="655" spans="28:31" x14ac:dyDescent="0.2">
      <c r="AB655" s="155"/>
      <c r="AD655" s="155"/>
      <c r="AE655" s="155"/>
    </row>
    <row r="656" spans="28:31" x14ac:dyDescent="0.2">
      <c r="AB656" s="155"/>
      <c r="AD656" s="155"/>
      <c r="AE656" s="155"/>
    </row>
    <row r="657" spans="28:31" x14ac:dyDescent="0.2">
      <c r="AB657" s="155"/>
      <c r="AD657" s="155"/>
      <c r="AE657" s="155"/>
    </row>
    <row r="658" spans="28:31" x14ac:dyDescent="0.2">
      <c r="AB658" s="155"/>
      <c r="AD658" s="155"/>
      <c r="AE658" s="155"/>
    </row>
    <row r="659" spans="28:31" x14ac:dyDescent="0.2">
      <c r="AB659" s="155"/>
      <c r="AD659" s="155"/>
      <c r="AE659" s="155"/>
    </row>
    <row r="660" spans="28:31" x14ac:dyDescent="0.2">
      <c r="AB660" s="155"/>
      <c r="AD660" s="155"/>
      <c r="AE660" s="155"/>
    </row>
    <row r="661" spans="28:31" x14ac:dyDescent="0.2">
      <c r="AB661" s="155"/>
      <c r="AD661" s="155"/>
      <c r="AE661" s="155"/>
    </row>
    <row r="662" spans="28:31" x14ac:dyDescent="0.2">
      <c r="AB662" s="155"/>
      <c r="AD662" s="155"/>
      <c r="AE662" s="155"/>
    </row>
    <row r="663" spans="28:31" x14ac:dyDescent="0.2">
      <c r="AB663" s="155"/>
      <c r="AD663" s="155"/>
      <c r="AE663" s="155"/>
    </row>
    <row r="664" spans="28:31" x14ac:dyDescent="0.2">
      <c r="AB664" s="155"/>
      <c r="AD664" s="155"/>
      <c r="AE664" s="155"/>
    </row>
    <row r="665" spans="28:31" x14ac:dyDescent="0.2">
      <c r="AB665" s="155"/>
      <c r="AD665" s="155"/>
      <c r="AE665" s="155"/>
    </row>
    <row r="666" spans="28:31" x14ac:dyDescent="0.2">
      <c r="AB666" s="155"/>
      <c r="AD666" s="155"/>
      <c r="AE666" s="155"/>
    </row>
    <row r="667" spans="28:31" x14ac:dyDescent="0.2">
      <c r="AB667" s="155"/>
      <c r="AD667" s="155"/>
      <c r="AE667" s="155"/>
    </row>
    <row r="668" spans="28:31" x14ac:dyDescent="0.2">
      <c r="AB668" s="155"/>
      <c r="AD668" s="155"/>
      <c r="AE668" s="155"/>
    </row>
    <row r="669" spans="28:31" x14ac:dyDescent="0.2">
      <c r="AB669" s="155"/>
      <c r="AD669" s="155"/>
      <c r="AE669" s="155"/>
    </row>
    <row r="670" spans="28:31" x14ac:dyDescent="0.2">
      <c r="AB670" s="155"/>
      <c r="AD670" s="155"/>
      <c r="AE670" s="155"/>
    </row>
    <row r="671" spans="28:31" x14ac:dyDescent="0.2">
      <c r="AB671" s="155"/>
      <c r="AD671" s="155"/>
      <c r="AE671" s="155"/>
    </row>
    <row r="672" spans="28:31" x14ac:dyDescent="0.2">
      <c r="AB672" s="155"/>
      <c r="AD672" s="155"/>
      <c r="AE672" s="155"/>
    </row>
    <row r="673" spans="28:31" x14ac:dyDescent="0.2">
      <c r="AB673" s="155"/>
      <c r="AD673" s="155"/>
      <c r="AE673" s="155"/>
    </row>
    <row r="674" spans="28:31" x14ac:dyDescent="0.2">
      <c r="AB674" s="155"/>
      <c r="AD674" s="155"/>
      <c r="AE674" s="155"/>
    </row>
    <row r="675" spans="28:31" x14ac:dyDescent="0.2">
      <c r="AB675" s="155"/>
      <c r="AD675" s="155"/>
      <c r="AE675" s="155"/>
    </row>
    <row r="676" spans="28:31" x14ac:dyDescent="0.2">
      <c r="AB676" s="155"/>
      <c r="AD676" s="155"/>
      <c r="AE676" s="155"/>
    </row>
    <row r="677" spans="28:31" x14ac:dyDescent="0.2">
      <c r="AB677" s="155"/>
      <c r="AD677" s="155"/>
      <c r="AE677" s="155"/>
    </row>
    <row r="678" spans="28:31" x14ac:dyDescent="0.2">
      <c r="AB678" s="155"/>
      <c r="AD678" s="155"/>
      <c r="AE678" s="155"/>
    </row>
    <row r="679" spans="28:31" x14ac:dyDescent="0.2">
      <c r="AB679" s="155"/>
      <c r="AD679" s="155"/>
      <c r="AE679" s="155"/>
    </row>
    <row r="680" spans="28:31" x14ac:dyDescent="0.2">
      <c r="AB680" s="155"/>
      <c r="AD680" s="155"/>
      <c r="AE680" s="155"/>
    </row>
    <row r="681" spans="28:31" x14ac:dyDescent="0.2">
      <c r="AB681" s="155"/>
      <c r="AD681" s="155"/>
      <c r="AE681" s="155"/>
    </row>
    <row r="682" spans="28:31" x14ac:dyDescent="0.2">
      <c r="AB682" s="155"/>
      <c r="AD682" s="155"/>
      <c r="AE682" s="155"/>
    </row>
    <row r="683" spans="28:31" x14ac:dyDescent="0.2">
      <c r="AB683" s="155"/>
      <c r="AD683" s="155"/>
      <c r="AE683" s="155"/>
    </row>
    <row r="684" spans="28:31" x14ac:dyDescent="0.2">
      <c r="AB684" s="155"/>
      <c r="AD684" s="155"/>
      <c r="AE684" s="155"/>
    </row>
    <row r="685" spans="28:31" x14ac:dyDescent="0.2">
      <c r="AB685" s="155"/>
      <c r="AD685" s="155"/>
      <c r="AE685" s="155"/>
    </row>
    <row r="686" spans="28:31" x14ac:dyDescent="0.2">
      <c r="AB686" s="155"/>
      <c r="AD686" s="155"/>
      <c r="AE686" s="155"/>
    </row>
    <row r="687" spans="28:31" x14ac:dyDescent="0.2">
      <c r="AB687" s="155"/>
      <c r="AD687" s="155"/>
      <c r="AE687" s="155"/>
    </row>
    <row r="688" spans="28:31" x14ac:dyDescent="0.2">
      <c r="AB688" s="155"/>
      <c r="AD688" s="155"/>
      <c r="AE688" s="155"/>
    </row>
    <row r="689" spans="28:31" x14ac:dyDescent="0.2">
      <c r="AB689" s="155"/>
      <c r="AD689" s="155"/>
      <c r="AE689" s="155"/>
    </row>
    <row r="690" spans="28:31" x14ac:dyDescent="0.2">
      <c r="AB690" s="155"/>
      <c r="AD690" s="155"/>
      <c r="AE690" s="155"/>
    </row>
    <row r="691" spans="28:31" x14ac:dyDescent="0.2">
      <c r="AB691" s="155"/>
      <c r="AD691" s="155"/>
      <c r="AE691" s="155"/>
    </row>
    <row r="692" spans="28:31" x14ac:dyDescent="0.2">
      <c r="AB692" s="155"/>
      <c r="AD692" s="155"/>
      <c r="AE692" s="155"/>
    </row>
    <row r="693" spans="28:31" x14ac:dyDescent="0.2">
      <c r="AB693" s="155"/>
      <c r="AD693" s="155"/>
      <c r="AE693" s="155"/>
    </row>
    <row r="694" spans="28:31" x14ac:dyDescent="0.2">
      <c r="AB694" s="155"/>
      <c r="AD694" s="155"/>
      <c r="AE694" s="155"/>
    </row>
    <row r="695" spans="28:31" x14ac:dyDescent="0.2">
      <c r="AB695" s="155"/>
      <c r="AD695" s="155"/>
      <c r="AE695" s="155"/>
    </row>
    <row r="696" spans="28:31" x14ac:dyDescent="0.2">
      <c r="AB696" s="155"/>
      <c r="AD696" s="155"/>
      <c r="AE696" s="155"/>
    </row>
    <row r="697" spans="28:31" x14ac:dyDescent="0.2">
      <c r="AB697" s="155"/>
      <c r="AD697" s="155"/>
      <c r="AE697" s="155"/>
    </row>
    <row r="698" spans="28:31" x14ac:dyDescent="0.2">
      <c r="AB698" s="155"/>
      <c r="AD698" s="155"/>
      <c r="AE698" s="155"/>
    </row>
    <row r="699" spans="28:31" x14ac:dyDescent="0.2">
      <c r="AB699" s="155"/>
      <c r="AD699" s="155"/>
      <c r="AE699" s="155"/>
    </row>
    <row r="700" spans="28:31" x14ac:dyDescent="0.2">
      <c r="AB700" s="155"/>
      <c r="AD700" s="155"/>
      <c r="AE700" s="155"/>
    </row>
    <row r="701" spans="28:31" x14ac:dyDescent="0.2">
      <c r="AB701" s="155"/>
      <c r="AD701" s="155"/>
      <c r="AE701" s="155"/>
    </row>
    <row r="702" spans="28:31" x14ac:dyDescent="0.2">
      <c r="AB702" s="155"/>
      <c r="AD702" s="155"/>
      <c r="AE702" s="155"/>
    </row>
    <row r="703" spans="28:31" x14ac:dyDescent="0.2">
      <c r="AB703" s="155"/>
      <c r="AD703" s="155"/>
      <c r="AE703" s="155"/>
    </row>
    <row r="704" spans="28:31" x14ac:dyDescent="0.2">
      <c r="AB704" s="155"/>
      <c r="AD704" s="155"/>
      <c r="AE704" s="155"/>
    </row>
    <row r="705" spans="28:31" x14ac:dyDescent="0.2">
      <c r="AB705" s="155"/>
      <c r="AD705" s="155"/>
      <c r="AE705" s="155"/>
    </row>
    <row r="706" spans="28:31" x14ac:dyDescent="0.2">
      <c r="AB706" s="155"/>
      <c r="AD706" s="155"/>
      <c r="AE706" s="155"/>
    </row>
    <row r="707" spans="28:31" x14ac:dyDescent="0.2">
      <c r="AB707" s="155"/>
      <c r="AD707" s="155"/>
      <c r="AE707" s="155"/>
    </row>
    <row r="708" spans="28:31" x14ac:dyDescent="0.2">
      <c r="AB708" s="155"/>
      <c r="AD708" s="155"/>
      <c r="AE708" s="155"/>
    </row>
    <row r="709" spans="28:31" x14ac:dyDescent="0.2">
      <c r="AB709" s="155"/>
      <c r="AD709" s="155"/>
      <c r="AE709" s="155"/>
    </row>
    <row r="710" spans="28:31" x14ac:dyDescent="0.2">
      <c r="AB710" s="155"/>
      <c r="AD710" s="155"/>
      <c r="AE710" s="155"/>
    </row>
    <row r="711" spans="28:31" x14ac:dyDescent="0.2">
      <c r="AB711" s="155"/>
      <c r="AD711" s="155"/>
      <c r="AE711" s="155"/>
    </row>
    <row r="712" spans="28:31" x14ac:dyDescent="0.2">
      <c r="AB712" s="155"/>
      <c r="AD712" s="155"/>
      <c r="AE712" s="155"/>
    </row>
    <row r="713" spans="28:31" x14ac:dyDescent="0.2">
      <c r="AB713" s="155"/>
      <c r="AD713" s="155"/>
      <c r="AE713" s="155"/>
    </row>
    <row r="714" spans="28:31" x14ac:dyDescent="0.2">
      <c r="AB714" s="155"/>
      <c r="AD714" s="155"/>
      <c r="AE714" s="155"/>
    </row>
    <row r="715" spans="28:31" x14ac:dyDescent="0.2">
      <c r="AB715" s="155"/>
      <c r="AD715" s="155"/>
      <c r="AE715" s="155"/>
    </row>
    <row r="716" spans="28:31" x14ac:dyDescent="0.2">
      <c r="AB716" s="155"/>
      <c r="AD716" s="155"/>
      <c r="AE716" s="155"/>
    </row>
    <row r="717" spans="28:31" x14ac:dyDescent="0.2">
      <c r="AB717" s="155"/>
      <c r="AD717" s="155"/>
      <c r="AE717" s="155"/>
    </row>
    <row r="718" spans="28:31" x14ac:dyDescent="0.2">
      <c r="AB718" s="155"/>
      <c r="AD718" s="155"/>
      <c r="AE718" s="155"/>
    </row>
    <row r="719" spans="28:31" x14ac:dyDescent="0.2">
      <c r="AB719" s="155"/>
      <c r="AD719" s="155"/>
      <c r="AE719" s="155"/>
    </row>
    <row r="720" spans="28:31" x14ac:dyDescent="0.2">
      <c r="AB720" s="155"/>
      <c r="AD720" s="155"/>
      <c r="AE720" s="155"/>
    </row>
    <row r="721" spans="28:31" x14ac:dyDescent="0.2">
      <c r="AB721" s="155"/>
      <c r="AD721" s="155"/>
      <c r="AE721" s="155"/>
    </row>
    <row r="722" spans="28:31" x14ac:dyDescent="0.2">
      <c r="AB722" s="155"/>
      <c r="AD722" s="155"/>
      <c r="AE722" s="155"/>
    </row>
    <row r="723" spans="28:31" x14ac:dyDescent="0.2">
      <c r="AB723" s="155"/>
      <c r="AD723" s="155"/>
      <c r="AE723" s="155"/>
    </row>
    <row r="724" spans="28:31" x14ac:dyDescent="0.2">
      <c r="AB724" s="155"/>
      <c r="AD724" s="155"/>
      <c r="AE724" s="155"/>
    </row>
    <row r="725" spans="28:31" x14ac:dyDescent="0.2">
      <c r="AB725" s="155"/>
      <c r="AD725" s="155"/>
      <c r="AE725" s="155"/>
    </row>
    <row r="726" spans="28:31" x14ac:dyDescent="0.2">
      <c r="AB726" s="155"/>
      <c r="AD726" s="155"/>
      <c r="AE726" s="155"/>
    </row>
    <row r="727" spans="28:31" x14ac:dyDescent="0.2">
      <c r="AB727" s="155"/>
      <c r="AD727" s="155"/>
      <c r="AE727" s="155"/>
    </row>
    <row r="728" spans="28:31" x14ac:dyDescent="0.2">
      <c r="AB728" s="155"/>
      <c r="AD728" s="155"/>
      <c r="AE728" s="155"/>
    </row>
    <row r="729" spans="28:31" x14ac:dyDescent="0.2">
      <c r="AB729" s="155"/>
      <c r="AD729" s="155"/>
      <c r="AE729" s="155"/>
    </row>
    <row r="730" spans="28:31" x14ac:dyDescent="0.2">
      <c r="AB730" s="155"/>
      <c r="AD730" s="155"/>
      <c r="AE730" s="155"/>
    </row>
    <row r="731" spans="28:31" x14ac:dyDescent="0.2">
      <c r="AB731" s="155"/>
      <c r="AD731" s="155"/>
      <c r="AE731" s="155"/>
    </row>
    <row r="732" spans="28:31" x14ac:dyDescent="0.2">
      <c r="AB732" s="155"/>
      <c r="AD732" s="155"/>
      <c r="AE732" s="155"/>
    </row>
    <row r="733" spans="28:31" x14ac:dyDescent="0.2">
      <c r="AB733" s="155"/>
      <c r="AD733" s="155"/>
      <c r="AE733" s="155"/>
    </row>
    <row r="734" spans="28:31" x14ac:dyDescent="0.2">
      <c r="AB734" s="155"/>
      <c r="AD734" s="155"/>
      <c r="AE734" s="155"/>
    </row>
    <row r="735" spans="28:31" x14ac:dyDescent="0.2">
      <c r="AB735" s="155"/>
      <c r="AD735" s="155"/>
      <c r="AE735" s="155"/>
    </row>
    <row r="736" spans="28:31" x14ac:dyDescent="0.2">
      <c r="AB736" s="155"/>
      <c r="AD736" s="155"/>
      <c r="AE736" s="155"/>
    </row>
    <row r="737" spans="28:31" x14ac:dyDescent="0.2">
      <c r="AB737" s="155"/>
      <c r="AD737" s="155"/>
      <c r="AE737" s="155"/>
    </row>
    <row r="738" spans="28:31" x14ac:dyDescent="0.2">
      <c r="AB738" s="155"/>
      <c r="AD738" s="155"/>
      <c r="AE738" s="155"/>
    </row>
    <row r="739" spans="28:31" x14ac:dyDescent="0.2">
      <c r="AB739" s="155"/>
      <c r="AD739" s="155"/>
      <c r="AE739" s="155"/>
    </row>
    <row r="740" spans="28:31" x14ac:dyDescent="0.2">
      <c r="AB740" s="155"/>
      <c r="AD740" s="155"/>
      <c r="AE740" s="155"/>
    </row>
    <row r="741" spans="28:31" x14ac:dyDescent="0.2">
      <c r="AB741" s="155"/>
      <c r="AD741" s="155"/>
      <c r="AE741" s="155"/>
    </row>
    <row r="742" spans="28:31" x14ac:dyDescent="0.2">
      <c r="AB742" s="155"/>
      <c r="AD742" s="155"/>
      <c r="AE742" s="155"/>
    </row>
    <row r="743" spans="28:31" x14ac:dyDescent="0.2">
      <c r="AB743" s="155"/>
      <c r="AD743" s="155"/>
      <c r="AE743" s="155"/>
    </row>
    <row r="744" spans="28:31" x14ac:dyDescent="0.2">
      <c r="AB744" s="155"/>
      <c r="AD744" s="155"/>
      <c r="AE744" s="155"/>
    </row>
    <row r="745" spans="28:31" x14ac:dyDescent="0.2">
      <c r="AB745" s="155"/>
      <c r="AD745" s="155"/>
      <c r="AE745" s="155"/>
    </row>
    <row r="746" spans="28:31" x14ac:dyDescent="0.2">
      <c r="AB746" s="155"/>
      <c r="AD746" s="155"/>
      <c r="AE746" s="155"/>
    </row>
    <row r="747" spans="28:31" x14ac:dyDescent="0.2">
      <c r="AB747" s="155"/>
      <c r="AD747" s="155"/>
      <c r="AE747" s="155"/>
    </row>
    <row r="748" spans="28:31" x14ac:dyDescent="0.2">
      <c r="AB748" s="155"/>
      <c r="AD748" s="155"/>
      <c r="AE748" s="155"/>
    </row>
    <row r="749" spans="28:31" x14ac:dyDescent="0.2">
      <c r="AB749" s="155"/>
      <c r="AD749" s="155"/>
      <c r="AE749" s="155"/>
    </row>
    <row r="750" spans="28:31" x14ac:dyDescent="0.2">
      <c r="AB750" s="155"/>
      <c r="AD750" s="155"/>
      <c r="AE750" s="155"/>
    </row>
    <row r="751" spans="28:31" x14ac:dyDescent="0.2">
      <c r="AB751" s="155"/>
      <c r="AD751" s="155"/>
      <c r="AE751" s="155"/>
    </row>
    <row r="752" spans="28:31" x14ac:dyDescent="0.2">
      <c r="AB752" s="155"/>
      <c r="AD752" s="155"/>
      <c r="AE752" s="155"/>
    </row>
    <row r="753" spans="28:31" x14ac:dyDescent="0.2">
      <c r="AB753" s="155"/>
      <c r="AD753" s="155"/>
      <c r="AE753" s="155"/>
    </row>
    <row r="754" spans="28:31" x14ac:dyDescent="0.2">
      <c r="AB754" s="155"/>
      <c r="AD754" s="155"/>
      <c r="AE754" s="155"/>
    </row>
    <row r="755" spans="28:31" x14ac:dyDescent="0.2">
      <c r="AB755" s="155"/>
      <c r="AD755" s="155"/>
      <c r="AE755" s="155"/>
    </row>
    <row r="756" spans="28:31" x14ac:dyDescent="0.2">
      <c r="AB756" s="155"/>
      <c r="AD756" s="155"/>
      <c r="AE756" s="155"/>
    </row>
    <row r="757" spans="28:31" x14ac:dyDescent="0.2">
      <c r="AB757" s="155"/>
      <c r="AD757" s="155"/>
      <c r="AE757" s="155"/>
    </row>
    <row r="758" spans="28:31" x14ac:dyDescent="0.2">
      <c r="AB758" s="155"/>
      <c r="AD758" s="155"/>
      <c r="AE758" s="155"/>
    </row>
    <row r="759" spans="28:31" x14ac:dyDescent="0.2">
      <c r="AB759" s="155"/>
      <c r="AD759" s="155"/>
      <c r="AE759" s="155"/>
    </row>
    <row r="760" spans="28:31" x14ac:dyDescent="0.2">
      <c r="AB760" s="155"/>
      <c r="AD760" s="155"/>
      <c r="AE760" s="155"/>
    </row>
    <row r="761" spans="28:31" x14ac:dyDescent="0.2">
      <c r="AB761" s="155"/>
      <c r="AD761" s="155"/>
      <c r="AE761" s="155"/>
    </row>
    <row r="762" spans="28:31" x14ac:dyDescent="0.2">
      <c r="AB762" s="155"/>
      <c r="AD762" s="155"/>
      <c r="AE762" s="155"/>
    </row>
    <row r="763" spans="28:31" x14ac:dyDescent="0.2">
      <c r="AB763" s="155"/>
      <c r="AD763" s="155"/>
      <c r="AE763" s="155"/>
    </row>
    <row r="764" spans="28:31" x14ac:dyDescent="0.2">
      <c r="AB764" s="155"/>
      <c r="AD764" s="155"/>
      <c r="AE764" s="155"/>
    </row>
    <row r="765" spans="28:31" x14ac:dyDescent="0.2">
      <c r="AB765" s="155"/>
      <c r="AD765" s="155"/>
      <c r="AE765" s="155"/>
    </row>
    <row r="766" spans="28:31" x14ac:dyDescent="0.2">
      <c r="AB766" s="155"/>
      <c r="AD766" s="155"/>
      <c r="AE766" s="155"/>
    </row>
    <row r="767" spans="28:31" x14ac:dyDescent="0.2">
      <c r="AB767" s="155"/>
      <c r="AD767" s="155"/>
      <c r="AE767" s="155"/>
    </row>
    <row r="768" spans="28:31" x14ac:dyDescent="0.2">
      <c r="AB768" s="155"/>
      <c r="AD768" s="155"/>
      <c r="AE768" s="155"/>
    </row>
    <row r="769" spans="28:31" x14ac:dyDescent="0.2">
      <c r="AB769" s="155"/>
      <c r="AD769" s="155"/>
      <c r="AE769" s="155"/>
    </row>
    <row r="770" spans="28:31" x14ac:dyDescent="0.2">
      <c r="AB770" s="155"/>
      <c r="AD770" s="155"/>
      <c r="AE770" s="155"/>
    </row>
    <row r="771" spans="28:31" x14ac:dyDescent="0.2">
      <c r="AB771" s="155"/>
      <c r="AD771" s="155"/>
      <c r="AE771" s="155"/>
    </row>
    <row r="772" spans="28:31" x14ac:dyDescent="0.2">
      <c r="AB772" s="155"/>
      <c r="AD772" s="155"/>
      <c r="AE772" s="155"/>
    </row>
    <row r="773" spans="28:31" x14ac:dyDescent="0.2">
      <c r="AB773" s="155"/>
      <c r="AD773" s="155"/>
      <c r="AE773" s="155"/>
    </row>
    <row r="774" spans="28:31" x14ac:dyDescent="0.2">
      <c r="AB774" s="155"/>
      <c r="AD774" s="155"/>
      <c r="AE774" s="155"/>
    </row>
    <row r="775" spans="28:31" x14ac:dyDescent="0.2">
      <c r="AB775" s="155"/>
      <c r="AD775" s="155"/>
      <c r="AE775" s="155"/>
    </row>
    <row r="776" spans="28:31" x14ac:dyDescent="0.2">
      <c r="AB776" s="155"/>
      <c r="AD776" s="155"/>
      <c r="AE776" s="155"/>
    </row>
    <row r="777" spans="28:31" x14ac:dyDescent="0.2">
      <c r="AB777" s="155"/>
      <c r="AD777" s="155"/>
      <c r="AE777" s="155"/>
    </row>
    <row r="778" spans="28:31" x14ac:dyDescent="0.2">
      <c r="AB778" s="155"/>
      <c r="AD778" s="155"/>
      <c r="AE778" s="155"/>
    </row>
    <row r="779" spans="28:31" x14ac:dyDescent="0.2">
      <c r="AB779" s="155"/>
      <c r="AD779" s="155"/>
      <c r="AE779" s="155"/>
    </row>
    <row r="780" spans="28:31" x14ac:dyDescent="0.2">
      <c r="AB780" s="155"/>
      <c r="AD780" s="155"/>
      <c r="AE780" s="155"/>
    </row>
    <row r="781" spans="28:31" x14ac:dyDescent="0.2">
      <c r="AB781" s="155"/>
      <c r="AD781" s="155"/>
      <c r="AE781" s="155"/>
    </row>
    <row r="782" spans="28:31" x14ac:dyDescent="0.2">
      <c r="AB782" s="155"/>
      <c r="AD782" s="155"/>
      <c r="AE782" s="155"/>
    </row>
    <row r="783" spans="28:31" x14ac:dyDescent="0.2">
      <c r="AB783" s="155"/>
      <c r="AD783" s="155"/>
      <c r="AE783" s="155"/>
    </row>
    <row r="784" spans="28:31" x14ac:dyDescent="0.2">
      <c r="AB784" s="155"/>
      <c r="AD784" s="155"/>
      <c r="AE784" s="155"/>
    </row>
    <row r="785" spans="28:31" x14ac:dyDescent="0.2">
      <c r="AB785" s="155"/>
      <c r="AD785" s="155"/>
      <c r="AE785" s="155"/>
    </row>
    <row r="786" spans="28:31" x14ac:dyDescent="0.2">
      <c r="AB786" s="155"/>
      <c r="AD786" s="155"/>
      <c r="AE786" s="155"/>
    </row>
    <row r="787" spans="28:31" x14ac:dyDescent="0.2">
      <c r="AB787" s="155"/>
      <c r="AD787" s="155"/>
      <c r="AE787" s="155"/>
    </row>
    <row r="788" spans="28:31" x14ac:dyDescent="0.2">
      <c r="AB788" s="155"/>
      <c r="AD788" s="155"/>
      <c r="AE788" s="155"/>
    </row>
    <row r="789" spans="28:31" x14ac:dyDescent="0.2">
      <c r="AB789" s="155"/>
      <c r="AD789" s="155"/>
      <c r="AE789" s="155"/>
    </row>
    <row r="790" spans="28:31" x14ac:dyDescent="0.2">
      <c r="AB790" s="155"/>
      <c r="AD790" s="155"/>
      <c r="AE790" s="155"/>
    </row>
    <row r="791" spans="28:31" x14ac:dyDescent="0.2">
      <c r="AB791" s="155"/>
      <c r="AD791" s="155"/>
      <c r="AE791" s="155"/>
    </row>
    <row r="792" spans="28:31" x14ac:dyDescent="0.2">
      <c r="AB792" s="155"/>
      <c r="AD792" s="155"/>
      <c r="AE792" s="155"/>
    </row>
    <row r="793" spans="28:31" x14ac:dyDescent="0.2">
      <c r="AB793" s="155"/>
      <c r="AD793" s="155"/>
      <c r="AE793" s="155"/>
    </row>
    <row r="794" spans="28:31" x14ac:dyDescent="0.2">
      <c r="AB794" s="155"/>
      <c r="AD794" s="155"/>
      <c r="AE794" s="155"/>
    </row>
    <row r="795" spans="28:31" x14ac:dyDescent="0.2">
      <c r="AB795" s="155"/>
      <c r="AD795" s="155"/>
      <c r="AE795" s="155"/>
    </row>
    <row r="796" spans="28:31" x14ac:dyDescent="0.2">
      <c r="AB796" s="155"/>
      <c r="AD796" s="155"/>
      <c r="AE796" s="155"/>
    </row>
    <row r="797" spans="28:31" x14ac:dyDescent="0.2">
      <c r="AB797" s="155"/>
      <c r="AD797" s="155"/>
      <c r="AE797" s="155"/>
    </row>
    <row r="798" spans="28:31" x14ac:dyDescent="0.2">
      <c r="AB798" s="155"/>
      <c r="AD798" s="155"/>
      <c r="AE798" s="155"/>
    </row>
    <row r="799" spans="28:31" x14ac:dyDescent="0.2">
      <c r="AB799" s="155"/>
      <c r="AD799" s="155"/>
      <c r="AE799" s="155"/>
    </row>
    <row r="800" spans="28:31" x14ac:dyDescent="0.2">
      <c r="AB800" s="155"/>
      <c r="AD800" s="155"/>
      <c r="AE800" s="155"/>
    </row>
    <row r="801" spans="28:31" x14ac:dyDescent="0.2">
      <c r="AB801" s="155"/>
      <c r="AD801" s="155"/>
      <c r="AE801" s="155"/>
    </row>
    <row r="802" spans="28:31" x14ac:dyDescent="0.2">
      <c r="AB802" s="155"/>
      <c r="AD802" s="155"/>
      <c r="AE802" s="155"/>
    </row>
    <row r="803" spans="28:31" x14ac:dyDescent="0.2">
      <c r="AB803" s="155"/>
      <c r="AD803" s="155"/>
      <c r="AE803" s="155"/>
    </row>
    <row r="804" spans="28:31" x14ac:dyDescent="0.2">
      <c r="AB804" s="155"/>
      <c r="AD804" s="155"/>
      <c r="AE804" s="155"/>
    </row>
    <row r="805" spans="28:31" x14ac:dyDescent="0.2">
      <c r="AB805" s="155"/>
      <c r="AD805" s="155"/>
      <c r="AE805" s="155"/>
    </row>
    <row r="806" spans="28:31" x14ac:dyDescent="0.2">
      <c r="AB806" s="155"/>
      <c r="AD806" s="155"/>
      <c r="AE806" s="155"/>
    </row>
    <row r="807" spans="28:31" x14ac:dyDescent="0.2">
      <c r="AB807" s="155"/>
      <c r="AD807" s="155"/>
      <c r="AE807" s="155"/>
    </row>
    <row r="808" spans="28:31" x14ac:dyDescent="0.2">
      <c r="AB808" s="155"/>
      <c r="AD808" s="155"/>
      <c r="AE808" s="155"/>
    </row>
    <row r="809" spans="28:31" x14ac:dyDescent="0.2">
      <c r="AB809" s="155"/>
      <c r="AD809" s="155"/>
      <c r="AE809" s="155"/>
    </row>
    <row r="810" spans="28:31" x14ac:dyDescent="0.2">
      <c r="AB810" s="155"/>
      <c r="AD810" s="155"/>
      <c r="AE810" s="155"/>
    </row>
    <row r="811" spans="28:31" x14ac:dyDescent="0.2">
      <c r="AB811" s="155"/>
      <c r="AD811" s="155"/>
      <c r="AE811" s="155"/>
    </row>
    <row r="812" spans="28:31" x14ac:dyDescent="0.2">
      <c r="AB812" s="155"/>
      <c r="AD812" s="155"/>
      <c r="AE812" s="155"/>
    </row>
    <row r="813" spans="28:31" x14ac:dyDescent="0.2">
      <c r="AB813" s="155"/>
      <c r="AD813" s="155"/>
      <c r="AE813" s="155"/>
    </row>
    <row r="814" spans="28:31" x14ac:dyDescent="0.2">
      <c r="AB814" s="155"/>
      <c r="AD814" s="155"/>
      <c r="AE814" s="155"/>
    </row>
    <row r="815" spans="28:31" x14ac:dyDescent="0.2">
      <c r="AB815" s="155"/>
      <c r="AD815" s="155"/>
      <c r="AE815" s="155"/>
    </row>
    <row r="816" spans="28:31" x14ac:dyDescent="0.2">
      <c r="AB816" s="155"/>
      <c r="AD816" s="155"/>
      <c r="AE816" s="155"/>
    </row>
    <row r="817" spans="28:31" x14ac:dyDescent="0.2">
      <c r="AB817" s="155"/>
      <c r="AD817" s="155"/>
      <c r="AE817" s="155"/>
    </row>
    <row r="818" spans="28:31" x14ac:dyDescent="0.2">
      <c r="AB818" s="155"/>
      <c r="AD818" s="155"/>
      <c r="AE818" s="155"/>
    </row>
    <row r="819" spans="28:31" x14ac:dyDescent="0.2">
      <c r="AB819" s="155"/>
      <c r="AD819" s="155"/>
      <c r="AE819" s="155"/>
    </row>
    <row r="820" spans="28:31" x14ac:dyDescent="0.2">
      <c r="AB820" s="155"/>
      <c r="AD820" s="155"/>
      <c r="AE820" s="155"/>
    </row>
    <row r="821" spans="28:31" x14ac:dyDescent="0.2">
      <c r="AB821" s="155"/>
      <c r="AD821" s="155"/>
      <c r="AE821" s="155"/>
    </row>
    <row r="822" spans="28:31" x14ac:dyDescent="0.2">
      <c r="AB822" s="155"/>
      <c r="AD822" s="155"/>
      <c r="AE822" s="155"/>
    </row>
    <row r="823" spans="28:31" x14ac:dyDescent="0.2">
      <c r="AB823" s="155"/>
      <c r="AD823" s="155"/>
      <c r="AE823" s="155"/>
    </row>
    <row r="824" spans="28:31" x14ac:dyDescent="0.2">
      <c r="AB824" s="155"/>
      <c r="AD824" s="155"/>
      <c r="AE824" s="155"/>
    </row>
    <row r="825" spans="28:31" x14ac:dyDescent="0.2">
      <c r="AB825" s="155"/>
      <c r="AD825" s="155"/>
      <c r="AE825" s="155"/>
    </row>
    <row r="826" spans="28:31" x14ac:dyDescent="0.2">
      <c r="AB826" s="155"/>
      <c r="AD826" s="155"/>
      <c r="AE826" s="155"/>
    </row>
    <row r="827" spans="28:31" x14ac:dyDescent="0.2">
      <c r="AB827" s="155"/>
      <c r="AD827" s="155"/>
      <c r="AE827" s="155"/>
    </row>
    <row r="828" spans="28:31" x14ac:dyDescent="0.2">
      <c r="AB828" s="155"/>
      <c r="AD828" s="155"/>
      <c r="AE828" s="155"/>
    </row>
    <row r="829" spans="28:31" x14ac:dyDescent="0.2">
      <c r="AB829" s="155"/>
      <c r="AD829" s="155"/>
      <c r="AE829" s="155"/>
    </row>
    <row r="830" spans="28:31" x14ac:dyDescent="0.2">
      <c r="AB830" s="155"/>
      <c r="AD830" s="155"/>
      <c r="AE830" s="155"/>
    </row>
    <row r="831" spans="28:31" x14ac:dyDescent="0.2">
      <c r="AB831" s="155"/>
      <c r="AD831" s="155"/>
      <c r="AE831" s="155"/>
    </row>
    <row r="832" spans="28:31" x14ac:dyDescent="0.2">
      <c r="AB832" s="155"/>
      <c r="AD832" s="155"/>
      <c r="AE832" s="155"/>
    </row>
    <row r="833" spans="28:31" x14ac:dyDescent="0.2">
      <c r="AB833" s="155"/>
      <c r="AD833" s="155"/>
      <c r="AE833" s="155"/>
    </row>
    <row r="834" spans="28:31" x14ac:dyDescent="0.2">
      <c r="AB834" s="155"/>
      <c r="AD834" s="155"/>
      <c r="AE834" s="155"/>
    </row>
    <row r="835" spans="28:31" x14ac:dyDescent="0.2">
      <c r="AB835" s="155"/>
      <c r="AD835" s="155"/>
      <c r="AE835" s="155"/>
    </row>
    <row r="836" spans="28:31" x14ac:dyDescent="0.2">
      <c r="AB836" s="155"/>
      <c r="AD836" s="155"/>
      <c r="AE836" s="155"/>
    </row>
    <row r="837" spans="28:31" x14ac:dyDescent="0.2">
      <c r="AB837" s="155"/>
      <c r="AD837" s="155"/>
      <c r="AE837" s="155"/>
    </row>
    <row r="838" spans="28:31" x14ac:dyDescent="0.2">
      <c r="AB838" s="155"/>
      <c r="AD838" s="155"/>
      <c r="AE838" s="155"/>
    </row>
    <row r="839" spans="28:31" x14ac:dyDescent="0.2">
      <c r="AB839" s="155"/>
      <c r="AD839" s="155"/>
      <c r="AE839" s="155"/>
    </row>
    <row r="840" spans="28:31" x14ac:dyDescent="0.2">
      <c r="AB840" s="155"/>
      <c r="AD840" s="155"/>
      <c r="AE840" s="155"/>
    </row>
    <row r="841" spans="28:31" x14ac:dyDescent="0.2">
      <c r="AB841" s="155"/>
      <c r="AD841" s="155"/>
      <c r="AE841" s="155"/>
    </row>
    <row r="842" spans="28:31" x14ac:dyDescent="0.2">
      <c r="AB842" s="155"/>
      <c r="AD842" s="155"/>
      <c r="AE842" s="155"/>
    </row>
    <row r="843" spans="28:31" x14ac:dyDescent="0.2">
      <c r="AB843" s="155"/>
      <c r="AD843" s="155"/>
      <c r="AE843" s="155"/>
    </row>
    <row r="844" spans="28:31" x14ac:dyDescent="0.2">
      <c r="AB844" s="155"/>
      <c r="AD844" s="155"/>
      <c r="AE844" s="155"/>
    </row>
    <row r="845" spans="28:31" x14ac:dyDescent="0.2">
      <c r="AB845" s="155"/>
      <c r="AD845" s="155"/>
      <c r="AE845" s="155"/>
    </row>
    <row r="846" spans="28:31" x14ac:dyDescent="0.2">
      <c r="AB846" s="155"/>
      <c r="AD846" s="155"/>
      <c r="AE846" s="155"/>
    </row>
    <row r="847" spans="28:31" x14ac:dyDescent="0.2">
      <c r="AB847" s="155"/>
      <c r="AD847" s="155"/>
      <c r="AE847" s="155"/>
    </row>
    <row r="848" spans="28:31" x14ac:dyDescent="0.2">
      <c r="AB848" s="155"/>
      <c r="AD848" s="155"/>
      <c r="AE848" s="155"/>
    </row>
    <row r="849" spans="28:31" x14ac:dyDescent="0.2">
      <c r="AB849" s="155"/>
      <c r="AD849" s="155"/>
      <c r="AE849" s="155"/>
    </row>
    <row r="850" spans="28:31" x14ac:dyDescent="0.2">
      <c r="AB850" s="155"/>
      <c r="AD850" s="155"/>
      <c r="AE850" s="155"/>
    </row>
    <row r="851" spans="28:31" x14ac:dyDescent="0.2">
      <c r="AB851" s="155"/>
      <c r="AD851" s="155"/>
      <c r="AE851" s="155"/>
    </row>
    <row r="852" spans="28:31" x14ac:dyDescent="0.2">
      <c r="AB852" s="155"/>
      <c r="AD852" s="155"/>
      <c r="AE852" s="155"/>
    </row>
    <row r="853" spans="28:31" x14ac:dyDescent="0.2">
      <c r="AB853" s="155"/>
      <c r="AD853" s="155"/>
      <c r="AE853" s="155"/>
    </row>
    <row r="854" spans="28:31" x14ac:dyDescent="0.2">
      <c r="AB854" s="155"/>
      <c r="AD854" s="155"/>
      <c r="AE854" s="155"/>
    </row>
    <row r="855" spans="28:31" x14ac:dyDescent="0.2">
      <c r="AB855" s="155"/>
      <c r="AD855" s="155"/>
      <c r="AE855" s="155"/>
    </row>
    <row r="856" spans="28:31" x14ac:dyDescent="0.2">
      <c r="AB856" s="155"/>
      <c r="AD856" s="155"/>
      <c r="AE856" s="155"/>
    </row>
    <row r="857" spans="28:31" x14ac:dyDescent="0.2">
      <c r="AB857" s="155"/>
      <c r="AD857" s="155"/>
      <c r="AE857" s="155"/>
    </row>
    <row r="858" spans="28:31" x14ac:dyDescent="0.2">
      <c r="AB858" s="155"/>
      <c r="AD858" s="155"/>
      <c r="AE858" s="155"/>
    </row>
    <row r="859" spans="28:31" x14ac:dyDescent="0.2">
      <c r="AB859" s="155"/>
      <c r="AD859" s="155"/>
      <c r="AE859" s="155"/>
    </row>
    <row r="860" spans="28:31" x14ac:dyDescent="0.2">
      <c r="AB860" s="155"/>
      <c r="AD860" s="155"/>
      <c r="AE860" s="155"/>
    </row>
    <row r="861" spans="28:31" x14ac:dyDescent="0.2">
      <c r="AB861" s="155"/>
      <c r="AD861" s="155"/>
      <c r="AE861" s="155"/>
    </row>
    <row r="862" spans="28:31" x14ac:dyDescent="0.2">
      <c r="AB862" s="155"/>
      <c r="AD862" s="155"/>
      <c r="AE862" s="155"/>
    </row>
    <row r="863" spans="28:31" x14ac:dyDescent="0.2">
      <c r="AB863" s="155"/>
      <c r="AD863" s="155"/>
      <c r="AE863" s="155"/>
    </row>
    <row r="864" spans="28:31" x14ac:dyDescent="0.2">
      <c r="AB864" s="155"/>
      <c r="AD864" s="155"/>
      <c r="AE864" s="155"/>
    </row>
    <row r="865" spans="28:31" x14ac:dyDescent="0.2">
      <c r="AB865" s="155"/>
      <c r="AD865" s="155"/>
      <c r="AE865" s="155"/>
    </row>
    <row r="866" spans="28:31" x14ac:dyDescent="0.2">
      <c r="AB866" s="155"/>
      <c r="AD866" s="155"/>
      <c r="AE866" s="155"/>
    </row>
    <row r="867" spans="28:31" x14ac:dyDescent="0.2">
      <c r="AB867" s="155"/>
      <c r="AD867" s="155"/>
      <c r="AE867" s="155"/>
    </row>
    <row r="868" spans="28:31" x14ac:dyDescent="0.2">
      <c r="AB868" s="155"/>
      <c r="AD868" s="155"/>
      <c r="AE868" s="155"/>
    </row>
    <row r="869" spans="28:31" x14ac:dyDescent="0.2">
      <c r="AB869" s="155"/>
      <c r="AD869" s="155"/>
      <c r="AE869" s="155"/>
    </row>
    <row r="870" spans="28:31" x14ac:dyDescent="0.2">
      <c r="AB870" s="155"/>
      <c r="AD870" s="155"/>
      <c r="AE870" s="155"/>
    </row>
    <row r="871" spans="28:31" x14ac:dyDescent="0.2">
      <c r="AB871" s="155"/>
      <c r="AD871" s="155"/>
      <c r="AE871" s="155"/>
    </row>
    <row r="872" spans="28:31" x14ac:dyDescent="0.2">
      <c r="AB872" s="155"/>
      <c r="AD872" s="155"/>
      <c r="AE872" s="155"/>
    </row>
    <row r="873" spans="28:31" x14ac:dyDescent="0.2">
      <c r="AB873" s="155"/>
      <c r="AD873" s="155"/>
      <c r="AE873" s="155"/>
    </row>
    <row r="874" spans="28:31" x14ac:dyDescent="0.2">
      <c r="AB874" s="155"/>
      <c r="AD874" s="155"/>
      <c r="AE874" s="155"/>
    </row>
    <row r="875" spans="28:31" x14ac:dyDescent="0.2">
      <c r="AB875" s="155"/>
      <c r="AD875" s="155"/>
      <c r="AE875" s="155"/>
    </row>
    <row r="876" spans="28:31" x14ac:dyDescent="0.2">
      <c r="AB876" s="155"/>
      <c r="AD876" s="155"/>
      <c r="AE876" s="155"/>
    </row>
    <row r="877" spans="28:31" x14ac:dyDescent="0.2">
      <c r="AB877" s="155"/>
      <c r="AD877" s="155"/>
      <c r="AE877" s="155"/>
    </row>
    <row r="878" spans="28:31" x14ac:dyDescent="0.2">
      <c r="AB878" s="155"/>
      <c r="AD878" s="155"/>
      <c r="AE878" s="155"/>
    </row>
    <row r="879" spans="28:31" x14ac:dyDescent="0.2">
      <c r="AB879" s="155"/>
      <c r="AD879" s="155"/>
      <c r="AE879" s="155"/>
    </row>
    <row r="880" spans="28:31" x14ac:dyDescent="0.2">
      <c r="AB880" s="155"/>
      <c r="AD880" s="155"/>
      <c r="AE880" s="155"/>
    </row>
    <row r="881" spans="28:31" x14ac:dyDescent="0.2">
      <c r="AB881" s="155"/>
      <c r="AD881" s="155"/>
      <c r="AE881" s="155"/>
    </row>
    <row r="882" spans="28:31" x14ac:dyDescent="0.2">
      <c r="AB882" s="155"/>
      <c r="AD882" s="155"/>
      <c r="AE882" s="155"/>
    </row>
    <row r="883" spans="28:31" x14ac:dyDescent="0.2">
      <c r="AB883" s="155"/>
      <c r="AD883" s="155"/>
      <c r="AE883" s="155"/>
    </row>
    <row r="884" spans="28:31" x14ac:dyDescent="0.2">
      <c r="AB884" s="155"/>
      <c r="AD884" s="155"/>
      <c r="AE884" s="155"/>
    </row>
    <row r="885" spans="28:31" x14ac:dyDescent="0.2">
      <c r="AB885" s="155"/>
      <c r="AD885" s="155"/>
      <c r="AE885" s="155"/>
    </row>
    <row r="886" spans="28:31" x14ac:dyDescent="0.2">
      <c r="AB886" s="155"/>
      <c r="AD886" s="155"/>
      <c r="AE886" s="155"/>
    </row>
    <row r="887" spans="28:31" x14ac:dyDescent="0.2">
      <c r="AB887" s="155"/>
      <c r="AD887" s="155"/>
      <c r="AE887" s="155"/>
    </row>
    <row r="888" spans="28:31" x14ac:dyDescent="0.2">
      <c r="AB888" s="155"/>
      <c r="AD888" s="155"/>
      <c r="AE888" s="155"/>
    </row>
    <row r="889" spans="28:31" x14ac:dyDescent="0.2">
      <c r="AB889" s="155"/>
      <c r="AD889" s="155"/>
      <c r="AE889" s="155"/>
    </row>
    <row r="890" spans="28:31" x14ac:dyDescent="0.2">
      <c r="AB890" s="155"/>
      <c r="AD890" s="155"/>
      <c r="AE890" s="155"/>
    </row>
    <row r="891" spans="28:31" x14ac:dyDescent="0.2">
      <c r="AB891" s="155"/>
      <c r="AD891" s="155"/>
      <c r="AE891" s="155"/>
    </row>
    <row r="892" spans="28:31" x14ac:dyDescent="0.2">
      <c r="AB892" s="155"/>
      <c r="AD892" s="155"/>
      <c r="AE892" s="155"/>
    </row>
    <row r="893" spans="28:31" x14ac:dyDescent="0.2">
      <c r="AB893" s="155"/>
      <c r="AD893" s="155"/>
      <c r="AE893" s="155"/>
    </row>
    <row r="894" spans="28:31" x14ac:dyDescent="0.2">
      <c r="AB894" s="155"/>
      <c r="AD894" s="155"/>
      <c r="AE894" s="155"/>
    </row>
    <row r="895" spans="28:31" x14ac:dyDescent="0.2">
      <c r="AB895" s="155"/>
      <c r="AD895" s="155"/>
      <c r="AE895" s="155"/>
    </row>
    <row r="896" spans="28:31" x14ac:dyDescent="0.2">
      <c r="AB896" s="155"/>
      <c r="AD896" s="155"/>
      <c r="AE896" s="155"/>
    </row>
    <row r="897" spans="28:31" x14ac:dyDescent="0.2">
      <c r="AB897" s="155"/>
      <c r="AD897" s="155"/>
      <c r="AE897" s="155"/>
    </row>
    <row r="898" spans="28:31" x14ac:dyDescent="0.2">
      <c r="AB898" s="155"/>
      <c r="AD898" s="155"/>
      <c r="AE898" s="155"/>
    </row>
    <row r="899" spans="28:31" x14ac:dyDescent="0.2">
      <c r="AB899" s="155"/>
      <c r="AD899" s="155"/>
      <c r="AE899" s="155"/>
    </row>
    <row r="900" spans="28:31" x14ac:dyDescent="0.2">
      <c r="AB900" s="155"/>
      <c r="AD900" s="155"/>
      <c r="AE900" s="155"/>
    </row>
    <row r="901" spans="28:31" x14ac:dyDescent="0.2">
      <c r="AB901" s="155"/>
      <c r="AD901" s="155"/>
      <c r="AE901" s="155"/>
    </row>
    <row r="902" spans="28:31" x14ac:dyDescent="0.2">
      <c r="AB902" s="155"/>
      <c r="AD902" s="155"/>
      <c r="AE902" s="155"/>
    </row>
    <row r="903" spans="28:31" x14ac:dyDescent="0.2">
      <c r="AB903" s="155"/>
      <c r="AD903" s="155"/>
      <c r="AE903" s="155"/>
    </row>
    <row r="904" spans="28:31" x14ac:dyDescent="0.2">
      <c r="AB904" s="155"/>
      <c r="AD904" s="155"/>
      <c r="AE904" s="155"/>
    </row>
    <row r="905" spans="28:31" x14ac:dyDescent="0.2">
      <c r="AB905" s="155"/>
      <c r="AD905" s="155"/>
      <c r="AE905" s="155"/>
    </row>
    <row r="906" spans="28:31" x14ac:dyDescent="0.2">
      <c r="AB906" s="155"/>
      <c r="AD906" s="155"/>
      <c r="AE906" s="155"/>
    </row>
    <row r="907" spans="28:31" x14ac:dyDescent="0.2">
      <c r="AB907" s="155"/>
      <c r="AD907" s="155"/>
      <c r="AE907" s="155"/>
    </row>
    <row r="908" spans="28:31" x14ac:dyDescent="0.2">
      <c r="AB908" s="155"/>
      <c r="AD908" s="155"/>
      <c r="AE908" s="155"/>
    </row>
    <row r="909" spans="28:31" x14ac:dyDescent="0.2">
      <c r="AB909" s="155"/>
      <c r="AD909" s="155"/>
      <c r="AE909" s="155"/>
    </row>
    <row r="910" spans="28:31" x14ac:dyDescent="0.2">
      <c r="AB910" s="155"/>
      <c r="AD910" s="155"/>
      <c r="AE910" s="155"/>
    </row>
    <row r="911" spans="28:31" x14ac:dyDescent="0.2">
      <c r="AB911" s="155"/>
      <c r="AD911" s="155"/>
      <c r="AE911" s="155"/>
    </row>
    <row r="912" spans="28:31" x14ac:dyDescent="0.2">
      <c r="AB912" s="155"/>
      <c r="AD912" s="155"/>
      <c r="AE912" s="155"/>
    </row>
    <row r="913" spans="28:31" x14ac:dyDescent="0.2">
      <c r="AB913" s="155"/>
      <c r="AD913" s="155"/>
      <c r="AE913" s="155"/>
    </row>
    <row r="914" spans="28:31" x14ac:dyDescent="0.2">
      <c r="AB914" s="155"/>
      <c r="AD914" s="155"/>
      <c r="AE914" s="155"/>
    </row>
    <row r="915" spans="28:31" x14ac:dyDescent="0.2">
      <c r="AB915" s="155"/>
      <c r="AD915" s="155"/>
      <c r="AE915" s="155"/>
    </row>
    <row r="916" spans="28:31" x14ac:dyDescent="0.2">
      <c r="AB916" s="155"/>
      <c r="AD916" s="155"/>
      <c r="AE916" s="155"/>
    </row>
    <row r="917" spans="28:31" x14ac:dyDescent="0.2">
      <c r="AB917" s="155"/>
      <c r="AD917" s="155"/>
      <c r="AE917" s="155"/>
    </row>
    <row r="918" spans="28:31" x14ac:dyDescent="0.2">
      <c r="AB918" s="155"/>
      <c r="AD918" s="155"/>
      <c r="AE918" s="155"/>
    </row>
    <row r="919" spans="28:31" x14ac:dyDescent="0.2">
      <c r="AB919" s="155"/>
      <c r="AD919" s="155"/>
      <c r="AE919" s="155"/>
    </row>
    <row r="920" spans="28:31" x14ac:dyDescent="0.2">
      <c r="AB920" s="155"/>
      <c r="AD920" s="155"/>
      <c r="AE920" s="155"/>
    </row>
    <row r="921" spans="28:31" x14ac:dyDescent="0.2">
      <c r="AB921" s="155"/>
      <c r="AD921" s="155"/>
      <c r="AE921" s="155"/>
    </row>
    <row r="922" spans="28:31" x14ac:dyDescent="0.2">
      <c r="AB922" s="155"/>
      <c r="AD922" s="155"/>
      <c r="AE922" s="155"/>
    </row>
    <row r="923" spans="28:31" x14ac:dyDescent="0.2">
      <c r="AB923" s="155"/>
      <c r="AD923" s="155"/>
      <c r="AE923" s="155"/>
    </row>
    <row r="924" spans="28:31" x14ac:dyDescent="0.2">
      <c r="AB924" s="155"/>
      <c r="AD924" s="155"/>
      <c r="AE924" s="155"/>
    </row>
    <row r="925" spans="28:31" x14ac:dyDescent="0.2">
      <c r="AB925" s="155"/>
      <c r="AD925" s="155"/>
      <c r="AE925" s="155"/>
    </row>
    <row r="926" spans="28:31" x14ac:dyDescent="0.2">
      <c r="AB926" s="155"/>
      <c r="AD926" s="155"/>
      <c r="AE926" s="155"/>
    </row>
    <row r="927" spans="28:31" x14ac:dyDescent="0.2">
      <c r="AB927" s="155"/>
      <c r="AD927" s="155"/>
      <c r="AE927" s="155"/>
    </row>
    <row r="928" spans="28:31" x14ac:dyDescent="0.2">
      <c r="AB928" s="155"/>
      <c r="AD928" s="155"/>
      <c r="AE928" s="155"/>
    </row>
    <row r="929" spans="28:31" x14ac:dyDescent="0.2">
      <c r="AB929" s="155"/>
      <c r="AD929" s="155"/>
      <c r="AE929" s="155"/>
    </row>
    <row r="930" spans="28:31" x14ac:dyDescent="0.2">
      <c r="AB930" s="155"/>
      <c r="AD930" s="155"/>
      <c r="AE930" s="155"/>
    </row>
    <row r="931" spans="28:31" x14ac:dyDescent="0.2">
      <c r="AB931" s="155"/>
      <c r="AD931" s="155"/>
      <c r="AE931" s="155"/>
    </row>
    <row r="932" spans="28:31" x14ac:dyDescent="0.2">
      <c r="AB932" s="155"/>
      <c r="AD932" s="155"/>
      <c r="AE932" s="155"/>
    </row>
    <row r="933" spans="28:31" x14ac:dyDescent="0.2">
      <c r="AB933" s="155"/>
      <c r="AD933" s="155"/>
      <c r="AE933" s="155"/>
    </row>
    <row r="934" spans="28:31" x14ac:dyDescent="0.2">
      <c r="AB934" s="155"/>
      <c r="AD934" s="155"/>
      <c r="AE934" s="155"/>
    </row>
    <row r="935" spans="28:31" x14ac:dyDescent="0.2">
      <c r="AB935" s="155"/>
      <c r="AD935" s="155"/>
      <c r="AE935" s="155"/>
    </row>
    <row r="936" spans="28:31" x14ac:dyDescent="0.2">
      <c r="AB936" s="155"/>
      <c r="AD936" s="155"/>
      <c r="AE936" s="155"/>
    </row>
    <row r="937" spans="28:31" x14ac:dyDescent="0.2">
      <c r="AB937" s="155"/>
      <c r="AD937" s="155"/>
      <c r="AE937" s="155"/>
    </row>
    <row r="938" spans="28:31" x14ac:dyDescent="0.2">
      <c r="AB938" s="155"/>
      <c r="AD938" s="155"/>
      <c r="AE938" s="155"/>
    </row>
    <row r="939" spans="28:31" x14ac:dyDescent="0.2">
      <c r="AB939" s="155"/>
      <c r="AD939" s="155"/>
      <c r="AE939" s="155"/>
    </row>
    <row r="940" spans="28:31" x14ac:dyDescent="0.2">
      <c r="AB940" s="155"/>
      <c r="AD940" s="155"/>
      <c r="AE940" s="155"/>
    </row>
    <row r="941" spans="28:31" x14ac:dyDescent="0.2">
      <c r="AB941" s="155"/>
      <c r="AD941" s="155"/>
      <c r="AE941" s="155"/>
    </row>
    <row r="942" spans="28:31" x14ac:dyDescent="0.2">
      <c r="AB942" s="155"/>
      <c r="AD942" s="155"/>
      <c r="AE942" s="155"/>
    </row>
    <row r="943" spans="28:31" x14ac:dyDescent="0.2">
      <c r="AB943" s="155"/>
      <c r="AD943" s="155"/>
      <c r="AE943" s="155"/>
    </row>
    <row r="944" spans="28:31" x14ac:dyDescent="0.2">
      <c r="AB944" s="155"/>
      <c r="AD944" s="155"/>
      <c r="AE944" s="155"/>
    </row>
    <row r="945" spans="28:31" x14ac:dyDescent="0.2">
      <c r="AB945" s="155"/>
      <c r="AD945" s="155"/>
      <c r="AE945" s="155"/>
    </row>
    <row r="946" spans="28:31" x14ac:dyDescent="0.2">
      <c r="AB946" s="155"/>
      <c r="AD946" s="155"/>
      <c r="AE946" s="155"/>
    </row>
    <row r="947" spans="28:31" x14ac:dyDescent="0.2">
      <c r="AB947" s="155"/>
      <c r="AD947" s="155"/>
      <c r="AE947" s="155"/>
    </row>
    <row r="948" spans="28:31" x14ac:dyDescent="0.2">
      <c r="AB948" s="155"/>
      <c r="AD948" s="155"/>
      <c r="AE948" s="155"/>
    </row>
    <row r="949" spans="28:31" x14ac:dyDescent="0.2">
      <c r="AB949" s="155"/>
      <c r="AD949" s="155"/>
      <c r="AE949" s="155"/>
    </row>
    <row r="950" spans="28:31" x14ac:dyDescent="0.2">
      <c r="AB950" s="155"/>
      <c r="AD950" s="155"/>
      <c r="AE950" s="155"/>
    </row>
    <row r="951" spans="28:31" x14ac:dyDescent="0.2">
      <c r="AB951" s="155"/>
      <c r="AD951" s="155"/>
      <c r="AE951" s="155"/>
    </row>
    <row r="952" spans="28:31" x14ac:dyDescent="0.2">
      <c r="AB952" s="155"/>
      <c r="AD952" s="155"/>
      <c r="AE952" s="155"/>
    </row>
    <row r="953" spans="28:31" x14ac:dyDescent="0.2">
      <c r="AB953" s="155"/>
      <c r="AD953" s="155"/>
      <c r="AE953" s="155"/>
    </row>
    <row r="954" spans="28:31" x14ac:dyDescent="0.2">
      <c r="AB954" s="155"/>
      <c r="AD954" s="155"/>
      <c r="AE954" s="155"/>
    </row>
    <row r="955" spans="28:31" x14ac:dyDescent="0.2">
      <c r="AB955" s="155"/>
      <c r="AD955" s="155"/>
      <c r="AE955" s="155"/>
    </row>
    <row r="956" spans="28:31" x14ac:dyDescent="0.2">
      <c r="AB956" s="155"/>
      <c r="AD956" s="155"/>
      <c r="AE956" s="155"/>
    </row>
    <row r="957" spans="28:31" x14ac:dyDescent="0.2">
      <c r="AB957" s="155"/>
      <c r="AD957" s="155"/>
      <c r="AE957" s="155"/>
    </row>
    <row r="958" spans="28:31" x14ac:dyDescent="0.2">
      <c r="AB958" s="155"/>
      <c r="AD958" s="155"/>
      <c r="AE958" s="155"/>
    </row>
    <row r="959" spans="28:31" x14ac:dyDescent="0.2">
      <c r="AB959" s="155"/>
      <c r="AD959" s="155"/>
      <c r="AE959" s="155"/>
    </row>
    <row r="960" spans="28:31" x14ac:dyDescent="0.2">
      <c r="AB960" s="155"/>
      <c r="AD960" s="155"/>
      <c r="AE960" s="155"/>
    </row>
    <row r="961" spans="28:31" x14ac:dyDescent="0.2">
      <c r="AB961" s="155"/>
      <c r="AD961" s="155"/>
      <c r="AE961" s="155"/>
    </row>
    <row r="962" spans="28:31" x14ac:dyDescent="0.2">
      <c r="AB962" s="155"/>
      <c r="AD962" s="155"/>
      <c r="AE962" s="155"/>
    </row>
    <row r="963" spans="28:31" x14ac:dyDescent="0.2">
      <c r="AB963" s="155"/>
      <c r="AD963" s="155"/>
      <c r="AE963" s="155"/>
    </row>
    <row r="964" spans="28:31" x14ac:dyDescent="0.2">
      <c r="AB964" s="155"/>
      <c r="AD964" s="155"/>
      <c r="AE964" s="155"/>
    </row>
    <row r="965" spans="28:31" x14ac:dyDescent="0.2">
      <c r="AB965" s="155"/>
      <c r="AD965" s="155"/>
      <c r="AE965" s="155"/>
    </row>
    <row r="966" spans="28:31" x14ac:dyDescent="0.2">
      <c r="AB966" s="155"/>
      <c r="AD966" s="155"/>
      <c r="AE966" s="155"/>
    </row>
    <row r="967" spans="28:31" x14ac:dyDescent="0.2">
      <c r="AB967" s="155"/>
      <c r="AD967" s="155"/>
      <c r="AE967" s="155"/>
    </row>
    <row r="968" spans="28:31" x14ac:dyDescent="0.2">
      <c r="AB968" s="155"/>
      <c r="AD968" s="155"/>
      <c r="AE968" s="155"/>
    </row>
    <row r="969" spans="28:31" x14ac:dyDescent="0.2">
      <c r="AB969" s="155"/>
      <c r="AD969" s="155"/>
      <c r="AE969" s="155"/>
    </row>
    <row r="970" spans="28:31" x14ac:dyDescent="0.2">
      <c r="AB970" s="155"/>
      <c r="AD970" s="155"/>
      <c r="AE970" s="155"/>
    </row>
    <row r="971" spans="28:31" x14ac:dyDescent="0.2">
      <c r="AB971" s="155"/>
      <c r="AD971" s="155"/>
      <c r="AE971" s="155"/>
    </row>
    <row r="972" spans="28:31" x14ac:dyDescent="0.2">
      <c r="AB972" s="155"/>
      <c r="AD972" s="155"/>
      <c r="AE972" s="155"/>
    </row>
    <row r="973" spans="28:31" x14ac:dyDescent="0.2">
      <c r="AB973" s="155"/>
      <c r="AD973" s="155"/>
      <c r="AE973" s="155"/>
    </row>
    <row r="974" spans="28:31" x14ac:dyDescent="0.2">
      <c r="AB974" s="155"/>
      <c r="AD974" s="155"/>
      <c r="AE974" s="155"/>
    </row>
    <row r="975" spans="28:31" x14ac:dyDescent="0.2">
      <c r="AB975" s="155"/>
      <c r="AD975" s="155"/>
      <c r="AE975" s="155"/>
    </row>
    <row r="976" spans="28:31" x14ac:dyDescent="0.2">
      <c r="AB976" s="155"/>
      <c r="AD976" s="155"/>
      <c r="AE976" s="155"/>
    </row>
    <row r="977" spans="28:31" x14ac:dyDescent="0.2">
      <c r="AB977" s="155"/>
      <c r="AD977" s="155"/>
      <c r="AE977" s="155"/>
    </row>
    <row r="978" spans="28:31" x14ac:dyDescent="0.2">
      <c r="AB978" s="155"/>
      <c r="AD978" s="155"/>
      <c r="AE978" s="155"/>
    </row>
    <row r="979" spans="28:31" x14ac:dyDescent="0.2">
      <c r="AB979" s="155"/>
      <c r="AD979" s="155"/>
      <c r="AE979" s="155"/>
    </row>
    <row r="980" spans="28:31" x14ac:dyDescent="0.2">
      <c r="AB980" s="155"/>
      <c r="AD980" s="155"/>
      <c r="AE980" s="155"/>
    </row>
    <row r="981" spans="28:31" x14ac:dyDescent="0.2">
      <c r="AB981" s="155"/>
      <c r="AD981" s="155"/>
      <c r="AE981" s="155"/>
    </row>
    <row r="982" spans="28:31" x14ac:dyDescent="0.2">
      <c r="AB982" s="155"/>
      <c r="AD982" s="155"/>
      <c r="AE982" s="155"/>
    </row>
    <row r="983" spans="28:31" x14ac:dyDescent="0.2">
      <c r="AB983" s="155"/>
      <c r="AD983" s="155"/>
      <c r="AE983" s="155"/>
    </row>
    <row r="984" spans="28:31" x14ac:dyDescent="0.2">
      <c r="AB984" s="155"/>
      <c r="AD984" s="155"/>
      <c r="AE984" s="155"/>
    </row>
    <row r="985" spans="28:31" x14ac:dyDescent="0.2">
      <c r="AB985" s="155"/>
      <c r="AD985" s="155"/>
      <c r="AE985" s="155"/>
    </row>
    <row r="986" spans="28:31" x14ac:dyDescent="0.2">
      <c r="AB986" s="155"/>
      <c r="AD986" s="155"/>
      <c r="AE986" s="155"/>
    </row>
    <row r="987" spans="28:31" x14ac:dyDescent="0.2">
      <c r="AB987" s="155"/>
      <c r="AD987" s="155"/>
      <c r="AE987" s="155"/>
    </row>
    <row r="988" spans="28:31" x14ac:dyDescent="0.2">
      <c r="AB988" s="155"/>
      <c r="AD988" s="155"/>
      <c r="AE988" s="155"/>
    </row>
    <row r="989" spans="28:31" x14ac:dyDescent="0.2">
      <c r="AB989" s="155"/>
      <c r="AD989" s="155"/>
      <c r="AE989" s="155"/>
    </row>
    <row r="990" spans="28:31" x14ac:dyDescent="0.2">
      <c r="AB990" s="155"/>
      <c r="AD990" s="155"/>
      <c r="AE990" s="155"/>
    </row>
    <row r="991" spans="28:31" x14ac:dyDescent="0.2">
      <c r="AB991" s="155"/>
      <c r="AD991" s="155"/>
      <c r="AE991" s="155"/>
    </row>
    <row r="992" spans="28:31" x14ac:dyDescent="0.2">
      <c r="AB992" s="155"/>
      <c r="AD992" s="155"/>
      <c r="AE992" s="155"/>
    </row>
    <row r="993" spans="28:31" x14ac:dyDescent="0.2">
      <c r="AB993" s="155"/>
      <c r="AD993" s="155"/>
      <c r="AE993" s="155"/>
    </row>
    <row r="994" spans="28:31" x14ac:dyDescent="0.2">
      <c r="AB994" s="155"/>
      <c r="AD994" s="155"/>
      <c r="AE994" s="155"/>
    </row>
    <row r="995" spans="28:31" x14ac:dyDescent="0.2">
      <c r="AB995" s="155"/>
      <c r="AD995" s="155"/>
      <c r="AE995" s="155"/>
    </row>
    <row r="996" spans="28:31" x14ac:dyDescent="0.2">
      <c r="AB996" s="155"/>
      <c r="AD996" s="155"/>
      <c r="AE996" s="155"/>
    </row>
    <row r="997" spans="28:31" x14ac:dyDescent="0.2">
      <c r="AB997" s="155"/>
      <c r="AD997" s="155"/>
      <c r="AE997" s="155"/>
    </row>
    <row r="998" spans="28:31" x14ac:dyDescent="0.2">
      <c r="AB998" s="155"/>
      <c r="AD998" s="155"/>
      <c r="AE998" s="155"/>
    </row>
    <row r="999" spans="28:31" x14ac:dyDescent="0.2">
      <c r="AB999" s="155"/>
      <c r="AD999" s="155"/>
      <c r="AE999" s="155"/>
    </row>
    <row r="1000" spans="28:31" x14ac:dyDescent="0.2">
      <c r="AB1000" s="155"/>
      <c r="AD1000" s="155"/>
      <c r="AE1000" s="155"/>
    </row>
    <row r="1001" spans="28:31" x14ac:dyDescent="0.2">
      <c r="AB1001" s="155"/>
      <c r="AD1001" s="155"/>
      <c r="AE1001" s="155"/>
    </row>
    <row r="1002" spans="28:31" x14ac:dyDescent="0.2">
      <c r="AB1002" s="155"/>
      <c r="AD1002" s="155"/>
      <c r="AE1002" s="155"/>
    </row>
    <row r="1003" spans="28:31" x14ac:dyDescent="0.2">
      <c r="AB1003" s="155"/>
      <c r="AD1003" s="155"/>
      <c r="AE1003" s="155"/>
    </row>
    <row r="1004" spans="28:31" x14ac:dyDescent="0.2">
      <c r="AB1004" s="155"/>
      <c r="AD1004" s="155"/>
      <c r="AE1004" s="155"/>
    </row>
    <row r="1005" spans="28:31" x14ac:dyDescent="0.2">
      <c r="AB1005" s="155"/>
      <c r="AD1005" s="155"/>
      <c r="AE1005" s="155"/>
    </row>
    <row r="1006" spans="28:31" x14ac:dyDescent="0.2">
      <c r="AB1006" s="155"/>
      <c r="AD1006" s="155"/>
      <c r="AE1006" s="155"/>
    </row>
    <row r="1007" spans="28:31" x14ac:dyDescent="0.2">
      <c r="AB1007" s="155"/>
      <c r="AD1007" s="155"/>
      <c r="AE1007" s="155"/>
    </row>
    <row r="1008" spans="28:31" x14ac:dyDescent="0.2">
      <c r="AB1008" s="155"/>
      <c r="AD1008" s="155"/>
      <c r="AE1008" s="155"/>
    </row>
    <row r="1009" spans="28:31" x14ac:dyDescent="0.2">
      <c r="AB1009" s="155"/>
      <c r="AD1009" s="155"/>
      <c r="AE1009" s="155"/>
    </row>
    <row r="1010" spans="28:31" x14ac:dyDescent="0.2">
      <c r="AB1010" s="155"/>
      <c r="AD1010" s="155"/>
      <c r="AE1010" s="155"/>
    </row>
    <row r="1011" spans="28:31" x14ac:dyDescent="0.2">
      <c r="AB1011" s="155"/>
      <c r="AD1011" s="155"/>
      <c r="AE1011" s="155"/>
    </row>
    <row r="1012" spans="28:31" x14ac:dyDescent="0.2">
      <c r="AB1012" s="155"/>
      <c r="AD1012" s="155"/>
      <c r="AE1012" s="155"/>
    </row>
    <row r="1013" spans="28:31" x14ac:dyDescent="0.2">
      <c r="AB1013" s="155"/>
      <c r="AD1013" s="155"/>
      <c r="AE1013" s="155"/>
    </row>
    <row r="1014" spans="28:31" x14ac:dyDescent="0.2">
      <c r="AB1014" s="155"/>
      <c r="AD1014" s="155"/>
      <c r="AE1014" s="155"/>
    </row>
    <row r="1015" spans="28:31" x14ac:dyDescent="0.2">
      <c r="AB1015" s="155"/>
      <c r="AD1015" s="155"/>
      <c r="AE1015" s="155"/>
    </row>
    <row r="1016" spans="28:31" x14ac:dyDescent="0.2">
      <c r="AB1016" s="155"/>
      <c r="AD1016" s="155"/>
      <c r="AE1016" s="155"/>
    </row>
    <row r="1017" spans="28:31" x14ac:dyDescent="0.2">
      <c r="AB1017" s="155"/>
      <c r="AD1017" s="155"/>
      <c r="AE1017" s="155"/>
    </row>
    <row r="1018" spans="28:31" x14ac:dyDescent="0.2">
      <c r="AB1018" s="155"/>
      <c r="AD1018" s="155"/>
      <c r="AE1018" s="155"/>
    </row>
    <row r="1019" spans="28:31" x14ac:dyDescent="0.2">
      <c r="AB1019" s="155"/>
      <c r="AD1019" s="155"/>
      <c r="AE1019" s="155"/>
    </row>
    <row r="1020" spans="28:31" x14ac:dyDescent="0.2">
      <c r="AB1020" s="155"/>
      <c r="AD1020" s="155"/>
      <c r="AE1020" s="155"/>
    </row>
    <row r="1021" spans="28:31" x14ac:dyDescent="0.2">
      <c r="AB1021" s="155"/>
      <c r="AD1021" s="155"/>
      <c r="AE1021" s="155"/>
    </row>
    <row r="1022" spans="28:31" x14ac:dyDescent="0.2">
      <c r="AB1022" s="155"/>
      <c r="AD1022" s="155"/>
      <c r="AE1022" s="155"/>
    </row>
    <row r="1023" spans="28:31" x14ac:dyDescent="0.2">
      <c r="AB1023" s="155"/>
      <c r="AD1023" s="155"/>
      <c r="AE1023" s="155"/>
    </row>
    <row r="1024" spans="28:31" x14ac:dyDescent="0.2">
      <c r="AB1024" s="155"/>
      <c r="AD1024" s="155"/>
      <c r="AE1024" s="155"/>
    </row>
    <row r="1025" spans="28:31" x14ac:dyDescent="0.2">
      <c r="AB1025" s="155"/>
      <c r="AD1025" s="155"/>
      <c r="AE1025" s="155"/>
    </row>
    <row r="1026" spans="28:31" x14ac:dyDescent="0.2">
      <c r="AB1026" s="155"/>
      <c r="AD1026" s="155"/>
      <c r="AE1026" s="155"/>
    </row>
    <row r="1027" spans="28:31" x14ac:dyDescent="0.2">
      <c r="AB1027" s="155"/>
      <c r="AD1027" s="155"/>
      <c r="AE1027" s="155"/>
    </row>
    <row r="1028" spans="28:31" x14ac:dyDescent="0.2">
      <c r="AB1028" s="155"/>
      <c r="AD1028" s="155"/>
      <c r="AE1028" s="155"/>
    </row>
    <row r="1029" spans="28:31" x14ac:dyDescent="0.2">
      <c r="AB1029" s="155"/>
      <c r="AD1029" s="155"/>
      <c r="AE1029" s="155"/>
    </row>
    <row r="1030" spans="28:31" x14ac:dyDescent="0.2">
      <c r="AB1030" s="155"/>
      <c r="AD1030" s="155"/>
      <c r="AE1030" s="155"/>
    </row>
    <row r="1031" spans="28:31" x14ac:dyDescent="0.2">
      <c r="AB1031" s="155"/>
      <c r="AD1031" s="155"/>
      <c r="AE1031" s="155"/>
    </row>
    <row r="1032" spans="28:31" x14ac:dyDescent="0.2">
      <c r="AB1032" s="155"/>
      <c r="AD1032" s="155"/>
      <c r="AE1032" s="155"/>
    </row>
    <row r="1033" spans="28:31" x14ac:dyDescent="0.2">
      <c r="AB1033" s="155"/>
      <c r="AD1033" s="155"/>
      <c r="AE1033" s="155"/>
    </row>
    <row r="1034" spans="28:31" x14ac:dyDescent="0.2">
      <c r="AB1034" s="155"/>
      <c r="AD1034" s="155"/>
      <c r="AE1034" s="155"/>
    </row>
    <row r="1035" spans="28:31" x14ac:dyDescent="0.2">
      <c r="AB1035" s="155"/>
      <c r="AD1035" s="155"/>
      <c r="AE1035" s="155"/>
    </row>
    <row r="1036" spans="28:31" x14ac:dyDescent="0.2">
      <c r="AB1036" s="155"/>
      <c r="AD1036" s="155"/>
      <c r="AE1036" s="155"/>
    </row>
    <row r="1037" spans="28:31" x14ac:dyDescent="0.2">
      <c r="AB1037" s="155"/>
      <c r="AD1037" s="155"/>
      <c r="AE1037" s="155"/>
    </row>
    <row r="1038" spans="28:31" x14ac:dyDescent="0.2">
      <c r="AB1038" s="155"/>
      <c r="AD1038" s="155"/>
      <c r="AE1038" s="155"/>
    </row>
    <row r="1039" spans="28:31" x14ac:dyDescent="0.2">
      <c r="AB1039" s="155"/>
      <c r="AD1039" s="155"/>
      <c r="AE1039" s="155"/>
    </row>
    <row r="1040" spans="28:31" x14ac:dyDescent="0.2">
      <c r="AB1040" s="155"/>
      <c r="AD1040" s="155"/>
      <c r="AE1040" s="155"/>
    </row>
    <row r="1041" spans="28:31" x14ac:dyDescent="0.2">
      <c r="AB1041" s="155"/>
      <c r="AD1041" s="155"/>
      <c r="AE1041" s="155"/>
    </row>
    <row r="1042" spans="28:31" x14ac:dyDescent="0.2">
      <c r="AB1042" s="155"/>
      <c r="AD1042" s="155"/>
      <c r="AE1042" s="155"/>
    </row>
    <row r="1043" spans="28:31" x14ac:dyDescent="0.2">
      <c r="AB1043" s="155"/>
      <c r="AD1043" s="155"/>
      <c r="AE1043" s="155"/>
    </row>
    <row r="1044" spans="28:31" x14ac:dyDescent="0.2">
      <c r="AB1044" s="155"/>
      <c r="AD1044" s="155"/>
      <c r="AE1044" s="155"/>
    </row>
    <row r="1045" spans="28:31" x14ac:dyDescent="0.2">
      <c r="AB1045" s="155"/>
      <c r="AD1045" s="155"/>
      <c r="AE1045" s="155"/>
    </row>
    <row r="1046" spans="28:31" x14ac:dyDescent="0.2">
      <c r="AB1046" s="155"/>
      <c r="AD1046" s="155"/>
      <c r="AE1046" s="155"/>
    </row>
    <row r="1047" spans="28:31" x14ac:dyDescent="0.2">
      <c r="AB1047" s="155"/>
      <c r="AD1047" s="155"/>
      <c r="AE1047" s="155"/>
    </row>
    <row r="1048" spans="28:31" x14ac:dyDescent="0.2">
      <c r="AB1048" s="155"/>
      <c r="AD1048" s="155"/>
      <c r="AE1048" s="155"/>
    </row>
    <row r="1049" spans="28:31" x14ac:dyDescent="0.2">
      <c r="AB1049" s="155"/>
      <c r="AD1049" s="155"/>
      <c r="AE1049" s="155"/>
    </row>
    <row r="1050" spans="28:31" x14ac:dyDescent="0.2">
      <c r="AB1050" s="155"/>
      <c r="AD1050" s="155"/>
      <c r="AE1050" s="155"/>
    </row>
    <row r="1051" spans="28:31" x14ac:dyDescent="0.2">
      <c r="AB1051" s="155"/>
      <c r="AD1051" s="155"/>
      <c r="AE1051" s="155"/>
    </row>
    <row r="1052" spans="28:31" x14ac:dyDescent="0.2">
      <c r="AB1052" s="155"/>
      <c r="AD1052" s="155"/>
      <c r="AE1052" s="155"/>
    </row>
    <row r="1053" spans="28:31" x14ac:dyDescent="0.2">
      <c r="AB1053" s="155"/>
      <c r="AD1053" s="155"/>
      <c r="AE1053" s="155"/>
    </row>
    <row r="1054" spans="28:31" x14ac:dyDescent="0.2">
      <c r="AB1054" s="155"/>
      <c r="AD1054" s="155"/>
      <c r="AE1054" s="155"/>
    </row>
    <row r="1055" spans="28:31" x14ac:dyDescent="0.2">
      <c r="AB1055" s="155"/>
      <c r="AD1055" s="155"/>
      <c r="AE1055" s="155"/>
    </row>
    <row r="1056" spans="28:31" x14ac:dyDescent="0.2">
      <c r="AB1056" s="155"/>
      <c r="AD1056" s="155"/>
      <c r="AE1056" s="155"/>
    </row>
    <row r="1057" spans="28:31" x14ac:dyDescent="0.2">
      <c r="AB1057" s="155"/>
      <c r="AD1057" s="155"/>
      <c r="AE1057" s="155"/>
    </row>
    <row r="1058" spans="28:31" x14ac:dyDescent="0.2">
      <c r="AB1058" s="155"/>
      <c r="AD1058" s="155"/>
      <c r="AE1058" s="155"/>
    </row>
    <row r="1059" spans="28:31" x14ac:dyDescent="0.2">
      <c r="AB1059" s="155"/>
      <c r="AD1059" s="155"/>
      <c r="AE1059" s="155"/>
    </row>
    <row r="1060" spans="28:31" x14ac:dyDescent="0.2">
      <c r="AB1060" s="155"/>
      <c r="AD1060" s="155"/>
      <c r="AE1060" s="155"/>
    </row>
    <row r="1061" spans="28:31" x14ac:dyDescent="0.2">
      <c r="AB1061" s="155"/>
      <c r="AD1061" s="155"/>
      <c r="AE1061" s="155"/>
    </row>
    <row r="1062" spans="28:31" x14ac:dyDescent="0.2">
      <c r="AB1062" s="155"/>
      <c r="AD1062" s="155"/>
      <c r="AE1062" s="155"/>
    </row>
    <row r="1063" spans="28:31" x14ac:dyDescent="0.2">
      <c r="AB1063" s="155"/>
      <c r="AD1063" s="155"/>
      <c r="AE1063" s="155"/>
    </row>
    <row r="1064" spans="28:31" x14ac:dyDescent="0.2">
      <c r="AB1064" s="155"/>
      <c r="AD1064" s="155"/>
      <c r="AE1064" s="155"/>
    </row>
    <row r="1065" spans="28:31" x14ac:dyDescent="0.2">
      <c r="AB1065" s="155"/>
      <c r="AD1065" s="155"/>
      <c r="AE1065" s="155"/>
    </row>
    <row r="1066" spans="28:31" x14ac:dyDescent="0.2">
      <c r="AB1066" s="155"/>
      <c r="AD1066" s="155"/>
      <c r="AE1066" s="155"/>
    </row>
    <row r="1067" spans="28:31" x14ac:dyDescent="0.2">
      <c r="AB1067" s="155"/>
      <c r="AD1067" s="155"/>
      <c r="AE1067" s="155"/>
    </row>
    <row r="1068" spans="28:31" x14ac:dyDescent="0.2">
      <c r="AB1068" s="155"/>
      <c r="AD1068" s="155"/>
      <c r="AE1068" s="155"/>
    </row>
    <row r="1069" spans="28:31" x14ac:dyDescent="0.2">
      <c r="AB1069" s="155"/>
      <c r="AD1069" s="155"/>
      <c r="AE1069" s="155"/>
    </row>
    <row r="1070" spans="28:31" x14ac:dyDescent="0.2">
      <c r="AB1070" s="155"/>
      <c r="AD1070" s="155"/>
      <c r="AE1070" s="155"/>
    </row>
    <row r="1071" spans="28:31" x14ac:dyDescent="0.2">
      <c r="AB1071" s="155"/>
      <c r="AD1071" s="155"/>
      <c r="AE1071" s="155"/>
    </row>
    <row r="1072" spans="28:31" x14ac:dyDescent="0.2">
      <c r="AB1072" s="155"/>
      <c r="AD1072" s="155"/>
      <c r="AE1072" s="155"/>
    </row>
    <row r="1073" spans="28:31" x14ac:dyDescent="0.2">
      <c r="AB1073" s="155"/>
      <c r="AD1073" s="155"/>
      <c r="AE1073" s="155"/>
    </row>
    <row r="1074" spans="28:31" x14ac:dyDescent="0.2">
      <c r="AB1074" s="155"/>
      <c r="AD1074" s="155"/>
      <c r="AE1074" s="155"/>
    </row>
    <row r="1075" spans="28:31" x14ac:dyDescent="0.2">
      <c r="AB1075" s="155"/>
      <c r="AD1075" s="155"/>
      <c r="AE1075" s="155"/>
    </row>
    <row r="1076" spans="28:31" x14ac:dyDescent="0.2">
      <c r="AB1076" s="155"/>
      <c r="AD1076" s="155"/>
      <c r="AE1076" s="155"/>
    </row>
    <row r="1077" spans="28:31" x14ac:dyDescent="0.2">
      <c r="AB1077" s="155"/>
      <c r="AD1077" s="155"/>
      <c r="AE1077" s="155"/>
    </row>
    <row r="1078" spans="28:31" x14ac:dyDescent="0.2">
      <c r="AB1078" s="155"/>
      <c r="AD1078" s="155"/>
      <c r="AE1078" s="155"/>
    </row>
    <row r="1079" spans="28:31" x14ac:dyDescent="0.2">
      <c r="AB1079" s="155"/>
      <c r="AD1079" s="155"/>
      <c r="AE1079" s="155"/>
    </row>
    <row r="1080" spans="28:31" x14ac:dyDescent="0.2">
      <c r="AB1080" s="155"/>
      <c r="AD1080" s="155"/>
      <c r="AE1080" s="155"/>
    </row>
    <row r="1081" spans="28:31" x14ac:dyDescent="0.2">
      <c r="AB1081" s="155"/>
      <c r="AD1081" s="155"/>
      <c r="AE1081" s="155"/>
    </row>
    <row r="1082" spans="28:31" x14ac:dyDescent="0.2">
      <c r="AB1082" s="155"/>
      <c r="AD1082" s="155"/>
      <c r="AE1082" s="155"/>
    </row>
    <row r="1083" spans="28:31" x14ac:dyDescent="0.2">
      <c r="AB1083" s="155"/>
      <c r="AD1083" s="155"/>
      <c r="AE1083" s="155"/>
    </row>
    <row r="1084" spans="28:31" x14ac:dyDescent="0.2">
      <c r="AB1084" s="155"/>
      <c r="AD1084" s="155"/>
      <c r="AE1084" s="155"/>
    </row>
    <row r="1085" spans="28:31" x14ac:dyDescent="0.2">
      <c r="AB1085" s="155"/>
      <c r="AD1085" s="155"/>
      <c r="AE1085" s="155"/>
    </row>
    <row r="1086" spans="28:31" x14ac:dyDescent="0.2">
      <c r="AB1086" s="155"/>
      <c r="AD1086" s="155"/>
      <c r="AE1086" s="155"/>
    </row>
    <row r="1087" spans="28:31" x14ac:dyDescent="0.2">
      <c r="AB1087" s="155"/>
      <c r="AD1087" s="155"/>
      <c r="AE1087" s="155"/>
    </row>
    <row r="1088" spans="28:31" x14ac:dyDescent="0.2">
      <c r="AB1088" s="155"/>
      <c r="AD1088" s="155"/>
      <c r="AE1088" s="155"/>
    </row>
    <row r="1089" spans="28:31" x14ac:dyDescent="0.2">
      <c r="AB1089" s="155"/>
      <c r="AD1089" s="155"/>
      <c r="AE1089" s="155"/>
    </row>
    <row r="1090" spans="28:31" x14ac:dyDescent="0.2">
      <c r="AB1090" s="155"/>
      <c r="AD1090" s="155"/>
      <c r="AE1090" s="155"/>
    </row>
    <row r="1091" spans="28:31" x14ac:dyDescent="0.2">
      <c r="AB1091" s="155"/>
      <c r="AD1091" s="155"/>
      <c r="AE1091" s="155"/>
    </row>
    <row r="1092" spans="28:31" x14ac:dyDescent="0.2">
      <c r="AB1092" s="155"/>
      <c r="AD1092" s="155"/>
      <c r="AE1092" s="155"/>
    </row>
    <row r="1093" spans="28:31" x14ac:dyDescent="0.2">
      <c r="AB1093" s="155"/>
      <c r="AD1093" s="155"/>
      <c r="AE1093" s="155"/>
    </row>
    <row r="1094" spans="28:31" x14ac:dyDescent="0.2">
      <c r="AB1094" s="155"/>
      <c r="AD1094" s="155"/>
      <c r="AE1094" s="155"/>
    </row>
    <row r="1095" spans="28:31" x14ac:dyDescent="0.2">
      <c r="AB1095" s="155"/>
      <c r="AD1095" s="155"/>
      <c r="AE1095" s="155"/>
    </row>
    <row r="1096" spans="28:31" x14ac:dyDescent="0.2">
      <c r="AB1096" s="155"/>
      <c r="AD1096" s="155"/>
      <c r="AE1096" s="155"/>
    </row>
    <row r="1097" spans="28:31" x14ac:dyDescent="0.2">
      <c r="AB1097" s="155"/>
      <c r="AD1097" s="155"/>
      <c r="AE1097" s="155"/>
    </row>
    <row r="1098" spans="28:31" x14ac:dyDescent="0.2">
      <c r="AB1098" s="155"/>
      <c r="AD1098" s="155"/>
      <c r="AE1098" s="155"/>
    </row>
    <row r="1099" spans="28:31" x14ac:dyDescent="0.2">
      <c r="AB1099" s="155"/>
      <c r="AD1099" s="155"/>
      <c r="AE1099" s="155"/>
    </row>
    <row r="1100" spans="28:31" x14ac:dyDescent="0.2">
      <c r="AB1100" s="155"/>
      <c r="AD1100" s="155"/>
      <c r="AE1100" s="155"/>
    </row>
    <row r="1101" spans="28:31" x14ac:dyDescent="0.2">
      <c r="AB1101" s="155"/>
      <c r="AD1101" s="155"/>
      <c r="AE1101" s="155"/>
    </row>
    <row r="1102" spans="28:31" x14ac:dyDescent="0.2">
      <c r="AB1102" s="155"/>
      <c r="AD1102" s="155"/>
      <c r="AE1102" s="155"/>
    </row>
    <row r="1103" spans="28:31" x14ac:dyDescent="0.2">
      <c r="AB1103" s="155"/>
      <c r="AD1103" s="155"/>
      <c r="AE1103" s="155"/>
    </row>
    <row r="1104" spans="28:31" x14ac:dyDescent="0.2">
      <c r="AB1104" s="155"/>
      <c r="AD1104" s="155"/>
      <c r="AE1104" s="155"/>
    </row>
    <row r="1105" spans="28:31" x14ac:dyDescent="0.2">
      <c r="AB1105" s="155"/>
      <c r="AD1105" s="155"/>
      <c r="AE1105" s="155"/>
    </row>
    <row r="1106" spans="28:31" x14ac:dyDescent="0.2">
      <c r="AB1106" s="155"/>
      <c r="AD1106" s="155"/>
      <c r="AE1106" s="155"/>
    </row>
    <row r="1107" spans="28:31" x14ac:dyDescent="0.2">
      <c r="AB1107" s="155"/>
      <c r="AD1107" s="155"/>
      <c r="AE1107" s="155"/>
    </row>
    <row r="1108" spans="28:31" x14ac:dyDescent="0.2">
      <c r="AB1108" s="155"/>
      <c r="AD1108" s="155"/>
      <c r="AE1108" s="155"/>
    </row>
    <row r="1109" spans="28:31" x14ac:dyDescent="0.2">
      <c r="AB1109" s="155"/>
      <c r="AD1109" s="155"/>
      <c r="AE1109" s="155"/>
    </row>
    <row r="1110" spans="28:31" x14ac:dyDescent="0.2">
      <c r="AB1110" s="155"/>
      <c r="AD1110" s="155"/>
      <c r="AE1110" s="155"/>
    </row>
    <row r="1111" spans="28:31" x14ac:dyDescent="0.2">
      <c r="AB1111" s="155"/>
      <c r="AD1111" s="155"/>
      <c r="AE1111" s="155"/>
    </row>
    <row r="1112" spans="28:31" x14ac:dyDescent="0.2">
      <c r="AB1112" s="155"/>
      <c r="AD1112" s="155"/>
      <c r="AE1112" s="155"/>
    </row>
    <row r="1113" spans="28:31" x14ac:dyDescent="0.2">
      <c r="AB1113" s="155"/>
      <c r="AD1113" s="155"/>
      <c r="AE1113" s="155"/>
    </row>
    <row r="1114" spans="28:31" x14ac:dyDescent="0.2">
      <c r="AB1114" s="155"/>
      <c r="AD1114" s="155"/>
      <c r="AE1114" s="155"/>
    </row>
    <row r="1115" spans="28:31" x14ac:dyDescent="0.2">
      <c r="AB1115" s="155"/>
      <c r="AD1115" s="155"/>
      <c r="AE1115" s="155"/>
    </row>
    <row r="1116" spans="28:31" x14ac:dyDescent="0.2">
      <c r="AB1116" s="155"/>
      <c r="AD1116" s="155"/>
      <c r="AE1116" s="155"/>
    </row>
    <row r="1117" spans="28:31" x14ac:dyDescent="0.2">
      <c r="AB1117" s="155"/>
      <c r="AD1117" s="155"/>
      <c r="AE1117" s="155"/>
    </row>
    <row r="1118" spans="28:31" x14ac:dyDescent="0.2">
      <c r="AB1118" s="155"/>
      <c r="AD1118" s="155"/>
      <c r="AE1118" s="155"/>
    </row>
    <row r="1119" spans="28:31" x14ac:dyDescent="0.2">
      <c r="AB1119" s="155"/>
      <c r="AD1119" s="155"/>
      <c r="AE1119" s="155"/>
    </row>
    <row r="1120" spans="28:31" x14ac:dyDescent="0.2">
      <c r="AB1120" s="155"/>
      <c r="AD1120" s="155"/>
      <c r="AE1120" s="155"/>
    </row>
    <row r="1121" spans="28:31" x14ac:dyDescent="0.2">
      <c r="AB1121" s="155"/>
      <c r="AD1121" s="155"/>
      <c r="AE1121" s="155"/>
    </row>
    <row r="1122" spans="28:31" x14ac:dyDescent="0.2">
      <c r="AB1122" s="155"/>
      <c r="AD1122" s="155"/>
      <c r="AE1122" s="155"/>
    </row>
    <row r="1123" spans="28:31" x14ac:dyDescent="0.2">
      <c r="AB1123" s="155"/>
      <c r="AD1123" s="155"/>
      <c r="AE1123" s="155"/>
    </row>
    <row r="1124" spans="28:31" x14ac:dyDescent="0.2">
      <c r="AB1124" s="155"/>
      <c r="AD1124" s="155"/>
      <c r="AE1124" s="155"/>
    </row>
    <row r="1125" spans="28:31" x14ac:dyDescent="0.2">
      <c r="AB1125" s="155"/>
      <c r="AD1125" s="155"/>
      <c r="AE1125" s="155"/>
    </row>
    <row r="1126" spans="28:31" x14ac:dyDescent="0.2">
      <c r="AB1126" s="155"/>
      <c r="AD1126" s="155"/>
      <c r="AE1126" s="155"/>
    </row>
    <row r="1127" spans="28:31" x14ac:dyDescent="0.2">
      <c r="AB1127" s="155"/>
      <c r="AD1127" s="155"/>
      <c r="AE1127" s="155"/>
    </row>
    <row r="1128" spans="28:31" x14ac:dyDescent="0.2">
      <c r="AB1128" s="155"/>
      <c r="AD1128" s="155"/>
      <c r="AE1128" s="155"/>
    </row>
    <row r="1129" spans="28:31" x14ac:dyDescent="0.2">
      <c r="AB1129" s="155"/>
      <c r="AD1129" s="155"/>
      <c r="AE1129" s="155"/>
    </row>
    <row r="1130" spans="28:31" x14ac:dyDescent="0.2">
      <c r="AB1130" s="155"/>
      <c r="AD1130" s="155"/>
      <c r="AE1130" s="155"/>
    </row>
    <row r="1131" spans="28:31" x14ac:dyDescent="0.2">
      <c r="AB1131" s="155"/>
      <c r="AD1131" s="155"/>
      <c r="AE1131" s="155"/>
    </row>
    <row r="1132" spans="28:31" x14ac:dyDescent="0.2">
      <c r="AB1132" s="155"/>
      <c r="AD1132" s="155"/>
      <c r="AE1132" s="155"/>
    </row>
    <row r="1133" spans="28:31" x14ac:dyDescent="0.2">
      <c r="AB1133" s="155"/>
      <c r="AD1133" s="155"/>
      <c r="AE1133" s="155"/>
    </row>
    <row r="1134" spans="28:31" x14ac:dyDescent="0.2">
      <c r="AB1134" s="155"/>
      <c r="AD1134" s="155"/>
      <c r="AE1134" s="155"/>
    </row>
    <row r="1135" spans="28:31" x14ac:dyDescent="0.2">
      <c r="AB1135" s="155"/>
      <c r="AD1135" s="155"/>
      <c r="AE1135" s="155"/>
    </row>
    <row r="1136" spans="28:31" x14ac:dyDescent="0.2">
      <c r="AB1136" s="155"/>
      <c r="AD1136" s="155"/>
      <c r="AE1136" s="155"/>
    </row>
    <row r="1137" spans="28:31" x14ac:dyDescent="0.2">
      <c r="AB1137" s="155"/>
      <c r="AD1137" s="155"/>
      <c r="AE1137" s="155"/>
    </row>
    <row r="1138" spans="28:31" x14ac:dyDescent="0.2">
      <c r="AB1138" s="155"/>
      <c r="AD1138" s="155"/>
      <c r="AE1138" s="155"/>
    </row>
    <row r="1139" spans="28:31" x14ac:dyDescent="0.2">
      <c r="AB1139" s="155"/>
      <c r="AD1139" s="155"/>
      <c r="AE1139" s="155"/>
    </row>
    <row r="1140" spans="28:31" x14ac:dyDescent="0.2">
      <c r="AB1140" s="155"/>
      <c r="AD1140" s="155"/>
      <c r="AE1140" s="155"/>
    </row>
    <row r="1141" spans="28:31" x14ac:dyDescent="0.2">
      <c r="AB1141" s="155"/>
      <c r="AD1141" s="155"/>
      <c r="AE1141" s="155"/>
    </row>
    <row r="1142" spans="28:31" x14ac:dyDescent="0.2">
      <c r="AB1142" s="155"/>
      <c r="AD1142" s="155"/>
      <c r="AE1142" s="155"/>
    </row>
    <row r="1143" spans="28:31" x14ac:dyDescent="0.2">
      <c r="AB1143" s="155"/>
      <c r="AD1143" s="155"/>
      <c r="AE1143" s="155"/>
    </row>
    <row r="1144" spans="28:31" x14ac:dyDescent="0.2">
      <c r="AB1144" s="155"/>
      <c r="AD1144" s="155"/>
      <c r="AE1144" s="155"/>
    </row>
    <row r="1145" spans="28:31" x14ac:dyDescent="0.2">
      <c r="AB1145" s="155"/>
      <c r="AD1145" s="155"/>
      <c r="AE1145" s="155"/>
    </row>
    <row r="1146" spans="28:31" x14ac:dyDescent="0.2">
      <c r="AB1146" s="155"/>
      <c r="AD1146" s="155"/>
      <c r="AE1146" s="155"/>
    </row>
    <row r="1147" spans="28:31" x14ac:dyDescent="0.2">
      <c r="AB1147" s="155"/>
      <c r="AD1147" s="155"/>
      <c r="AE1147" s="155"/>
    </row>
    <row r="1148" spans="28:31" x14ac:dyDescent="0.2">
      <c r="AB1148" s="155"/>
      <c r="AD1148" s="155"/>
      <c r="AE1148" s="155"/>
    </row>
    <row r="1149" spans="28:31" x14ac:dyDescent="0.2">
      <c r="AB1149" s="155"/>
      <c r="AD1149" s="155"/>
      <c r="AE1149" s="155"/>
    </row>
    <row r="1150" spans="28:31" x14ac:dyDescent="0.2">
      <c r="AB1150" s="155"/>
      <c r="AD1150" s="155"/>
      <c r="AE1150" s="155"/>
    </row>
    <row r="1151" spans="28:31" x14ac:dyDescent="0.2">
      <c r="AB1151" s="155"/>
      <c r="AD1151" s="155"/>
      <c r="AE1151" s="155"/>
    </row>
    <row r="1152" spans="28:31" x14ac:dyDescent="0.2">
      <c r="AB1152" s="155"/>
      <c r="AD1152" s="155"/>
      <c r="AE1152" s="155"/>
    </row>
    <row r="1153" spans="28:31" x14ac:dyDescent="0.2">
      <c r="AB1153" s="155"/>
      <c r="AD1153" s="155"/>
      <c r="AE1153" s="155"/>
    </row>
    <row r="1154" spans="28:31" x14ac:dyDescent="0.2">
      <c r="AB1154" s="155"/>
      <c r="AD1154" s="155"/>
      <c r="AE1154" s="155"/>
    </row>
    <row r="1155" spans="28:31" x14ac:dyDescent="0.2">
      <c r="AB1155" s="155"/>
      <c r="AD1155" s="155"/>
      <c r="AE1155" s="155"/>
    </row>
    <row r="1156" spans="28:31" x14ac:dyDescent="0.2">
      <c r="AB1156" s="155"/>
      <c r="AD1156" s="155"/>
      <c r="AE1156" s="155"/>
    </row>
    <row r="1157" spans="28:31" x14ac:dyDescent="0.2">
      <c r="AB1157" s="155"/>
      <c r="AD1157" s="155"/>
      <c r="AE1157" s="155"/>
    </row>
    <row r="1158" spans="28:31" x14ac:dyDescent="0.2">
      <c r="AB1158" s="155"/>
      <c r="AD1158" s="155"/>
      <c r="AE1158" s="155"/>
    </row>
    <row r="1159" spans="28:31" x14ac:dyDescent="0.2">
      <c r="AB1159" s="155"/>
      <c r="AD1159" s="155"/>
      <c r="AE1159" s="155"/>
    </row>
    <row r="1160" spans="28:31" x14ac:dyDescent="0.2">
      <c r="AB1160" s="155"/>
      <c r="AD1160" s="155"/>
      <c r="AE1160" s="155"/>
    </row>
    <row r="1161" spans="28:31" x14ac:dyDescent="0.2">
      <c r="AB1161" s="155"/>
      <c r="AD1161" s="155"/>
      <c r="AE1161" s="155"/>
    </row>
    <row r="1162" spans="28:31" x14ac:dyDescent="0.2">
      <c r="AB1162" s="155"/>
      <c r="AD1162" s="155"/>
      <c r="AE1162" s="155"/>
    </row>
    <row r="1163" spans="28:31" x14ac:dyDescent="0.2">
      <c r="AB1163" s="155"/>
      <c r="AD1163" s="155"/>
      <c r="AE1163" s="155"/>
    </row>
    <row r="1164" spans="28:31" x14ac:dyDescent="0.2">
      <c r="AB1164" s="155"/>
      <c r="AD1164" s="155"/>
      <c r="AE1164" s="155"/>
    </row>
    <row r="1165" spans="28:31" x14ac:dyDescent="0.2">
      <c r="AB1165" s="155"/>
      <c r="AD1165" s="155"/>
      <c r="AE1165" s="155"/>
    </row>
    <row r="1166" spans="28:31" x14ac:dyDescent="0.2">
      <c r="AB1166" s="155"/>
      <c r="AD1166" s="155"/>
      <c r="AE1166" s="155"/>
    </row>
    <row r="1167" spans="28:31" x14ac:dyDescent="0.2">
      <c r="AB1167" s="155"/>
      <c r="AD1167" s="155"/>
      <c r="AE1167" s="155"/>
    </row>
    <row r="1168" spans="28:31" x14ac:dyDescent="0.2">
      <c r="AB1168" s="155"/>
      <c r="AD1168" s="155"/>
      <c r="AE1168" s="155"/>
    </row>
    <row r="1169" spans="28:31" x14ac:dyDescent="0.2">
      <c r="AB1169" s="155"/>
      <c r="AD1169" s="155"/>
      <c r="AE1169" s="155"/>
    </row>
    <row r="1170" spans="28:31" x14ac:dyDescent="0.2">
      <c r="AB1170" s="155"/>
      <c r="AD1170" s="155"/>
      <c r="AE1170" s="155"/>
    </row>
    <row r="1171" spans="28:31" x14ac:dyDescent="0.2">
      <c r="AB1171" s="155"/>
      <c r="AD1171" s="155"/>
      <c r="AE1171" s="155"/>
    </row>
    <row r="1172" spans="28:31" x14ac:dyDescent="0.2">
      <c r="AB1172" s="155"/>
      <c r="AD1172" s="155"/>
      <c r="AE1172" s="155"/>
    </row>
    <row r="1173" spans="28:31" x14ac:dyDescent="0.2">
      <c r="AB1173" s="155"/>
      <c r="AD1173" s="155"/>
      <c r="AE1173" s="155"/>
    </row>
    <row r="1174" spans="28:31" x14ac:dyDescent="0.2">
      <c r="AB1174" s="155"/>
      <c r="AD1174" s="155"/>
      <c r="AE1174" s="155"/>
    </row>
    <row r="1175" spans="28:31" x14ac:dyDescent="0.2">
      <c r="AB1175" s="155"/>
      <c r="AD1175" s="155"/>
      <c r="AE1175" s="155"/>
    </row>
    <row r="1176" spans="28:31" x14ac:dyDescent="0.2">
      <c r="AB1176" s="155"/>
      <c r="AD1176" s="155"/>
      <c r="AE1176" s="155"/>
    </row>
    <row r="1177" spans="28:31" x14ac:dyDescent="0.2">
      <c r="AB1177" s="155"/>
      <c r="AD1177" s="155"/>
      <c r="AE1177" s="155"/>
    </row>
    <row r="1178" spans="28:31" x14ac:dyDescent="0.2">
      <c r="AB1178" s="155"/>
      <c r="AD1178" s="155"/>
      <c r="AE1178" s="155"/>
    </row>
    <row r="1179" spans="28:31" x14ac:dyDescent="0.2">
      <c r="AB1179" s="155"/>
      <c r="AD1179" s="155"/>
      <c r="AE1179" s="155"/>
    </row>
    <row r="1180" spans="28:31" x14ac:dyDescent="0.2">
      <c r="AB1180" s="155"/>
      <c r="AD1180" s="155"/>
      <c r="AE1180" s="155"/>
    </row>
    <row r="1181" spans="28:31" x14ac:dyDescent="0.2">
      <c r="AB1181" s="155"/>
      <c r="AD1181" s="155"/>
      <c r="AE1181" s="155"/>
    </row>
    <row r="1182" spans="28:31" x14ac:dyDescent="0.2">
      <c r="AB1182" s="155"/>
      <c r="AD1182" s="155"/>
      <c r="AE1182" s="155"/>
    </row>
    <row r="1183" spans="28:31" x14ac:dyDescent="0.2">
      <c r="AB1183" s="155"/>
      <c r="AD1183" s="155"/>
      <c r="AE1183" s="155"/>
    </row>
    <row r="1184" spans="28:31" x14ac:dyDescent="0.2">
      <c r="AB1184" s="155"/>
      <c r="AD1184" s="155"/>
      <c r="AE1184" s="155"/>
    </row>
    <row r="1185" spans="28:31" x14ac:dyDescent="0.2">
      <c r="AB1185" s="155"/>
      <c r="AD1185" s="155"/>
      <c r="AE1185" s="155"/>
    </row>
    <row r="1186" spans="28:31" x14ac:dyDescent="0.2">
      <c r="AB1186" s="155"/>
      <c r="AD1186" s="155"/>
      <c r="AE1186" s="155"/>
    </row>
    <row r="1187" spans="28:31" x14ac:dyDescent="0.2">
      <c r="AB1187" s="155"/>
      <c r="AD1187" s="155"/>
      <c r="AE1187" s="155"/>
    </row>
    <row r="1188" spans="28:31" x14ac:dyDescent="0.2">
      <c r="AB1188" s="155"/>
      <c r="AD1188" s="155"/>
      <c r="AE1188" s="155"/>
    </row>
    <row r="1189" spans="28:31" x14ac:dyDescent="0.2">
      <c r="AB1189" s="155"/>
      <c r="AD1189" s="155"/>
      <c r="AE1189" s="155"/>
    </row>
    <row r="1190" spans="28:31" x14ac:dyDescent="0.2">
      <c r="AB1190" s="155"/>
      <c r="AD1190" s="155"/>
      <c r="AE1190" s="155"/>
    </row>
    <row r="1191" spans="28:31" x14ac:dyDescent="0.2">
      <c r="AB1191" s="155"/>
      <c r="AD1191" s="155"/>
      <c r="AE1191" s="155"/>
    </row>
    <row r="1192" spans="28:31" x14ac:dyDescent="0.2">
      <c r="AB1192" s="155"/>
      <c r="AD1192" s="155"/>
      <c r="AE1192" s="155"/>
    </row>
    <row r="1193" spans="28:31" x14ac:dyDescent="0.2">
      <c r="AB1193" s="155"/>
      <c r="AD1193" s="155"/>
      <c r="AE1193" s="155"/>
    </row>
    <row r="1194" spans="28:31" x14ac:dyDescent="0.2">
      <c r="AB1194" s="155"/>
      <c r="AD1194" s="155"/>
      <c r="AE1194" s="155"/>
    </row>
    <row r="1195" spans="28:31" x14ac:dyDescent="0.2">
      <c r="AB1195" s="155"/>
      <c r="AD1195" s="155"/>
      <c r="AE1195" s="155"/>
    </row>
    <row r="1196" spans="28:31" x14ac:dyDescent="0.2">
      <c r="AB1196" s="155"/>
      <c r="AD1196" s="155"/>
      <c r="AE1196" s="155"/>
    </row>
    <row r="1197" spans="28:31" x14ac:dyDescent="0.2">
      <c r="AB1197" s="155"/>
      <c r="AD1197" s="155"/>
      <c r="AE1197" s="155"/>
    </row>
    <row r="1198" spans="28:31" x14ac:dyDescent="0.2">
      <c r="AB1198" s="155"/>
      <c r="AD1198" s="155"/>
      <c r="AE1198" s="155"/>
    </row>
    <row r="1199" spans="28:31" x14ac:dyDescent="0.2">
      <c r="AB1199" s="155"/>
      <c r="AD1199" s="155"/>
      <c r="AE1199" s="155"/>
    </row>
    <row r="1200" spans="28:31" x14ac:dyDescent="0.2">
      <c r="AB1200" s="155"/>
      <c r="AD1200" s="155"/>
      <c r="AE1200" s="155"/>
    </row>
    <row r="1201" spans="28:31" x14ac:dyDescent="0.2">
      <c r="AB1201" s="155"/>
      <c r="AD1201" s="155"/>
      <c r="AE1201" s="155"/>
    </row>
    <row r="1202" spans="28:31" x14ac:dyDescent="0.2">
      <c r="AB1202" s="155"/>
      <c r="AD1202" s="155"/>
      <c r="AE1202" s="155"/>
    </row>
    <row r="1203" spans="28:31" x14ac:dyDescent="0.2">
      <c r="AB1203" s="155"/>
      <c r="AD1203" s="155"/>
      <c r="AE1203" s="155"/>
    </row>
    <row r="1204" spans="28:31" x14ac:dyDescent="0.2">
      <c r="AB1204" s="155"/>
      <c r="AD1204" s="155"/>
      <c r="AE1204" s="155"/>
    </row>
    <row r="1205" spans="28:31" x14ac:dyDescent="0.2">
      <c r="AB1205" s="155"/>
      <c r="AD1205" s="155"/>
      <c r="AE1205" s="155"/>
    </row>
    <row r="1206" spans="28:31" x14ac:dyDescent="0.2">
      <c r="AB1206" s="155"/>
      <c r="AD1206" s="155"/>
      <c r="AE1206" s="155"/>
    </row>
    <row r="1207" spans="28:31" x14ac:dyDescent="0.2">
      <c r="AB1207" s="155"/>
      <c r="AD1207" s="155"/>
      <c r="AE1207" s="155"/>
    </row>
    <row r="1208" spans="28:31" x14ac:dyDescent="0.2">
      <c r="AB1208" s="155"/>
      <c r="AD1208" s="155"/>
      <c r="AE1208" s="155"/>
    </row>
    <row r="1209" spans="28:31" x14ac:dyDescent="0.2">
      <c r="AB1209" s="155"/>
      <c r="AD1209" s="155"/>
      <c r="AE1209" s="155"/>
    </row>
    <row r="1210" spans="28:31" x14ac:dyDescent="0.2">
      <c r="AB1210" s="155"/>
      <c r="AD1210" s="155"/>
      <c r="AE1210" s="155"/>
    </row>
    <row r="1211" spans="28:31" x14ac:dyDescent="0.2">
      <c r="AB1211" s="155"/>
      <c r="AD1211" s="155"/>
      <c r="AE1211" s="155"/>
    </row>
    <row r="1212" spans="28:31" x14ac:dyDescent="0.2">
      <c r="AB1212" s="155"/>
      <c r="AD1212" s="155"/>
      <c r="AE1212" s="155"/>
    </row>
    <row r="1213" spans="28:31" x14ac:dyDescent="0.2">
      <c r="AB1213" s="155"/>
      <c r="AD1213" s="155"/>
      <c r="AE1213" s="155"/>
    </row>
    <row r="1214" spans="28:31" x14ac:dyDescent="0.2">
      <c r="AB1214" s="155"/>
      <c r="AD1214" s="155"/>
      <c r="AE1214" s="155"/>
    </row>
    <row r="1215" spans="28:31" x14ac:dyDescent="0.2">
      <c r="AB1215" s="155"/>
      <c r="AD1215" s="155"/>
      <c r="AE1215" s="155"/>
    </row>
    <row r="1216" spans="28:31" x14ac:dyDescent="0.2">
      <c r="AB1216" s="155"/>
      <c r="AD1216" s="155"/>
      <c r="AE1216" s="155"/>
    </row>
    <row r="1217" spans="28:31" x14ac:dyDescent="0.2">
      <c r="AB1217" s="155"/>
      <c r="AD1217" s="155"/>
      <c r="AE1217" s="155"/>
    </row>
    <row r="1218" spans="28:31" x14ac:dyDescent="0.2">
      <c r="AB1218" s="155"/>
      <c r="AD1218" s="155"/>
      <c r="AE1218" s="155"/>
    </row>
    <row r="1219" spans="28:31" x14ac:dyDescent="0.2">
      <c r="AB1219" s="155"/>
      <c r="AD1219" s="155"/>
      <c r="AE1219" s="155"/>
    </row>
    <row r="1220" spans="28:31" x14ac:dyDescent="0.2">
      <c r="AB1220" s="155"/>
      <c r="AD1220" s="155"/>
      <c r="AE1220" s="155"/>
    </row>
    <row r="1221" spans="28:31" x14ac:dyDescent="0.2">
      <c r="AB1221" s="155"/>
      <c r="AD1221" s="155"/>
      <c r="AE1221" s="155"/>
    </row>
    <row r="1222" spans="28:31" x14ac:dyDescent="0.2">
      <c r="AB1222" s="155"/>
      <c r="AD1222" s="155"/>
      <c r="AE1222" s="155"/>
    </row>
    <row r="1223" spans="28:31" x14ac:dyDescent="0.2">
      <c r="AB1223" s="155"/>
      <c r="AD1223" s="155"/>
      <c r="AE1223" s="155"/>
    </row>
    <row r="1224" spans="28:31" x14ac:dyDescent="0.2">
      <c r="AB1224" s="155"/>
      <c r="AD1224" s="155"/>
      <c r="AE1224" s="155"/>
    </row>
    <row r="1225" spans="28:31" x14ac:dyDescent="0.2">
      <c r="AB1225" s="155"/>
      <c r="AD1225" s="155"/>
      <c r="AE1225" s="155"/>
    </row>
    <row r="1226" spans="28:31" x14ac:dyDescent="0.2">
      <c r="AB1226" s="155"/>
      <c r="AD1226" s="155"/>
      <c r="AE1226" s="155"/>
    </row>
    <row r="1227" spans="28:31" x14ac:dyDescent="0.2">
      <c r="AB1227" s="155"/>
      <c r="AD1227" s="155"/>
      <c r="AE1227" s="155"/>
    </row>
    <row r="1228" spans="28:31" x14ac:dyDescent="0.2">
      <c r="AB1228" s="155"/>
      <c r="AD1228" s="155"/>
      <c r="AE1228" s="155"/>
    </row>
    <row r="1229" spans="28:31" x14ac:dyDescent="0.2">
      <c r="AB1229" s="155"/>
      <c r="AD1229" s="155"/>
      <c r="AE1229" s="155"/>
    </row>
    <row r="1230" spans="28:31" x14ac:dyDescent="0.2">
      <c r="AB1230" s="155"/>
      <c r="AD1230" s="155"/>
      <c r="AE1230" s="155"/>
    </row>
    <row r="1231" spans="28:31" x14ac:dyDescent="0.2">
      <c r="AB1231" s="155"/>
      <c r="AD1231" s="155"/>
      <c r="AE1231" s="155"/>
    </row>
    <row r="1232" spans="28:31" x14ac:dyDescent="0.2">
      <c r="AB1232" s="155"/>
      <c r="AD1232" s="155"/>
      <c r="AE1232" s="155"/>
    </row>
    <row r="1233" spans="28:31" x14ac:dyDescent="0.2">
      <c r="AB1233" s="155"/>
      <c r="AD1233" s="155"/>
      <c r="AE1233" s="155"/>
    </row>
    <row r="1234" spans="28:31" x14ac:dyDescent="0.2">
      <c r="AB1234" s="155"/>
      <c r="AD1234" s="155"/>
      <c r="AE1234" s="155"/>
    </row>
    <row r="1235" spans="28:31" x14ac:dyDescent="0.2">
      <c r="AB1235" s="155"/>
      <c r="AD1235" s="155"/>
      <c r="AE1235" s="155"/>
    </row>
    <row r="1236" spans="28:31" x14ac:dyDescent="0.2">
      <c r="AB1236" s="155"/>
      <c r="AD1236" s="155"/>
      <c r="AE1236" s="155"/>
    </row>
    <row r="1237" spans="28:31" x14ac:dyDescent="0.2">
      <c r="AB1237" s="155"/>
      <c r="AD1237" s="155"/>
      <c r="AE1237" s="155"/>
    </row>
    <row r="1238" spans="28:31" x14ac:dyDescent="0.2">
      <c r="AB1238" s="155"/>
      <c r="AD1238" s="155"/>
      <c r="AE1238" s="155"/>
    </row>
    <row r="1239" spans="28:31" x14ac:dyDescent="0.2">
      <c r="AB1239" s="155"/>
      <c r="AD1239" s="155"/>
      <c r="AE1239" s="155"/>
    </row>
    <row r="1240" spans="28:31" x14ac:dyDescent="0.2">
      <c r="AB1240" s="155"/>
      <c r="AD1240" s="155"/>
      <c r="AE1240" s="155"/>
    </row>
    <row r="1241" spans="28:31" x14ac:dyDescent="0.2">
      <c r="AB1241" s="155"/>
      <c r="AD1241" s="155"/>
      <c r="AE1241" s="155"/>
    </row>
    <row r="1242" spans="28:31" x14ac:dyDescent="0.2">
      <c r="AB1242" s="155"/>
      <c r="AD1242" s="155"/>
      <c r="AE1242" s="155"/>
    </row>
    <row r="1243" spans="28:31" x14ac:dyDescent="0.2">
      <c r="AB1243" s="155"/>
      <c r="AD1243" s="155"/>
      <c r="AE1243" s="155"/>
    </row>
    <row r="1244" spans="28:31" x14ac:dyDescent="0.2">
      <c r="AB1244" s="155"/>
      <c r="AD1244" s="155"/>
      <c r="AE1244" s="155"/>
    </row>
    <row r="1245" spans="28:31" x14ac:dyDescent="0.2">
      <c r="AB1245" s="155"/>
      <c r="AD1245" s="155"/>
      <c r="AE1245" s="155"/>
    </row>
    <row r="1246" spans="28:31" x14ac:dyDescent="0.2">
      <c r="AB1246" s="155"/>
      <c r="AD1246" s="155"/>
      <c r="AE1246" s="155"/>
    </row>
    <row r="1247" spans="28:31" x14ac:dyDescent="0.2">
      <c r="AB1247" s="155"/>
      <c r="AD1247" s="155"/>
      <c r="AE1247" s="155"/>
    </row>
    <row r="1248" spans="28:31" x14ac:dyDescent="0.2">
      <c r="AB1248" s="155"/>
      <c r="AD1248" s="155"/>
      <c r="AE1248" s="155"/>
    </row>
    <row r="1249" spans="28:31" x14ac:dyDescent="0.2">
      <c r="AB1249" s="155"/>
      <c r="AD1249" s="155"/>
      <c r="AE1249" s="155"/>
    </row>
    <row r="1250" spans="28:31" x14ac:dyDescent="0.2">
      <c r="AB1250" s="155"/>
      <c r="AD1250" s="155"/>
      <c r="AE1250" s="155"/>
    </row>
    <row r="1251" spans="28:31" x14ac:dyDescent="0.2">
      <c r="AB1251" s="155"/>
      <c r="AD1251" s="155"/>
      <c r="AE1251" s="155"/>
    </row>
    <row r="1252" spans="28:31" x14ac:dyDescent="0.2">
      <c r="AB1252" s="155"/>
      <c r="AD1252" s="155"/>
      <c r="AE1252" s="155"/>
    </row>
    <row r="1253" spans="28:31" x14ac:dyDescent="0.2">
      <c r="AB1253" s="155"/>
      <c r="AD1253" s="155"/>
      <c r="AE1253" s="155"/>
    </row>
    <row r="1254" spans="28:31" x14ac:dyDescent="0.2">
      <c r="AB1254" s="155"/>
      <c r="AD1254" s="155"/>
      <c r="AE1254" s="155"/>
    </row>
    <row r="1255" spans="28:31" x14ac:dyDescent="0.2">
      <c r="AB1255" s="155"/>
      <c r="AD1255" s="155"/>
      <c r="AE1255" s="155"/>
    </row>
    <row r="1256" spans="28:31" x14ac:dyDescent="0.2">
      <c r="AB1256" s="155"/>
      <c r="AD1256" s="155"/>
      <c r="AE1256" s="155"/>
    </row>
    <row r="1257" spans="28:31" x14ac:dyDescent="0.2">
      <c r="AB1257" s="155"/>
      <c r="AD1257" s="155"/>
      <c r="AE1257" s="155"/>
    </row>
    <row r="1258" spans="28:31" x14ac:dyDescent="0.2">
      <c r="AB1258" s="155"/>
      <c r="AD1258" s="155"/>
      <c r="AE1258" s="155"/>
    </row>
    <row r="1259" spans="28:31" x14ac:dyDescent="0.2">
      <c r="AB1259" s="155"/>
      <c r="AD1259" s="155"/>
      <c r="AE1259" s="155"/>
    </row>
    <row r="1260" spans="28:31" x14ac:dyDescent="0.2">
      <c r="AB1260" s="155"/>
      <c r="AD1260" s="155"/>
      <c r="AE1260" s="155"/>
    </row>
    <row r="1261" spans="28:31" x14ac:dyDescent="0.2">
      <c r="AB1261" s="155"/>
      <c r="AD1261" s="155"/>
      <c r="AE1261" s="155"/>
    </row>
    <row r="1262" spans="28:31" x14ac:dyDescent="0.2">
      <c r="AB1262" s="155"/>
      <c r="AD1262" s="155"/>
      <c r="AE1262" s="155"/>
    </row>
    <row r="1263" spans="28:31" x14ac:dyDescent="0.2">
      <c r="AB1263" s="155"/>
      <c r="AD1263" s="155"/>
      <c r="AE1263" s="155"/>
    </row>
    <row r="1264" spans="28:31" x14ac:dyDescent="0.2">
      <c r="AB1264" s="155"/>
      <c r="AD1264" s="155"/>
      <c r="AE1264" s="155"/>
    </row>
    <row r="1265" spans="28:31" x14ac:dyDescent="0.2">
      <c r="AB1265" s="155"/>
      <c r="AD1265" s="155"/>
      <c r="AE1265" s="155"/>
    </row>
    <row r="1266" spans="28:31" x14ac:dyDescent="0.2">
      <c r="AB1266" s="155"/>
      <c r="AD1266" s="155"/>
      <c r="AE1266" s="155"/>
    </row>
    <row r="1267" spans="28:31" x14ac:dyDescent="0.2">
      <c r="AB1267" s="155"/>
      <c r="AD1267" s="155"/>
      <c r="AE1267" s="155"/>
    </row>
    <row r="1268" spans="28:31" x14ac:dyDescent="0.2">
      <c r="AB1268" s="155"/>
      <c r="AD1268" s="155"/>
      <c r="AE1268" s="155"/>
    </row>
    <row r="1269" spans="28:31" x14ac:dyDescent="0.2">
      <c r="AB1269" s="155"/>
      <c r="AD1269" s="155"/>
      <c r="AE1269" s="155"/>
    </row>
    <row r="1270" spans="28:31" x14ac:dyDescent="0.2">
      <c r="AB1270" s="155"/>
      <c r="AD1270" s="155"/>
      <c r="AE1270" s="155"/>
    </row>
    <row r="1271" spans="28:31" x14ac:dyDescent="0.2">
      <c r="AB1271" s="155"/>
      <c r="AD1271" s="155"/>
      <c r="AE1271" s="155"/>
    </row>
    <row r="1272" spans="28:31" x14ac:dyDescent="0.2">
      <c r="AB1272" s="155"/>
      <c r="AD1272" s="155"/>
      <c r="AE1272" s="155"/>
    </row>
    <row r="1273" spans="28:31" x14ac:dyDescent="0.2">
      <c r="AB1273" s="155"/>
      <c r="AD1273" s="155"/>
      <c r="AE1273" s="155"/>
    </row>
    <row r="1274" spans="28:31" x14ac:dyDescent="0.2">
      <c r="AB1274" s="155"/>
      <c r="AD1274" s="155"/>
      <c r="AE1274" s="155"/>
    </row>
    <row r="1275" spans="28:31" x14ac:dyDescent="0.2">
      <c r="AB1275" s="155"/>
      <c r="AD1275" s="155"/>
      <c r="AE1275" s="155"/>
    </row>
    <row r="1276" spans="28:31" x14ac:dyDescent="0.2">
      <c r="AB1276" s="155"/>
      <c r="AD1276" s="155"/>
      <c r="AE1276" s="155"/>
    </row>
    <row r="1277" spans="28:31" x14ac:dyDescent="0.2">
      <c r="AB1277" s="155"/>
      <c r="AD1277" s="155"/>
      <c r="AE1277" s="155"/>
    </row>
    <row r="1278" spans="28:31" x14ac:dyDescent="0.2">
      <c r="AB1278" s="155"/>
      <c r="AD1278" s="155"/>
      <c r="AE1278" s="155"/>
    </row>
    <row r="1279" spans="28:31" x14ac:dyDescent="0.2">
      <c r="AB1279" s="155"/>
      <c r="AD1279" s="155"/>
      <c r="AE1279" s="155"/>
    </row>
    <row r="1280" spans="28:31" x14ac:dyDescent="0.2">
      <c r="AB1280" s="155"/>
      <c r="AD1280" s="155"/>
      <c r="AE1280" s="155"/>
    </row>
    <row r="1281" spans="28:31" x14ac:dyDescent="0.2">
      <c r="AB1281" s="155"/>
      <c r="AD1281" s="155"/>
      <c r="AE1281" s="155"/>
    </row>
    <row r="1282" spans="28:31" x14ac:dyDescent="0.2">
      <c r="AB1282" s="155"/>
      <c r="AD1282" s="155"/>
      <c r="AE1282" s="155"/>
    </row>
    <row r="1283" spans="28:31" x14ac:dyDescent="0.2">
      <c r="AB1283" s="155"/>
      <c r="AD1283" s="155"/>
      <c r="AE1283" s="155"/>
    </row>
    <row r="1284" spans="28:31" x14ac:dyDescent="0.2">
      <c r="AB1284" s="155"/>
      <c r="AD1284" s="155"/>
      <c r="AE1284" s="155"/>
    </row>
    <row r="1285" spans="28:31" x14ac:dyDescent="0.2">
      <c r="AB1285" s="155"/>
      <c r="AD1285" s="155"/>
      <c r="AE1285" s="155"/>
    </row>
    <row r="1286" spans="28:31" x14ac:dyDescent="0.2">
      <c r="AB1286" s="155"/>
      <c r="AD1286" s="155"/>
      <c r="AE1286" s="155"/>
    </row>
    <row r="1287" spans="28:31" x14ac:dyDescent="0.2">
      <c r="AB1287" s="155"/>
      <c r="AD1287" s="155"/>
      <c r="AE1287" s="155"/>
    </row>
    <row r="1288" spans="28:31" x14ac:dyDescent="0.2">
      <c r="AB1288" s="155"/>
      <c r="AD1288" s="155"/>
      <c r="AE1288" s="155"/>
    </row>
    <row r="1289" spans="28:31" x14ac:dyDescent="0.2">
      <c r="AB1289" s="155"/>
      <c r="AD1289" s="155"/>
      <c r="AE1289" s="155"/>
    </row>
    <row r="1290" spans="28:31" x14ac:dyDescent="0.2">
      <c r="AB1290" s="155"/>
      <c r="AD1290" s="155"/>
      <c r="AE1290" s="155"/>
    </row>
    <row r="1291" spans="28:31" x14ac:dyDescent="0.2">
      <c r="AB1291" s="155"/>
      <c r="AD1291" s="155"/>
      <c r="AE1291" s="155"/>
    </row>
    <row r="1292" spans="28:31" x14ac:dyDescent="0.2">
      <c r="AB1292" s="155"/>
      <c r="AD1292" s="155"/>
      <c r="AE1292" s="155"/>
    </row>
    <row r="1293" spans="28:31" x14ac:dyDescent="0.2">
      <c r="AB1293" s="155"/>
      <c r="AD1293" s="155"/>
      <c r="AE1293" s="155"/>
    </row>
    <row r="1294" spans="28:31" x14ac:dyDescent="0.2">
      <c r="AB1294" s="155"/>
      <c r="AD1294" s="155"/>
      <c r="AE1294" s="155"/>
    </row>
    <row r="1295" spans="28:31" x14ac:dyDescent="0.2">
      <c r="AB1295" s="155"/>
      <c r="AD1295" s="155"/>
      <c r="AE1295" s="155"/>
    </row>
    <row r="1296" spans="28:31" x14ac:dyDescent="0.2">
      <c r="AB1296" s="155"/>
      <c r="AD1296" s="155"/>
      <c r="AE1296" s="155"/>
    </row>
    <row r="1297" spans="28:31" x14ac:dyDescent="0.2">
      <c r="AB1297" s="155"/>
      <c r="AD1297" s="155"/>
      <c r="AE1297" s="155"/>
    </row>
    <row r="1298" spans="28:31" x14ac:dyDescent="0.2">
      <c r="AB1298" s="155"/>
      <c r="AD1298" s="155"/>
      <c r="AE1298" s="155"/>
    </row>
    <row r="1299" spans="28:31" x14ac:dyDescent="0.2">
      <c r="AB1299" s="155"/>
      <c r="AD1299" s="155"/>
      <c r="AE1299" s="155"/>
    </row>
    <row r="1300" spans="28:31" x14ac:dyDescent="0.2">
      <c r="AB1300" s="155"/>
      <c r="AD1300" s="155"/>
      <c r="AE1300" s="155"/>
    </row>
    <row r="1301" spans="28:31" x14ac:dyDescent="0.2">
      <c r="AB1301" s="155"/>
      <c r="AD1301" s="155"/>
      <c r="AE1301" s="155"/>
    </row>
    <row r="1302" spans="28:31" x14ac:dyDescent="0.2">
      <c r="AB1302" s="155"/>
      <c r="AD1302" s="155"/>
      <c r="AE1302" s="155"/>
    </row>
    <row r="1303" spans="28:31" x14ac:dyDescent="0.2">
      <c r="AB1303" s="155"/>
      <c r="AD1303" s="155"/>
      <c r="AE1303" s="155"/>
    </row>
    <row r="1304" spans="28:31" x14ac:dyDescent="0.2">
      <c r="AB1304" s="155"/>
      <c r="AD1304" s="155"/>
      <c r="AE1304" s="155"/>
    </row>
    <row r="1305" spans="28:31" x14ac:dyDescent="0.2">
      <c r="AB1305" s="155"/>
      <c r="AD1305" s="155"/>
      <c r="AE1305" s="155"/>
    </row>
    <row r="1306" spans="28:31" x14ac:dyDescent="0.2">
      <c r="AB1306" s="155"/>
      <c r="AD1306" s="155"/>
      <c r="AE1306" s="155"/>
    </row>
    <row r="1307" spans="28:31" x14ac:dyDescent="0.2">
      <c r="AB1307" s="155"/>
      <c r="AD1307" s="155"/>
      <c r="AE1307" s="155"/>
    </row>
    <row r="1308" spans="28:31" x14ac:dyDescent="0.2">
      <c r="AB1308" s="155"/>
      <c r="AD1308" s="155"/>
      <c r="AE1308" s="155"/>
    </row>
    <row r="1309" spans="28:31" x14ac:dyDescent="0.2">
      <c r="AB1309" s="155"/>
      <c r="AD1309" s="155"/>
      <c r="AE1309" s="155"/>
    </row>
    <row r="1310" spans="28:31" x14ac:dyDescent="0.2">
      <c r="AB1310" s="155"/>
      <c r="AD1310" s="155"/>
      <c r="AE1310" s="155"/>
    </row>
    <row r="1311" spans="28:31" x14ac:dyDescent="0.2">
      <c r="AB1311" s="155"/>
      <c r="AD1311" s="155"/>
      <c r="AE1311" s="155"/>
    </row>
    <row r="1312" spans="28:31" x14ac:dyDescent="0.2">
      <c r="AB1312" s="155"/>
      <c r="AD1312" s="155"/>
      <c r="AE1312" s="155"/>
    </row>
    <row r="1313" spans="28:31" x14ac:dyDescent="0.2">
      <c r="AB1313" s="155"/>
      <c r="AD1313" s="155"/>
      <c r="AE1313" s="155"/>
    </row>
    <row r="1314" spans="28:31" x14ac:dyDescent="0.2">
      <c r="AB1314" s="155"/>
      <c r="AD1314" s="155"/>
      <c r="AE1314" s="155"/>
    </row>
    <row r="1315" spans="28:31" x14ac:dyDescent="0.2">
      <c r="AB1315" s="155"/>
      <c r="AD1315" s="155"/>
      <c r="AE1315" s="155"/>
    </row>
    <row r="1316" spans="28:31" x14ac:dyDescent="0.2">
      <c r="AB1316" s="155"/>
      <c r="AD1316" s="155"/>
      <c r="AE1316" s="155"/>
    </row>
    <row r="1317" spans="28:31" x14ac:dyDescent="0.2">
      <c r="AB1317" s="155"/>
      <c r="AD1317" s="155"/>
      <c r="AE1317" s="155"/>
    </row>
    <row r="1318" spans="28:31" x14ac:dyDescent="0.2">
      <c r="AB1318" s="155"/>
      <c r="AD1318" s="155"/>
      <c r="AE1318" s="155"/>
    </row>
    <row r="1319" spans="28:31" x14ac:dyDescent="0.2">
      <c r="AB1319" s="155"/>
      <c r="AD1319" s="155"/>
      <c r="AE1319" s="155"/>
    </row>
    <row r="1320" spans="28:31" x14ac:dyDescent="0.2">
      <c r="AB1320" s="155"/>
      <c r="AD1320" s="155"/>
      <c r="AE1320" s="155"/>
    </row>
    <row r="1321" spans="28:31" x14ac:dyDescent="0.2">
      <c r="AB1321" s="155"/>
      <c r="AD1321" s="155"/>
      <c r="AE1321" s="155"/>
    </row>
    <row r="1322" spans="28:31" x14ac:dyDescent="0.2">
      <c r="AB1322" s="155"/>
      <c r="AD1322" s="155"/>
      <c r="AE1322" s="155"/>
    </row>
    <row r="1323" spans="28:31" x14ac:dyDescent="0.2">
      <c r="AB1323" s="155"/>
      <c r="AD1323" s="155"/>
      <c r="AE1323" s="155"/>
    </row>
    <row r="1324" spans="28:31" x14ac:dyDescent="0.2">
      <c r="AB1324" s="155"/>
      <c r="AD1324" s="155"/>
      <c r="AE1324" s="155"/>
    </row>
    <row r="1325" spans="28:31" x14ac:dyDescent="0.2">
      <c r="AB1325" s="155"/>
      <c r="AD1325" s="155"/>
      <c r="AE1325" s="155"/>
    </row>
    <row r="1326" spans="28:31" x14ac:dyDescent="0.2">
      <c r="AB1326" s="155"/>
      <c r="AD1326" s="155"/>
      <c r="AE1326" s="155"/>
    </row>
    <row r="1327" spans="28:31" x14ac:dyDescent="0.2">
      <c r="AB1327" s="155"/>
      <c r="AD1327" s="155"/>
      <c r="AE1327" s="155"/>
    </row>
    <row r="1328" spans="28:31" x14ac:dyDescent="0.2">
      <c r="AB1328" s="155"/>
      <c r="AD1328" s="155"/>
      <c r="AE1328" s="155"/>
    </row>
    <row r="1329" spans="28:31" x14ac:dyDescent="0.2">
      <c r="AB1329" s="155"/>
      <c r="AD1329" s="155"/>
      <c r="AE1329" s="155"/>
    </row>
    <row r="1330" spans="28:31" x14ac:dyDescent="0.2">
      <c r="AB1330" s="155"/>
      <c r="AD1330" s="155"/>
      <c r="AE1330" s="155"/>
    </row>
    <row r="1331" spans="28:31" x14ac:dyDescent="0.2">
      <c r="AB1331" s="155"/>
      <c r="AD1331" s="155"/>
      <c r="AE1331" s="155"/>
    </row>
    <row r="1332" spans="28:31" x14ac:dyDescent="0.2">
      <c r="AB1332" s="155"/>
      <c r="AD1332" s="155"/>
      <c r="AE1332" s="155"/>
    </row>
    <row r="1333" spans="28:31" x14ac:dyDescent="0.2">
      <c r="AB1333" s="155"/>
      <c r="AD1333" s="155"/>
      <c r="AE1333" s="155"/>
    </row>
    <row r="1334" spans="28:31" x14ac:dyDescent="0.2">
      <c r="AB1334" s="155"/>
      <c r="AD1334" s="155"/>
      <c r="AE1334" s="155"/>
    </row>
    <row r="1335" spans="28:31" x14ac:dyDescent="0.2">
      <c r="AB1335" s="155"/>
      <c r="AD1335" s="155"/>
      <c r="AE1335" s="155"/>
    </row>
    <row r="1336" spans="28:31" x14ac:dyDescent="0.2">
      <c r="AB1336" s="155"/>
      <c r="AD1336" s="155"/>
      <c r="AE1336" s="155"/>
    </row>
    <row r="1337" spans="28:31" x14ac:dyDescent="0.2">
      <c r="AB1337" s="155"/>
      <c r="AD1337" s="155"/>
      <c r="AE1337" s="155"/>
    </row>
    <row r="1338" spans="28:31" x14ac:dyDescent="0.2">
      <c r="AB1338" s="155"/>
      <c r="AD1338" s="155"/>
      <c r="AE1338" s="155"/>
    </row>
    <row r="1339" spans="28:31" x14ac:dyDescent="0.2">
      <c r="AB1339" s="155"/>
      <c r="AD1339" s="155"/>
      <c r="AE1339" s="155"/>
    </row>
    <row r="1340" spans="28:31" x14ac:dyDescent="0.2">
      <c r="AB1340" s="155"/>
      <c r="AD1340" s="155"/>
      <c r="AE1340" s="155"/>
    </row>
    <row r="1341" spans="28:31" x14ac:dyDescent="0.2">
      <c r="AB1341" s="155"/>
      <c r="AD1341" s="155"/>
      <c r="AE1341" s="155"/>
    </row>
    <row r="1342" spans="28:31" x14ac:dyDescent="0.2">
      <c r="AB1342" s="155"/>
      <c r="AD1342" s="155"/>
      <c r="AE1342" s="155"/>
    </row>
    <row r="1343" spans="28:31" x14ac:dyDescent="0.2">
      <c r="AB1343" s="155"/>
      <c r="AD1343" s="155"/>
      <c r="AE1343" s="155"/>
    </row>
    <row r="1344" spans="28:31" x14ac:dyDescent="0.2">
      <c r="AB1344" s="155"/>
      <c r="AD1344" s="155"/>
      <c r="AE1344" s="155"/>
    </row>
    <row r="1345" spans="28:31" x14ac:dyDescent="0.2">
      <c r="AB1345" s="155"/>
      <c r="AD1345" s="155"/>
      <c r="AE1345" s="155"/>
    </row>
    <row r="1346" spans="28:31" x14ac:dyDescent="0.2">
      <c r="AB1346" s="155"/>
      <c r="AD1346" s="155"/>
      <c r="AE1346" s="155"/>
    </row>
    <row r="1347" spans="28:31" x14ac:dyDescent="0.2">
      <c r="AB1347" s="155"/>
      <c r="AD1347" s="155"/>
      <c r="AE1347" s="155"/>
    </row>
    <row r="1348" spans="28:31" x14ac:dyDescent="0.2">
      <c r="AB1348" s="155"/>
      <c r="AD1348" s="155"/>
      <c r="AE1348" s="155"/>
    </row>
    <row r="1349" spans="28:31" x14ac:dyDescent="0.2">
      <c r="AB1349" s="155"/>
      <c r="AD1349" s="155"/>
      <c r="AE1349" s="155"/>
    </row>
    <row r="1350" spans="28:31" x14ac:dyDescent="0.2">
      <c r="AB1350" s="155"/>
      <c r="AD1350" s="155"/>
      <c r="AE1350" s="155"/>
    </row>
    <row r="1351" spans="28:31" x14ac:dyDescent="0.2">
      <c r="AB1351" s="155"/>
      <c r="AD1351" s="155"/>
      <c r="AE1351" s="155"/>
    </row>
    <row r="1352" spans="28:31" x14ac:dyDescent="0.2">
      <c r="AB1352" s="155"/>
      <c r="AD1352" s="155"/>
      <c r="AE1352" s="155"/>
    </row>
    <row r="1353" spans="28:31" x14ac:dyDescent="0.2">
      <c r="AB1353" s="155"/>
      <c r="AD1353" s="155"/>
      <c r="AE1353" s="155"/>
    </row>
    <row r="1354" spans="28:31" x14ac:dyDescent="0.2">
      <c r="AB1354" s="155"/>
      <c r="AD1354" s="155"/>
      <c r="AE1354" s="155"/>
    </row>
    <row r="1355" spans="28:31" x14ac:dyDescent="0.2">
      <c r="AB1355" s="155"/>
      <c r="AD1355" s="155"/>
      <c r="AE1355" s="155"/>
    </row>
    <row r="1356" spans="28:31" x14ac:dyDescent="0.2">
      <c r="AB1356" s="155"/>
      <c r="AD1356" s="155"/>
      <c r="AE1356" s="155"/>
    </row>
    <row r="1357" spans="28:31" x14ac:dyDescent="0.2">
      <c r="AB1357" s="155"/>
      <c r="AD1357" s="155"/>
      <c r="AE1357" s="155"/>
    </row>
    <row r="1358" spans="28:31" x14ac:dyDescent="0.2">
      <c r="AB1358" s="155"/>
      <c r="AD1358" s="155"/>
      <c r="AE1358" s="155"/>
    </row>
    <row r="1359" spans="28:31" x14ac:dyDescent="0.2">
      <c r="AB1359" s="155"/>
      <c r="AD1359" s="155"/>
      <c r="AE1359" s="155"/>
    </row>
    <row r="1360" spans="28:31" x14ac:dyDescent="0.2">
      <c r="AB1360" s="155"/>
      <c r="AD1360" s="155"/>
      <c r="AE1360" s="155"/>
    </row>
    <row r="1361" spans="28:31" x14ac:dyDescent="0.2">
      <c r="AB1361" s="155"/>
      <c r="AD1361" s="155"/>
      <c r="AE1361" s="155"/>
    </row>
    <row r="1362" spans="28:31" x14ac:dyDescent="0.2">
      <c r="AB1362" s="155"/>
      <c r="AD1362" s="155"/>
      <c r="AE1362" s="155"/>
    </row>
    <row r="1363" spans="28:31" x14ac:dyDescent="0.2">
      <c r="AB1363" s="155"/>
      <c r="AD1363" s="155"/>
      <c r="AE1363" s="155"/>
    </row>
    <row r="1364" spans="28:31" x14ac:dyDescent="0.2">
      <c r="AB1364" s="155"/>
      <c r="AD1364" s="155"/>
      <c r="AE1364" s="155"/>
    </row>
    <row r="1365" spans="28:31" x14ac:dyDescent="0.2">
      <c r="AB1365" s="155"/>
      <c r="AD1365" s="155"/>
      <c r="AE1365" s="155"/>
    </row>
    <row r="1366" spans="28:31" x14ac:dyDescent="0.2">
      <c r="AB1366" s="155"/>
      <c r="AD1366" s="155"/>
      <c r="AE1366" s="155"/>
    </row>
    <row r="1367" spans="28:31" x14ac:dyDescent="0.2">
      <c r="AB1367" s="155"/>
      <c r="AD1367" s="155"/>
      <c r="AE1367" s="155"/>
    </row>
    <row r="1368" spans="28:31" x14ac:dyDescent="0.2">
      <c r="AB1368" s="155"/>
      <c r="AD1368" s="155"/>
      <c r="AE1368" s="155"/>
    </row>
    <row r="1369" spans="28:31" x14ac:dyDescent="0.2">
      <c r="AB1369" s="155"/>
      <c r="AD1369" s="155"/>
      <c r="AE1369" s="155"/>
    </row>
    <row r="1370" spans="28:31" x14ac:dyDescent="0.2">
      <c r="AB1370" s="155"/>
      <c r="AD1370" s="155"/>
      <c r="AE1370" s="155"/>
    </row>
    <row r="1371" spans="28:31" x14ac:dyDescent="0.2">
      <c r="AB1371" s="155"/>
      <c r="AD1371" s="155"/>
      <c r="AE1371" s="155"/>
    </row>
    <row r="1372" spans="28:31" x14ac:dyDescent="0.2">
      <c r="AB1372" s="155"/>
      <c r="AD1372" s="155"/>
      <c r="AE1372" s="155"/>
    </row>
    <row r="1373" spans="28:31" x14ac:dyDescent="0.2">
      <c r="AB1373" s="155"/>
      <c r="AD1373" s="155"/>
      <c r="AE1373" s="155"/>
    </row>
    <row r="1374" spans="28:31" x14ac:dyDescent="0.2">
      <c r="AB1374" s="155"/>
      <c r="AD1374" s="155"/>
      <c r="AE1374" s="155"/>
    </row>
    <row r="1375" spans="28:31" x14ac:dyDescent="0.2">
      <c r="AB1375" s="155"/>
      <c r="AD1375" s="155"/>
      <c r="AE1375" s="155"/>
    </row>
    <row r="1376" spans="28:31" x14ac:dyDescent="0.2">
      <c r="AB1376" s="155"/>
      <c r="AD1376" s="155"/>
      <c r="AE1376" s="155"/>
    </row>
    <row r="1377" spans="28:31" x14ac:dyDescent="0.2">
      <c r="AB1377" s="155"/>
      <c r="AD1377" s="155"/>
      <c r="AE1377" s="155"/>
    </row>
    <row r="1378" spans="28:31" x14ac:dyDescent="0.2">
      <c r="AB1378" s="155"/>
      <c r="AD1378" s="155"/>
      <c r="AE1378" s="155"/>
    </row>
    <row r="1379" spans="28:31" x14ac:dyDescent="0.2">
      <c r="AB1379" s="155"/>
      <c r="AD1379" s="155"/>
      <c r="AE1379" s="155"/>
    </row>
    <row r="1380" spans="28:31" x14ac:dyDescent="0.2">
      <c r="AB1380" s="155"/>
      <c r="AD1380" s="155"/>
      <c r="AE1380" s="155"/>
    </row>
    <row r="1381" spans="28:31" x14ac:dyDescent="0.2">
      <c r="AB1381" s="155"/>
      <c r="AD1381" s="155"/>
      <c r="AE1381" s="155"/>
    </row>
    <row r="1382" spans="28:31" x14ac:dyDescent="0.2">
      <c r="AB1382" s="155"/>
      <c r="AD1382" s="155"/>
      <c r="AE1382" s="155"/>
    </row>
    <row r="1383" spans="28:31" x14ac:dyDescent="0.2">
      <c r="AB1383" s="155"/>
      <c r="AD1383" s="155"/>
      <c r="AE1383" s="155"/>
    </row>
    <row r="1384" spans="28:31" x14ac:dyDescent="0.2">
      <c r="AB1384" s="155"/>
      <c r="AD1384" s="155"/>
      <c r="AE1384" s="155"/>
    </row>
    <row r="1385" spans="28:31" x14ac:dyDescent="0.2">
      <c r="AB1385" s="155"/>
      <c r="AD1385" s="155"/>
      <c r="AE1385" s="155"/>
    </row>
    <row r="1386" spans="28:31" x14ac:dyDescent="0.2">
      <c r="AB1386" s="155"/>
      <c r="AD1386" s="155"/>
      <c r="AE1386" s="155"/>
    </row>
    <row r="1387" spans="28:31" x14ac:dyDescent="0.2">
      <c r="AB1387" s="155"/>
      <c r="AD1387" s="155"/>
      <c r="AE1387" s="155"/>
    </row>
    <row r="1388" spans="28:31" x14ac:dyDescent="0.2">
      <c r="AB1388" s="155"/>
      <c r="AD1388" s="155"/>
      <c r="AE1388" s="155"/>
    </row>
    <row r="1389" spans="28:31" x14ac:dyDescent="0.2">
      <c r="AB1389" s="155"/>
      <c r="AD1389" s="155"/>
      <c r="AE1389" s="155"/>
    </row>
    <row r="1390" spans="28:31" x14ac:dyDescent="0.2">
      <c r="AB1390" s="155"/>
      <c r="AD1390" s="155"/>
      <c r="AE1390" s="155"/>
    </row>
    <row r="1391" spans="28:31" x14ac:dyDescent="0.2">
      <c r="AB1391" s="155"/>
      <c r="AD1391" s="155"/>
      <c r="AE1391" s="155"/>
    </row>
    <row r="1392" spans="28:31" x14ac:dyDescent="0.2">
      <c r="AB1392" s="155"/>
      <c r="AD1392" s="155"/>
      <c r="AE1392" s="155"/>
    </row>
    <row r="1393" spans="28:31" x14ac:dyDescent="0.2">
      <c r="AB1393" s="155"/>
      <c r="AD1393" s="155"/>
      <c r="AE1393" s="155"/>
    </row>
    <row r="1394" spans="28:31" x14ac:dyDescent="0.2">
      <c r="AB1394" s="155"/>
      <c r="AD1394" s="155"/>
      <c r="AE1394" s="155"/>
    </row>
    <row r="1395" spans="28:31" x14ac:dyDescent="0.2">
      <c r="AB1395" s="155"/>
      <c r="AD1395" s="155"/>
      <c r="AE1395" s="155"/>
    </row>
    <row r="1396" spans="28:31" x14ac:dyDescent="0.2">
      <c r="AB1396" s="155"/>
      <c r="AD1396" s="155"/>
      <c r="AE1396" s="155"/>
    </row>
    <row r="1397" spans="28:31" x14ac:dyDescent="0.2">
      <c r="AB1397" s="155"/>
      <c r="AD1397" s="155"/>
      <c r="AE1397" s="155"/>
    </row>
    <row r="1398" spans="28:31" x14ac:dyDescent="0.2">
      <c r="AB1398" s="155"/>
      <c r="AD1398" s="155"/>
      <c r="AE1398" s="155"/>
    </row>
    <row r="1399" spans="28:31" x14ac:dyDescent="0.2">
      <c r="AB1399" s="155"/>
      <c r="AD1399" s="155"/>
      <c r="AE1399" s="155"/>
    </row>
    <row r="1400" spans="28:31" x14ac:dyDescent="0.2">
      <c r="AB1400" s="155"/>
      <c r="AD1400" s="155"/>
      <c r="AE1400" s="155"/>
    </row>
    <row r="1401" spans="28:31" x14ac:dyDescent="0.2">
      <c r="AB1401" s="155"/>
      <c r="AD1401" s="155"/>
      <c r="AE1401" s="155"/>
    </row>
    <row r="1402" spans="28:31" x14ac:dyDescent="0.2">
      <c r="AB1402" s="155"/>
      <c r="AD1402" s="155"/>
      <c r="AE1402" s="155"/>
    </row>
    <row r="1403" spans="28:31" x14ac:dyDescent="0.2">
      <c r="AB1403" s="155"/>
      <c r="AD1403" s="155"/>
      <c r="AE1403" s="155"/>
    </row>
    <row r="1404" spans="28:31" x14ac:dyDescent="0.2">
      <c r="AB1404" s="155"/>
      <c r="AD1404" s="155"/>
      <c r="AE1404" s="155"/>
    </row>
    <row r="1405" spans="28:31" x14ac:dyDescent="0.2">
      <c r="AB1405" s="155"/>
      <c r="AD1405" s="155"/>
      <c r="AE1405" s="155"/>
    </row>
    <row r="1406" spans="28:31" x14ac:dyDescent="0.2">
      <c r="AB1406" s="155"/>
      <c r="AD1406" s="155"/>
      <c r="AE1406" s="155"/>
    </row>
    <row r="1407" spans="28:31" x14ac:dyDescent="0.2">
      <c r="AB1407" s="155"/>
      <c r="AD1407" s="155"/>
      <c r="AE1407" s="155"/>
    </row>
    <row r="1408" spans="28:31" x14ac:dyDescent="0.2">
      <c r="AB1408" s="155"/>
      <c r="AD1408" s="155"/>
      <c r="AE1408" s="155"/>
    </row>
    <row r="1409" spans="28:31" x14ac:dyDescent="0.2">
      <c r="AB1409" s="155"/>
      <c r="AD1409" s="155"/>
      <c r="AE1409" s="155"/>
    </row>
    <row r="1410" spans="28:31" x14ac:dyDescent="0.2">
      <c r="AB1410" s="155"/>
      <c r="AD1410" s="155"/>
      <c r="AE1410" s="155"/>
    </row>
    <row r="1411" spans="28:31" x14ac:dyDescent="0.2">
      <c r="AB1411" s="155"/>
      <c r="AD1411" s="155"/>
      <c r="AE1411" s="155"/>
    </row>
    <row r="1412" spans="28:31" x14ac:dyDescent="0.2">
      <c r="AB1412" s="155"/>
      <c r="AD1412" s="155"/>
      <c r="AE1412" s="155"/>
    </row>
    <row r="1413" spans="28:31" x14ac:dyDescent="0.2">
      <c r="AB1413" s="155"/>
      <c r="AD1413" s="155"/>
      <c r="AE1413" s="155"/>
    </row>
    <row r="1414" spans="28:31" x14ac:dyDescent="0.2">
      <c r="AB1414" s="155"/>
      <c r="AD1414" s="155"/>
      <c r="AE1414" s="155"/>
    </row>
    <row r="1415" spans="28:31" x14ac:dyDescent="0.2">
      <c r="AB1415" s="155"/>
      <c r="AD1415" s="155"/>
      <c r="AE1415" s="155"/>
    </row>
    <row r="1416" spans="28:31" x14ac:dyDescent="0.2">
      <c r="AB1416" s="155"/>
      <c r="AD1416" s="155"/>
      <c r="AE1416" s="155"/>
    </row>
    <row r="1417" spans="28:31" x14ac:dyDescent="0.2">
      <c r="AB1417" s="155"/>
      <c r="AD1417" s="155"/>
      <c r="AE1417" s="155"/>
    </row>
    <row r="1418" spans="28:31" x14ac:dyDescent="0.2">
      <c r="AB1418" s="155"/>
      <c r="AD1418" s="155"/>
      <c r="AE1418" s="155"/>
    </row>
    <row r="1419" spans="28:31" x14ac:dyDescent="0.2">
      <c r="AB1419" s="155"/>
      <c r="AD1419" s="155"/>
      <c r="AE1419" s="155"/>
    </row>
    <row r="1420" spans="28:31" x14ac:dyDescent="0.2">
      <c r="AB1420" s="155"/>
      <c r="AD1420" s="155"/>
      <c r="AE1420" s="155"/>
    </row>
    <row r="1421" spans="28:31" x14ac:dyDescent="0.2">
      <c r="AB1421" s="155"/>
      <c r="AD1421" s="155"/>
      <c r="AE1421" s="155"/>
    </row>
    <row r="1422" spans="28:31" x14ac:dyDescent="0.2">
      <c r="AB1422" s="155"/>
      <c r="AD1422" s="155"/>
      <c r="AE1422" s="155"/>
    </row>
    <row r="1423" spans="28:31" x14ac:dyDescent="0.2">
      <c r="AB1423" s="155"/>
      <c r="AD1423" s="155"/>
      <c r="AE1423" s="155"/>
    </row>
    <row r="1424" spans="28:31" x14ac:dyDescent="0.2">
      <c r="AB1424" s="155"/>
      <c r="AD1424" s="155"/>
      <c r="AE1424" s="155"/>
    </row>
    <row r="1425" spans="28:31" x14ac:dyDescent="0.2">
      <c r="AB1425" s="155"/>
      <c r="AD1425" s="155"/>
      <c r="AE1425" s="155"/>
    </row>
    <row r="1426" spans="28:31" x14ac:dyDescent="0.2">
      <c r="AB1426" s="155"/>
      <c r="AD1426" s="155"/>
      <c r="AE1426" s="155"/>
    </row>
    <row r="1427" spans="28:31" x14ac:dyDescent="0.2">
      <c r="AB1427" s="155"/>
      <c r="AD1427" s="155"/>
      <c r="AE1427" s="155"/>
    </row>
    <row r="1428" spans="28:31" x14ac:dyDescent="0.2">
      <c r="AB1428" s="155"/>
      <c r="AD1428" s="155"/>
      <c r="AE1428" s="155"/>
    </row>
    <row r="1429" spans="28:31" x14ac:dyDescent="0.2">
      <c r="AB1429" s="155"/>
      <c r="AD1429" s="155"/>
      <c r="AE1429" s="155"/>
    </row>
    <row r="1430" spans="28:31" x14ac:dyDescent="0.2">
      <c r="AB1430" s="155"/>
      <c r="AD1430" s="155"/>
      <c r="AE1430" s="155"/>
    </row>
    <row r="1431" spans="28:31" x14ac:dyDescent="0.2">
      <c r="AB1431" s="155"/>
      <c r="AD1431" s="155"/>
      <c r="AE1431" s="155"/>
    </row>
    <row r="1432" spans="28:31" x14ac:dyDescent="0.2">
      <c r="AB1432" s="155"/>
      <c r="AD1432" s="155"/>
      <c r="AE1432" s="155"/>
    </row>
    <row r="1433" spans="28:31" x14ac:dyDescent="0.2">
      <c r="AB1433" s="155"/>
      <c r="AD1433" s="155"/>
      <c r="AE1433" s="155"/>
    </row>
    <row r="1434" spans="28:31" x14ac:dyDescent="0.2">
      <c r="AB1434" s="155"/>
      <c r="AD1434" s="155"/>
      <c r="AE1434" s="155"/>
    </row>
    <row r="1435" spans="28:31" x14ac:dyDescent="0.2">
      <c r="AB1435" s="155"/>
      <c r="AD1435" s="155"/>
      <c r="AE1435" s="155"/>
    </row>
    <row r="1436" spans="28:31" x14ac:dyDescent="0.2">
      <c r="AB1436" s="155"/>
      <c r="AD1436" s="155"/>
      <c r="AE1436" s="155"/>
    </row>
    <row r="1437" spans="28:31" x14ac:dyDescent="0.2">
      <c r="AB1437" s="155"/>
      <c r="AD1437" s="155"/>
      <c r="AE1437" s="155"/>
    </row>
    <row r="1438" spans="28:31" x14ac:dyDescent="0.2">
      <c r="AB1438" s="155"/>
      <c r="AD1438" s="155"/>
      <c r="AE1438" s="155"/>
    </row>
    <row r="1439" spans="28:31" x14ac:dyDescent="0.2">
      <c r="AB1439" s="155"/>
      <c r="AD1439" s="155"/>
      <c r="AE1439" s="155"/>
    </row>
    <row r="1440" spans="28:31" x14ac:dyDescent="0.2">
      <c r="AB1440" s="155"/>
      <c r="AD1440" s="155"/>
      <c r="AE1440" s="155"/>
    </row>
    <row r="1441" spans="28:31" x14ac:dyDescent="0.2">
      <c r="AB1441" s="155"/>
      <c r="AD1441" s="155"/>
      <c r="AE1441" s="155"/>
    </row>
    <row r="1442" spans="28:31" x14ac:dyDescent="0.2">
      <c r="AB1442" s="155"/>
      <c r="AD1442" s="155"/>
      <c r="AE1442" s="155"/>
    </row>
    <row r="1443" spans="28:31" x14ac:dyDescent="0.2">
      <c r="AB1443" s="155"/>
      <c r="AD1443" s="155"/>
      <c r="AE1443" s="155"/>
    </row>
    <row r="1444" spans="28:31" x14ac:dyDescent="0.2">
      <c r="AB1444" s="155"/>
      <c r="AD1444" s="155"/>
      <c r="AE1444" s="155"/>
    </row>
    <row r="1445" spans="28:31" x14ac:dyDescent="0.2">
      <c r="AB1445" s="155"/>
      <c r="AD1445" s="155"/>
      <c r="AE1445" s="155"/>
    </row>
    <row r="1446" spans="28:31" x14ac:dyDescent="0.2">
      <c r="AB1446" s="155"/>
      <c r="AD1446" s="155"/>
      <c r="AE1446" s="155"/>
    </row>
    <row r="1447" spans="28:31" x14ac:dyDescent="0.2">
      <c r="AB1447" s="155"/>
      <c r="AD1447" s="155"/>
      <c r="AE1447" s="155"/>
    </row>
    <row r="1448" spans="28:31" x14ac:dyDescent="0.2">
      <c r="AB1448" s="155"/>
      <c r="AD1448" s="155"/>
      <c r="AE1448" s="155"/>
    </row>
    <row r="1449" spans="28:31" x14ac:dyDescent="0.2">
      <c r="AB1449" s="155"/>
      <c r="AD1449" s="155"/>
      <c r="AE1449" s="155"/>
    </row>
    <row r="1450" spans="28:31" x14ac:dyDescent="0.2">
      <c r="AB1450" s="155"/>
      <c r="AD1450" s="155"/>
      <c r="AE1450" s="155"/>
    </row>
    <row r="1451" spans="28:31" x14ac:dyDescent="0.2">
      <c r="AB1451" s="155"/>
      <c r="AD1451" s="155"/>
      <c r="AE1451" s="155"/>
    </row>
    <row r="1452" spans="28:31" x14ac:dyDescent="0.2">
      <c r="AB1452" s="155"/>
      <c r="AD1452" s="155"/>
      <c r="AE1452" s="155"/>
    </row>
    <row r="1453" spans="28:31" x14ac:dyDescent="0.2">
      <c r="AB1453" s="155"/>
      <c r="AD1453" s="155"/>
      <c r="AE1453" s="155"/>
    </row>
    <row r="1454" spans="28:31" x14ac:dyDescent="0.2">
      <c r="AB1454" s="155"/>
      <c r="AD1454" s="155"/>
      <c r="AE1454" s="155"/>
    </row>
    <row r="1455" spans="28:31" x14ac:dyDescent="0.2">
      <c r="AB1455" s="155"/>
      <c r="AD1455" s="155"/>
      <c r="AE1455" s="155"/>
    </row>
    <row r="1456" spans="28:31" x14ac:dyDescent="0.2">
      <c r="AB1456" s="155"/>
      <c r="AD1456" s="155"/>
      <c r="AE1456" s="155"/>
    </row>
    <row r="1457" spans="28:31" x14ac:dyDescent="0.2">
      <c r="AB1457" s="155"/>
      <c r="AD1457" s="155"/>
      <c r="AE1457" s="155"/>
    </row>
    <row r="1458" spans="28:31" x14ac:dyDescent="0.2">
      <c r="AB1458" s="155"/>
      <c r="AD1458" s="155"/>
      <c r="AE1458" s="155"/>
    </row>
    <row r="1459" spans="28:31" x14ac:dyDescent="0.2">
      <c r="AB1459" s="155"/>
      <c r="AD1459" s="155"/>
      <c r="AE1459" s="155"/>
    </row>
    <row r="1460" spans="28:31" x14ac:dyDescent="0.2">
      <c r="AB1460" s="155"/>
      <c r="AD1460" s="155"/>
      <c r="AE1460" s="155"/>
    </row>
    <row r="1461" spans="28:31" x14ac:dyDescent="0.2">
      <c r="AB1461" s="155"/>
      <c r="AD1461" s="155"/>
      <c r="AE1461" s="155"/>
    </row>
    <row r="1462" spans="28:31" x14ac:dyDescent="0.2">
      <c r="AB1462" s="155"/>
      <c r="AD1462" s="155"/>
      <c r="AE1462" s="155"/>
    </row>
    <row r="1463" spans="28:31" x14ac:dyDescent="0.2">
      <c r="AB1463" s="155"/>
      <c r="AD1463" s="155"/>
      <c r="AE1463" s="155"/>
    </row>
    <row r="1464" spans="28:31" x14ac:dyDescent="0.2">
      <c r="AB1464" s="155"/>
      <c r="AD1464" s="155"/>
      <c r="AE1464" s="155"/>
    </row>
    <row r="1465" spans="28:31" x14ac:dyDescent="0.2">
      <c r="AB1465" s="155"/>
      <c r="AD1465" s="155"/>
      <c r="AE1465" s="155"/>
    </row>
    <row r="1466" spans="28:31" x14ac:dyDescent="0.2">
      <c r="AB1466" s="155"/>
      <c r="AD1466" s="155"/>
      <c r="AE1466" s="155"/>
    </row>
    <row r="1467" spans="28:31" x14ac:dyDescent="0.2">
      <c r="AB1467" s="155"/>
      <c r="AD1467" s="155"/>
      <c r="AE1467" s="155"/>
    </row>
    <row r="1468" spans="28:31" x14ac:dyDescent="0.2">
      <c r="AB1468" s="155"/>
      <c r="AD1468" s="155"/>
      <c r="AE1468" s="155"/>
    </row>
    <row r="1469" spans="28:31" x14ac:dyDescent="0.2">
      <c r="AB1469" s="155"/>
      <c r="AD1469" s="155"/>
      <c r="AE1469" s="155"/>
    </row>
    <row r="1470" spans="28:31" x14ac:dyDescent="0.2">
      <c r="AB1470" s="155"/>
      <c r="AD1470" s="155"/>
      <c r="AE1470" s="155"/>
    </row>
    <row r="1471" spans="28:31" x14ac:dyDescent="0.2">
      <c r="AB1471" s="155"/>
      <c r="AD1471" s="155"/>
      <c r="AE1471" s="155"/>
    </row>
    <row r="1472" spans="28:31" x14ac:dyDescent="0.2">
      <c r="AB1472" s="155"/>
      <c r="AD1472" s="155"/>
      <c r="AE1472" s="155"/>
    </row>
    <row r="1473" spans="28:31" x14ac:dyDescent="0.2">
      <c r="AB1473" s="155"/>
      <c r="AD1473" s="155"/>
      <c r="AE1473" s="155"/>
    </row>
    <row r="1474" spans="28:31" x14ac:dyDescent="0.2">
      <c r="AB1474" s="155"/>
      <c r="AD1474" s="155"/>
      <c r="AE1474" s="155"/>
    </row>
    <row r="1475" spans="28:31" x14ac:dyDescent="0.2">
      <c r="AB1475" s="155"/>
      <c r="AD1475" s="155"/>
      <c r="AE1475" s="155"/>
    </row>
    <row r="1476" spans="28:31" x14ac:dyDescent="0.2">
      <c r="AB1476" s="155"/>
      <c r="AD1476" s="155"/>
      <c r="AE1476" s="155"/>
    </row>
    <row r="1477" spans="28:31" x14ac:dyDescent="0.2">
      <c r="AB1477" s="155"/>
      <c r="AD1477" s="155"/>
      <c r="AE1477" s="155"/>
    </row>
    <row r="1478" spans="28:31" x14ac:dyDescent="0.2">
      <c r="AB1478" s="155"/>
      <c r="AD1478" s="155"/>
      <c r="AE1478" s="155"/>
    </row>
    <row r="1479" spans="28:31" x14ac:dyDescent="0.2">
      <c r="AB1479" s="155"/>
      <c r="AD1479" s="155"/>
      <c r="AE1479" s="155"/>
    </row>
    <row r="1480" spans="28:31" x14ac:dyDescent="0.2">
      <c r="AB1480" s="155"/>
      <c r="AD1480" s="155"/>
      <c r="AE1480" s="155"/>
    </row>
    <row r="1481" spans="28:31" x14ac:dyDescent="0.2">
      <c r="AB1481" s="155"/>
      <c r="AD1481" s="155"/>
      <c r="AE1481" s="155"/>
    </row>
    <row r="1482" spans="28:31" x14ac:dyDescent="0.2">
      <c r="AB1482" s="155"/>
      <c r="AD1482" s="155"/>
      <c r="AE1482" s="155"/>
    </row>
    <row r="1483" spans="28:31" x14ac:dyDescent="0.2">
      <c r="AB1483" s="155"/>
      <c r="AD1483" s="155"/>
      <c r="AE1483" s="155"/>
    </row>
    <row r="1484" spans="28:31" x14ac:dyDescent="0.2">
      <c r="AB1484" s="155"/>
      <c r="AD1484" s="155"/>
      <c r="AE1484" s="155"/>
    </row>
    <row r="1485" spans="28:31" x14ac:dyDescent="0.2">
      <c r="AB1485" s="155"/>
      <c r="AD1485" s="155"/>
      <c r="AE1485" s="155"/>
    </row>
    <row r="1486" spans="28:31" x14ac:dyDescent="0.2">
      <c r="AB1486" s="155"/>
      <c r="AD1486" s="155"/>
      <c r="AE1486" s="155"/>
    </row>
    <row r="1487" spans="28:31" x14ac:dyDescent="0.2">
      <c r="AB1487" s="155"/>
      <c r="AD1487" s="155"/>
      <c r="AE1487" s="155"/>
    </row>
    <row r="1488" spans="28:31" x14ac:dyDescent="0.2">
      <c r="AB1488" s="155"/>
      <c r="AD1488" s="155"/>
      <c r="AE1488" s="155"/>
    </row>
    <row r="1489" spans="28:31" x14ac:dyDescent="0.2">
      <c r="AB1489" s="155"/>
      <c r="AD1489" s="155"/>
      <c r="AE1489" s="155"/>
    </row>
    <row r="1490" spans="28:31" x14ac:dyDescent="0.2">
      <c r="AB1490" s="155"/>
      <c r="AD1490" s="155"/>
      <c r="AE1490" s="155"/>
    </row>
    <row r="1491" spans="28:31" x14ac:dyDescent="0.2">
      <c r="AB1491" s="155"/>
      <c r="AD1491" s="155"/>
      <c r="AE1491" s="155"/>
    </row>
    <row r="1492" spans="28:31" x14ac:dyDescent="0.2">
      <c r="AB1492" s="155"/>
      <c r="AD1492" s="155"/>
      <c r="AE1492" s="155"/>
    </row>
    <row r="1493" spans="28:31" x14ac:dyDescent="0.2">
      <c r="AB1493" s="155"/>
      <c r="AD1493" s="155"/>
      <c r="AE1493" s="155"/>
    </row>
    <row r="1494" spans="28:31" x14ac:dyDescent="0.2">
      <c r="AB1494" s="155"/>
      <c r="AD1494" s="155"/>
      <c r="AE1494" s="155"/>
    </row>
    <row r="1495" spans="28:31" x14ac:dyDescent="0.2">
      <c r="AB1495" s="155"/>
      <c r="AD1495" s="155"/>
      <c r="AE1495" s="155"/>
    </row>
    <row r="1496" spans="28:31" x14ac:dyDescent="0.2">
      <c r="AB1496" s="155"/>
      <c r="AD1496" s="155"/>
      <c r="AE1496" s="155"/>
    </row>
    <row r="1497" spans="28:31" x14ac:dyDescent="0.2">
      <c r="AB1497" s="155"/>
      <c r="AD1497" s="155"/>
      <c r="AE1497" s="155"/>
    </row>
    <row r="1498" spans="28:31" x14ac:dyDescent="0.2">
      <c r="AB1498" s="155"/>
      <c r="AD1498" s="155"/>
      <c r="AE1498" s="155"/>
    </row>
    <row r="1499" spans="28:31" x14ac:dyDescent="0.2">
      <c r="AB1499" s="155"/>
      <c r="AD1499" s="155"/>
      <c r="AE1499" s="155"/>
    </row>
    <row r="1500" spans="28:31" x14ac:dyDescent="0.2">
      <c r="AB1500" s="155"/>
      <c r="AD1500" s="155"/>
      <c r="AE1500" s="155"/>
    </row>
    <row r="1501" spans="28:31" x14ac:dyDescent="0.2">
      <c r="AB1501" s="155"/>
      <c r="AD1501" s="155"/>
      <c r="AE1501" s="155"/>
    </row>
    <row r="1502" spans="28:31" x14ac:dyDescent="0.2">
      <c r="AB1502" s="155"/>
      <c r="AD1502" s="155"/>
      <c r="AE1502" s="155"/>
    </row>
    <row r="1503" spans="28:31" x14ac:dyDescent="0.2">
      <c r="AB1503" s="155"/>
      <c r="AD1503" s="155"/>
      <c r="AE1503" s="155"/>
    </row>
    <row r="1504" spans="28:31" x14ac:dyDescent="0.2">
      <c r="AB1504" s="155"/>
      <c r="AD1504" s="155"/>
      <c r="AE1504" s="155"/>
    </row>
    <row r="1505" spans="28:31" x14ac:dyDescent="0.2">
      <c r="AB1505" s="155"/>
      <c r="AD1505" s="155"/>
      <c r="AE1505" s="155"/>
    </row>
    <row r="1506" spans="28:31" x14ac:dyDescent="0.2">
      <c r="AB1506" s="155"/>
      <c r="AD1506" s="155"/>
      <c r="AE1506" s="155"/>
    </row>
    <row r="1507" spans="28:31" x14ac:dyDescent="0.2">
      <c r="AB1507" s="155"/>
      <c r="AD1507" s="155"/>
      <c r="AE1507" s="155"/>
    </row>
    <row r="1508" spans="28:31" x14ac:dyDescent="0.2">
      <c r="AB1508" s="155"/>
      <c r="AD1508" s="155"/>
      <c r="AE1508" s="155"/>
    </row>
    <row r="1509" spans="28:31" x14ac:dyDescent="0.2">
      <c r="AB1509" s="155"/>
      <c r="AD1509" s="155"/>
      <c r="AE1509" s="155"/>
    </row>
    <row r="1510" spans="28:31" x14ac:dyDescent="0.2">
      <c r="AB1510" s="155"/>
      <c r="AD1510" s="155"/>
      <c r="AE1510" s="155"/>
    </row>
    <row r="1511" spans="28:31" x14ac:dyDescent="0.2">
      <c r="AB1511" s="155"/>
      <c r="AD1511" s="155"/>
      <c r="AE1511" s="155"/>
    </row>
    <row r="1512" spans="28:31" x14ac:dyDescent="0.2">
      <c r="AB1512" s="155"/>
      <c r="AD1512" s="155"/>
      <c r="AE1512" s="155"/>
    </row>
    <row r="1513" spans="28:31" x14ac:dyDescent="0.2">
      <c r="AB1513" s="155"/>
      <c r="AD1513" s="155"/>
      <c r="AE1513" s="155"/>
    </row>
    <row r="1514" spans="28:31" x14ac:dyDescent="0.2">
      <c r="AB1514" s="155"/>
      <c r="AD1514" s="155"/>
      <c r="AE1514" s="155"/>
    </row>
    <row r="1515" spans="28:31" x14ac:dyDescent="0.2">
      <c r="AB1515" s="155"/>
      <c r="AD1515" s="155"/>
      <c r="AE1515" s="155"/>
    </row>
    <row r="1516" spans="28:31" x14ac:dyDescent="0.2">
      <c r="AB1516" s="155"/>
      <c r="AD1516" s="155"/>
      <c r="AE1516" s="155"/>
    </row>
    <row r="1517" spans="28:31" x14ac:dyDescent="0.2">
      <c r="AB1517" s="155"/>
      <c r="AD1517" s="155"/>
      <c r="AE1517" s="155"/>
    </row>
    <row r="1518" spans="28:31" x14ac:dyDescent="0.2">
      <c r="AB1518" s="155"/>
      <c r="AD1518" s="155"/>
      <c r="AE1518" s="155"/>
    </row>
    <row r="1519" spans="28:31" x14ac:dyDescent="0.2">
      <c r="AB1519" s="155"/>
      <c r="AD1519" s="155"/>
      <c r="AE1519" s="155"/>
    </row>
    <row r="1520" spans="28:31" x14ac:dyDescent="0.2">
      <c r="AB1520" s="155"/>
      <c r="AD1520" s="155"/>
      <c r="AE1520" s="155"/>
    </row>
    <row r="1521" spans="28:31" x14ac:dyDescent="0.2">
      <c r="AB1521" s="155"/>
      <c r="AD1521" s="155"/>
      <c r="AE1521" s="155"/>
    </row>
    <row r="1522" spans="28:31" x14ac:dyDescent="0.2">
      <c r="AB1522" s="155"/>
      <c r="AD1522" s="155"/>
      <c r="AE1522" s="155"/>
    </row>
    <row r="1523" spans="28:31" x14ac:dyDescent="0.2">
      <c r="AB1523" s="155"/>
      <c r="AD1523" s="155"/>
      <c r="AE1523" s="155"/>
    </row>
    <row r="1524" spans="28:31" x14ac:dyDescent="0.2">
      <c r="AB1524" s="155"/>
      <c r="AD1524" s="155"/>
      <c r="AE1524" s="155"/>
    </row>
    <row r="1525" spans="28:31" x14ac:dyDescent="0.2">
      <c r="AB1525" s="155"/>
      <c r="AD1525" s="155"/>
      <c r="AE1525" s="155"/>
    </row>
    <row r="1526" spans="28:31" x14ac:dyDescent="0.2">
      <c r="AB1526" s="155"/>
      <c r="AD1526" s="155"/>
      <c r="AE1526" s="155"/>
    </row>
    <row r="1527" spans="28:31" x14ac:dyDescent="0.2">
      <c r="AB1527" s="155"/>
      <c r="AD1527" s="155"/>
      <c r="AE1527" s="155"/>
    </row>
    <row r="1528" spans="28:31" x14ac:dyDescent="0.2">
      <c r="AB1528" s="155"/>
      <c r="AD1528" s="155"/>
      <c r="AE1528" s="155"/>
    </row>
    <row r="1529" spans="28:31" x14ac:dyDescent="0.2">
      <c r="AB1529" s="155"/>
      <c r="AD1529" s="155"/>
      <c r="AE1529" s="155"/>
    </row>
    <row r="1530" spans="28:31" x14ac:dyDescent="0.2">
      <c r="AB1530" s="155"/>
      <c r="AD1530" s="155"/>
      <c r="AE1530" s="155"/>
    </row>
    <row r="1531" spans="28:31" x14ac:dyDescent="0.2">
      <c r="AB1531" s="155"/>
      <c r="AD1531" s="155"/>
      <c r="AE1531" s="155"/>
    </row>
    <row r="1532" spans="28:31" x14ac:dyDescent="0.2">
      <c r="AB1532" s="155"/>
      <c r="AD1532" s="155"/>
      <c r="AE1532" s="155"/>
    </row>
    <row r="1533" spans="28:31" x14ac:dyDescent="0.2">
      <c r="AB1533" s="155"/>
      <c r="AD1533" s="155"/>
      <c r="AE1533" s="155"/>
    </row>
    <row r="1534" spans="28:31" x14ac:dyDescent="0.2">
      <c r="AB1534" s="155"/>
      <c r="AD1534" s="155"/>
      <c r="AE1534" s="155"/>
    </row>
    <row r="1535" spans="28:31" x14ac:dyDescent="0.2">
      <c r="AB1535" s="155"/>
      <c r="AD1535" s="155"/>
      <c r="AE1535" s="155"/>
    </row>
    <row r="1536" spans="28:31" x14ac:dyDescent="0.2">
      <c r="AB1536" s="155"/>
      <c r="AD1536" s="155"/>
      <c r="AE1536" s="155"/>
    </row>
    <row r="1537" spans="28:31" x14ac:dyDescent="0.2">
      <c r="AB1537" s="155"/>
      <c r="AD1537" s="155"/>
      <c r="AE1537" s="155"/>
    </row>
    <row r="1538" spans="28:31" x14ac:dyDescent="0.2">
      <c r="AB1538" s="155"/>
      <c r="AD1538" s="155"/>
      <c r="AE1538" s="155"/>
    </row>
    <row r="1539" spans="28:31" x14ac:dyDescent="0.2">
      <c r="AB1539" s="155"/>
      <c r="AD1539" s="155"/>
      <c r="AE1539" s="155"/>
    </row>
    <row r="1540" spans="28:31" x14ac:dyDescent="0.2">
      <c r="AB1540" s="155"/>
      <c r="AD1540" s="155"/>
      <c r="AE1540" s="155"/>
    </row>
    <row r="1541" spans="28:31" x14ac:dyDescent="0.2">
      <c r="AB1541" s="155"/>
      <c r="AD1541" s="155"/>
      <c r="AE1541" s="155"/>
    </row>
    <row r="1542" spans="28:31" x14ac:dyDescent="0.2">
      <c r="AB1542" s="155"/>
      <c r="AD1542" s="155"/>
      <c r="AE1542" s="155"/>
    </row>
    <row r="1543" spans="28:31" x14ac:dyDescent="0.2">
      <c r="AB1543" s="155"/>
      <c r="AD1543" s="155"/>
      <c r="AE1543" s="155"/>
    </row>
    <row r="1544" spans="28:31" x14ac:dyDescent="0.2">
      <c r="AB1544" s="155"/>
      <c r="AD1544" s="155"/>
      <c r="AE1544" s="155"/>
    </row>
    <row r="1545" spans="28:31" x14ac:dyDescent="0.2">
      <c r="AB1545" s="155"/>
      <c r="AD1545" s="155"/>
      <c r="AE1545" s="155"/>
    </row>
    <row r="1546" spans="28:31" x14ac:dyDescent="0.2">
      <c r="AB1546" s="155"/>
      <c r="AD1546" s="155"/>
      <c r="AE1546" s="155"/>
    </row>
    <row r="1547" spans="28:31" x14ac:dyDescent="0.2">
      <c r="AB1547" s="155"/>
      <c r="AD1547" s="155"/>
      <c r="AE1547" s="155"/>
    </row>
    <row r="1548" spans="28:31" x14ac:dyDescent="0.2">
      <c r="AB1548" s="155"/>
      <c r="AD1548" s="155"/>
      <c r="AE1548" s="155"/>
    </row>
    <row r="1549" spans="28:31" x14ac:dyDescent="0.2">
      <c r="AB1549" s="155"/>
      <c r="AD1549" s="155"/>
      <c r="AE1549" s="155"/>
    </row>
    <row r="1550" spans="28:31" x14ac:dyDescent="0.2">
      <c r="AB1550" s="155"/>
      <c r="AD1550" s="155"/>
      <c r="AE1550" s="155"/>
    </row>
    <row r="1551" spans="28:31" x14ac:dyDescent="0.2">
      <c r="AB1551" s="155"/>
      <c r="AD1551" s="155"/>
      <c r="AE1551" s="155"/>
    </row>
    <row r="1552" spans="28:31" x14ac:dyDescent="0.2">
      <c r="AB1552" s="155"/>
      <c r="AD1552" s="155"/>
      <c r="AE1552" s="155"/>
    </row>
    <row r="1553" spans="28:31" x14ac:dyDescent="0.2">
      <c r="AB1553" s="155"/>
      <c r="AD1553" s="155"/>
      <c r="AE1553" s="155"/>
    </row>
    <row r="1554" spans="28:31" x14ac:dyDescent="0.2">
      <c r="AB1554" s="155"/>
      <c r="AD1554" s="155"/>
      <c r="AE1554" s="155"/>
    </row>
    <row r="1555" spans="28:31" x14ac:dyDescent="0.2">
      <c r="AB1555" s="155"/>
      <c r="AD1555" s="155"/>
      <c r="AE1555" s="155"/>
    </row>
    <row r="1556" spans="28:31" x14ac:dyDescent="0.2">
      <c r="AB1556" s="155"/>
      <c r="AD1556" s="155"/>
      <c r="AE1556" s="155"/>
    </row>
    <row r="1557" spans="28:31" x14ac:dyDescent="0.2">
      <c r="AB1557" s="155"/>
      <c r="AD1557" s="155"/>
      <c r="AE1557" s="155"/>
    </row>
    <row r="1558" spans="28:31" x14ac:dyDescent="0.2">
      <c r="AB1558" s="155"/>
      <c r="AD1558" s="155"/>
      <c r="AE1558" s="155"/>
    </row>
    <row r="1559" spans="28:31" x14ac:dyDescent="0.2">
      <c r="AB1559" s="155"/>
      <c r="AD1559" s="155"/>
      <c r="AE1559" s="155"/>
    </row>
    <row r="1560" spans="28:31" x14ac:dyDescent="0.2">
      <c r="AB1560" s="155"/>
      <c r="AD1560" s="155"/>
      <c r="AE1560" s="155"/>
    </row>
    <row r="1561" spans="28:31" x14ac:dyDescent="0.2">
      <c r="AB1561" s="155"/>
      <c r="AD1561" s="155"/>
      <c r="AE1561" s="155"/>
    </row>
    <row r="1562" spans="28:31" x14ac:dyDescent="0.2">
      <c r="AB1562" s="155"/>
      <c r="AD1562" s="155"/>
      <c r="AE1562" s="155"/>
    </row>
    <row r="1563" spans="28:31" x14ac:dyDescent="0.2">
      <c r="AB1563" s="155"/>
      <c r="AD1563" s="155"/>
      <c r="AE1563" s="155"/>
    </row>
    <row r="1564" spans="28:31" x14ac:dyDescent="0.2">
      <c r="AB1564" s="155"/>
      <c r="AD1564" s="155"/>
      <c r="AE1564" s="155"/>
    </row>
    <row r="1565" spans="28:31" x14ac:dyDescent="0.2">
      <c r="AB1565" s="155"/>
      <c r="AD1565" s="155"/>
      <c r="AE1565" s="155"/>
    </row>
    <row r="1566" spans="28:31" x14ac:dyDescent="0.2">
      <c r="AB1566" s="155"/>
      <c r="AD1566" s="155"/>
      <c r="AE1566" s="155"/>
    </row>
    <row r="1567" spans="28:31" x14ac:dyDescent="0.2">
      <c r="AB1567" s="155"/>
      <c r="AD1567" s="155"/>
      <c r="AE1567" s="155"/>
    </row>
    <row r="1568" spans="28:31" x14ac:dyDescent="0.2">
      <c r="AB1568" s="155"/>
      <c r="AD1568" s="155"/>
      <c r="AE1568" s="155"/>
    </row>
    <row r="1569" spans="28:31" x14ac:dyDescent="0.2">
      <c r="AB1569" s="155"/>
      <c r="AD1569" s="155"/>
      <c r="AE1569" s="155"/>
    </row>
    <row r="1570" spans="28:31" x14ac:dyDescent="0.2">
      <c r="AB1570" s="155"/>
      <c r="AD1570" s="155"/>
      <c r="AE1570" s="155"/>
    </row>
    <row r="1571" spans="28:31" x14ac:dyDescent="0.2">
      <c r="AB1571" s="155"/>
      <c r="AD1571" s="155"/>
      <c r="AE1571" s="155"/>
    </row>
    <row r="1572" spans="28:31" x14ac:dyDescent="0.2">
      <c r="AB1572" s="155"/>
      <c r="AD1572" s="155"/>
      <c r="AE1572" s="155"/>
    </row>
    <row r="1573" spans="28:31" x14ac:dyDescent="0.2">
      <c r="AB1573" s="155"/>
      <c r="AD1573" s="155"/>
      <c r="AE1573" s="155"/>
    </row>
    <row r="1574" spans="28:31" x14ac:dyDescent="0.2">
      <c r="AB1574" s="155"/>
      <c r="AD1574" s="155"/>
      <c r="AE1574" s="155"/>
    </row>
    <row r="1575" spans="28:31" x14ac:dyDescent="0.2">
      <c r="AB1575" s="155"/>
      <c r="AD1575" s="155"/>
      <c r="AE1575" s="155"/>
    </row>
    <row r="1576" spans="28:31" x14ac:dyDescent="0.2">
      <c r="AB1576" s="155"/>
      <c r="AD1576" s="155"/>
      <c r="AE1576" s="155"/>
    </row>
    <row r="1577" spans="28:31" x14ac:dyDescent="0.2">
      <c r="AB1577" s="155"/>
      <c r="AD1577" s="155"/>
      <c r="AE1577" s="155"/>
    </row>
    <row r="1578" spans="28:31" x14ac:dyDescent="0.2">
      <c r="AB1578" s="155"/>
      <c r="AD1578" s="155"/>
      <c r="AE1578" s="155"/>
    </row>
    <row r="1579" spans="28:31" x14ac:dyDescent="0.2">
      <c r="AB1579" s="155"/>
      <c r="AD1579" s="155"/>
      <c r="AE1579" s="155"/>
    </row>
    <row r="1580" spans="28:31" x14ac:dyDescent="0.2">
      <c r="AB1580" s="155"/>
      <c r="AD1580" s="155"/>
      <c r="AE1580" s="155"/>
    </row>
    <row r="1581" spans="28:31" x14ac:dyDescent="0.2">
      <c r="AB1581" s="155"/>
      <c r="AD1581" s="155"/>
      <c r="AE1581" s="155"/>
    </row>
    <row r="1582" spans="28:31" x14ac:dyDescent="0.2">
      <c r="AB1582" s="155"/>
      <c r="AD1582" s="155"/>
      <c r="AE1582" s="155"/>
    </row>
    <row r="1583" spans="28:31" x14ac:dyDescent="0.2">
      <c r="AB1583" s="155"/>
      <c r="AD1583" s="155"/>
      <c r="AE1583" s="155"/>
    </row>
    <row r="1584" spans="28:31" x14ac:dyDescent="0.2">
      <c r="AB1584" s="155"/>
      <c r="AD1584" s="155"/>
      <c r="AE1584" s="155"/>
    </row>
    <row r="1585" spans="28:31" x14ac:dyDescent="0.2">
      <c r="AB1585" s="155"/>
      <c r="AD1585" s="155"/>
      <c r="AE1585" s="155"/>
    </row>
    <row r="1586" spans="28:31" x14ac:dyDescent="0.2">
      <c r="AB1586" s="155"/>
      <c r="AD1586" s="155"/>
      <c r="AE1586" s="155"/>
    </row>
    <row r="1587" spans="28:31" x14ac:dyDescent="0.2">
      <c r="AB1587" s="155"/>
      <c r="AD1587" s="155"/>
      <c r="AE1587" s="155"/>
    </row>
    <row r="1588" spans="28:31" x14ac:dyDescent="0.2">
      <c r="AB1588" s="155"/>
      <c r="AD1588" s="155"/>
      <c r="AE1588" s="155"/>
    </row>
    <row r="1589" spans="28:31" x14ac:dyDescent="0.2">
      <c r="AB1589" s="155"/>
      <c r="AD1589" s="155"/>
      <c r="AE1589" s="155"/>
    </row>
    <row r="1590" spans="28:31" x14ac:dyDescent="0.2">
      <c r="AB1590" s="155"/>
      <c r="AD1590" s="155"/>
      <c r="AE1590" s="155"/>
    </row>
    <row r="1591" spans="28:31" x14ac:dyDescent="0.2">
      <c r="AB1591" s="155"/>
      <c r="AD1591" s="155"/>
      <c r="AE1591" s="155"/>
    </row>
    <row r="1592" spans="28:31" x14ac:dyDescent="0.2">
      <c r="AB1592" s="155"/>
      <c r="AD1592" s="155"/>
      <c r="AE1592" s="155"/>
    </row>
    <row r="1593" spans="28:31" x14ac:dyDescent="0.2">
      <c r="AB1593" s="155"/>
      <c r="AD1593" s="155"/>
      <c r="AE1593" s="155"/>
    </row>
    <row r="1594" spans="28:31" x14ac:dyDescent="0.2">
      <c r="AB1594" s="155"/>
      <c r="AD1594" s="155"/>
      <c r="AE1594" s="155"/>
    </row>
    <row r="1595" spans="28:31" x14ac:dyDescent="0.2">
      <c r="AB1595" s="155"/>
      <c r="AD1595" s="155"/>
      <c r="AE1595" s="155"/>
    </row>
    <row r="1596" spans="28:31" x14ac:dyDescent="0.2">
      <c r="AB1596" s="155"/>
      <c r="AD1596" s="155"/>
      <c r="AE1596" s="155"/>
    </row>
    <row r="1597" spans="28:31" x14ac:dyDescent="0.2">
      <c r="AB1597" s="155"/>
      <c r="AD1597" s="155"/>
      <c r="AE1597" s="155"/>
    </row>
    <row r="1598" spans="28:31" x14ac:dyDescent="0.2">
      <c r="AB1598" s="155"/>
      <c r="AD1598" s="155"/>
      <c r="AE1598" s="155"/>
    </row>
    <row r="1599" spans="28:31" x14ac:dyDescent="0.2">
      <c r="AB1599" s="155"/>
      <c r="AD1599" s="155"/>
      <c r="AE1599" s="155"/>
    </row>
    <row r="1600" spans="28:31" x14ac:dyDescent="0.2">
      <c r="AB1600" s="155"/>
      <c r="AD1600" s="155"/>
      <c r="AE1600" s="155"/>
    </row>
    <row r="1601" spans="28:31" x14ac:dyDescent="0.2">
      <c r="AB1601" s="155"/>
      <c r="AD1601" s="155"/>
      <c r="AE1601" s="155"/>
    </row>
    <row r="1602" spans="28:31" x14ac:dyDescent="0.2">
      <c r="AB1602" s="155"/>
      <c r="AD1602" s="155"/>
      <c r="AE1602" s="155"/>
    </row>
    <row r="1603" spans="28:31" x14ac:dyDescent="0.2">
      <c r="AB1603" s="155"/>
      <c r="AD1603" s="155"/>
      <c r="AE1603" s="155"/>
    </row>
    <row r="1604" spans="28:31" x14ac:dyDescent="0.2">
      <c r="AB1604" s="155"/>
      <c r="AD1604" s="155"/>
      <c r="AE1604" s="155"/>
    </row>
    <row r="1605" spans="28:31" x14ac:dyDescent="0.2">
      <c r="AB1605" s="155"/>
      <c r="AD1605" s="155"/>
      <c r="AE1605" s="155"/>
    </row>
    <row r="1606" spans="28:31" x14ac:dyDescent="0.2">
      <c r="AB1606" s="155"/>
      <c r="AD1606" s="155"/>
      <c r="AE1606" s="155"/>
    </row>
    <row r="1607" spans="28:31" x14ac:dyDescent="0.2">
      <c r="AB1607" s="155"/>
      <c r="AD1607" s="155"/>
      <c r="AE1607" s="155"/>
    </row>
    <row r="1608" spans="28:31" x14ac:dyDescent="0.2">
      <c r="AB1608" s="155"/>
      <c r="AD1608" s="155"/>
      <c r="AE1608" s="155"/>
    </row>
    <row r="1609" spans="28:31" x14ac:dyDescent="0.2">
      <c r="AB1609" s="155"/>
      <c r="AD1609" s="155"/>
      <c r="AE1609" s="155"/>
    </row>
    <row r="1610" spans="28:31" x14ac:dyDescent="0.2">
      <c r="AB1610" s="155"/>
      <c r="AD1610" s="155"/>
      <c r="AE1610" s="155"/>
    </row>
    <row r="1611" spans="28:31" x14ac:dyDescent="0.2">
      <c r="AB1611" s="155"/>
      <c r="AD1611" s="155"/>
      <c r="AE1611" s="155"/>
    </row>
    <row r="1612" spans="28:31" x14ac:dyDescent="0.2">
      <c r="AB1612" s="155"/>
      <c r="AD1612" s="155"/>
      <c r="AE1612" s="155"/>
    </row>
    <row r="1613" spans="28:31" x14ac:dyDescent="0.2">
      <c r="AB1613" s="155"/>
      <c r="AD1613" s="155"/>
      <c r="AE1613" s="155"/>
    </row>
    <row r="1614" spans="28:31" x14ac:dyDescent="0.2">
      <c r="AB1614" s="155"/>
      <c r="AD1614" s="155"/>
      <c r="AE1614" s="155"/>
    </row>
    <row r="1615" spans="28:31" x14ac:dyDescent="0.2">
      <c r="AB1615" s="155"/>
      <c r="AD1615" s="155"/>
      <c r="AE1615" s="155"/>
    </row>
    <row r="1616" spans="28:31" x14ac:dyDescent="0.2">
      <c r="AB1616" s="155"/>
      <c r="AD1616" s="155"/>
      <c r="AE1616" s="155"/>
    </row>
    <row r="1617" spans="28:31" x14ac:dyDescent="0.2">
      <c r="AB1617" s="155"/>
      <c r="AD1617" s="155"/>
      <c r="AE1617" s="155"/>
    </row>
    <row r="1618" spans="28:31" x14ac:dyDescent="0.2">
      <c r="AB1618" s="155"/>
      <c r="AD1618" s="155"/>
      <c r="AE1618" s="155"/>
    </row>
    <row r="1619" spans="28:31" x14ac:dyDescent="0.2">
      <c r="AB1619" s="155"/>
      <c r="AD1619" s="155"/>
      <c r="AE1619" s="155"/>
    </row>
    <row r="1620" spans="28:31" x14ac:dyDescent="0.2">
      <c r="AB1620" s="155"/>
      <c r="AD1620" s="155"/>
      <c r="AE1620" s="155"/>
    </row>
    <row r="1621" spans="28:31" x14ac:dyDescent="0.2">
      <c r="AB1621" s="155"/>
      <c r="AD1621" s="155"/>
      <c r="AE1621" s="155"/>
    </row>
    <row r="1622" spans="28:31" x14ac:dyDescent="0.2">
      <c r="AB1622" s="155"/>
      <c r="AD1622" s="155"/>
      <c r="AE1622" s="155"/>
    </row>
    <row r="1623" spans="28:31" x14ac:dyDescent="0.2">
      <c r="AB1623" s="155"/>
      <c r="AD1623" s="155"/>
      <c r="AE1623" s="155"/>
    </row>
    <row r="1624" spans="28:31" x14ac:dyDescent="0.2">
      <c r="AB1624" s="155"/>
      <c r="AD1624" s="155"/>
      <c r="AE1624" s="155"/>
    </row>
    <row r="1625" spans="28:31" x14ac:dyDescent="0.2">
      <c r="AB1625" s="155"/>
      <c r="AD1625" s="155"/>
      <c r="AE1625" s="155"/>
    </row>
    <row r="1626" spans="28:31" x14ac:dyDescent="0.2">
      <c r="AB1626" s="155"/>
      <c r="AD1626" s="155"/>
      <c r="AE1626" s="155"/>
    </row>
    <row r="1627" spans="28:31" x14ac:dyDescent="0.2">
      <c r="AB1627" s="155"/>
      <c r="AD1627" s="155"/>
      <c r="AE1627" s="155"/>
    </row>
    <row r="1628" spans="28:31" x14ac:dyDescent="0.2">
      <c r="AB1628" s="155"/>
      <c r="AD1628" s="155"/>
      <c r="AE1628" s="155"/>
    </row>
    <row r="1629" spans="28:31" x14ac:dyDescent="0.2">
      <c r="AB1629" s="155"/>
      <c r="AD1629" s="155"/>
      <c r="AE1629" s="155"/>
    </row>
    <row r="1630" spans="28:31" x14ac:dyDescent="0.2">
      <c r="AB1630" s="155"/>
      <c r="AD1630" s="155"/>
      <c r="AE1630" s="155"/>
    </row>
    <row r="1631" spans="28:31" x14ac:dyDescent="0.2">
      <c r="AB1631" s="155"/>
      <c r="AD1631" s="155"/>
      <c r="AE1631" s="155"/>
    </row>
    <row r="1632" spans="28:31" x14ac:dyDescent="0.2">
      <c r="AB1632" s="155"/>
      <c r="AD1632" s="155"/>
      <c r="AE1632" s="155"/>
    </row>
    <row r="1633" spans="28:31" x14ac:dyDescent="0.2">
      <c r="AB1633" s="155"/>
      <c r="AD1633" s="155"/>
      <c r="AE1633" s="155"/>
    </row>
    <row r="1634" spans="28:31" x14ac:dyDescent="0.2">
      <c r="AB1634" s="155"/>
      <c r="AD1634" s="155"/>
      <c r="AE1634" s="155"/>
    </row>
    <row r="1635" spans="28:31" x14ac:dyDescent="0.2">
      <c r="AB1635" s="155"/>
      <c r="AD1635" s="155"/>
      <c r="AE1635" s="155"/>
    </row>
    <row r="1636" spans="28:31" x14ac:dyDescent="0.2">
      <c r="AB1636" s="155"/>
      <c r="AD1636" s="155"/>
      <c r="AE1636" s="155"/>
    </row>
    <row r="1637" spans="28:31" x14ac:dyDescent="0.2">
      <c r="AB1637" s="155"/>
      <c r="AD1637" s="155"/>
      <c r="AE1637" s="155"/>
    </row>
    <row r="1638" spans="28:31" x14ac:dyDescent="0.2">
      <c r="AB1638" s="155"/>
      <c r="AD1638" s="155"/>
      <c r="AE1638" s="155"/>
    </row>
    <row r="1639" spans="28:31" x14ac:dyDescent="0.2">
      <c r="AB1639" s="155"/>
      <c r="AD1639" s="155"/>
      <c r="AE1639" s="155"/>
    </row>
    <row r="1640" spans="28:31" x14ac:dyDescent="0.2">
      <c r="AB1640" s="155"/>
      <c r="AD1640" s="155"/>
      <c r="AE1640" s="155"/>
    </row>
    <row r="1641" spans="28:31" x14ac:dyDescent="0.2">
      <c r="AB1641" s="155"/>
      <c r="AD1641" s="155"/>
      <c r="AE1641" s="155"/>
    </row>
    <row r="1642" spans="28:31" x14ac:dyDescent="0.2">
      <c r="AB1642" s="155"/>
      <c r="AD1642" s="155"/>
      <c r="AE1642" s="155"/>
    </row>
    <row r="1643" spans="28:31" x14ac:dyDescent="0.2">
      <c r="AB1643" s="155"/>
      <c r="AD1643" s="155"/>
      <c r="AE1643" s="155"/>
    </row>
    <row r="1644" spans="28:31" x14ac:dyDescent="0.2">
      <c r="AB1644" s="155"/>
      <c r="AD1644" s="155"/>
      <c r="AE1644" s="155"/>
    </row>
    <row r="1645" spans="28:31" x14ac:dyDescent="0.2">
      <c r="AB1645" s="155"/>
      <c r="AD1645" s="155"/>
      <c r="AE1645" s="155"/>
    </row>
    <row r="1646" spans="28:31" x14ac:dyDescent="0.2">
      <c r="AB1646" s="155"/>
      <c r="AD1646" s="155"/>
      <c r="AE1646" s="155"/>
    </row>
    <row r="1647" spans="28:31" x14ac:dyDescent="0.2">
      <c r="AB1647" s="155"/>
      <c r="AD1647" s="155"/>
      <c r="AE1647" s="155"/>
    </row>
    <row r="1648" spans="28:31" x14ac:dyDescent="0.2">
      <c r="AB1648" s="155"/>
      <c r="AD1648" s="155"/>
      <c r="AE1648" s="155"/>
    </row>
    <row r="1649" spans="28:31" x14ac:dyDescent="0.2">
      <c r="AB1649" s="155"/>
      <c r="AD1649" s="155"/>
      <c r="AE1649" s="155"/>
    </row>
    <row r="1650" spans="28:31" x14ac:dyDescent="0.2">
      <c r="AB1650" s="155"/>
      <c r="AD1650" s="155"/>
      <c r="AE1650" s="155"/>
    </row>
    <row r="1651" spans="28:31" x14ac:dyDescent="0.2">
      <c r="AB1651" s="155"/>
      <c r="AD1651" s="155"/>
      <c r="AE1651" s="155"/>
    </row>
    <row r="1652" spans="28:31" x14ac:dyDescent="0.2">
      <c r="AB1652" s="155"/>
      <c r="AD1652" s="155"/>
      <c r="AE1652" s="155"/>
    </row>
    <row r="1653" spans="28:31" x14ac:dyDescent="0.2">
      <c r="AB1653" s="155"/>
      <c r="AD1653" s="155"/>
      <c r="AE1653" s="155"/>
    </row>
    <row r="1654" spans="28:31" x14ac:dyDescent="0.2">
      <c r="AB1654" s="155"/>
      <c r="AD1654" s="155"/>
      <c r="AE1654" s="155"/>
    </row>
    <row r="1655" spans="28:31" x14ac:dyDescent="0.2">
      <c r="AB1655" s="155"/>
      <c r="AD1655" s="155"/>
      <c r="AE1655" s="155"/>
    </row>
    <row r="1656" spans="28:31" x14ac:dyDescent="0.2">
      <c r="AB1656" s="155"/>
      <c r="AD1656" s="155"/>
      <c r="AE1656" s="155"/>
    </row>
    <row r="1657" spans="28:31" x14ac:dyDescent="0.2">
      <c r="AB1657" s="155"/>
      <c r="AD1657" s="155"/>
      <c r="AE1657" s="155"/>
    </row>
    <row r="1658" spans="28:31" x14ac:dyDescent="0.2">
      <c r="AB1658" s="155"/>
      <c r="AD1658" s="155"/>
      <c r="AE1658" s="155"/>
    </row>
    <row r="1659" spans="28:31" x14ac:dyDescent="0.2">
      <c r="AB1659" s="155"/>
      <c r="AD1659" s="155"/>
      <c r="AE1659" s="155"/>
    </row>
    <row r="1660" spans="28:31" x14ac:dyDescent="0.2">
      <c r="AB1660" s="155"/>
      <c r="AD1660" s="155"/>
      <c r="AE1660" s="155"/>
    </row>
    <row r="1661" spans="28:31" x14ac:dyDescent="0.2">
      <c r="AB1661" s="155"/>
      <c r="AD1661" s="155"/>
      <c r="AE1661" s="155"/>
    </row>
    <row r="1662" spans="28:31" x14ac:dyDescent="0.2">
      <c r="AB1662" s="155"/>
      <c r="AD1662" s="155"/>
      <c r="AE1662" s="155"/>
    </row>
    <row r="1663" spans="28:31" x14ac:dyDescent="0.2">
      <c r="AB1663" s="155"/>
      <c r="AD1663" s="155"/>
      <c r="AE1663" s="155"/>
    </row>
    <row r="1664" spans="28:31" x14ac:dyDescent="0.2">
      <c r="AB1664" s="155"/>
      <c r="AD1664" s="155"/>
      <c r="AE1664" s="155"/>
    </row>
    <row r="1665" spans="28:31" x14ac:dyDescent="0.2">
      <c r="AB1665" s="155"/>
      <c r="AD1665" s="155"/>
      <c r="AE1665" s="155"/>
    </row>
    <row r="1666" spans="28:31" x14ac:dyDescent="0.2">
      <c r="AB1666" s="155"/>
      <c r="AD1666" s="155"/>
      <c r="AE1666" s="155"/>
    </row>
    <row r="1667" spans="28:31" x14ac:dyDescent="0.2">
      <c r="AB1667" s="155"/>
      <c r="AD1667" s="155"/>
      <c r="AE1667" s="155"/>
    </row>
    <row r="1668" spans="28:31" x14ac:dyDescent="0.2">
      <c r="AB1668" s="155"/>
      <c r="AD1668" s="155"/>
      <c r="AE1668" s="155"/>
    </row>
    <row r="1669" spans="28:31" x14ac:dyDescent="0.2">
      <c r="AB1669" s="155"/>
      <c r="AD1669" s="155"/>
      <c r="AE1669" s="155"/>
    </row>
    <row r="1670" spans="28:31" x14ac:dyDescent="0.2">
      <c r="AB1670" s="155"/>
      <c r="AD1670" s="155"/>
      <c r="AE1670" s="155"/>
    </row>
    <row r="1671" spans="28:31" x14ac:dyDescent="0.2">
      <c r="AB1671" s="155"/>
      <c r="AD1671" s="155"/>
      <c r="AE1671" s="155"/>
    </row>
    <row r="1672" spans="28:31" x14ac:dyDescent="0.2">
      <c r="AB1672" s="155"/>
      <c r="AD1672" s="155"/>
      <c r="AE1672" s="155"/>
    </row>
    <row r="1673" spans="28:31" x14ac:dyDescent="0.2">
      <c r="AB1673" s="155"/>
      <c r="AD1673" s="155"/>
      <c r="AE1673" s="155"/>
    </row>
    <row r="1674" spans="28:31" x14ac:dyDescent="0.2">
      <c r="AB1674" s="155"/>
      <c r="AD1674" s="155"/>
      <c r="AE1674" s="155"/>
    </row>
    <row r="1675" spans="28:31" x14ac:dyDescent="0.2">
      <c r="AB1675" s="155"/>
      <c r="AD1675" s="155"/>
      <c r="AE1675" s="155"/>
    </row>
    <row r="1676" spans="28:31" x14ac:dyDescent="0.2">
      <c r="AB1676" s="155"/>
      <c r="AD1676" s="155"/>
      <c r="AE1676" s="155"/>
    </row>
    <row r="1677" spans="28:31" x14ac:dyDescent="0.2">
      <c r="AB1677" s="155"/>
      <c r="AD1677" s="155"/>
      <c r="AE1677" s="155"/>
    </row>
    <row r="1678" spans="28:31" x14ac:dyDescent="0.2">
      <c r="AB1678" s="155"/>
      <c r="AD1678" s="155"/>
      <c r="AE1678" s="155"/>
    </row>
    <row r="1679" spans="28:31" x14ac:dyDescent="0.2">
      <c r="AB1679" s="155"/>
      <c r="AD1679" s="155"/>
      <c r="AE1679" s="155"/>
    </row>
    <row r="1680" spans="28:31" x14ac:dyDescent="0.2">
      <c r="AB1680" s="155"/>
      <c r="AD1680" s="155"/>
      <c r="AE1680" s="155"/>
    </row>
    <row r="1681" spans="28:31" x14ac:dyDescent="0.2">
      <c r="AB1681" s="155"/>
      <c r="AD1681" s="155"/>
      <c r="AE1681" s="155"/>
    </row>
    <row r="1682" spans="28:31" x14ac:dyDescent="0.2">
      <c r="AB1682" s="155"/>
      <c r="AD1682" s="155"/>
      <c r="AE1682" s="155"/>
    </row>
    <row r="1683" spans="28:31" x14ac:dyDescent="0.2">
      <c r="AB1683" s="155"/>
      <c r="AD1683" s="155"/>
      <c r="AE1683" s="155"/>
    </row>
    <row r="1684" spans="28:31" x14ac:dyDescent="0.2">
      <c r="AB1684" s="155"/>
      <c r="AD1684" s="155"/>
      <c r="AE1684" s="155"/>
    </row>
    <row r="1685" spans="28:31" x14ac:dyDescent="0.2">
      <c r="AB1685" s="155"/>
      <c r="AD1685" s="155"/>
      <c r="AE1685" s="155"/>
    </row>
    <row r="1686" spans="28:31" x14ac:dyDescent="0.2">
      <c r="AB1686" s="155"/>
      <c r="AD1686" s="155"/>
      <c r="AE1686" s="155"/>
    </row>
    <row r="1687" spans="28:31" x14ac:dyDescent="0.2">
      <c r="AB1687" s="155"/>
      <c r="AD1687" s="155"/>
      <c r="AE1687" s="155"/>
    </row>
    <row r="1688" spans="28:31" x14ac:dyDescent="0.2">
      <c r="AB1688" s="155"/>
      <c r="AD1688" s="155"/>
      <c r="AE1688" s="155"/>
    </row>
    <row r="1689" spans="28:31" x14ac:dyDescent="0.2">
      <c r="AB1689" s="155"/>
      <c r="AD1689" s="155"/>
      <c r="AE1689" s="155"/>
    </row>
    <row r="1690" spans="28:31" x14ac:dyDescent="0.2">
      <c r="AB1690" s="155"/>
      <c r="AD1690" s="155"/>
      <c r="AE1690" s="155"/>
    </row>
    <row r="1691" spans="28:31" x14ac:dyDescent="0.2">
      <c r="AB1691" s="155"/>
      <c r="AD1691" s="155"/>
      <c r="AE1691" s="155"/>
    </row>
    <row r="1692" spans="28:31" x14ac:dyDescent="0.2">
      <c r="AB1692" s="155"/>
      <c r="AD1692" s="155"/>
      <c r="AE1692" s="155"/>
    </row>
    <row r="1693" spans="28:31" x14ac:dyDescent="0.2">
      <c r="AB1693" s="155"/>
      <c r="AD1693" s="155"/>
      <c r="AE1693" s="155"/>
    </row>
    <row r="1694" spans="28:31" x14ac:dyDescent="0.2">
      <c r="AB1694" s="155"/>
      <c r="AD1694" s="155"/>
      <c r="AE1694" s="155"/>
    </row>
    <row r="1695" spans="28:31" x14ac:dyDescent="0.2">
      <c r="AB1695" s="155"/>
      <c r="AD1695" s="155"/>
      <c r="AE1695" s="155"/>
    </row>
    <row r="1696" spans="28:31" x14ac:dyDescent="0.2">
      <c r="AB1696" s="155"/>
      <c r="AD1696" s="155"/>
      <c r="AE1696" s="155"/>
    </row>
    <row r="1697" spans="28:31" x14ac:dyDescent="0.2">
      <c r="AB1697" s="155"/>
      <c r="AD1697" s="155"/>
      <c r="AE1697" s="155"/>
    </row>
    <row r="1698" spans="28:31" x14ac:dyDescent="0.2">
      <c r="AB1698" s="155"/>
      <c r="AD1698" s="155"/>
      <c r="AE1698" s="155"/>
    </row>
    <row r="1699" spans="28:31" x14ac:dyDescent="0.2">
      <c r="AB1699" s="155"/>
      <c r="AD1699" s="155"/>
      <c r="AE1699" s="155"/>
    </row>
    <row r="1700" spans="28:31" x14ac:dyDescent="0.2">
      <c r="AB1700" s="155"/>
      <c r="AD1700" s="155"/>
      <c r="AE1700" s="155"/>
    </row>
    <row r="1701" spans="28:31" x14ac:dyDescent="0.2">
      <c r="AB1701" s="155"/>
      <c r="AD1701" s="155"/>
      <c r="AE1701" s="155"/>
    </row>
    <row r="1702" spans="28:31" x14ac:dyDescent="0.2">
      <c r="AB1702" s="155"/>
      <c r="AD1702" s="155"/>
      <c r="AE1702" s="155"/>
    </row>
    <row r="1703" spans="28:31" x14ac:dyDescent="0.2">
      <c r="AB1703" s="155"/>
      <c r="AD1703" s="155"/>
      <c r="AE1703" s="155"/>
    </row>
    <row r="1704" spans="28:31" x14ac:dyDescent="0.2">
      <c r="AB1704" s="155"/>
      <c r="AD1704" s="155"/>
      <c r="AE1704" s="155"/>
    </row>
    <row r="1705" spans="28:31" x14ac:dyDescent="0.2">
      <c r="AB1705" s="155"/>
      <c r="AD1705" s="155"/>
      <c r="AE1705" s="155"/>
    </row>
    <row r="1706" spans="28:31" x14ac:dyDescent="0.2">
      <c r="AB1706" s="155"/>
      <c r="AD1706" s="155"/>
      <c r="AE1706" s="155"/>
    </row>
    <row r="1707" spans="28:31" x14ac:dyDescent="0.2">
      <c r="AB1707" s="155"/>
      <c r="AD1707" s="155"/>
      <c r="AE1707" s="155"/>
    </row>
    <row r="1708" spans="28:31" x14ac:dyDescent="0.2">
      <c r="AB1708" s="155"/>
      <c r="AD1708" s="155"/>
      <c r="AE1708" s="155"/>
    </row>
    <row r="1709" spans="28:31" x14ac:dyDescent="0.2">
      <c r="AB1709" s="155"/>
      <c r="AD1709" s="155"/>
      <c r="AE1709" s="155"/>
    </row>
    <row r="1710" spans="28:31" x14ac:dyDescent="0.2">
      <c r="AB1710" s="155"/>
      <c r="AD1710" s="155"/>
      <c r="AE1710" s="155"/>
    </row>
    <row r="1711" spans="28:31" x14ac:dyDescent="0.2">
      <c r="AB1711" s="155"/>
      <c r="AD1711" s="155"/>
      <c r="AE1711" s="155"/>
    </row>
    <row r="1712" spans="28:31" x14ac:dyDescent="0.2">
      <c r="AB1712" s="155"/>
      <c r="AD1712" s="155"/>
      <c r="AE1712" s="155"/>
    </row>
    <row r="1713" spans="28:31" x14ac:dyDescent="0.2">
      <c r="AB1713" s="155"/>
      <c r="AD1713" s="155"/>
      <c r="AE1713" s="155"/>
    </row>
    <row r="1714" spans="28:31" x14ac:dyDescent="0.2">
      <c r="AB1714" s="155"/>
      <c r="AD1714" s="155"/>
      <c r="AE1714" s="155"/>
    </row>
    <row r="1715" spans="28:31" x14ac:dyDescent="0.2">
      <c r="AB1715" s="155"/>
      <c r="AD1715" s="155"/>
      <c r="AE1715" s="155"/>
    </row>
    <row r="1716" spans="28:31" x14ac:dyDescent="0.2">
      <c r="AB1716" s="155"/>
      <c r="AD1716" s="155"/>
      <c r="AE1716" s="155"/>
    </row>
    <row r="1717" spans="28:31" x14ac:dyDescent="0.2">
      <c r="AB1717" s="155"/>
      <c r="AD1717" s="155"/>
      <c r="AE1717" s="155"/>
    </row>
    <row r="1718" spans="28:31" x14ac:dyDescent="0.2">
      <c r="AB1718" s="155"/>
      <c r="AD1718" s="155"/>
      <c r="AE1718" s="155"/>
    </row>
    <row r="1719" spans="28:31" x14ac:dyDescent="0.2">
      <c r="AB1719" s="155"/>
      <c r="AD1719" s="155"/>
      <c r="AE1719" s="155"/>
    </row>
    <row r="1720" spans="28:31" x14ac:dyDescent="0.2">
      <c r="AB1720" s="155"/>
      <c r="AD1720" s="155"/>
      <c r="AE1720" s="155"/>
    </row>
    <row r="1721" spans="28:31" x14ac:dyDescent="0.2">
      <c r="AB1721" s="155"/>
      <c r="AD1721" s="155"/>
      <c r="AE1721" s="155"/>
    </row>
    <row r="1722" spans="28:31" x14ac:dyDescent="0.2">
      <c r="AB1722" s="155"/>
      <c r="AD1722" s="155"/>
      <c r="AE1722" s="155"/>
    </row>
    <row r="1723" spans="28:31" x14ac:dyDescent="0.2">
      <c r="AB1723" s="155"/>
      <c r="AD1723" s="155"/>
      <c r="AE1723" s="155"/>
    </row>
    <row r="1724" spans="28:31" x14ac:dyDescent="0.2">
      <c r="AB1724" s="155"/>
      <c r="AD1724" s="155"/>
      <c r="AE1724" s="155"/>
    </row>
    <row r="1725" spans="28:31" x14ac:dyDescent="0.2">
      <c r="AB1725" s="155"/>
      <c r="AD1725" s="155"/>
      <c r="AE1725" s="155"/>
    </row>
    <row r="1726" spans="28:31" x14ac:dyDescent="0.2">
      <c r="AB1726" s="155"/>
      <c r="AD1726" s="155"/>
      <c r="AE1726" s="155"/>
    </row>
    <row r="1727" spans="28:31" x14ac:dyDescent="0.2">
      <c r="AB1727" s="155"/>
      <c r="AD1727" s="155"/>
      <c r="AE1727" s="155"/>
    </row>
    <row r="1728" spans="28:31" x14ac:dyDescent="0.2">
      <c r="AB1728" s="155"/>
      <c r="AD1728" s="155"/>
      <c r="AE1728" s="155"/>
    </row>
    <row r="1729" spans="28:31" x14ac:dyDescent="0.2">
      <c r="AB1729" s="155"/>
      <c r="AD1729" s="155"/>
      <c r="AE1729" s="155"/>
    </row>
    <row r="1730" spans="28:31" x14ac:dyDescent="0.2">
      <c r="AB1730" s="155"/>
      <c r="AD1730" s="155"/>
      <c r="AE1730" s="155"/>
    </row>
    <row r="1731" spans="28:31" x14ac:dyDescent="0.2">
      <c r="AB1731" s="155"/>
      <c r="AD1731" s="155"/>
      <c r="AE1731" s="155"/>
    </row>
    <row r="1732" spans="28:31" x14ac:dyDescent="0.2">
      <c r="AB1732" s="155"/>
      <c r="AD1732" s="155"/>
      <c r="AE1732" s="155"/>
    </row>
    <row r="1733" spans="28:31" x14ac:dyDescent="0.2">
      <c r="AB1733" s="155"/>
      <c r="AD1733" s="155"/>
      <c r="AE1733" s="155"/>
    </row>
    <row r="1734" spans="28:31" x14ac:dyDescent="0.2">
      <c r="AB1734" s="155"/>
      <c r="AD1734" s="155"/>
      <c r="AE1734" s="155"/>
    </row>
    <row r="1735" spans="28:31" x14ac:dyDescent="0.2">
      <c r="AB1735" s="155"/>
      <c r="AD1735" s="155"/>
      <c r="AE1735" s="155"/>
    </row>
    <row r="1736" spans="28:31" x14ac:dyDescent="0.2">
      <c r="AB1736" s="155"/>
      <c r="AD1736" s="155"/>
      <c r="AE1736" s="155"/>
    </row>
    <row r="1737" spans="28:31" x14ac:dyDescent="0.2">
      <c r="AB1737" s="155"/>
      <c r="AD1737" s="155"/>
      <c r="AE1737" s="155"/>
    </row>
    <row r="1738" spans="28:31" x14ac:dyDescent="0.2">
      <c r="AB1738" s="155"/>
      <c r="AD1738" s="155"/>
      <c r="AE1738" s="155"/>
    </row>
    <row r="1739" spans="28:31" x14ac:dyDescent="0.2">
      <c r="AB1739" s="155"/>
      <c r="AD1739" s="155"/>
      <c r="AE1739" s="155"/>
    </row>
    <row r="1740" spans="28:31" x14ac:dyDescent="0.2">
      <c r="AB1740" s="155"/>
      <c r="AD1740" s="155"/>
      <c r="AE1740" s="155"/>
    </row>
    <row r="1741" spans="28:31" x14ac:dyDescent="0.2">
      <c r="AB1741" s="155"/>
      <c r="AD1741" s="155"/>
      <c r="AE1741" s="155"/>
    </row>
    <row r="1742" spans="28:31" x14ac:dyDescent="0.2">
      <c r="AB1742" s="155"/>
      <c r="AD1742" s="155"/>
      <c r="AE1742" s="155"/>
    </row>
    <row r="1743" spans="28:31" x14ac:dyDescent="0.2">
      <c r="AB1743" s="155"/>
      <c r="AD1743" s="155"/>
      <c r="AE1743" s="155"/>
    </row>
    <row r="1744" spans="28:31" x14ac:dyDescent="0.2">
      <c r="AB1744" s="155"/>
      <c r="AD1744" s="155"/>
      <c r="AE1744" s="155"/>
    </row>
    <row r="1745" spans="28:31" x14ac:dyDescent="0.2">
      <c r="AB1745" s="155"/>
      <c r="AD1745" s="155"/>
      <c r="AE1745" s="155"/>
    </row>
    <row r="1746" spans="28:31" x14ac:dyDescent="0.2">
      <c r="AB1746" s="155"/>
      <c r="AD1746" s="155"/>
      <c r="AE1746" s="155"/>
    </row>
    <row r="1747" spans="28:31" x14ac:dyDescent="0.2">
      <c r="AB1747" s="155"/>
      <c r="AD1747" s="155"/>
      <c r="AE1747" s="155"/>
    </row>
    <row r="1748" spans="28:31" x14ac:dyDescent="0.2">
      <c r="AB1748" s="155"/>
      <c r="AD1748" s="155"/>
      <c r="AE1748" s="155"/>
    </row>
    <row r="1749" spans="28:31" x14ac:dyDescent="0.2">
      <c r="AB1749" s="155"/>
      <c r="AD1749" s="155"/>
      <c r="AE1749" s="155"/>
    </row>
    <row r="1750" spans="28:31" x14ac:dyDescent="0.2">
      <c r="AB1750" s="155"/>
      <c r="AD1750" s="155"/>
      <c r="AE1750" s="155"/>
    </row>
    <row r="1751" spans="28:31" x14ac:dyDescent="0.2">
      <c r="AB1751" s="155"/>
      <c r="AD1751" s="155"/>
      <c r="AE1751" s="155"/>
    </row>
    <row r="1752" spans="28:31" x14ac:dyDescent="0.2">
      <c r="AB1752" s="155"/>
      <c r="AD1752" s="155"/>
      <c r="AE1752" s="155"/>
    </row>
    <row r="1753" spans="28:31" x14ac:dyDescent="0.2">
      <c r="AB1753" s="155"/>
      <c r="AD1753" s="155"/>
      <c r="AE1753" s="155"/>
    </row>
    <row r="1754" spans="28:31" x14ac:dyDescent="0.2">
      <c r="AB1754" s="155"/>
      <c r="AD1754" s="155"/>
      <c r="AE1754" s="155"/>
    </row>
    <row r="1755" spans="28:31" x14ac:dyDescent="0.2">
      <c r="AB1755" s="155"/>
      <c r="AD1755" s="155"/>
      <c r="AE1755" s="155"/>
    </row>
    <row r="1756" spans="28:31" x14ac:dyDescent="0.2">
      <c r="AB1756" s="155"/>
      <c r="AD1756" s="155"/>
      <c r="AE1756" s="155"/>
    </row>
    <row r="1757" spans="28:31" x14ac:dyDescent="0.2">
      <c r="AB1757" s="155"/>
      <c r="AD1757" s="155"/>
      <c r="AE1757" s="155"/>
    </row>
    <row r="1758" spans="28:31" x14ac:dyDescent="0.2">
      <c r="AB1758" s="155"/>
      <c r="AD1758" s="155"/>
      <c r="AE1758" s="155"/>
    </row>
    <row r="1759" spans="28:31" x14ac:dyDescent="0.2">
      <c r="AB1759" s="155"/>
      <c r="AD1759" s="155"/>
      <c r="AE1759" s="155"/>
    </row>
    <row r="1760" spans="28:31" x14ac:dyDescent="0.2">
      <c r="AB1760" s="155"/>
      <c r="AD1760" s="155"/>
      <c r="AE1760" s="155"/>
    </row>
    <row r="1761" spans="28:31" x14ac:dyDescent="0.2">
      <c r="AB1761" s="155"/>
      <c r="AD1761" s="155"/>
      <c r="AE1761" s="155"/>
    </row>
    <row r="1762" spans="28:31" x14ac:dyDescent="0.2">
      <c r="AB1762" s="155"/>
      <c r="AD1762" s="155"/>
      <c r="AE1762" s="155"/>
    </row>
    <row r="1763" spans="28:31" x14ac:dyDescent="0.2">
      <c r="AB1763" s="155"/>
      <c r="AD1763" s="155"/>
      <c r="AE1763" s="155"/>
    </row>
    <row r="1764" spans="28:31" x14ac:dyDescent="0.2">
      <c r="AB1764" s="155"/>
      <c r="AD1764" s="155"/>
      <c r="AE1764" s="155"/>
    </row>
    <row r="1765" spans="28:31" x14ac:dyDescent="0.2">
      <c r="AB1765" s="155"/>
      <c r="AD1765" s="155"/>
      <c r="AE1765" s="155"/>
    </row>
    <row r="1766" spans="28:31" x14ac:dyDescent="0.2">
      <c r="AB1766" s="155"/>
      <c r="AD1766" s="155"/>
      <c r="AE1766" s="155"/>
    </row>
    <row r="1767" spans="28:31" x14ac:dyDescent="0.2">
      <c r="AB1767" s="155"/>
      <c r="AD1767" s="155"/>
      <c r="AE1767" s="155"/>
    </row>
    <row r="1768" spans="28:31" x14ac:dyDescent="0.2">
      <c r="AB1768" s="155"/>
      <c r="AD1768" s="155"/>
      <c r="AE1768" s="155"/>
    </row>
    <row r="1769" spans="28:31" x14ac:dyDescent="0.2">
      <c r="AB1769" s="155"/>
      <c r="AD1769" s="155"/>
      <c r="AE1769" s="155"/>
    </row>
    <row r="1770" spans="28:31" x14ac:dyDescent="0.2">
      <c r="AB1770" s="155"/>
      <c r="AD1770" s="155"/>
      <c r="AE1770" s="155"/>
    </row>
    <row r="1771" spans="28:31" x14ac:dyDescent="0.2">
      <c r="AB1771" s="155"/>
      <c r="AD1771" s="155"/>
      <c r="AE1771" s="155"/>
    </row>
    <row r="1772" spans="28:31" x14ac:dyDescent="0.2">
      <c r="AB1772" s="155"/>
      <c r="AD1772" s="155"/>
      <c r="AE1772" s="155"/>
    </row>
    <row r="1773" spans="28:31" x14ac:dyDescent="0.2">
      <c r="AB1773" s="155"/>
      <c r="AD1773" s="155"/>
      <c r="AE1773" s="155"/>
    </row>
    <row r="1774" spans="28:31" x14ac:dyDescent="0.2">
      <c r="AB1774" s="155"/>
      <c r="AD1774" s="155"/>
      <c r="AE1774" s="155"/>
    </row>
    <row r="1775" spans="28:31" x14ac:dyDescent="0.2">
      <c r="AB1775" s="155"/>
      <c r="AD1775" s="155"/>
      <c r="AE1775" s="155"/>
    </row>
    <row r="1776" spans="28:31" x14ac:dyDescent="0.2">
      <c r="AB1776" s="155"/>
      <c r="AD1776" s="155"/>
      <c r="AE1776" s="155"/>
    </row>
    <row r="1777" spans="28:31" x14ac:dyDescent="0.2">
      <c r="AB1777" s="155"/>
      <c r="AD1777" s="155"/>
      <c r="AE1777" s="155"/>
    </row>
    <row r="1778" spans="28:31" x14ac:dyDescent="0.2">
      <c r="AB1778" s="155"/>
      <c r="AD1778" s="155"/>
      <c r="AE1778" s="155"/>
    </row>
    <row r="1779" spans="28:31" x14ac:dyDescent="0.2">
      <c r="AB1779" s="155"/>
      <c r="AD1779" s="155"/>
      <c r="AE1779" s="155"/>
    </row>
    <row r="1780" spans="28:31" x14ac:dyDescent="0.2">
      <c r="AB1780" s="155"/>
      <c r="AD1780" s="155"/>
      <c r="AE1780" s="155"/>
    </row>
    <row r="1781" spans="28:31" x14ac:dyDescent="0.2">
      <c r="AB1781" s="155"/>
      <c r="AD1781" s="155"/>
      <c r="AE1781" s="155"/>
    </row>
    <row r="1782" spans="28:31" x14ac:dyDescent="0.2">
      <c r="AB1782" s="155"/>
      <c r="AD1782" s="155"/>
      <c r="AE1782" s="155"/>
    </row>
    <row r="1783" spans="28:31" x14ac:dyDescent="0.2">
      <c r="AB1783" s="155"/>
      <c r="AD1783" s="155"/>
      <c r="AE1783" s="155"/>
    </row>
    <row r="1784" spans="28:31" x14ac:dyDescent="0.2">
      <c r="AB1784" s="155"/>
      <c r="AD1784" s="155"/>
      <c r="AE1784" s="155"/>
    </row>
    <row r="1785" spans="28:31" x14ac:dyDescent="0.2">
      <c r="AB1785" s="155"/>
      <c r="AD1785" s="155"/>
      <c r="AE1785" s="155"/>
    </row>
    <row r="1786" spans="28:31" x14ac:dyDescent="0.2">
      <c r="AB1786" s="155"/>
      <c r="AD1786" s="155"/>
      <c r="AE1786" s="155"/>
    </row>
    <row r="1787" spans="28:31" x14ac:dyDescent="0.2">
      <c r="AB1787" s="155"/>
      <c r="AD1787" s="155"/>
      <c r="AE1787" s="155"/>
    </row>
    <row r="1788" spans="28:31" x14ac:dyDescent="0.2">
      <c r="AB1788" s="155"/>
      <c r="AD1788" s="155"/>
      <c r="AE1788" s="155"/>
    </row>
    <row r="1789" spans="28:31" x14ac:dyDescent="0.2">
      <c r="AB1789" s="155"/>
      <c r="AD1789" s="155"/>
      <c r="AE1789" s="155"/>
    </row>
    <row r="1790" spans="28:31" x14ac:dyDescent="0.2">
      <c r="AB1790" s="155"/>
      <c r="AD1790" s="155"/>
      <c r="AE1790" s="155"/>
    </row>
    <row r="1791" spans="28:31" x14ac:dyDescent="0.2">
      <c r="AB1791" s="155"/>
      <c r="AD1791" s="155"/>
      <c r="AE1791" s="155"/>
    </row>
    <row r="1792" spans="28:31" x14ac:dyDescent="0.2">
      <c r="AB1792" s="155"/>
      <c r="AD1792" s="155"/>
      <c r="AE1792" s="155"/>
    </row>
    <row r="1793" spans="28:31" x14ac:dyDescent="0.2">
      <c r="AB1793" s="155"/>
      <c r="AD1793" s="155"/>
      <c r="AE1793" s="155"/>
    </row>
    <row r="1794" spans="28:31" x14ac:dyDescent="0.2">
      <c r="AB1794" s="155"/>
      <c r="AD1794" s="155"/>
      <c r="AE1794" s="155"/>
    </row>
    <row r="1795" spans="28:31" x14ac:dyDescent="0.2">
      <c r="AB1795" s="155"/>
      <c r="AD1795" s="155"/>
      <c r="AE1795" s="155"/>
    </row>
    <row r="1796" spans="28:31" x14ac:dyDescent="0.2">
      <c r="AB1796" s="155"/>
      <c r="AD1796" s="155"/>
      <c r="AE1796" s="155"/>
    </row>
    <row r="1797" spans="28:31" x14ac:dyDescent="0.2">
      <c r="AB1797" s="155"/>
      <c r="AD1797" s="155"/>
      <c r="AE1797" s="155"/>
    </row>
    <row r="1798" spans="28:31" x14ac:dyDescent="0.2">
      <c r="AB1798" s="155"/>
      <c r="AD1798" s="155"/>
      <c r="AE1798" s="155"/>
    </row>
    <row r="1799" spans="28:31" x14ac:dyDescent="0.2">
      <c r="AB1799" s="155"/>
      <c r="AD1799" s="155"/>
      <c r="AE1799" s="155"/>
    </row>
    <row r="1800" spans="28:31" x14ac:dyDescent="0.2">
      <c r="AB1800" s="155"/>
      <c r="AD1800" s="155"/>
      <c r="AE1800" s="155"/>
    </row>
    <row r="1801" spans="28:31" x14ac:dyDescent="0.2">
      <c r="AB1801" s="155"/>
      <c r="AD1801" s="155"/>
      <c r="AE1801" s="155"/>
    </row>
    <row r="1802" spans="28:31" x14ac:dyDescent="0.2">
      <c r="AB1802" s="155"/>
      <c r="AD1802" s="155"/>
      <c r="AE1802" s="155"/>
    </row>
    <row r="1803" spans="28:31" x14ac:dyDescent="0.2">
      <c r="AB1803" s="155"/>
      <c r="AD1803" s="155"/>
      <c r="AE1803" s="155"/>
    </row>
    <row r="1804" spans="28:31" x14ac:dyDescent="0.2">
      <c r="AB1804" s="155"/>
      <c r="AD1804" s="155"/>
      <c r="AE1804" s="155"/>
    </row>
    <row r="1805" spans="28:31" x14ac:dyDescent="0.2">
      <c r="AB1805" s="155"/>
      <c r="AD1805" s="155"/>
      <c r="AE1805" s="155"/>
    </row>
    <row r="1806" spans="28:31" x14ac:dyDescent="0.2">
      <c r="AB1806" s="155"/>
      <c r="AD1806" s="155"/>
      <c r="AE1806" s="155"/>
    </row>
    <row r="1807" spans="28:31" x14ac:dyDescent="0.2">
      <c r="AB1807" s="155"/>
      <c r="AD1807" s="155"/>
      <c r="AE1807" s="155"/>
    </row>
    <row r="1808" spans="28:31" x14ac:dyDescent="0.2">
      <c r="AB1808" s="155"/>
      <c r="AD1808" s="155"/>
      <c r="AE1808" s="155"/>
    </row>
    <row r="1809" spans="28:31" x14ac:dyDescent="0.2">
      <c r="AB1809" s="155"/>
      <c r="AD1809" s="155"/>
      <c r="AE1809" s="155"/>
    </row>
    <row r="1810" spans="28:31" x14ac:dyDescent="0.2">
      <c r="AB1810" s="155"/>
      <c r="AD1810" s="155"/>
      <c r="AE1810" s="155"/>
    </row>
    <row r="1811" spans="28:31" x14ac:dyDescent="0.2">
      <c r="AB1811" s="155"/>
      <c r="AD1811" s="155"/>
      <c r="AE1811" s="155"/>
    </row>
    <row r="1812" spans="28:31" x14ac:dyDescent="0.2">
      <c r="AB1812" s="155"/>
      <c r="AD1812" s="155"/>
      <c r="AE1812" s="155"/>
    </row>
    <row r="1813" spans="28:31" x14ac:dyDescent="0.2">
      <c r="AB1813" s="155"/>
      <c r="AD1813" s="155"/>
      <c r="AE1813" s="155"/>
    </row>
    <row r="1814" spans="28:31" x14ac:dyDescent="0.2">
      <c r="AB1814" s="155"/>
      <c r="AD1814" s="155"/>
      <c r="AE1814" s="155"/>
    </row>
    <row r="1815" spans="28:31" x14ac:dyDescent="0.2">
      <c r="AB1815" s="155"/>
      <c r="AD1815" s="155"/>
      <c r="AE1815" s="155"/>
    </row>
    <row r="1816" spans="28:31" x14ac:dyDescent="0.2">
      <c r="AB1816" s="155"/>
      <c r="AD1816" s="155"/>
      <c r="AE1816" s="155"/>
    </row>
    <row r="1817" spans="28:31" x14ac:dyDescent="0.2">
      <c r="AB1817" s="155"/>
      <c r="AD1817" s="155"/>
      <c r="AE1817" s="155"/>
    </row>
    <row r="1818" spans="28:31" x14ac:dyDescent="0.2">
      <c r="AB1818" s="155"/>
      <c r="AD1818" s="155"/>
      <c r="AE1818" s="155"/>
    </row>
    <row r="1819" spans="28:31" x14ac:dyDescent="0.2">
      <c r="AB1819" s="155"/>
      <c r="AD1819" s="155"/>
      <c r="AE1819" s="155"/>
    </row>
    <row r="1820" spans="28:31" x14ac:dyDescent="0.2">
      <c r="AB1820" s="155"/>
      <c r="AD1820" s="155"/>
      <c r="AE1820" s="155"/>
    </row>
    <row r="1821" spans="28:31" x14ac:dyDescent="0.2">
      <c r="AB1821" s="155"/>
      <c r="AD1821" s="155"/>
      <c r="AE1821" s="155"/>
    </row>
    <row r="1822" spans="28:31" x14ac:dyDescent="0.2">
      <c r="AB1822" s="155"/>
      <c r="AD1822" s="155"/>
      <c r="AE1822" s="155"/>
    </row>
    <row r="1823" spans="28:31" x14ac:dyDescent="0.2">
      <c r="AB1823" s="155"/>
      <c r="AD1823" s="155"/>
      <c r="AE1823" s="155"/>
    </row>
    <row r="1824" spans="28:31" x14ac:dyDescent="0.2">
      <c r="AB1824" s="155"/>
      <c r="AD1824" s="155"/>
      <c r="AE1824" s="155"/>
    </row>
    <row r="1825" spans="28:31" x14ac:dyDescent="0.2">
      <c r="AB1825" s="155"/>
      <c r="AD1825" s="155"/>
      <c r="AE1825" s="155"/>
    </row>
    <row r="1826" spans="28:31" x14ac:dyDescent="0.2">
      <c r="AB1826" s="155"/>
      <c r="AD1826" s="155"/>
      <c r="AE1826" s="155"/>
    </row>
    <row r="1827" spans="28:31" x14ac:dyDescent="0.2">
      <c r="AB1827" s="155"/>
      <c r="AD1827" s="155"/>
      <c r="AE1827" s="155"/>
    </row>
    <row r="1828" spans="28:31" x14ac:dyDescent="0.2">
      <c r="AB1828" s="155"/>
      <c r="AD1828" s="155"/>
      <c r="AE1828" s="155"/>
    </row>
    <row r="1829" spans="28:31" x14ac:dyDescent="0.2">
      <c r="AB1829" s="155"/>
      <c r="AD1829" s="155"/>
      <c r="AE1829" s="155"/>
    </row>
    <row r="1830" spans="28:31" x14ac:dyDescent="0.2">
      <c r="AB1830" s="155"/>
      <c r="AD1830" s="155"/>
      <c r="AE1830" s="155"/>
    </row>
    <row r="1831" spans="28:31" x14ac:dyDescent="0.2">
      <c r="AB1831" s="155"/>
      <c r="AD1831" s="155"/>
      <c r="AE1831" s="155"/>
    </row>
    <row r="1832" spans="28:31" x14ac:dyDescent="0.2">
      <c r="AB1832" s="155"/>
      <c r="AD1832" s="155"/>
      <c r="AE1832" s="155"/>
    </row>
    <row r="1833" spans="28:31" x14ac:dyDescent="0.2">
      <c r="AB1833" s="155"/>
      <c r="AD1833" s="155"/>
      <c r="AE1833" s="155"/>
    </row>
    <row r="1834" spans="28:31" x14ac:dyDescent="0.2">
      <c r="AB1834" s="155"/>
      <c r="AD1834" s="155"/>
      <c r="AE1834" s="155"/>
    </row>
    <row r="1835" spans="28:31" x14ac:dyDescent="0.2">
      <c r="AB1835" s="155"/>
      <c r="AD1835" s="155"/>
      <c r="AE1835" s="155"/>
    </row>
    <row r="1836" spans="28:31" x14ac:dyDescent="0.2">
      <c r="AB1836" s="155"/>
      <c r="AD1836" s="155"/>
      <c r="AE1836" s="155"/>
    </row>
    <row r="1837" spans="28:31" x14ac:dyDescent="0.2">
      <c r="AB1837" s="155"/>
      <c r="AD1837" s="155"/>
      <c r="AE1837" s="155"/>
    </row>
    <row r="1838" spans="28:31" x14ac:dyDescent="0.2">
      <c r="AB1838" s="155"/>
      <c r="AD1838" s="155"/>
      <c r="AE1838" s="155"/>
    </row>
    <row r="1839" spans="28:31" x14ac:dyDescent="0.2">
      <c r="AB1839" s="155"/>
      <c r="AD1839" s="155"/>
      <c r="AE1839" s="155"/>
    </row>
    <row r="1840" spans="28:31" x14ac:dyDescent="0.2">
      <c r="AB1840" s="155"/>
      <c r="AD1840" s="155"/>
      <c r="AE1840" s="155"/>
    </row>
    <row r="1841" spans="28:31" x14ac:dyDescent="0.2">
      <c r="AB1841" s="155"/>
      <c r="AD1841" s="155"/>
      <c r="AE1841" s="155"/>
    </row>
    <row r="1842" spans="28:31" x14ac:dyDescent="0.2">
      <c r="AB1842" s="155"/>
      <c r="AD1842" s="155"/>
      <c r="AE1842" s="155"/>
    </row>
    <row r="1843" spans="28:31" x14ac:dyDescent="0.2">
      <c r="AB1843" s="155"/>
      <c r="AD1843" s="155"/>
      <c r="AE1843" s="155"/>
    </row>
    <row r="1844" spans="28:31" x14ac:dyDescent="0.2">
      <c r="AB1844" s="155"/>
      <c r="AD1844" s="155"/>
      <c r="AE1844" s="155"/>
    </row>
    <row r="1845" spans="28:31" x14ac:dyDescent="0.2">
      <c r="AB1845" s="155"/>
      <c r="AD1845" s="155"/>
      <c r="AE1845" s="155"/>
    </row>
    <row r="1846" spans="28:31" x14ac:dyDescent="0.2">
      <c r="AB1846" s="155"/>
      <c r="AD1846" s="155"/>
      <c r="AE1846" s="155"/>
    </row>
    <row r="1847" spans="28:31" x14ac:dyDescent="0.2">
      <c r="AB1847" s="155"/>
      <c r="AD1847" s="155"/>
      <c r="AE1847" s="155"/>
    </row>
    <row r="1848" spans="28:31" x14ac:dyDescent="0.2">
      <c r="AB1848" s="155"/>
      <c r="AD1848" s="155"/>
      <c r="AE1848" s="155"/>
    </row>
    <row r="1849" spans="28:31" x14ac:dyDescent="0.2">
      <c r="AB1849" s="155"/>
      <c r="AD1849" s="155"/>
      <c r="AE1849" s="155"/>
    </row>
    <row r="1850" spans="28:31" x14ac:dyDescent="0.2">
      <c r="AB1850" s="155"/>
      <c r="AD1850" s="155"/>
      <c r="AE1850" s="155"/>
    </row>
    <row r="1851" spans="28:31" x14ac:dyDescent="0.2">
      <c r="AB1851" s="155"/>
      <c r="AD1851" s="155"/>
      <c r="AE1851" s="155"/>
    </row>
    <row r="1852" spans="28:31" x14ac:dyDescent="0.2">
      <c r="AB1852" s="155"/>
      <c r="AD1852" s="155"/>
      <c r="AE1852" s="155"/>
    </row>
    <row r="1853" spans="28:31" x14ac:dyDescent="0.2">
      <c r="AB1853" s="155"/>
      <c r="AD1853" s="155"/>
      <c r="AE1853" s="155"/>
    </row>
    <row r="1854" spans="28:31" x14ac:dyDescent="0.2">
      <c r="AB1854" s="155"/>
      <c r="AD1854" s="155"/>
      <c r="AE1854" s="155"/>
    </row>
    <row r="1855" spans="28:31" x14ac:dyDescent="0.2">
      <c r="AB1855" s="155"/>
      <c r="AD1855" s="155"/>
      <c r="AE1855" s="155"/>
    </row>
    <row r="1856" spans="28:31" x14ac:dyDescent="0.2">
      <c r="AB1856" s="155"/>
      <c r="AD1856" s="155"/>
      <c r="AE1856" s="155"/>
    </row>
    <row r="1857" spans="28:31" x14ac:dyDescent="0.2">
      <c r="AB1857" s="155"/>
      <c r="AD1857" s="155"/>
      <c r="AE1857" s="155"/>
    </row>
    <row r="1858" spans="28:31" x14ac:dyDescent="0.2">
      <c r="AB1858" s="155"/>
      <c r="AD1858" s="155"/>
      <c r="AE1858" s="155"/>
    </row>
    <row r="1859" spans="28:31" x14ac:dyDescent="0.2">
      <c r="AB1859" s="155"/>
      <c r="AD1859" s="155"/>
      <c r="AE1859" s="155"/>
    </row>
    <row r="1860" spans="28:31" x14ac:dyDescent="0.2">
      <c r="AB1860" s="155"/>
      <c r="AD1860" s="155"/>
      <c r="AE1860" s="155"/>
    </row>
    <row r="1861" spans="28:31" x14ac:dyDescent="0.2">
      <c r="AB1861" s="155"/>
      <c r="AD1861" s="155"/>
      <c r="AE1861" s="155"/>
    </row>
    <row r="1862" spans="28:31" x14ac:dyDescent="0.2">
      <c r="AB1862" s="155"/>
      <c r="AD1862" s="155"/>
      <c r="AE1862" s="155"/>
    </row>
    <row r="1863" spans="28:31" x14ac:dyDescent="0.2">
      <c r="AB1863" s="155"/>
      <c r="AD1863" s="155"/>
      <c r="AE1863" s="155"/>
    </row>
    <row r="1864" spans="28:31" x14ac:dyDescent="0.2">
      <c r="AB1864" s="155"/>
      <c r="AD1864" s="155"/>
      <c r="AE1864" s="155"/>
    </row>
    <row r="1865" spans="28:31" x14ac:dyDescent="0.2">
      <c r="AB1865" s="155"/>
      <c r="AD1865" s="155"/>
      <c r="AE1865" s="155"/>
    </row>
    <row r="1866" spans="28:31" x14ac:dyDescent="0.2">
      <c r="AB1866" s="155"/>
      <c r="AD1866" s="155"/>
      <c r="AE1866" s="155"/>
    </row>
    <row r="1867" spans="28:31" x14ac:dyDescent="0.2">
      <c r="AB1867" s="155"/>
      <c r="AD1867" s="155"/>
      <c r="AE1867" s="155"/>
    </row>
    <row r="1868" spans="28:31" x14ac:dyDescent="0.2">
      <c r="AB1868" s="155"/>
      <c r="AD1868" s="155"/>
      <c r="AE1868" s="155"/>
    </row>
    <row r="1869" spans="28:31" x14ac:dyDescent="0.2">
      <c r="AB1869" s="155"/>
      <c r="AD1869" s="155"/>
      <c r="AE1869" s="155"/>
    </row>
    <row r="1870" spans="28:31" x14ac:dyDescent="0.2">
      <c r="AB1870" s="155"/>
      <c r="AD1870" s="155"/>
      <c r="AE1870" s="155"/>
    </row>
    <row r="1871" spans="28:31" x14ac:dyDescent="0.2">
      <c r="AB1871" s="155"/>
      <c r="AD1871" s="155"/>
      <c r="AE1871" s="155"/>
    </row>
    <row r="1872" spans="28:31" x14ac:dyDescent="0.2">
      <c r="AB1872" s="155"/>
      <c r="AD1872" s="155"/>
      <c r="AE1872" s="155"/>
    </row>
    <row r="1873" spans="28:31" x14ac:dyDescent="0.2">
      <c r="AB1873" s="155"/>
      <c r="AD1873" s="155"/>
      <c r="AE1873" s="155"/>
    </row>
    <row r="1874" spans="28:31" x14ac:dyDescent="0.2">
      <c r="AB1874" s="155"/>
      <c r="AD1874" s="155"/>
      <c r="AE1874" s="155"/>
    </row>
    <row r="1875" spans="28:31" x14ac:dyDescent="0.2">
      <c r="AB1875" s="155"/>
      <c r="AD1875" s="155"/>
      <c r="AE1875" s="155"/>
    </row>
    <row r="1876" spans="28:31" x14ac:dyDescent="0.2">
      <c r="AB1876" s="155"/>
      <c r="AD1876" s="155"/>
      <c r="AE1876" s="155"/>
    </row>
    <row r="1877" spans="28:31" x14ac:dyDescent="0.2">
      <c r="AB1877" s="155"/>
      <c r="AD1877" s="155"/>
      <c r="AE1877" s="155"/>
    </row>
    <row r="1878" spans="28:31" x14ac:dyDescent="0.2">
      <c r="AB1878" s="155"/>
      <c r="AD1878" s="155"/>
      <c r="AE1878" s="155"/>
    </row>
    <row r="1879" spans="28:31" x14ac:dyDescent="0.2">
      <c r="AB1879" s="155"/>
      <c r="AD1879" s="155"/>
      <c r="AE1879" s="155"/>
    </row>
    <row r="1880" spans="28:31" x14ac:dyDescent="0.2">
      <c r="AB1880" s="155"/>
      <c r="AD1880" s="155"/>
      <c r="AE1880" s="155"/>
    </row>
    <row r="1881" spans="28:31" x14ac:dyDescent="0.2">
      <c r="AB1881" s="155"/>
      <c r="AD1881" s="155"/>
      <c r="AE1881" s="155"/>
    </row>
    <row r="1882" spans="28:31" x14ac:dyDescent="0.2">
      <c r="AB1882" s="155"/>
      <c r="AD1882" s="155"/>
      <c r="AE1882" s="155"/>
    </row>
    <row r="1883" spans="28:31" x14ac:dyDescent="0.2">
      <c r="AB1883" s="155"/>
      <c r="AD1883" s="155"/>
      <c r="AE1883" s="155"/>
    </row>
    <row r="1884" spans="28:31" x14ac:dyDescent="0.2">
      <c r="AB1884" s="155"/>
      <c r="AD1884" s="155"/>
      <c r="AE1884" s="155"/>
    </row>
    <row r="1885" spans="28:31" x14ac:dyDescent="0.2">
      <c r="AB1885" s="155"/>
      <c r="AD1885" s="155"/>
      <c r="AE1885" s="155"/>
    </row>
    <row r="1886" spans="28:31" x14ac:dyDescent="0.2">
      <c r="AB1886" s="155"/>
      <c r="AD1886" s="155"/>
      <c r="AE1886" s="155"/>
    </row>
    <row r="1887" spans="28:31" x14ac:dyDescent="0.2">
      <c r="AB1887" s="155"/>
      <c r="AD1887" s="155"/>
      <c r="AE1887" s="155"/>
    </row>
    <row r="1888" spans="28:31" x14ac:dyDescent="0.2">
      <c r="AB1888" s="155"/>
      <c r="AD1888" s="155"/>
      <c r="AE1888" s="155"/>
    </row>
    <row r="1889" spans="28:31" x14ac:dyDescent="0.2">
      <c r="AB1889" s="155"/>
      <c r="AD1889" s="155"/>
      <c r="AE1889" s="155"/>
    </row>
    <row r="1890" spans="28:31" x14ac:dyDescent="0.2">
      <c r="AB1890" s="155"/>
      <c r="AD1890" s="155"/>
      <c r="AE1890" s="155"/>
    </row>
    <row r="1891" spans="28:31" x14ac:dyDescent="0.2">
      <c r="AB1891" s="155"/>
      <c r="AD1891" s="155"/>
      <c r="AE1891" s="155"/>
    </row>
    <row r="1892" spans="28:31" x14ac:dyDescent="0.2">
      <c r="AB1892" s="155"/>
      <c r="AD1892" s="155"/>
      <c r="AE1892" s="155"/>
    </row>
    <row r="1893" spans="28:31" x14ac:dyDescent="0.2">
      <c r="AB1893" s="155"/>
      <c r="AD1893" s="155"/>
      <c r="AE1893" s="155"/>
    </row>
    <row r="1894" spans="28:31" x14ac:dyDescent="0.2">
      <c r="AB1894" s="155"/>
      <c r="AD1894" s="155"/>
      <c r="AE1894" s="155"/>
    </row>
    <row r="1895" spans="28:31" x14ac:dyDescent="0.2">
      <c r="AB1895" s="155"/>
      <c r="AD1895" s="155"/>
      <c r="AE1895" s="155"/>
    </row>
    <row r="1896" spans="28:31" x14ac:dyDescent="0.2">
      <c r="AB1896" s="155"/>
      <c r="AD1896" s="155"/>
      <c r="AE1896" s="155"/>
    </row>
    <row r="1897" spans="28:31" x14ac:dyDescent="0.2">
      <c r="AB1897" s="155"/>
      <c r="AD1897" s="155"/>
      <c r="AE1897" s="155"/>
    </row>
    <row r="1898" spans="28:31" x14ac:dyDescent="0.2">
      <c r="AB1898" s="155"/>
      <c r="AD1898" s="155"/>
      <c r="AE1898" s="155"/>
    </row>
    <row r="1899" spans="28:31" x14ac:dyDescent="0.2">
      <c r="AB1899" s="155"/>
      <c r="AD1899" s="155"/>
      <c r="AE1899" s="155"/>
    </row>
    <row r="1900" spans="28:31" x14ac:dyDescent="0.2">
      <c r="AB1900" s="155"/>
      <c r="AD1900" s="155"/>
      <c r="AE1900" s="155"/>
    </row>
    <row r="1901" spans="28:31" x14ac:dyDescent="0.2">
      <c r="AB1901" s="155"/>
      <c r="AD1901" s="155"/>
      <c r="AE1901" s="155"/>
    </row>
    <row r="1902" spans="28:31" x14ac:dyDescent="0.2">
      <c r="AB1902" s="155"/>
      <c r="AD1902" s="155"/>
      <c r="AE1902" s="155"/>
    </row>
    <row r="1903" spans="28:31" x14ac:dyDescent="0.2">
      <c r="AB1903" s="155"/>
      <c r="AD1903" s="155"/>
      <c r="AE1903" s="155"/>
    </row>
    <row r="1904" spans="28:31" x14ac:dyDescent="0.2">
      <c r="AB1904" s="155"/>
      <c r="AD1904" s="155"/>
      <c r="AE1904" s="155"/>
    </row>
    <row r="1905" spans="28:31" x14ac:dyDescent="0.2">
      <c r="AB1905" s="155"/>
      <c r="AD1905" s="155"/>
      <c r="AE1905" s="155"/>
    </row>
    <row r="1906" spans="28:31" x14ac:dyDescent="0.2">
      <c r="AB1906" s="155"/>
      <c r="AD1906" s="155"/>
      <c r="AE1906" s="155"/>
    </row>
    <row r="1907" spans="28:31" x14ac:dyDescent="0.2">
      <c r="AB1907" s="155"/>
      <c r="AD1907" s="155"/>
      <c r="AE1907" s="155"/>
    </row>
    <row r="1908" spans="28:31" x14ac:dyDescent="0.2">
      <c r="AB1908" s="155"/>
      <c r="AD1908" s="155"/>
      <c r="AE1908" s="155"/>
    </row>
    <row r="1909" spans="28:31" x14ac:dyDescent="0.2">
      <c r="AB1909" s="155"/>
      <c r="AD1909" s="155"/>
      <c r="AE1909" s="155"/>
    </row>
    <row r="1910" spans="28:31" x14ac:dyDescent="0.2">
      <c r="AB1910" s="155"/>
      <c r="AD1910" s="155"/>
      <c r="AE1910" s="155"/>
    </row>
    <row r="1911" spans="28:31" x14ac:dyDescent="0.2">
      <c r="AB1911" s="155"/>
      <c r="AD1911" s="155"/>
      <c r="AE1911" s="155"/>
    </row>
    <row r="1912" spans="28:31" x14ac:dyDescent="0.2">
      <c r="AB1912" s="155"/>
      <c r="AD1912" s="155"/>
      <c r="AE1912" s="155"/>
    </row>
    <row r="1913" spans="28:31" x14ac:dyDescent="0.2">
      <c r="AB1913" s="155"/>
      <c r="AD1913" s="155"/>
      <c r="AE1913" s="155"/>
    </row>
    <row r="1914" spans="28:31" x14ac:dyDescent="0.2">
      <c r="AB1914" s="155"/>
      <c r="AD1914" s="155"/>
      <c r="AE1914" s="155"/>
    </row>
    <row r="1915" spans="28:31" x14ac:dyDescent="0.2">
      <c r="AB1915" s="155"/>
      <c r="AD1915" s="155"/>
      <c r="AE1915" s="155"/>
    </row>
    <row r="1916" spans="28:31" x14ac:dyDescent="0.2">
      <c r="AB1916" s="155"/>
      <c r="AD1916" s="155"/>
      <c r="AE1916" s="155"/>
    </row>
    <row r="1917" spans="28:31" x14ac:dyDescent="0.2">
      <c r="AB1917" s="155"/>
      <c r="AD1917" s="155"/>
      <c r="AE1917" s="155"/>
    </row>
    <row r="1918" spans="28:31" x14ac:dyDescent="0.2">
      <c r="AB1918" s="155"/>
      <c r="AD1918" s="155"/>
      <c r="AE1918" s="155"/>
    </row>
    <row r="1919" spans="28:31" x14ac:dyDescent="0.2">
      <c r="AB1919" s="155"/>
      <c r="AD1919" s="155"/>
      <c r="AE1919" s="155"/>
    </row>
    <row r="1920" spans="28:31" x14ac:dyDescent="0.2">
      <c r="AB1920" s="155"/>
      <c r="AD1920" s="155"/>
      <c r="AE1920" s="155"/>
    </row>
    <row r="1921" spans="28:31" x14ac:dyDescent="0.2">
      <c r="AB1921" s="155"/>
      <c r="AD1921" s="155"/>
      <c r="AE1921" s="155"/>
    </row>
    <row r="1922" spans="28:31" x14ac:dyDescent="0.2">
      <c r="AB1922" s="155"/>
      <c r="AD1922" s="155"/>
      <c r="AE1922" s="155"/>
    </row>
    <row r="1923" spans="28:31" x14ac:dyDescent="0.2">
      <c r="AB1923" s="155"/>
      <c r="AD1923" s="155"/>
      <c r="AE1923" s="155"/>
    </row>
    <row r="1924" spans="28:31" x14ac:dyDescent="0.2">
      <c r="AB1924" s="155"/>
      <c r="AD1924" s="155"/>
      <c r="AE1924" s="155"/>
    </row>
    <row r="1925" spans="28:31" x14ac:dyDescent="0.2">
      <c r="AB1925" s="155"/>
      <c r="AD1925" s="155"/>
      <c r="AE1925" s="155"/>
    </row>
    <row r="1926" spans="28:31" x14ac:dyDescent="0.2">
      <c r="AB1926" s="155"/>
      <c r="AD1926" s="155"/>
      <c r="AE1926" s="155"/>
    </row>
    <row r="1927" spans="28:31" x14ac:dyDescent="0.2">
      <c r="AB1927" s="155"/>
      <c r="AD1927" s="155"/>
      <c r="AE1927" s="155"/>
    </row>
    <row r="1928" spans="28:31" x14ac:dyDescent="0.2">
      <c r="AB1928" s="155"/>
      <c r="AD1928" s="155"/>
      <c r="AE1928" s="155"/>
    </row>
    <row r="1929" spans="28:31" x14ac:dyDescent="0.2">
      <c r="AB1929" s="155"/>
      <c r="AD1929" s="155"/>
      <c r="AE1929" s="155"/>
    </row>
    <row r="1930" spans="28:31" x14ac:dyDescent="0.2">
      <c r="AB1930" s="155"/>
      <c r="AD1930" s="155"/>
      <c r="AE1930" s="155"/>
    </row>
    <row r="1931" spans="28:31" x14ac:dyDescent="0.2">
      <c r="AB1931" s="155"/>
      <c r="AD1931" s="155"/>
      <c r="AE1931" s="155"/>
    </row>
    <row r="1932" spans="28:31" x14ac:dyDescent="0.2">
      <c r="AB1932" s="155"/>
      <c r="AD1932" s="155"/>
      <c r="AE1932" s="155"/>
    </row>
    <row r="1933" spans="28:31" x14ac:dyDescent="0.2">
      <c r="AB1933" s="155"/>
      <c r="AD1933" s="155"/>
      <c r="AE1933" s="155"/>
    </row>
    <row r="1934" spans="28:31" x14ac:dyDescent="0.2">
      <c r="AB1934" s="155"/>
      <c r="AD1934" s="155"/>
      <c r="AE1934" s="155"/>
    </row>
    <row r="1935" spans="28:31" x14ac:dyDescent="0.2">
      <c r="AB1935" s="155"/>
      <c r="AD1935" s="155"/>
      <c r="AE1935" s="155"/>
    </row>
    <row r="1936" spans="28:31" x14ac:dyDescent="0.2">
      <c r="AB1936" s="155"/>
      <c r="AD1936" s="155"/>
      <c r="AE1936" s="155"/>
    </row>
    <row r="1937" spans="28:31" x14ac:dyDescent="0.2">
      <c r="AB1937" s="155"/>
      <c r="AD1937" s="155"/>
      <c r="AE1937" s="155"/>
    </row>
    <row r="1938" spans="28:31" x14ac:dyDescent="0.2">
      <c r="AB1938" s="155"/>
      <c r="AD1938" s="155"/>
      <c r="AE1938" s="155"/>
    </row>
    <row r="1939" spans="28:31" x14ac:dyDescent="0.2">
      <c r="AB1939" s="155"/>
      <c r="AD1939" s="155"/>
      <c r="AE1939" s="155"/>
    </row>
    <row r="1940" spans="28:31" x14ac:dyDescent="0.2">
      <c r="AB1940" s="155"/>
      <c r="AD1940" s="155"/>
      <c r="AE1940" s="155"/>
    </row>
    <row r="1941" spans="28:31" x14ac:dyDescent="0.2">
      <c r="AB1941" s="155"/>
      <c r="AD1941" s="155"/>
      <c r="AE1941" s="155"/>
    </row>
    <row r="1942" spans="28:31" x14ac:dyDescent="0.2">
      <c r="AB1942" s="155"/>
      <c r="AD1942" s="155"/>
      <c r="AE1942" s="155"/>
    </row>
    <row r="1943" spans="28:31" x14ac:dyDescent="0.2">
      <c r="AB1943" s="155"/>
      <c r="AD1943" s="155"/>
      <c r="AE1943" s="155"/>
    </row>
    <row r="1944" spans="28:31" x14ac:dyDescent="0.2">
      <c r="AB1944" s="155"/>
      <c r="AD1944" s="155"/>
      <c r="AE1944" s="155"/>
    </row>
    <row r="1945" spans="28:31" x14ac:dyDescent="0.2">
      <c r="AB1945" s="155"/>
      <c r="AD1945" s="155"/>
      <c r="AE1945" s="155"/>
    </row>
    <row r="1946" spans="28:31" x14ac:dyDescent="0.2">
      <c r="AB1946" s="155"/>
      <c r="AD1946" s="155"/>
      <c r="AE1946" s="155"/>
    </row>
    <row r="1947" spans="28:31" x14ac:dyDescent="0.2">
      <c r="AB1947" s="155"/>
      <c r="AD1947" s="155"/>
      <c r="AE1947" s="155"/>
    </row>
    <row r="1948" spans="28:31" x14ac:dyDescent="0.2">
      <c r="AB1948" s="155"/>
      <c r="AD1948" s="155"/>
      <c r="AE1948" s="155"/>
    </row>
    <row r="1949" spans="28:31" x14ac:dyDescent="0.2">
      <c r="AB1949" s="155"/>
      <c r="AD1949" s="155"/>
      <c r="AE1949" s="155"/>
    </row>
    <row r="1950" spans="28:31" x14ac:dyDescent="0.2">
      <c r="AB1950" s="155"/>
      <c r="AD1950" s="155"/>
      <c r="AE1950" s="155"/>
    </row>
    <row r="1951" spans="28:31" x14ac:dyDescent="0.2">
      <c r="AB1951" s="155"/>
      <c r="AD1951" s="155"/>
      <c r="AE1951" s="155"/>
    </row>
    <row r="1952" spans="28:31" x14ac:dyDescent="0.2">
      <c r="AB1952" s="155"/>
      <c r="AD1952" s="155"/>
      <c r="AE1952" s="155"/>
    </row>
    <row r="1953" spans="28:31" x14ac:dyDescent="0.2">
      <c r="AB1953" s="155"/>
      <c r="AD1953" s="155"/>
      <c r="AE1953" s="155"/>
    </row>
    <row r="1954" spans="28:31" x14ac:dyDescent="0.2">
      <c r="AB1954" s="155"/>
      <c r="AD1954" s="155"/>
      <c r="AE1954" s="155"/>
    </row>
    <row r="1955" spans="28:31" x14ac:dyDescent="0.2">
      <c r="AB1955" s="155"/>
      <c r="AD1955" s="155"/>
      <c r="AE1955" s="155"/>
    </row>
    <row r="1956" spans="28:31" x14ac:dyDescent="0.2">
      <c r="AB1956" s="155"/>
      <c r="AD1956" s="155"/>
      <c r="AE1956" s="155"/>
    </row>
    <row r="1957" spans="28:31" x14ac:dyDescent="0.2">
      <c r="AB1957" s="155"/>
      <c r="AD1957" s="155"/>
      <c r="AE1957" s="155"/>
    </row>
    <row r="1958" spans="28:31" x14ac:dyDescent="0.2">
      <c r="AB1958" s="155"/>
      <c r="AD1958" s="155"/>
      <c r="AE1958" s="155"/>
    </row>
    <row r="1959" spans="28:31" x14ac:dyDescent="0.2">
      <c r="AB1959" s="155"/>
      <c r="AD1959" s="155"/>
      <c r="AE1959" s="155"/>
    </row>
    <row r="1960" spans="28:31" x14ac:dyDescent="0.2">
      <c r="AB1960" s="155"/>
      <c r="AD1960" s="155"/>
      <c r="AE1960" s="155"/>
    </row>
    <row r="1961" spans="28:31" x14ac:dyDescent="0.2">
      <c r="AB1961" s="155"/>
      <c r="AD1961" s="155"/>
      <c r="AE1961" s="155"/>
    </row>
    <row r="1962" spans="28:31" x14ac:dyDescent="0.2">
      <c r="AB1962" s="155"/>
      <c r="AD1962" s="155"/>
      <c r="AE1962" s="155"/>
    </row>
    <row r="1963" spans="28:31" x14ac:dyDescent="0.2">
      <c r="AB1963" s="155"/>
      <c r="AD1963" s="155"/>
      <c r="AE1963" s="155"/>
    </row>
    <row r="1964" spans="28:31" x14ac:dyDescent="0.2">
      <c r="AB1964" s="155"/>
      <c r="AD1964" s="155"/>
      <c r="AE1964" s="155"/>
    </row>
    <row r="1965" spans="28:31" x14ac:dyDescent="0.2">
      <c r="AB1965" s="155"/>
      <c r="AD1965" s="155"/>
      <c r="AE1965" s="155"/>
    </row>
    <row r="1966" spans="28:31" x14ac:dyDescent="0.2">
      <c r="AB1966" s="155"/>
      <c r="AD1966" s="155"/>
      <c r="AE1966" s="155"/>
    </row>
    <row r="1967" spans="28:31" x14ac:dyDescent="0.2">
      <c r="AB1967" s="155"/>
      <c r="AD1967" s="155"/>
      <c r="AE1967" s="155"/>
    </row>
    <row r="1968" spans="28:31" x14ac:dyDescent="0.2">
      <c r="AB1968" s="155"/>
      <c r="AD1968" s="155"/>
      <c r="AE1968" s="155"/>
    </row>
    <row r="1969" spans="28:31" x14ac:dyDescent="0.2">
      <c r="AB1969" s="155"/>
      <c r="AD1969" s="155"/>
      <c r="AE1969" s="155"/>
    </row>
    <row r="1970" spans="28:31" x14ac:dyDescent="0.2">
      <c r="AB1970" s="155"/>
      <c r="AD1970" s="155"/>
      <c r="AE1970" s="155"/>
    </row>
    <row r="1971" spans="28:31" x14ac:dyDescent="0.2">
      <c r="AB1971" s="155"/>
      <c r="AD1971" s="155"/>
      <c r="AE1971" s="155"/>
    </row>
    <row r="1972" spans="28:31" x14ac:dyDescent="0.2">
      <c r="AB1972" s="155"/>
      <c r="AD1972" s="155"/>
      <c r="AE1972" s="155"/>
    </row>
    <row r="1973" spans="28:31" x14ac:dyDescent="0.2">
      <c r="AB1973" s="155"/>
      <c r="AD1973" s="155"/>
      <c r="AE1973" s="155"/>
    </row>
    <row r="1974" spans="28:31" x14ac:dyDescent="0.2">
      <c r="AB1974" s="155"/>
      <c r="AD1974" s="155"/>
      <c r="AE1974" s="155"/>
    </row>
    <row r="1975" spans="28:31" x14ac:dyDescent="0.2">
      <c r="AB1975" s="155"/>
      <c r="AD1975" s="155"/>
      <c r="AE1975" s="155"/>
    </row>
    <row r="1976" spans="28:31" x14ac:dyDescent="0.2">
      <c r="AB1976" s="155"/>
      <c r="AD1976" s="155"/>
      <c r="AE1976" s="155"/>
    </row>
    <row r="1977" spans="28:31" x14ac:dyDescent="0.2">
      <c r="AB1977" s="155"/>
      <c r="AD1977" s="155"/>
      <c r="AE1977" s="155"/>
    </row>
    <row r="1978" spans="28:31" x14ac:dyDescent="0.2">
      <c r="AB1978" s="155"/>
      <c r="AD1978" s="155"/>
      <c r="AE1978" s="155"/>
    </row>
    <row r="1979" spans="28:31" x14ac:dyDescent="0.2">
      <c r="AB1979" s="155"/>
      <c r="AD1979" s="155"/>
      <c r="AE1979" s="155"/>
    </row>
    <row r="1980" spans="28:31" x14ac:dyDescent="0.2">
      <c r="AB1980" s="155"/>
      <c r="AD1980" s="155"/>
      <c r="AE1980" s="155"/>
    </row>
    <row r="1981" spans="28:31" x14ac:dyDescent="0.2">
      <c r="AB1981" s="155"/>
      <c r="AD1981" s="155"/>
      <c r="AE1981" s="155"/>
    </row>
    <row r="1982" spans="28:31" x14ac:dyDescent="0.2">
      <c r="AB1982" s="155"/>
      <c r="AD1982" s="155"/>
      <c r="AE1982" s="155"/>
    </row>
    <row r="1983" spans="28:31" x14ac:dyDescent="0.2">
      <c r="AB1983" s="155"/>
      <c r="AD1983" s="155"/>
      <c r="AE1983" s="155"/>
    </row>
    <row r="1984" spans="28:31" x14ac:dyDescent="0.2">
      <c r="AB1984" s="155"/>
      <c r="AD1984" s="155"/>
      <c r="AE1984" s="155"/>
    </row>
    <row r="1985" spans="28:31" x14ac:dyDescent="0.2">
      <c r="AB1985" s="155"/>
      <c r="AD1985" s="155"/>
      <c r="AE1985" s="155"/>
    </row>
    <row r="1986" spans="28:31" x14ac:dyDescent="0.2">
      <c r="AB1986" s="155"/>
      <c r="AD1986" s="155"/>
      <c r="AE1986" s="155"/>
    </row>
    <row r="1987" spans="28:31" x14ac:dyDescent="0.2">
      <c r="AB1987" s="155"/>
      <c r="AD1987" s="155"/>
      <c r="AE1987" s="155"/>
    </row>
    <row r="1988" spans="28:31" x14ac:dyDescent="0.2">
      <c r="AB1988" s="155"/>
      <c r="AD1988" s="155"/>
      <c r="AE1988" s="155"/>
    </row>
    <row r="1989" spans="28:31" x14ac:dyDescent="0.2">
      <c r="AB1989" s="155"/>
      <c r="AD1989" s="155"/>
      <c r="AE1989" s="155"/>
    </row>
    <row r="1990" spans="28:31" x14ac:dyDescent="0.2">
      <c r="AB1990" s="155"/>
      <c r="AD1990" s="155"/>
      <c r="AE1990" s="155"/>
    </row>
    <row r="1991" spans="28:31" x14ac:dyDescent="0.2">
      <c r="AB1991" s="155"/>
      <c r="AD1991" s="155"/>
      <c r="AE1991" s="155"/>
    </row>
    <row r="1992" spans="28:31" x14ac:dyDescent="0.2">
      <c r="AB1992" s="155"/>
      <c r="AD1992" s="155"/>
      <c r="AE1992" s="155"/>
    </row>
    <row r="1993" spans="28:31" x14ac:dyDescent="0.2">
      <c r="AB1993" s="155"/>
      <c r="AD1993" s="155"/>
      <c r="AE1993" s="155"/>
    </row>
    <row r="1994" spans="28:31" x14ac:dyDescent="0.2">
      <c r="AB1994" s="155"/>
      <c r="AD1994" s="155"/>
      <c r="AE1994" s="155"/>
    </row>
    <row r="1995" spans="28:31" x14ac:dyDescent="0.2">
      <c r="AB1995" s="155"/>
      <c r="AD1995" s="155"/>
      <c r="AE1995" s="155"/>
    </row>
    <row r="1996" spans="28:31" x14ac:dyDescent="0.2">
      <c r="AB1996" s="155"/>
      <c r="AD1996" s="155"/>
      <c r="AE1996" s="155"/>
    </row>
    <row r="1997" spans="28:31" x14ac:dyDescent="0.2">
      <c r="AB1997" s="155"/>
      <c r="AD1997" s="155"/>
      <c r="AE1997" s="155"/>
    </row>
    <row r="1998" spans="28:31" x14ac:dyDescent="0.2">
      <c r="AB1998" s="155"/>
      <c r="AD1998" s="155"/>
      <c r="AE1998" s="155"/>
    </row>
    <row r="1999" spans="28:31" x14ac:dyDescent="0.2">
      <c r="AB1999" s="155"/>
      <c r="AD1999" s="155"/>
      <c r="AE1999" s="155"/>
    </row>
    <row r="2000" spans="28:31" x14ac:dyDescent="0.2">
      <c r="AB2000" s="155"/>
      <c r="AD2000" s="155"/>
      <c r="AE2000" s="155"/>
    </row>
    <row r="2001" spans="28:31" x14ac:dyDescent="0.2">
      <c r="AB2001" s="155"/>
      <c r="AD2001" s="155"/>
      <c r="AE2001" s="155"/>
    </row>
    <row r="2002" spans="28:31" x14ac:dyDescent="0.2">
      <c r="AB2002" s="155"/>
      <c r="AD2002" s="155"/>
      <c r="AE2002" s="155"/>
    </row>
    <row r="2003" spans="28:31" x14ac:dyDescent="0.2">
      <c r="AB2003" s="155"/>
      <c r="AD2003" s="155"/>
      <c r="AE2003" s="155"/>
    </row>
    <row r="2004" spans="28:31" x14ac:dyDescent="0.2">
      <c r="AB2004" s="155"/>
      <c r="AD2004" s="155"/>
      <c r="AE2004" s="155"/>
    </row>
    <row r="2005" spans="28:31" x14ac:dyDescent="0.2">
      <c r="AB2005" s="155"/>
      <c r="AD2005" s="155"/>
      <c r="AE2005" s="155"/>
    </row>
    <row r="2006" spans="28:31" x14ac:dyDescent="0.2">
      <c r="AB2006" s="155"/>
      <c r="AD2006" s="155"/>
      <c r="AE2006" s="155"/>
    </row>
    <row r="2007" spans="28:31" x14ac:dyDescent="0.2">
      <c r="AB2007" s="155"/>
      <c r="AD2007" s="155"/>
      <c r="AE2007" s="155"/>
    </row>
    <row r="2008" spans="28:31" x14ac:dyDescent="0.2">
      <c r="AB2008" s="155"/>
      <c r="AD2008" s="155"/>
      <c r="AE2008" s="155"/>
    </row>
    <row r="2009" spans="28:31" x14ac:dyDescent="0.2">
      <c r="AB2009" s="155"/>
      <c r="AD2009" s="155"/>
      <c r="AE2009" s="155"/>
    </row>
    <row r="2010" spans="28:31" x14ac:dyDescent="0.2">
      <c r="AB2010" s="155"/>
      <c r="AD2010" s="155"/>
      <c r="AE2010" s="155"/>
    </row>
    <row r="2011" spans="28:31" x14ac:dyDescent="0.2">
      <c r="AB2011" s="155"/>
      <c r="AD2011" s="155"/>
      <c r="AE2011" s="155"/>
    </row>
    <row r="2012" spans="28:31" x14ac:dyDescent="0.2">
      <c r="AB2012" s="155"/>
      <c r="AD2012" s="155"/>
      <c r="AE2012" s="155"/>
    </row>
    <row r="2013" spans="28:31" x14ac:dyDescent="0.2">
      <c r="AB2013" s="155"/>
      <c r="AD2013" s="155"/>
      <c r="AE2013" s="155"/>
    </row>
    <row r="2014" spans="28:31" x14ac:dyDescent="0.2">
      <c r="AB2014" s="155"/>
      <c r="AD2014" s="155"/>
      <c r="AE2014" s="155"/>
    </row>
    <row r="2015" spans="28:31" x14ac:dyDescent="0.2">
      <c r="AB2015" s="155"/>
      <c r="AD2015" s="155"/>
      <c r="AE2015" s="155"/>
    </row>
    <row r="2016" spans="28:31" x14ac:dyDescent="0.2">
      <c r="AB2016" s="155"/>
      <c r="AD2016" s="155"/>
      <c r="AE2016" s="155"/>
    </row>
    <row r="2017" spans="28:31" x14ac:dyDescent="0.2">
      <c r="AB2017" s="155"/>
      <c r="AD2017" s="155"/>
      <c r="AE2017" s="155"/>
    </row>
    <row r="2018" spans="28:31" x14ac:dyDescent="0.2">
      <c r="AB2018" s="155"/>
      <c r="AD2018" s="155"/>
      <c r="AE2018" s="155"/>
    </row>
    <row r="2019" spans="28:31" x14ac:dyDescent="0.2">
      <c r="AB2019" s="155"/>
      <c r="AD2019" s="155"/>
      <c r="AE2019" s="155"/>
    </row>
    <row r="2020" spans="28:31" x14ac:dyDescent="0.2">
      <c r="AB2020" s="155"/>
      <c r="AD2020" s="155"/>
      <c r="AE2020" s="155"/>
    </row>
    <row r="2021" spans="28:31" x14ac:dyDescent="0.2">
      <c r="AB2021" s="155"/>
      <c r="AD2021" s="155"/>
      <c r="AE2021" s="155"/>
    </row>
    <row r="2022" spans="28:31" x14ac:dyDescent="0.2">
      <c r="AB2022" s="155"/>
      <c r="AD2022" s="155"/>
      <c r="AE2022" s="155"/>
    </row>
    <row r="2023" spans="28:31" x14ac:dyDescent="0.2">
      <c r="AB2023" s="155"/>
      <c r="AD2023" s="155"/>
      <c r="AE2023" s="155"/>
    </row>
    <row r="2024" spans="28:31" x14ac:dyDescent="0.2">
      <c r="AB2024" s="155"/>
      <c r="AD2024" s="155"/>
      <c r="AE2024" s="155"/>
    </row>
    <row r="2025" spans="28:31" x14ac:dyDescent="0.2">
      <c r="AB2025" s="155"/>
      <c r="AD2025" s="155"/>
      <c r="AE2025" s="155"/>
    </row>
    <row r="2026" spans="28:31" x14ac:dyDescent="0.2">
      <c r="AB2026" s="155"/>
      <c r="AD2026" s="155"/>
      <c r="AE2026" s="155"/>
    </row>
    <row r="2027" spans="28:31" x14ac:dyDescent="0.2">
      <c r="AB2027" s="155"/>
      <c r="AD2027" s="155"/>
      <c r="AE2027" s="155"/>
    </row>
    <row r="2028" spans="28:31" x14ac:dyDescent="0.2">
      <c r="AB2028" s="155"/>
      <c r="AD2028" s="155"/>
      <c r="AE2028" s="155"/>
    </row>
    <row r="2029" spans="28:31" x14ac:dyDescent="0.2">
      <c r="AB2029" s="155"/>
      <c r="AD2029" s="155"/>
      <c r="AE2029" s="155"/>
    </row>
    <row r="2030" spans="28:31" x14ac:dyDescent="0.2">
      <c r="AB2030" s="155"/>
      <c r="AD2030" s="155"/>
      <c r="AE2030" s="155"/>
    </row>
    <row r="2031" spans="28:31" x14ac:dyDescent="0.2">
      <c r="AB2031" s="155"/>
      <c r="AD2031" s="155"/>
      <c r="AE2031" s="155"/>
    </row>
    <row r="2032" spans="28:31" x14ac:dyDescent="0.2">
      <c r="AB2032" s="155"/>
      <c r="AD2032" s="155"/>
      <c r="AE2032" s="155"/>
    </row>
    <row r="2033" spans="28:31" x14ac:dyDescent="0.2">
      <c r="AB2033" s="155"/>
      <c r="AD2033" s="155"/>
      <c r="AE2033" s="155"/>
    </row>
    <row r="2034" spans="28:31" x14ac:dyDescent="0.2">
      <c r="AB2034" s="155"/>
      <c r="AD2034" s="155"/>
      <c r="AE2034" s="155"/>
    </row>
    <row r="2035" spans="28:31" x14ac:dyDescent="0.2">
      <c r="AB2035" s="155"/>
      <c r="AD2035" s="155"/>
      <c r="AE2035" s="155"/>
    </row>
    <row r="2036" spans="28:31" x14ac:dyDescent="0.2">
      <c r="AB2036" s="155"/>
      <c r="AD2036" s="155"/>
      <c r="AE2036" s="155"/>
    </row>
    <row r="2037" spans="28:31" x14ac:dyDescent="0.2">
      <c r="AB2037" s="155"/>
      <c r="AD2037" s="155"/>
      <c r="AE2037" s="155"/>
    </row>
    <row r="2038" spans="28:31" x14ac:dyDescent="0.2">
      <c r="AB2038" s="155"/>
      <c r="AD2038" s="155"/>
      <c r="AE2038" s="155"/>
    </row>
    <row r="2039" spans="28:31" x14ac:dyDescent="0.2">
      <c r="AB2039" s="155"/>
      <c r="AD2039" s="155"/>
      <c r="AE2039" s="155"/>
    </row>
    <row r="2040" spans="28:31" x14ac:dyDescent="0.2">
      <c r="AB2040" s="155"/>
      <c r="AD2040" s="155"/>
      <c r="AE2040" s="155"/>
    </row>
    <row r="2041" spans="28:31" x14ac:dyDescent="0.2">
      <c r="AB2041" s="155"/>
      <c r="AD2041" s="155"/>
      <c r="AE2041" s="155"/>
    </row>
    <row r="2042" spans="28:31" x14ac:dyDescent="0.2">
      <c r="AB2042" s="155"/>
      <c r="AD2042" s="155"/>
      <c r="AE2042" s="155"/>
    </row>
    <row r="2043" spans="28:31" x14ac:dyDescent="0.2">
      <c r="AB2043" s="155"/>
      <c r="AD2043" s="155"/>
      <c r="AE2043" s="155"/>
    </row>
    <row r="2044" spans="28:31" x14ac:dyDescent="0.2">
      <c r="AB2044" s="155"/>
      <c r="AD2044" s="155"/>
      <c r="AE2044" s="155"/>
    </row>
    <row r="2045" spans="28:31" x14ac:dyDescent="0.2">
      <c r="AB2045" s="155"/>
      <c r="AD2045" s="155"/>
      <c r="AE2045" s="155"/>
    </row>
    <row r="2046" spans="28:31" x14ac:dyDescent="0.2">
      <c r="AB2046" s="155"/>
      <c r="AD2046" s="155"/>
      <c r="AE2046" s="155"/>
    </row>
    <row r="2047" spans="28:31" x14ac:dyDescent="0.2">
      <c r="AB2047" s="155"/>
      <c r="AD2047" s="155"/>
      <c r="AE2047" s="155"/>
    </row>
    <row r="2048" spans="28:31" x14ac:dyDescent="0.2">
      <c r="AB2048" s="155"/>
      <c r="AD2048" s="155"/>
      <c r="AE2048" s="155"/>
    </row>
    <row r="2049" spans="28:31" x14ac:dyDescent="0.2">
      <c r="AB2049" s="155"/>
      <c r="AD2049" s="155"/>
      <c r="AE2049" s="155"/>
    </row>
    <row r="2050" spans="28:31" x14ac:dyDescent="0.2">
      <c r="AB2050" s="155"/>
      <c r="AD2050" s="155"/>
      <c r="AE2050" s="155"/>
    </row>
    <row r="2051" spans="28:31" x14ac:dyDescent="0.2">
      <c r="AB2051" s="155"/>
      <c r="AD2051" s="155"/>
      <c r="AE2051" s="155"/>
    </row>
    <row r="2052" spans="28:31" x14ac:dyDescent="0.2">
      <c r="AB2052" s="155"/>
      <c r="AD2052" s="155"/>
      <c r="AE2052" s="155"/>
    </row>
    <row r="2053" spans="28:31" x14ac:dyDescent="0.2">
      <c r="AB2053" s="155"/>
      <c r="AD2053" s="155"/>
      <c r="AE2053" s="155"/>
    </row>
    <row r="2054" spans="28:31" x14ac:dyDescent="0.2">
      <c r="AB2054" s="155"/>
      <c r="AD2054" s="155"/>
      <c r="AE2054" s="155"/>
    </row>
    <row r="2055" spans="28:31" x14ac:dyDescent="0.2">
      <c r="AB2055" s="155"/>
      <c r="AD2055" s="155"/>
      <c r="AE2055" s="155"/>
    </row>
    <row r="2056" spans="28:31" x14ac:dyDescent="0.2">
      <c r="AB2056" s="155"/>
      <c r="AD2056" s="155"/>
      <c r="AE2056" s="155"/>
    </row>
    <row r="2057" spans="28:31" x14ac:dyDescent="0.2">
      <c r="AB2057" s="155"/>
      <c r="AD2057" s="155"/>
      <c r="AE2057" s="155"/>
    </row>
    <row r="2058" spans="28:31" x14ac:dyDescent="0.2">
      <c r="AB2058" s="155"/>
      <c r="AD2058" s="155"/>
      <c r="AE2058" s="155"/>
    </row>
    <row r="2059" spans="28:31" x14ac:dyDescent="0.2">
      <c r="AB2059" s="155"/>
      <c r="AD2059" s="155"/>
      <c r="AE2059" s="155"/>
    </row>
    <row r="2060" spans="28:31" x14ac:dyDescent="0.2">
      <c r="AB2060" s="155"/>
      <c r="AD2060" s="155"/>
      <c r="AE2060" s="155"/>
    </row>
    <row r="2061" spans="28:31" x14ac:dyDescent="0.2">
      <c r="AB2061" s="155"/>
      <c r="AD2061" s="155"/>
      <c r="AE2061" s="155"/>
    </row>
    <row r="2062" spans="28:31" x14ac:dyDescent="0.2">
      <c r="AB2062" s="155"/>
      <c r="AD2062" s="155"/>
      <c r="AE2062" s="155"/>
    </row>
    <row r="2063" spans="28:31" x14ac:dyDescent="0.2">
      <c r="AB2063" s="155"/>
      <c r="AD2063" s="155"/>
      <c r="AE2063" s="155"/>
    </row>
    <row r="2064" spans="28:31" x14ac:dyDescent="0.2">
      <c r="AB2064" s="155"/>
      <c r="AD2064" s="155"/>
      <c r="AE2064" s="155"/>
    </row>
    <row r="2065" spans="28:31" x14ac:dyDescent="0.2">
      <c r="AB2065" s="155"/>
      <c r="AD2065" s="155"/>
      <c r="AE2065" s="155"/>
    </row>
    <row r="2066" spans="28:31" x14ac:dyDescent="0.2">
      <c r="AB2066" s="155"/>
      <c r="AD2066" s="155"/>
      <c r="AE2066" s="155"/>
    </row>
    <row r="2067" spans="28:31" x14ac:dyDescent="0.2">
      <c r="AB2067" s="155"/>
      <c r="AD2067" s="155"/>
      <c r="AE2067" s="155"/>
    </row>
    <row r="2068" spans="28:31" x14ac:dyDescent="0.2">
      <c r="AB2068" s="155"/>
      <c r="AD2068" s="155"/>
      <c r="AE2068" s="155"/>
    </row>
    <row r="2069" spans="28:31" x14ac:dyDescent="0.2">
      <c r="AB2069" s="155"/>
      <c r="AD2069" s="155"/>
      <c r="AE2069" s="155"/>
    </row>
    <row r="2070" spans="28:31" x14ac:dyDescent="0.2">
      <c r="AB2070" s="155"/>
      <c r="AD2070" s="155"/>
      <c r="AE2070" s="155"/>
    </row>
    <row r="2071" spans="28:31" x14ac:dyDescent="0.2">
      <c r="AB2071" s="155"/>
      <c r="AD2071" s="155"/>
      <c r="AE2071" s="155"/>
    </row>
    <row r="2072" spans="28:31" x14ac:dyDescent="0.2">
      <c r="AB2072" s="155"/>
      <c r="AD2072" s="155"/>
      <c r="AE2072" s="155"/>
    </row>
    <row r="2073" spans="28:31" x14ac:dyDescent="0.2">
      <c r="AB2073" s="155"/>
      <c r="AD2073" s="155"/>
      <c r="AE2073" s="155"/>
    </row>
    <row r="2074" spans="28:31" x14ac:dyDescent="0.2">
      <c r="AB2074" s="155"/>
      <c r="AD2074" s="155"/>
      <c r="AE2074" s="155"/>
    </row>
    <row r="2075" spans="28:31" x14ac:dyDescent="0.2">
      <c r="AB2075" s="155"/>
      <c r="AD2075" s="155"/>
      <c r="AE2075" s="155"/>
    </row>
    <row r="2076" spans="28:31" x14ac:dyDescent="0.2">
      <c r="AB2076" s="155"/>
      <c r="AD2076" s="155"/>
      <c r="AE2076" s="155"/>
    </row>
    <row r="2077" spans="28:31" x14ac:dyDescent="0.2">
      <c r="AB2077" s="155"/>
      <c r="AD2077" s="155"/>
      <c r="AE2077" s="155"/>
    </row>
    <row r="2078" spans="28:31" x14ac:dyDescent="0.2">
      <c r="AB2078" s="155"/>
      <c r="AD2078" s="155"/>
      <c r="AE2078" s="155"/>
    </row>
    <row r="2079" spans="28:31" x14ac:dyDescent="0.2">
      <c r="AB2079" s="155"/>
      <c r="AD2079" s="155"/>
      <c r="AE2079" s="155"/>
    </row>
    <row r="2080" spans="28:31" x14ac:dyDescent="0.2">
      <c r="AB2080" s="155"/>
      <c r="AD2080" s="155"/>
      <c r="AE2080" s="155"/>
    </row>
    <row r="2081" spans="28:31" x14ac:dyDescent="0.2">
      <c r="AB2081" s="155"/>
      <c r="AD2081" s="155"/>
      <c r="AE2081" s="155"/>
    </row>
    <row r="2082" spans="28:31" x14ac:dyDescent="0.2">
      <c r="AB2082" s="155"/>
      <c r="AD2082" s="155"/>
      <c r="AE2082" s="155"/>
    </row>
    <row r="2083" spans="28:31" x14ac:dyDescent="0.2">
      <c r="AB2083" s="155"/>
      <c r="AD2083" s="155"/>
      <c r="AE2083" s="155"/>
    </row>
    <row r="2084" spans="28:31" x14ac:dyDescent="0.2">
      <c r="AB2084" s="155"/>
      <c r="AD2084" s="155"/>
      <c r="AE2084" s="155"/>
    </row>
    <row r="2085" spans="28:31" x14ac:dyDescent="0.2">
      <c r="AB2085" s="155"/>
      <c r="AD2085" s="155"/>
      <c r="AE2085" s="155"/>
    </row>
    <row r="2086" spans="28:31" x14ac:dyDescent="0.2">
      <c r="AB2086" s="155"/>
      <c r="AD2086" s="155"/>
      <c r="AE2086" s="155"/>
    </row>
    <row r="2087" spans="28:31" x14ac:dyDescent="0.2">
      <c r="AB2087" s="155"/>
      <c r="AD2087" s="155"/>
      <c r="AE2087" s="155"/>
    </row>
    <row r="2088" spans="28:31" x14ac:dyDescent="0.2">
      <c r="AB2088" s="155"/>
      <c r="AD2088" s="155"/>
      <c r="AE2088" s="155"/>
    </row>
    <row r="2089" spans="28:31" x14ac:dyDescent="0.2">
      <c r="AB2089" s="155"/>
      <c r="AD2089" s="155"/>
      <c r="AE2089" s="155"/>
    </row>
    <row r="2090" spans="28:31" x14ac:dyDescent="0.2">
      <c r="AB2090" s="155"/>
      <c r="AD2090" s="155"/>
      <c r="AE2090" s="155"/>
    </row>
    <row r="2091" spans="28:31" x14ac:dyDescent="0.2">
      <c r="AB2091" s="155"/>
      <c r="AD2091" s="155"/>
      <c r="AE2091" s="155"/>
    </row>
    <row r="2092" spans="28:31" x14ac:dyDescent="0.2">
      <c r="AB2092" s="155"/>
      <c r="AD2092" s="155"/>
      <c r="AE2092" s="155"/>
    </row>
    <row r="2093" spans="28:31" x14ac:dyDescent="0.2">
      <c r="AB2093" s="155"/>
      <c r="AD2093" s="155"/>
      <c r="AE2093" s="155"/>
    </row>
    <row r="2094" spans="28:31" x14ac:dyDescent="0.2">
      <c r="AB2094" s="155"/>
      <c r="AD2094" s="155"/>
      <c r="AE2094" s="155"/>
    </row>
    <row r="2095" spans="28:31" x14ac:dyDescent="0.2">
      <c r="AB2095" s="155"/>
      <c r="AD2095" s="155"/>
      <c r="AE2095" s="155"/>
    </row>
    <row r="2096" spans="28:31" x14ac:dyDescent="0.2">
      <c r="AB2096" s="155"/>
      <c r="AD2096" s="155"/>
      <c r="AE2096" s="155"/>
    </row>
    <row r="2097" spans="28:31" x14ac:dyDescent="0.2">
      <c r="AB2097" s="155"/>
      <c r="AD2097" s="155"/>
      <c r="AE2097" s="155"/>
    </row>
    <row r="2098" spans="28:31" x14ac:dyDescent="0.2">
      <c r="AB2098" s="155"/>
      <c r="AD2098" s="155"/>
      <c r="AE2098" s="155"/>
    </row>
    <row r="2099" spans="28:31" x14ac:dyDescent="0.2">
      <c r="AB2099" s="155"/>
      <c r="AD2099" s="155"/>
      <c r="AE2099" s="155"/>
    </row>
    <row r="2100" spans="28:31" x14ac:dyDescent="0.2">
      <c r="AB2100" s="155"/>
      <c r="AD2100" s="155"/>
      <c r="AE2100" s="155"/>
    </row>
    <row r="2101" spans="28:31" x14ac:dyDescent="0.2">
      <c r="AB2101" s="155"/>
      <c r="AD2101" s="155"/>
      <c r="AE2101" s="155"/>
    </row>
    <row r="2102" spans="28:31" x14ac:dyDescent="0.2">
      <c r="AB2102" s="155"/>
      <c r="AD2102" s="155"/>
      <c r="AE2102" s="155"/>
    </row>
    <row r="2103" spans="28:31" x14ac:dyDescent="0.2">
      <c r="AB2103" s="155"/>
      <c r="AD2103" s="155"/>
      <c r="AE2103" s="155"/>
    </row>
    <row r="2104" spans="28:31" x14ac:dyDescent="0.2">
      <c r="AB2104" s="155"/>
      <c r="AD2104" s="155"/>
      <c r="AE2104" s="155"/>
    </row>
    <row r="2105" spans="28:31" x14ac:dyDescent="0.2">
      <c r="AB2105" s="155"/>
      <c r="AD2105" s="155"/>
      <c r="AE2105" s="155"/>
    </row>
    <row r="2106" spans="28:31" x14ac:dyDescent="0.2">
      <c r="AB2106" s="155"/>
      <c r="AD2106" s="155"/>
      <c r="AE2106" s="155"/>
    </row>
    <row r="2107" spans="28:31" x14ac:dyDescent="0.2">
      <c r="AB2107" s="155"/>
      <c r="AD2107" s="155"/>
      <c r="AE2107" s="155"/>
    </row>
    <row r="2108" spans="28:31" x14ac:dyDescent="0.2">
      <c r="AB2108" s="155"/>
      <c r="AD2108" s="155"/>
      <c r="AE2108" s="155"/>
    </row>
    <row r="2109" spans="28:31" x14ac:dyDescent="0.2">
      <c r="AB2109" s="155"/>
      <c r="AD2109" s="155"/>
      <c r="AE2109" s="155"/>
    </row>
    <row r="2110" spans="28:31" x14ac:dyDescent="0.2">
      <c r="AB2110" s="155"/>
      <c r="AD2110" s="155"/>
      <c r="AE2110" s="155"/>
    </row>
    <row r="2111" spans="28:31" x14ac:dyDescent="0.2">
      <c r="AB2111" s="155"/>
      <c r="AD2111" s="155"/>
      <c r="AE2111" s="155"/>
    </row>
    <row r="2112" spans="28:31" x14ac:dyDescent="0.2">
      <c r="AB2112" s="155"/>
      <c r="AD2112" s="155"/>
      <c r="AE2112" s="155"/>
    </row>
    <row r="2113" spans="28:31" x14ac:dyDescent="0.2">
      <c r="AB2113" s="155"/>
      <c r="AD2113" s="155"/>
      <c r="AE2113" s="155"/>
    </row>
    <row r="2114" spans="28:31" x14ac:dyDescent="0.2">
      <c r="AB2114" s="155"/>
      <c r="AD2114" s="155"/>
      <c r="AE2114" s="155"/>
    </row>
    <row r="2115" spans="28:31" x14ac:dyDescent="0.2">
      <c r="AB2115" s="155"/>
      <c r="AD2115" s="155"/>
      <c r="AE2115" s="155"/>
    </row>
    <row r="2116" spans="28:31" x14ac:dyDescent="0.2">
      <c r="AB2116" s="155"/>
      <c r="AD2116" s="155"/>
      <c r="AE2116" s="155"/>
    </row>
    <row r="2117" spans="28:31" x14ac:dyDescent="0.2">
      <c r="AB2117" s="155"/>
      <c r="AD2117" s="155"/>
      <c r="AE2117" s="155"/>
    </row>
    <row r="2118" spans="28:31" x14ac:dyDescent="0.2">
      <c r="AB2118" s="155"/>
      <c r="AD2118" s="155"/>
      <c r="AE2118" s="155"/>
    </row>
    <row r="2119" spans="28:31" x14ac:dyDescent="0.2">
      <c r="AB2119" s="155"/>
      <c r="AD2119" s="155"/>
      <c r="AE2119" s="155"/>
    </row>
    <row r="2120" spans="28:31" x14ac:dyDescent="0.2">
      <c r="AB2120" s="155"/>
      <c r="AD2120" s="155"/>
      <c r="AE2120" s="155"/>
    </row>
    <row r="2121" spans="28:31" x14ac:dyDescent="0.2">
      <c r="AB2121" s="155"/>
      <c r="AD2121" s="155"/>
      <c r="AE2121" s="155"/>
    </row>
    <row r="2122" spans="28:31" x14ac:dyDescent="0.2">
      <c r="AB2122" s="155"/>
      <c r="AD2122" s="155"/>
      <c r="AE2122" s="155"/>
    </row>
    <row r="2123" spans="28:31" x14ac:dyDescent="0.2">
      <c r="AB2123" s="155"/>
      <c r="AD2123" s="155"/>
      <c r="AE2123" s="155"/>
    </row>
    <row r="2124" spans="28:31" x14ac:dyDescent="0.2">
      <c r="AB2124" s="155"/>
      <c r="AD2124" s="155"/>
      <c r="AE2124" s="155"/>
    </row>
    <row r="2125" spans="28:31" x14ac:dyDescent="0.2">
      <c r="AB2125" s="155"/>
      <c r="AD2125" s="155"/>
      <c r="AE2125" s="155"/>
    </row>
    <row r="2126" spans="28:31" x14ac:dyDescent="0.2">
      <c r="AB2126" s="155"/>
      <c r="AD2126" s="155"/>
      <c r="AE2126" s="155"/>
    </row>
    <row r="2127" spans="28:31" x14ac:dyDescent="0.2">
      <c r="AB2127" s="155"/>
      <c r="AD2127" s="155"/>
      <c r="AE2127" s="155"/>
    </row>
    <row r="2128" spans="28:31" x14ac:dyDescent="0.2">
      <c r="AB2128" s="155"/>
      <c r="AD2128" s="155"/>
      <c r="AE2128" s="155"/>
    </row>
    <row r="2129" spans="28:31" x14ac:dyDescent="0.2">
      <c r="AB2129" s="155"/>
      <c r="AD2129" s="155"/>
      <c r="AE2129" s="155"/>
    </row>
    <row r="2130" spans="28:31" x14ac:dyDescent="0.2">
      <c r="AB2130" s="155"/>
      <c r="AD2130" s="155"/>
      <c r="AE2130" s="155"/>
    </row>
    <row r="2131" spans="28:31" x14ac:dyDescent="0.2">
      <c r="AB2131" s="155"/>
      <c r="AD2131" s="155"/>
      <c r="AE2131" s="155"/>
    </row>
    <row r="2132" spans="28:31" x14ac:dyDescent="0.2">
      <c r="AB2132" s="155"/>
      <c r="AD2132" s="155"/>
      <c r="AE2132" s="155"/>
    </row>
    <row r="2133" spans="28:31" x14ac:dyDescent="0.2">
      <c r="AB2133" s="155"/>
      <c r="AD2133" s="155"/>
      <c r="AE2133" s="155"/>
    </row>
    <row r="2134" spans="28:31" x14ac:dyDescent="0.2">
      <c r="AB2134" s="155"/>
      <c r="AD2134" s="155"/>
      <c r="AE2134" s="155"/>
    </row>
    <row r="2135" spans="28:31" x14ac:dyDescent="0.2">
      <c r="AB2135" s="155"/>
      <c r="AD2135" s="155"/>
      <c r="AE2135" s="155"/>
    </row>
    <row r="2136" spans="28:31" x14ac:dyDescent="0.2">
      <c r="AB2136" s="155"/>
      <c r="AD2136" s="155"/>
      <c r="AE2136" s="155"/>
    </row>
    <row r="2137" spans="28:31" x14ac:dyDescent="0.2">
      <c r="AB2137" s="155"/>
      <c r="AD2137" s="155"/>
      <c r="AE2137" s="155"/>
    </row>
    <row r="2138" spans="28:31" x14ac:dyDescent="0.2">
      <c r="AB2138" s="155"/>
      <c r="AD2138" s="155"/>
      <c r="AE2138" s="155"/>
    </row>
    <row r="2139" spans="28:31" x14ac:dyDescent="0.2">
      <c r="AB2139" s="155"/>
      <c r="AD2139" s="155"/>
      <c r="AE2139" s="155"/>
    </row>
    <row r="2140" spans="28:31" x14ac:dyDescent="0.2">
      <c r="AB2140" s="155"/>
      <c r="AD2140" s="155"/>
      <c r="AE2140" s="155"/>
    </row>
    <row r="2141" spans="28:31" x14ac:dyDescent="0.2">
      <c r="AB2141" s="155"/>
      <c r="AD2141" s="155"/>
      <c r="AE2141" s="155"/>
    </row>
    <row r="2142" spans="28:31" x14ac:dyDescent="0.2">
      <c r="AB2142" s="155"/>
      <c r="AD2142" s="155"/>
      <c r="AE2142" s="155"/>
    </row>
    <row r="2143" spans="28:31" x14ac:dyDescent="0.2">
      <c r="AB2143" s="155"/>
      <c r="AD2143" s="155"/>
      <c r="AE2143" s="155"/>
    </row>
    <row r="2144" spans="28:31" x14ac:dyDescent="0.2">
      <c r="AB2144" s="155"/>
      <c r="AD2144" s="155"/>
      <c r="AE2144" s="155"/>
    </row>
    <row r="2145" spans="28:31" x14ac:dyDescent="0.2">
      <c r="AB2145" s="155"/>
      <c r="AD2145" s="155"/>
      <c r="AE2145" s="155"/>
    </row>
    <row r="2146" spans="28:31" x14ac:dyDescent="0.2">
      <c r="AB2146" s="155"/>
      <c r="AD2146" s="155"/>
      <c r="AE2146" s="155"/>
    </row>
    <row r="2147" spans="28:31" x14ac:dyDescent="0.2">
      <c r="AB2147" s="155"/>
      <c r="AD2147" s="155"/>
      <c r="AE2147" s="155"/>
    </row>
    <row r="2148" spans="28:31" x14ac:dyDescent="0.2">
      <c r="AB2148" s="155"/>
      <c r="AD2148" s="155"/>
      <c r="AE2148" s="155"/>
    </row>
    <row r="2149" spans="28:31" x14ac:dyDescent="0.2">
      <c r="AB2149" s="155"/>
      <c r="AD2149" s="155"/>
      <c r="AE2149" s="155"/>
    </row>
    <row r="2150" spans="28:31" x14ac:dyDescent="0.2">
      <c r="AB2150" s="155"/>
      <c r="AD2150" s="155"/>
      <c r="AE2150" s="155"/>
    </row>
    <row r="2151" spans="28:31" x14ac:dyDescent="0.2">
      <c r="AB2151" s="155"/>
      <c r="AD2151" s="155"/>
      <c r="AE2151" s="155"/>
    </row>
    <row r="2152" spans="28:31" x14ac:dyDescent="0.2">
      <c r="AB2152" s="155"/>
      <c r="AD2152" s="155"/>
      <c r="AE2152" s="155"/>
    </row>
    <row r="2153" spans="28:31" x14ac:dyDescent="0.2">
      <c r="AB2153" s="155"/>
      <c r="AD2153" s="155"/>
      <c r="AE2153" s="155"/>
    </row>
    <row r="2154" spans="28:31" x14ac:dyDescent="0.2">
      <c r="AB2154" s="155"/>
      <c r="AD2154" s="155"/>
      <c r="AE2154" s="155"/>
    </row>
    <row r="2155" spans="28:31" x14ac:dyDescent="0.2">
      <c r="AB2155" s="155"/>
      <c r="AD2155" s="155"/>
      <c r="AE2155" s="155"/>
    </row>
    <row r="2156" spans="28:31" x14ac:dyDescent="0.2">
      <c r="AB2156" s="155"/>
      <c r="AD2156" s="155"/>
      <c r="AE2156" s="155"/>
    </row>
    <row r="2157" spans="28:31" x14ac:dyDescent="0.2">
      <c r="AB2157" s="155"/>
      <c r="AD2157" s="155"/>
      <c r="AE2157" s="155"/>
    </row>
    <row r="2158" spans="28:31" x14ac:dyDescent="0.2">
      <c r="AB2158" s="155"/>
      <c r="AD2158" s="155"/>
      <c r="AE2158" s="155"/>
    </row>
    <row r="2159" spans="28:31" x14ac:dyDescent="0.2">
      <c r="AB2159" s="155"/>
      <c r="AD2159" s="155"/>
      <c r="AE2159" s="155"/>
    </row>
    <row r="2160" spans="28:31" x14ac:dyDescent="0.2">
      <c r="AB2160" s="155"/>
      <c r="AD2160" s="155"/>
      <c r="AE2160" s="155"/>
    </row>
    <row r="2161" spans="28:31" x14ac:dyDescent="0.2">
      <c r="AB2161" s="155"/>
      <c r="AD2161" s="155"/>
      <c r="AE2161" s="155"/>
    </row>
    <row r="2162" spans="28:31" x14ac:dyDescent="0.2">
      <c r="AB2162" s="155"/>
      <c r="AD2162" s="155"/>
      <c r="AE2162" s="155"/>
    </row>
    <row r="2163" spans="28:31" x14ac:dyDescent="0.2">
      <c r="AB2163" s="155"/>
      <c r="AD2163" s="155"/>
      <c r="AE2163" s="155"/>
    </row>
    <row r="2164" spans="28:31" x14ac:dyDescent="0.2">
      <c r="AB2164" s="155"/>
      <c r="AD2164" s="155"/>
      <c r="AE2164" s="155"/>
    </row>
    <row r="2165" spans="28:31" x14ac:dyDescent="0.2">
      <c r="AB2165" s="155"/>
      <c r="AD2165" s="155"/>
      <c r="AE2165" s="155"/>
    </row>
    <row r="2166" spans="28:31" x14ac:dyDescent="0.2">
      <c r="AB2166" s="155"/>
      <c r="AD2166" s="155"/>
      <c r="AE2166" s="155"/>
    </row>
    <row r="2167" spans="28:31" x14ac:dyDescent="0.2">
      <c r="AB2167" s="155"/>
      <c r="AD2167" s="155"/>
      <c r="AE2167" s="155"/>
    </row>
    <row r="2168" spans="28:31" x14ac:dyDescent="0.2">
      <c r="AB2168" s="155"/>
      <c r="AD2168" s="155"/>
      <c r="AE2168" s="155"/>
    </row>
    <row r="2169" spans="28:31" x14ac:dyDescent="0.2">
      <c r="AB2169" s="155"/>
      <c r="AD2169" s="155"/>
      <c r="AE2169" s="155"/>
    </row>
    <row r="2170" spans="28:31" x14ac:dyDescent="0.2">
      <c r="AB2170" s="155"/>
      <c r="AD2170" s="155"/>
      <c r="AE2170" s="155"/>
    </row>
    <row r="2171" spans="28:31" x14ac:dyDescent="0.2">
      <c r="AB2171" s="155"/>
      <c r="AD2171" s="155"/>
      <c r="AE2171" s="155"/>
    </row>
    <row r="2172" spans="28:31" x14ac:dyDescent="0.2">
      <c r="AB2172" s="155"/>
      <c r="AD2172" s="155"/>
      <c r="AE2172" s="155"/>
    </row>
    <row r="2173" spans="28:31" x14ac:dyDescent="0.2">
      <c r="AB2173" s="155"/>
      <c r="AD2173" s="155"/>
      <c r="AE2173" s="155"/>
    </row>
    <row r="2174" spans="28:31" x14ac:dyDescent="0.2">
      <c r="AB2174" s="155"/>
      <c r="AD2174" s="155"/>
      <c r="AE2174" s="155"/>
    </row>
    <row r="2175" spans="28:31" x14ac:dyDescent="0.2">
      <c r="AB2175" s="155"/>
      <c r="AD2175" s="155"/>
      <c r="AE2175" s="155"/>
    </row>
    <row r="2176" spans="28:31" x14ac:dyDescent="0.2">
      <c r="AB2176" s="155"/>
      <c r="AD2176" s="155"/>
      <c r="AE2176" s="155"/>
    </row>
    <row r="2177" spans="28:31" x14ac:dyDescent="0.2">
      <c r="AB2177" s="155"/>
      <c r="AD2177" s="155"/>
      <c r="AE2177" s="155"/>
    </row>
    <row r="2178" spans="28:31" x14ac:dyDescent="0.2">
      <c r="AB2178" s="155"/>
      <c r="AD2178" s="155"/>
      <c r="AE2178" s="155"/>
    </row>
    <row r="2179" spans="28:31" x14ac:dyDescent="0.2">
      <c r="AB2179" s="155"/>
      <c r="AD2179" s="155"/>
      <c r="AE2179" s="155"/>
    </row>
    <row r="2180" spans="28:31" x14ac:dyDescent="0.2">
      <c r="AB2180" s="155"/>
      <c r="AD2180" s="155"/>
      <c r="AE2180" s="155"/>
    </row>
    <row r="2181" spans="28:31" x14ac:dyDescent="0.2">
      <c r="AB2181" s="155"/>
      <c r="AD2181" s="155"/>
      <c r="AE2181" s="155"/>
    </row>
    <row r="2182" spans="28:31" x14ac:dyDescent="0.2">
      <c r="AB2182" s="155"/>
      <c r="AD2182" s="155"/>
      <c r="AE2182" s="155"/>
    </row>
    <row r="2183" spans="28:31" x14ac:dyDescent="0.2">
      <c r="AB2183" s="155"/>
      <c r="AD2183" s="155"/>
      <c r="AE2183" s="155"/>
    </row>
    <row r="2184" spans="28:31" x14ac:dyDescent="0.2">
      <c r="AB2184" s="155"/>
      <c r="AD2184" s="155"/>
      <c r="AE2184" s="155"/>
    </row>
    <row r="2185" spans="28:31" x14ac:dyDescent="0.2">
      <c r="AB2185" s="155"/>
      <c r="AD2185" s="155"/>
      <c r="AE2185" s="155"/>
    </row>
    <row r="2186" spans="28:31" x14ac:dyDescent="0.2">
      <c r="AB2186" s="155"/>
      <c r="AD2186" s="155"/>
      <c r="AE2186" s="155"/>
    </row>
    <row r="2187" spans="28:31" x14ac:dyDescent="0.2">
      <c r="AB2187" s="155"/>
      <c r="AD2187" s="155"/>
      <c r="AE2187" s="155"/>
    </row>
    <row r="2188" spans="28:31" x14ac:dyDescent="0.2">
      <c r="AB2188" s="155"/>
      <c r="AD2188" s="155"/>
      <c r="AE2188" s="155"/>
    </row>
    <row r="2189" spans="28:31" x14ac:dyDescent="0.2">
      <c r="AB2189" s="155"/>
      <c r="AD2189" s="155"/>
      <c r="AE2189" s="155"/>
    </row>
    <row r="2190" spans="28:31" x14ac:dyDescent="0.2">
      <c r="AB2190" s="155"/>
      <c r="AD2190" s="155"/>
      <c r="AE2190" s="155"/>
    </row>
    <row r="2191" spans="28:31" x14ac:dyDescent="0.2">
      <c r="AB2191" s="155"/>
      <c r="AD2191" s="155"/>
      <c r="AE2191" s="155"/>
    </row>
    <row r="2192" spans="28:31" x14ac:dyDescent="0.2">
      <c r="AB2192" s="155"/>
      <c r="AD2192" s="155"/>
      <c r="AE2192" s="155"/>
    </row>
    <row r="2193" spans="28:31" x14ac:dyDescent="0.2">
      <c r="AB2193" s="155"/>
      <c r="AD2193" s="155"/>
      <c r="AE2193" s="155"/>
    </row>
    <row r="2194" spans="28:31" x14ac:dyDescent="0.2">
      <c r="AB2194" s="155"/>
      <c r="AD2194" s="155"/>
      <c r="AE2194" s="155"/>
    </row>
    <row r="2195" spans="28:31" x14ac:dyDescent="0.2">
      <c r="AB2195" s="155"/>
      <c r="AD2195" s="155"/>
      <c r="AE2195" s="155"/>
    </row>
    <row r="2196" spans="28:31" x14ac:dyDescent="0.2">
      <c r="AB2196" s="155"/>
      <c r="AD2196" s="155"/>
      <c r="AE2196" s="155"/>
    </row>
    <row r="2197" spans="28:31" x14ac:dyDescent="0.2">
      <c r="AB2197" s="155"/>
      <c r="AD2197" s="155"/>
      <c r="AE2197" s="155"/>
    </row>
    <row r="2198" spans="28:31" x14ac:dyDescent="0.2">
      <c r="AB2198" s="155"/>
      <c r="AD2198" s="155"/>
      <c r="AE2198" s="155"/>
    </row>
    <row r="2199" spans="28:31" x14ac:dyDescent="0.2">
      <c r="AB2199" s="155"/>
      <c r="AD2199" s="155"/>
      <c r="AE2199" s="155"/>
    </row>
    <row r="2200" spans="28:31" x14ac:dyDescent="0.2">
      <c r="AB2200" s="155"/>
      <c r="AD2200" s="155"/>
      <c r="AE2200" s="155"/>
    </row>
    <row r="2201" spans="28:31" x14ac:dyDescent="0.2">
      <c r="AB2201" s="155"/>
      <c r="AD2201" s="155"/>
      <c r="AE2201" s="155"/>
    </row>
    <row r="2202" spans="28:31" x14ac:dyDescent="0.2">
      <c r="AB2202" s="155"/>
      <c r="AD2202" s="155"/>
      <c r="AE2202" s="155"/>
    </row>
    <row r="2203" spans="28:31" x14ac:dyDescent="0.2">
      <c r="AB2203" s="155"/>
      <c r="AD2203" s="155"/>
      <c r="AE2203" s="155"/>
    </row>
    <row r="2204" spans="28:31" x14ac:dyDescent="0.2">
      <c r="AB2204" s="155"/>
      <c r="AD2204" s="155"/>
      <c r="AE2204" s="155"/>
    </row>
    <row r="2205" spans="28:31" x14ac:dyDescent="0.2">
      <c r="AB2205" s="155"/>
      <c r="AD2205" s="155"/>
      <c r="AE2205" s="155"/>
    </row>
    <row r="2206" spans="28:31" x14ac:dyDescent="0.2">
      <c r="AB2206" s="155"/>
      <c r="AD2206" s="155"/>
      <c r="AE2206" s="155"/>
    </row>
    <row r="2207" spans="28:31" x14ac:dyDescent="0.2">
      <c r="AB2207" s="155"/>
      <c r="AD2207" s="155"/>
      <c r="AE2207" s="155"/>
    </row>
    <row r="2208" spans="28:31" x14ac:dyDescent="0.2">
      <c r="AB2208" s="155"/>
      <c r="AD2208" s="155"/>
      <c r="AE2208" s="155"/>
    </row>
    <row r="2209" spans="28:31" x14ac:dyDescent="0.2">
      <c r="AB2209" s="155"/>
      <c r="AD2209" s="155"/>
      <c r="AE2209" s="155"/>
    </row>
    <row r="2210" spans="28:31" x14ac:dyDescent="0.2">
      <c r="AB2210" s="155"/>
      <c r="AD2210" s="155"/>
      <c r="AE2210" s="155"/>
    </row>
    <row r="2211" spans="28:31" x14ac:dyDescent="0.2">
      <c r="AB2211" s="155"/>
      <c r="AD2211" s="155"/>
      <c r="AE2211" s="155"/>
    </row>
    <row r="2212" spans="28:31" x14ac:dyDescent="0.2">
      <c r="AB2212" s="155"/>
      <c r="AD2212" s="155"/>
      <c r="AE2212" s="155"/>
    </row>
    <row r="2213" spans="28:31" x14ac:dyDescent="0.2">
      <c r="AB2213" s="155"/>
      <c r="AD2213" s="155"/>
      <c r="AE2213" s="155"/>
    </row>
    <row r="2214" spans="28:31" x14ac:dyDescent="0.2">
      <c r="AB2214" s="155"/>
      <c r="AD2214" s="155"/>
      <c r="AE2214" s="155"/>
    </row>
    <row r="2215" spans="28:31" x14ac:dyDescent="0.2">
      <c r="AB2215" s="155"/>
      <c r="AD2215" s="155"/>
      <c r="AE2215" s="155"/>
    </row>
    <row r="2216" spans="28:31" x14ac:dyDescent="0.2">
      <c r="AB2216" s="155"/>
      <c r="AD2216" s="155"/>
      <c r="AE2216" s="155"/>
    </row>
    <row r="2217" spans="28:31" x14ac:dyDescent="0.2">
      <c r="AB2217" s="155"/>
      <c r="AD2217" s="155"/>
      <c r="AE2217" s="155"/>
    </row>
    <row r="2218" spans="28:31" x14ac:dyDescent="0.2">
      <c r="AB2218" s="155"/>
      <c r="AD2218" s="155"/>
      <c r="AE2218" s="155"/>
    </row>
    <row r="2219" spans="28:31" x14ac:dyDescent="0.2">
      <c r="AB2219" s="155"/>
      <c r="AD2219" s="155"/>
      <c r="AE2219" s="155"/>
    </row>
    <row r="2220" spans="28:31" x14ac:dyDescent="0.2">
      <c r="AB2220" s="155"/>
      <c r="AD2220" s="155"/>
      <c r="AE2220" s="155"/>
    </row>
    <row r="2221" spans="28:31" x14ac:dyDescent="0.2">
      <c r="AB2221" s="155"/>
      <c r="AD2221" s="155"/>
      <c r="AE2221" s="155"/>
    </row>
    <row r="2222" spans="28:31" x14ac:dyDescent="0.2">
      <c r="AB2222" s="155"/>
      <c r="AD2222" s="155"/>
      <c r="AE2222" s="155"/>
    </row>
    <row r="2223" spans="28:31" x14ac:dyDescent="0.2">
      <c r="AB2223" s="155"/>
      <c r="AD2223" s="155"/>
      <c r="AE2223" s="155"/>
    </row>
    <row r="2224" spans="28:31" x14ac:dyDescent="0.2">
      <c r="AB2224" s="155"/>
      <c r="AD2224" s="155"/>
      <c r="AE2224" s="155"/>
    </row>
    <row r="2225" spans="28:31" x14ac:dyDescent="0.2">
      <c r="AB2225" s="155"/>
      <c r="AD2225" s="155"/>
      <c r="AE2225" s="155"/>
    </row>
    <row r="2226" spans="28:31" x14ac:dyDescent="0.2">
      <c r="AB2226" s="155"/>
      <c r="AD2226" s="155"/>
      <c r="AE2226" s="155"/>
    </row>
    <row r="2227" spans="28:31" x14ac:dyDescent="0.2">
      <c r="AB2227" s="155"/>
      <c r="AD2227" s="155"/>
      <c r="AE2227" s="155"/>
    </row>
    <row r="2228" spans="28:31" x14ac:dyDescent="0.2">
      <c r="AB2228" s="155"/>
      <c r="AD2228" s="155"/>
      <c r="AE2228" s="155"/>
    </row>
    <row r="2229" spans="28:31" x14ac:dyDescent="0.2">
      <c r="AB2229" s="155"/>
      <c r="AD2229" s="155"/>
      <c r="AE2229" s="155"/>
    </row>
    <row r="2230" spans="28:31" x14ac:dyDescent="0.2">
      <c r="AB2230" s="155"/>
      <c r="AD2230" s="155"/>
      <c r="AE2230" s="155"/>
    </row>
    <row r="2231" spans="28:31" x14ac:dyDescent="0.2">
      <c r="AB2231" s="155"/>
      <c r="AD2231" s="155"/>
      <c r="AE2231" s="155"/>
    </row>
    <row r="2232" spans="28:31" x14ac:dyDescent="0.2">
      <c r="AB2232" s="155"/>
      <c r="AD2232" s="155"/>
      <c r="AE2232" s="155"/>
    </row>
    <row r="2233" spans="28:31" x14ac:dyDescent="0.2">
      <c r="AB2233" s="155"/>
      <c r="AD2233" s="155"/>
      <c r="AE2233" s="155"/>
    </row>
    <row r="2234" spans="28:31" x14ac:dyDescent="0.2">
      <c r="AB2234" s="155"/>
      <c r="AD2234" s="155"/>
      <c r="AE2234" s="155"/>
    </row>
    <row r="2235" spans="28:31" x14ac:dyDescent="0.2">
      <c r="AB2235" s="155"/>
      <c r="AD2235" s="155"/>
      <c r="AE2235" s="155"/>
    </row>
    <row r="2236" spans="28:31" x14ac:dyDescent="0.2">
      <c r="AB2236" s="155"/>
      <c r="AD2236" s="155"/>
      <c r="AE2236" s="155"/>
    </row>
    <row r="2237" spans="28:31" x14ac:dyDescent="0.2">
      <c r="AB2237" s="155"/>
      <c r="AD2237" s="155"/>
      <c r="AE2237" s="155"/>
    </row>
    <row r="2238" spans="28:31" x14ac:dyDescent="0.2">
      <c r="AB2238" s="155"/>
      <c r="AD2238" s="155"/>
      <c r="AE2238" s="155"/>
    </row>
    <row r="2239" spans="28:31" x14ac:dyDescent="0.2">
      <c r="AB2239" s="155"/>
      <c r="AD2239" s="155"/>
      <c r="AE2239" s="155"/>
    </row>
    <row r="2240" spans="28:31" x14ac:dyDescent="0.2">
      <c r="AB2240" s="155"/>
      <c r="AD2240" s="155"/>
      <c r="AE2240" s="155"/>
    </row>
    <row r="2241" spans="28:31" x14ac:dyDescent="0.2">
      <c r="AB2241" s="155"/>
      <c r="AD2241" s="155"/>
      <c r="AE2241" s="155"/>
    </row>
    <row r="2242" spans="28:31" x14ac:dyDescent="0.2">
      <c r="AB2242" s="155"/>
      <c r="AD2242" s="155"/>
      <c r="AE2242" s="155"/>
    </row>
    <row r="2243" spans="28:31" x14ac:dyDescent="0.2">
      <c r="AB2243" s="155"/>
      <c r="AD2243" s="155"/>
      <c r="AE2243" s="155"/>
    </row>
    <row r="2244" spans="28:31" x14ac:dyDescent="0.2">
      <c r="AB2244" s="155"/>
      <c r="AD2244" s="155"/>
      <c r="AE2244" s="155"/>
    </row>
    <row r="2245" spans="28:31" x14ac:dyDescent="0.2">
      <c r="AB2245" s="155"/>
      <c r="AD2245" s="155"/>
      <c r="AE2245" s="155"/>
    </row>
    <row r="2246" spans="28:31" x14ac:dyDescent="0.2">
      <c r="AB2246" s="155"/>
      <c r="AD2246" s="155"/>
      <c r="AE2246" s="155"/>
    </row>
    <row r="2247" spans="28:31" x14ac:dyDescent="0.2">
      <c r="AB2247" s="155"/>
      <c r="AD2247" s="155"/>
      <c r="AE2247" s="155"/>
    </row>
    <row r="2248" spans="28:31" x14ac:dyDescent="0.2">
      <c r="AB2248" s="155"/>
      <c r="AD2248" s="155"/>
      <c r="AE2248" s="155"/>
    </row>
    <row r="2249" spans="28:31" x14ac:dyDescent="0.2">
      <c r="AB2249" s="155"/>
      <c r="AD2249" s="155"/>
      <c r="AE2249" s="155"/>
    </row>
    <row r="2250" spans="28:31" x14ac:dyDescent="0.2">
      <c r="AB2250" s="155"/>
      <c r="AD2250" s="155"/>
      <c r="AE2250" s="155"/>
    </row>
    <row r="2251" spans="28:31" x14ac:dyDescent="0.2">
      <c r="AB2251" s="155"/>
      <c r="AD2251" s="155"/>
      <c r="AE2251" s="155"/>
    </row>
    <row r="2252" spans="28:31" x14ac:dyDescent="0.2">
      <c r="AB2252" s="155"/>
      <c r="AD2252" s="155"/>
      <c r="AE2252" s="155"/>
    </row>
    <row r="2253" spans="28:31" x14ac:dyDescent="0.2">
      <c r="AB2253" s="155"/>
      <c r="AD2253" s="155"/>
      <c r="AE2253" s="155"/>
    </row>
    <row r="2254" spans="28:31" x14ac:dyDescent="0.2">
      <c r="AB2254" s="155"/>
      <c r="AD2254" s="155"/>
      <c r="AE2254" s="155"/>
    </row>
    <row r="2255" spans="28:31" x14ac:dyDescent="0.2">
      <c r="AB2255" s="155"/>
      <c r="AD2255" s="155"/>
      <c r="AE2255" s="155"/>
    </row>
    <row r="2256" spans="28:31" x14ac:dyDescent="0.2">
      <c r="AB2256" s="155"/>
      <c r="AD2256" s="155"/>
      <c r="AE2256" s="155"/>
    </row>
    <row r="2257" spans="28:31" x14ac:dyDescent="0.2">
      <c r="AB2257" s="155"/>
      <c r="AD2257" s="155"/>
      <c r="AE2257" s="155"/>
    </row>
    <row r="2258" spans="28:31" x14ac:dyDescent="0.2">
      <c r="AB2258" s="155"/>
      <c r="AD2258" s="155"/>
      <c r="AE2258" s="155"/>
    </row>
    <row r="2259" spans="28:31" x14ac:dyDescent="0.2">
      <c r="AB2259" s="155"/>
      <c r="AD2259" s="155"/>
      <c r="AE2259" s="155"/>
    </row>
    <row r="2260" spans="28:31" x14ac:dyDescent="0.2">
      <c r="AB2260" s="155"/>
      <c r="AD2260" s="155"/>
      <c r="AE2260" s="155"/>
    </row>
    <row r="2261" spans="28:31" x14ac:dyDescent="0.2">
      <c r="AB2261" s="155"/>
      <c r="AD2261" s="155"/>
      <c r="AE2261" s="155"/>
    </row>
    <row r="2262" spans="28:31" x14ac:dyDescent="0.2">
      <c r="AB2262" s="155"/>
      <c r="AD2262" s="155"/>
      <c r="AE2262" s="155"/>
    </row>
    <row r="2263" spans="28:31" x14ac:dyDescent="0.2">
      <c r="AB2263" s="155"/>
      <c r="AD2263" s="155"/>
      <c r="AE2263" s="155"/>
    </row>
    <row r="2264" spans="28:31" x14ac:dyDescent="0.2">
      <c r="AB2264" s="155"/>
      <c r="AD2264" s="155"/>
      <c r="AE2264" s="155"/>
    </row>
    <row r="2265" spans="28:31" x14ac:dyDescent="0.2">
      <c r="AB2265" s="155"/>
      <c r="AD2265" s="155"/>
      <c r="AE2265" s="155"/>
    </row>
    <row r="2266" spans="28:31" x14ac:dyDescent="0.2">
      <c r="AB2266" s="155"/>
      <c r="AD2266" s="155"/>
      <c r="AE2266" s="155"/>
    </row>
    <row r="2267" spans="28:31" x14ac:dyDescent="0.2">
      <c r="AB2267" s="155"/>
      <c r="AD2267" s="155"/>
      <c r="AE2267" s="155"/>
    </row>
    <row r="2268" spans="28:31" x14ac:dyDescent="0.2">
      <c r="AB2268" s="155"/>
      <c r="AD2268" s="155"/>
      <c r="AE2268" s="155"/>
    </row>
    <row r="2269" spans="28:31" x14ac:dyDescent="0.2">
      <c r="AB2269" s="155"/>
      <c r="AD2269" s="155"/>
      <c r="AE2269" s="155"/>
    </row>
    <row r="2270" spans="28:31" x14ac:dyDescent="0.2">
      <c r="AB2270" s="155"/>
      <c r="AD2270" s="155"/>
      <c r="AE2270" s="155"/>
    </row>
    <row r="2271" spans="28:31" x14ac:dyDescent="0.2">
      <c r="AB2271" s="155"/>
      <c r="AD2271" s="155"/>
      <c r="AE2271" s="155"/>
    </row>
    <row r="2272" spans="28:31" x14ac:dyDescent="0.2">
      <c r="AB2272" s="155"/>
      <c r="AD2272" s="155"/>
      <c r="AE2272" s="155"/>
    </row>
    <row r="2273" spans="28:31" x14ac:dyDescent="0.2">
      <c r="AB2273" s="155"/>
      <c r="AD2273" s="155"/>
      <c r="AE2273" s="155"/>
    </row>
    <row r="2274" spans="28:31" x14ac:dyDescent="0.2">
      <c r="AB2274" s="155"/>
      <c r="AD2274" s="155"/>
      <c r="AE2274" s="155"/>
    </row>
    <row r="2275" spans="28:31" x14ac:dyDescent="0.2">
      <c r="AB2275" s="155"/>
      <c r="AD2275" s="155"/>
      <c r="AE2275" s="155"/>
    </row>
    <row r="2276" spans="28:31" x14ac:dyDescent="0.2">
      <c r="AB2276" s="155"/>
      <c r="AD2276" s="155"/>
      <c r="AE2276" s="155"/>
    </row>
    <row r="2277" spans="28:31" x14ac:dyDescent="0.2">
      <c r="AB2277" s="155"/>
      <c r="AD2277" s="155"/>
      <c r="AE2277" s="155"/>
    </row>
    <row r="2278" spans="28:31" x14ac:dyDescent="0.2">
      <c r="AB2278" s="155"/>
      <c r="AD2278" s="155"/>
      <c r="AE2278" s="155"/>
    </row>
    <row r="2279" spans="28:31" x14ac:dyDescent="0.2">
      <c r="AB2279" s="155"/>
      <c r="AD2279" s="155"/>
      <c r="AE2279" s="155"/>
    </row>
    <row r="2280" spans="28:31" x14ac:dyDescent="0.2">
      <c r="AB2280" s="155"/>
      <c r="AD2280" s="155"/>
      <c r="AE2280" s="155"/>
    </row>
    <row r="2281" spans="28:31" x14ac:dyDescent="0.2">
      <c r="AB2281" s="155"/>
      <c r="AD2281" s="155"/>
      <c r="AE2281" s="155"/>
    </row>
    <row r="2282" spans="28:31" x14ac:dyDescent="0.2">
      <c r="AB2282" s="155"/>
      <c r="AD2282" s="155"/>
      <c r="AE2282" s="155"/>
    </row>
    <row r="2283" spans="28:31" x14ac:dyDescent="0.2">
      <c r="AB2283" s="155"/>
      <c r="AD2283" s="155"/>
      <c r="AE2283" s="155"/>
    </row>
    <row r="2284" spans="28:31" x14ac:dyDescent="0.2">
      <c r="AB2284" s="155"/>
      <c r="AD2284" s="155"/>
      <c r="AE2284" s="155"/>
    </row>
    <row r="2285" spans="28:31" x14ac:dyDescent="0.2">
      <c r="AB2285" s="155"/>
      <c r="AD2285" s="155"/>
      <c r="AE2285" s="155"/>
    </row>
    <row r="2286" spans="28:31" x14ac:dyDescent="0.2">
      <c r="AB2286" s="155"/>
      <c r="AD2286" s="155"/>
      <c r="AE2286" s="155"/>
    </row>
    <row r="2287" spans="28:31" x14ac:dyDescent="0.2">
      <c r="AB2287" s="155"/>
      <c r="AD2287" s="155"/>
      <c r="AE2287" s="155"/>
    </row>
    <row r="2288" spans="28:31" x14ac:dyDescent="0.2">
      <c r="AB2288" s="155"/>
      <c r="AD2288" s="155"/>
      <c r="AE2288" s="155"/>
    </row>
    <row r="2289" spans="28:31" x14ac:dyDescent="0.2">
      <c r="AB2289" s="155"/>
      <c r="AD2289" s="155"/>
      <c r="AE2289" s="155"/>
    </row>
    <row r="2290" spans="28:31" x14ac:dyDescent="0.2">
      <c r="AB2290" s="155"/>
      <c r="AD2290" s="155"/>
      <c r="AE2290" s="155"/>
    </row>
    <row r="2291" spans="28:31" x14ac:dyDescent="0.2">
      <c r="AB2291" s="155"/>
      <c r="AD2291" s="155"/>
      <c r="AE2291" s="155"/>
    </row>
    <row r="2292" spans="28:31" x14ac:dyDescent="0.2">
      <c r="AB2292" s="155"/>
      <c r="AD2292" s="155"/>
      <c r="AE2292" s="155"/>
    </row>
    <row r="2293" spans="28:31" x14ac:dyDescent="0.2">
      <c r="AB2293" s="155"/>
      <c r="AD2293" s="155"/>
      <c r="AE2293" s="155"/>
    </row>
    <row r="2294" spans="28:31" x14ac:dyDescent="0.2">
      <c r="AB2294" s="155"/>
      <c r="AD2294" s="155"/>
      <c r="AE2294" s="155"/>
    </row>
    <row r="2295" spans="28:31" x14ac:dyDescent="0.2">
      <c r="AB2295" s="155"/>
      <c r="AD2295" s="155"/>
      <c r="AE2295" s="155"/>
    </row>
    <row r="2296" spans="28:31" x14ac:dyDescent="0.2">
      <c r="AB2296" s="155"/>
      <c r="AD2296" s="155"/>
      <c r="AE2296" s="155"/>
    </row>
    <row r="2297" spans="28:31" x14ac:dyDescent="0.2">
      <c r="AB2297" s="155"/>
      <c r="AD2297" s="155"/>
      <c r="AE2297" s="155"/>
    </row>
    <row r="2298" spans="28:31" x14ac:dyDescent="0.2">
      <c r="AB2298" s="155"/>
      <c r="AD2298" s="155"/>
      <c r="AE2298" s="155"/>
    </row>
    <row r="2299" spans="28:31" x14ac:dyDescent="0.2">
      <c r="AB2299" s="155"/>
      <c r="AD2299" s="155"/>
      <c r="AE2299" s="155"/>
    </row>
    <row r="2300" spans="28:31" x14ac:dyDescent="0.2">
      <c r="AB2300" s="155"/>
      <c r="AD2300" s="155"/>
      <c r="AE2300" s="155"/>
    </row>
    <row r="2301" spans="28:31" x14ac:dyDescent="0.2">
      <c r="AB2301" s="155"/>
      <c r="AD2301" s="155"/>
      <c r="AE2301" s="155"/>
    </row>
    <row r="2302" spans="28:31" x14ac:dyDescent="0.2">
      <c r="AB2302" s="155"/>
      <c r="AD2302" s="155"/>
      <c r="AE2302" s="155"/>
    </row>
    <row r="2303" spans="28:31" x14ac:dyDescent="0.2">
      <c r="AB2303" s="155"/>
      <c r="AD2303" s="155"/>
      <c r="AE2303" s="155"/>
    </row>
    <row r="2304" spans="28:31" x14ac:dyDescent="0.2">
      <c r="AB2304" s="155"/>
      <c r="AD2304" s="155"/>
      <c r="AE2304" s="155"/>
    </row>
    <row r="2305" spans="28:31" x14ac:dyDescent="0.2">
      <c r="AB2305" s="155"/>
      <c r="AD2305" s="155"/>
      <c r="AE2305" s="155"/>
    </row>
    <row r="2306" spans="28:31" x14ac:dyDescent="0.2">
      <c r="AB2306" s="155"/>
      <c r="AD2306" s="155"/>
      <c r="AE2306" s="155"/>
    </row>
    <row r="2307" spans="28:31" x14ac:dyDescent="0.2">
      <c r="AB2307" s="155"/>
      <c r="AD2307" s="155"/>
      <c r="AE2307" s="155"/>
    </row>
    <row r="2308" spans="28:31" x14ac:dyDescent="0.2">
      <c r="AB2308" s="155"/>
      <c r="AD2308" s="155"/>
      <c r="AE2308" s="155"/>
    </row>
    <row r="2309" spans="28:31" x14ac:dyDescent="0.2">
      <c r="AB2309" s="155"/>
      <c r="AD2309" s="155"/>
      <c r="AE2309" s="155"/>
    </row>
    <row r="2310" spans="28:31" x14ac:dyDescent="0.2">
      <c r="AB2310" s="155"/>
      <c r="AD2310" s="155"/>
      <c r="AE2310" s="155"/>
    </row>
    <row r="2311" spans="28:31" x14ac:dyDescent="0.2">
      <c r="AB2311" s="155"/>
      <c r="AD2311" s="155"/>
      <c r="AE2311" s="155"/>
    </row>
    <row r="2312" spans="28:31" x14ac:dyDescent="0.2">
      <c r="AB2312" s="155"/>
      <c r="AD2312" s="155"/>
      <c r="AE2312" s="155"/>
    </row>
    <row r="2313" spans="28:31" x14ac:dyDescent="0.2">
      <c r="AB2313" s="155"/>
      <c r="AD2313" s="155"/>
      <c r="AE2313" s="155"/>
    </row>
    <row r="2314" spans="28:31" x14ac:dyDescent="0.2">
      <c r="AB2314" s="155"/>
      <c r="AD2314" s="155"/>
      <c r="AE2314" s="155"/>
    </row>
    <row r="2315" spans="28:31" x14ac:dyDescent="0.2">
      <c r="AB2315" s="155"/>
      <c r="AD2315" s="155"/>
      <c r="AE2315" s="155"/>
    </row>
    <row r="2316" spans="28:31" x14ac:dyDescent="0.2">
      <c r="AB2316" s="155"/>
      <c r="AD2316" s="155"/>
      <c r="AE2316" s="155"/>
    </row>
    <row r="2317" spans="28:31" x14ac:dyDescent="0.2">
      <c r="AB2317" s="155"/>
      <c r="AD2317" s="155"/>
      <c r="AE2317" s="155"/>
    </row>
    <row r="2318" spans="28:31" x14ac:dyDescent="0.2">
      <c r="AB2318" s="155"/>
      <c r="AD2318" s="155"/>
      <c r="AE2318" s="155"/>
    </row>
    <row r="2319" spans="28:31" x14ac:dyDescent="0.2">
      <c r="AB2319" s="155"/>
      <c r="AD2319" s="155"/>
      <c r="AE2319" s="155"/>
    </row>
    <row r="2320" spans="28:31" x14ac:dyDescent="0.2">
      <c r="AB2320" s="155"/>
      <c r="AD2320" s="155"/>
      <c r="AE2320" s="155"/>
    </row>
    <row r="2321" spans="28:31" x14ac:dyDescent="0.2">
      <c r="AB2321" s="155"/>
      <c r="AD2321" s="155"/>
      <c r="AE2321" s="155"/>
    </row>
    <row r="2322" spans="28:31" x14ac:dyDescent="0.2">
      <c r="AB2322" s="155"/>
      <c r="AD2322" s="155"/>
      <c r="AE2322" s="155"/>
    </row>
    <row r="2323" spans="28:31" x14ac:dyDescent="0.2">
      <c r="AB2323" s="155"/>
      <c r="AD2323" s="155"/>
      <c r="AE2323" s="155"/>
    </row>
    <row r="2324" spans="28:31" x14ac:dyDescent="0.2">
      <c r="AB2324" s="155"/>
      <c r="AD2324" s="155"/>
      <c r="AE2324" s="155"/>
    </row>
    <row r="2325" spans="28:31" x14ac:dyDescent="0.2">
      <c r="AB2325" s="155"/>
      <c r="AD2325" s="155"/>
      <c r="AE2325" s="155"/>
    </row>
    <row r="2326" spans="28:31" x14ac:dyDescent="0.2">
      <c r="AB2326" s="155"/>
      <c r="AD2326" s="155"/>
      <c r="AE2326" s="155"/>
    </row>
    <row r="2327" spans="28:31" x14ac:dyDescent="0.2">
      <c r="AB2327" s="155"/>
      <c r="AD2327" s="155"/>
      <c r="AE2327" s="155"/>
    </row>
    <row r="2328" spans="28:31" x14ac:dyDescent="0.2">
      <c r="AB2328" s="155"/>
      <c r="AD2328" s="155"/>
      <c r="AE2328" s="155"/>
    </row>
    <row r="2329" spans="28:31" x14ac:dyDescent="0.2">
      <c r="AB2329" s="155"/>
      <c r="AD2329" s="155"/>
      <c r="AE2329" s="155"/>
    </row>
    <row r="2330" spans="28:31" x14ac:dyDescent="0.2">
      <c r="AB2330" s="155"/>
      <c r="AD2330" s="155"/>
      <c r="AE2330" s="155"/>
    </row>
    <row r="2331" spans="28:31" x14ac:dyDescent="0.2">
      <c r="AB2331" s="155"/>
      <c r="AD2331" s="155"/>
      <c r="AE2331" s="155"/>
    </row>
    <row r="2332" spans="28:31" x14ac:dyDescent="0.2">
      <c r="AB2332" s="155"/>
      <c r="AD2332" s="155"/>
      <c r="AE2332" s="155"/>
    </row>
    <row r="2333" spans="28:31" x14ac:dyDescent="0.2">
      <c r="AB2333" s="155"/>
      <c r="AD2333" s="155"/>
      <c r="AE2333" s="155"/>
    </row>
    <row r="2334" spans="28:31" x14ac:dyDescent="0.2">
      <c r="AB2334" s="155"/>
      <c r="AD2334" s="155"/>
      <c r="AE2334" s="155"/>
    </row>
    <row r="2335" spans="28:31" x14ac:dyDescent="0.2">
      <c r="AB2335" s="155"/>
      <c r="AD2335" s="155"/>
      <c r="AE2335" s="155"/>
    </row>
    <row r="2336" spans="28:31" x14ac:dyDescent="0.2">
      <c r="AB2336" s="155"/>
      <c r="AD2336" s="155"/>
      <c r="AE2336" s="155"/>
    </row>
    <row r="2337" spans="28:31" x14ac:dyDescent="0.2">
      <c r="AB2337" s="155"/>
      <c r="AD2337" s="155"/>
      <c r="AE2337" s="155"/>
    </row>
    <row r="2338" spans="28:31" x14ac:dyDescent="0.2">
      <c r="AB2338" s="155"/>
      <c r="AD2338" s="155"/>
      <c r="AE2338" s="155"/>
    </row>
    <row r="2339" spans="28:31" x14ac:dyDescent="0.2">
      <c r="AB2339" s="155"/>
      <c r="AD2339" s="155"/>
      <c r="AE2339" s="155"/>
    </row>
    <row r="2340" spans="28:31" x14ac:dyDescent="0.2">
      <c r="AB2340" s="155"/>
      <c r="AD2340" s="155"/>
      <c r="AE2340" s="155"/>
    </row>
    <row r="2341" spans="28:31" x14ac:dyDescent="0.2">
      <c r="AB2341" s="155"/>
      <c r="AD2341" s="155"/>
      <c r="AE2341" s="155"/>
    </row>
    <row r="2342" spans="28:31" x14ac:dyDescent="0.2">
      <c r="AB2342" s="155"/>
      <c r="AD2342" s="155"/>
      <c r="AE2342" s="155"/>
    </row>
    <row r="2343" spans="28:31" x14ac:dyDescent="0.2">
      <c r="AB2343" s="155"/>
      <c r="AD2343" s="155"/>
      <c r="AE2343" s="155"/>
    </row>
    <row r="2344" spans="28:31" x14ac:dyDescent="0.2">
      <c r="AB2344" s="155"/>
      <c r="AD2344" s="155"/>
      <c r="AE2344" s="155"/>
    </row>
    <row r="2345" spans="28:31" x14ac:dyDescent="0.2">
      <c r="AB2345" s="155"/>
      <c r="AD2345" s="155"/>
      <c r="AE2345" s="155"/>
    </row>
    <row r="2346" spans="28:31" x14ac:dyDescent="0.2">
      <c r="AB2346" s="155"/>
      <c r="AD2346" s="155"/>
      <c r="AE2346" s="155"/>
    </row>
    <row r="2347" spans="28:31" x14ac:dyDescent="0.2">
      <c r="AB2347" s="155"/>
      <c r="AD2347" s="155"/>
      <c r="AE2347" s="155"/>
    </row>
    <row r="2348" spans="28:31" x14ac:dyDescent="0.2">
      <c r="AB2348" s="155"/>
      <c r="AD2348" s="155"/>
      <c r="AE2348" s="155"/>
    </row>
    <row r="2349" spans="28:31" x14ac:dyDescent="0.2">
      <c r="AB2349" s="155"/>
      <c r="AD2349" s="155"/>
      <c r="AE2349" s="155"/>
    </row>
    <row r="2350" spans="28:31" x14ac:dyDescent="0.2">
      <c r="AB2350" s="155"/>
      <c r="AD2350" s="155"/>
      <c r="AE2350" s="155"/>
    </row>
    <row r="2351" spans="28:31" x14ac:dyDescent="0.2">
      <c r="AB2351" s="155"/>
      <c r="AD2351" s="155"/>
      <c r="AE2351" s="155"/>
    </row>
    <row r="2352" spans="28:31" x14ac:dyDescent="0.2">
      <c r="AB2352" s="155"/>
      <c r="AD2352" s="155"/>
      <c r="AE2352" s="155"/>
    </row>
    <row r="2353" spans="28:31" x14ac:dyDescent="0.2">
      <c r="AB2353" s="155"/>
      <c r="AD2353" s="155"/>
      <c r="AE2353" s="155"/>
    </row>
    <row r="2354" spans="28:31" x14ac:dyDescent="0.2">
      <c r="AB2354" s="155"/>
      <c r="AD2354" s="155"/>
      <c r="AE2354" s="155"/>
    </row>
    <row r="2355" spans="28:31" x14ac:dyDescent="0.2">
      <c r="AB2355" s="155"/>
      <c r="AD2355" s="155"/>
      <c r="AE2355" s="155"/>
    </row>
    <row r="2356" spans="28:31" x14ac:dyDescent="0.2">
      <c r="AB2356" s="155"/>
      <c r="AD2356" s="155"/>
      <c r="AE2356" s="155"/>
    </row>
    <row r="2357" spans="28:31" x14ac:dyDescent="0.2">
      <c r="AB2357" s="155"/>
      <c r="AD2357" s="155"/>
      <c r="AE2357" s="155"/>
    </row>
    <row r="2358" spans="28:31" x14ac:dyDescent="0.2">
      <c r="AB2358" s="155"/>
      <c r="AD2358" s="155"/>
      <c r="AE2358" s="155"/>
    </row>
    <row r="2359" spans="28:31" x14ac:dyDescent="0.2">
      <c r="AB2359" s="155"/>
      <c r="AD2359" s="155"/>
      <c r="AE2359" s="155"/>
    </row>
    <row r="2360" spans="28:31" x14ac:dyDescent="0.2">
      <c r="AB2360" s="155"/>
      <c r="AD2360" s="155"/>
      <c r="AE2360" s="155"/>
    </row>
    <row r="2361" spans="28:31" x14ac:dyDescent="0.2">
      <c r="AB2361" s="155"/>
      <c r="AD2361" s="155"/>
      <c r="AE2361" s="155"/>
    </row>
    <row r="2362" spans="28:31" x14ac:dyDescent="0.2">
      <c r="AB2362" s="155"/>
      <c r="AD2362" s="155"/>
      <c r="AE2362" s="155"/>
    </row>
    <row r="2363" spans="28:31" x14ac:dyDescent="0.2">
      <c r="AB2363" s="155"/>
      <c r="AD2363" s="155"/>
      <c r="AE2363" s="155"/>
    </row>
    <row r="2364" spans="28:31" x14ac:dyDescent="0.2">
      <c r="AB2364" s="155"/>
      <c r="AD2364" s="155"/>
      <c r="AE2364" s="155"/>
    </row>
    <row r="2365" spans="28:31" x14ac:dyDescent="0.2">
      <c r="AB2365" s="155"/>
      <c r="AD2365" s="155"/>
      <c r="AE2365" s="155"/>
    </row>
    <row r="2366" spans="28:31" x14ac:dyDescent="0.2">
      <c r="AB2366" s="155"/>
      <c r="AD2366" s="155"/>
      <c r="AE2366" s="155"/>
    </row>
    <row r="2367" spans="28:31" x14ac:dyDescent="0.2">
      <c r="AB2367" s="155"/>
      <c r="AD2367" s="155"/>
      <c r="AE2367" s="155"/>
    </row>
    <row r="2368" spans="28:31" x14ac:dyDescent="0.2">
      <c r="AB2368" s="155"/>
      <c r="AD2368" s="155"/>
      <c r="AE2368" s="155"/>
    </row>
    <row r="2369" spans="28:31" x14ac:dyDescent="0.2">
      <c r="AB2369" s="155"/>
      <c r="AD2369" s="155"/>
      <c r="AE2369" s="155"/>
    </row>
    <row r="2370" spans="28:31" x14ac:dyDescent="0.2">
      <c r="AB2370" s="155"/>
      <c r="AD2370" s="155"/>
      <c r="AE2370" s="155"/>
    </row>
    <row r="2371" spans="28:31" x14ac:dyDescent="0.2">
      <c r="AB2371" s="155"/>
      <c r="AD2371" s="155"/>
      <c r="AE2371" s="155"/>
    </row>
    <row r="2372" spans="28:31" x14ac:dyDescent="0.2">
      <c r="AB2372" s="155"/>
      <c r="AD2372" s="155"/>
      <c r="AE2372" s="155"/>
    </row>
    <row r="2373" spans="28:31" x14ac:dyDescent="0.2">
      <c r="AB2373" s="155"/>
      <c r="AD2373" s="155"/>
      <c r="AE2373" s="155"/>
    </row>
    <row r="2374" spans="28:31" x14ac:dyDescent="0.2">
      <c r="AB2374" s="155"/>
      <c r="AD2374" s="155"/>
      <c r="AE2374" s="155"/>
    </row>
    <row r="2375" spans="28:31" x14ac:dyDescent="0.2">
      <c r="AB2375" s="155"/>
      <c r="AD2375" s="155"/>
      <c r="AE2375" s="155"/>
    </row>
    <row r="2376" spans="28:31" x14ac:dyDescent="0.2">
      <c r="AB2376" s="155"/>
      <c r="AD2376" s="155"/>
      <c r="AE2376" s="155"/>
    </row>
    <row r="2377" spans="28:31" x14ac:dyDescent="0.2">
      <c r="AB2377" s="155"/>
      <c r="AD2377" s="155"/>
      <c r="AE2377" s="155"/>
    </row>
    <row r="2378" spans="28:31" x14ac:dyDescent="0.2">
      <c r="AB2378" s="155"/>
      <c r="AD2378" s="155"/>
      <c r="AE2378" s="155"/>
    </row>
    <row r="2379" spans="28:31" x14ac:dyDescent="0.2">
      <c r="AB2379" s="155"/>
      <c r="AD2379" s="155"/>
      <c r="AE2379" s="155"/>
    </row>
    <row r="2380" spans="28:31" x14ac:dyDescent="0.2">
      <c r="AB2380" s="155"/>
      <c r="AD2380" s="155"/>
      <c r="AE2380" s="155"/>
    </row>
    <row r="2381" spans="28:31" x14ac:dyDescent="0.2">
      <c r="AB2381" s="155"/>
      <c r="AD2381" s="155"/>
      <c r="AE2381" s="155"/>
    </row>
    <row r="2382" spans="28:31" x14ac:dyDescent="0.2">
      <c r="AB2382" s="155"/>
      <c r="AD2382" s="155"/>
      <c r="AE2382" s="155"/>
    </row>
    <row r="2383" spans="28:31" x14ac:dyDescent="0.2">
      <c r="AB2383" s="155"/>
      <c r="AD2383" s="155"/>
      <c r="AE2383" s="155"/>
    </row>
    <row r="2384" spans="28:31" x14ac:dyDescent="0.2">
      <c r="AB2384" s="155"/>
      <c r="AD2384" s="155"/>
      <c r="AE2384" s="155"/>
    </row>
    <row r="2385" spans="28:31" x14ac:dyDescent="0.2">
      <c r="AB2385" s="155"/>
      <c r="AD2385" s="155"/>
      <c r="AE2385" s="155"/>
    </row>
    <row r="2386" spans="28:31" x14ac:dyDescent="0.2">
      <c r="AB2386" s="155"/>
      <c r="AD2386" s="155"/>
      <c r="AE2386" s="155"/>
    </row>
    <row r="2387" spans="28:31" x14ac:dyDescent="0.2">
      <c r="AB2387" s="155"/>
      <c r="AD2387" s="155"/>
      <c r="AE2387" s="155"/>
    </row>
    <row r="2388" spans="28:31" x14ac:dyDescent="0.2">
      <c r="AB2388" s="155"/>
      <c r="AD2388" s="155"/>
      <c r="AE2388" s="155"/>
    </row>
    <row r="2389" spans="28:31" x14ac:dyDescent="0.2">
      <c r="AB2389" s="155"/>
      <c r="AD2389" s="155"/>
      <c r="AE2389" s="155"/>
    </row>
    <row r="2390" spans="28:31" x14ac:dyDescent="0.2">
      <c r="AB2390" s="155"/>
      <c r="AD2390" s="155"/>
      <c r="AE2390" s="155"/>
    </row>
    <row r="2391" spans="28:31" x14ac:dyDescent="0.2">
      <c r="AB2391" s="155"/>
      <c r="AD2391" s="155"/>
      <c r="AE2391" s="155"/>
    </row>
    <row r="2392" spans="28:31" x14ac:dyDescent="0.2">
      <c r="AB2392" s="155"/>
      <c r="AD2392" s="155"/>
      <c r="AE2392" s="155"/>
    </row>
    <row r="2393" spans="28:31" x14ac:dyDescent="0.2">
      <c r="AB2393" s="155"/>
      <c r="AD2393" s="155"/>
      <c r="AE2393" s="155"/>
    </row>
    <row r="2394" spans="28:31" x14ac:dyDescent="0.2">
      <c r="AB2394" s="155"/>
      <c r="AD2394" s="155"/>
      <c r="AE2394" s="155"/>
    </row>
    <row r="2395" spans="28:31" x14ac:dyDescent="0.2">
      <c r="AB2395" s="155"/>
      <c r="AD2395" s="155"/>
      <c r="AE2395" s="155"/>
    </row>
    <row r="2396" spans="28:31" x14ac:dyDescent="0.2">
      <c r="AB2396" s="155"/>
      <c r="AD2396" s="155"/>
      <c r="AE2396" s="155"/>
    </row>
    <row r="2397" spans="28:31" x14ac:dyDescent="0.2">
      <c r="AB2397" s="155"/>
      <c r="AD2397" s="155"/>
      <c r="AE2397" s="155"/>
    </row>
    <row r="2398" spans="28:31" x14ac:dyDescent="0.2">
      <c r="AB2398" s="155"/>
      <c r="AD2398" s="155"/>
      <c r="AE2398" s="155"/>
    </row>
    <row r="2399" spans="28:31" x14ac:dyDescent="0.2">
      <c r="AB2399" s="155"/>
      <c r="AD2399" s="155"/>
      <c r="AE2399" s="155"/>
    </row>
    <row r="2400" spans="28:31" x14ac:dyDescent="0.2">
      <c r="AB2400" s="155"/>
      <c r="AD2400" s="155"/>
      <c r="AE2400" s="155"/>
    </row>
    <row r="2401" spans="28:31" x14ac:dyDescent="0.2">
      <c r="AB2401" s="155"/>
      <c r="AD2401" s="155"/>
      <c r="AE2401" s="155"/>
    </row>
    <row r="2402" spans="28:31" x14ac:dyDescent="0.2">
      <c r="AB2402" s="155"/>
      <c r="AD2402" s="155"/>
      <c r="AE2402" s="155"/>
    </row>
    <row r="2403" spans="28:31" x14ac:dyDescent="0.2">
      <c r="AB2403" s="155"/>
      <c r="AD2403" s="155"/>
      <c r="AE2403" s="155"/>
    </row>
    <row r="2404" spans="28:31" x14ac:dyDescent="0.2">
      <c r="AB2404" s="155"/>
      <c r="AD2404" s="155"/>
      <c r="AE2404" s="155"/>
    </row>
    <row r="2405" spans="28:31" x14ac:dyDescent="0.2">
      <c r="AB2405" s="155"/>
      <c r="AD2405" s="155"/>
      <c r="AE2405" s="155"/>
    </row>
    <row r="2406" spans="28:31" x14ac:dyDescent="0.2">
      <c r="AB2406" s="155"/>
      <c r="AD2406" s="155"/>
      <c r="AE2406" s="155"/>
    </row>
    <row r="2407" spans="28:31" x14ac:dyDescent="0.2">
      <c r="AB2407" s="155"/>
      <c r="AD2407" s="155"/>
      <c r="AE2407" s="155"/>
    </row>
    <row r="2408" spans="28:31" x14ac:dyDescent="0.2">
      <c r="AB2408" s="155"/>
      <c r="AD2408" s="155"/>
      <c r="AE2408" s="155"/>
    </row>
    <row r="2409" spans="28:31" x14ac:dyDescent="0.2">
      <c r="AB2409" s="155"/>
      <c r="AD2409" s="155"/>
      <c r="AE2409" s="155"/>
    </row>
    <row r="2410" spans="28:31" x14ac:dyDescent="0.2">
      <c r="AB2410" s="155"/>
      <c r="AD2410" s="155"/>
      <c r="AE2410" s="155"/>
    </row>
    <row r="2411" spans="28:31" x14ac:dyDescent="0.2">
      <c r="AB2411" s="155"/>
      <c r="AD2411" s="155"/>
      <c r="AE2411" s="155"/>
    </row>
    <row r="2412" spans="28:31" x14ac:dyDescent="0.2">
      <c r="AB2412" s="155"/>
      <c r="AD2412" s="155"/>
      <c r="AE2412" s="155"/>
    </row>
    <row r="2413" spans="28:31" x14ac:dyDescent="0.2">
      <c r="AB2413" s="155"/>
      <c r="AD2413" s="155"/>
      <c r="AE2413" s="155"/>
    </row>
    <row r="2414" spans="28:31" x14ac:dyDescent="0.2">
      <c r="AB2414" s="155"/>
      <c r="AD2414" s="155"/>
      <c r="AE2414" s="155"/>
    </row>
    <row r="2415" spans="28:31" x14ac:dyDescent="0.2">
      <c r="AB2415" s="155"/>
      <c r="AD2415" s="155"/>
      <c r="AE2415" s="155"/>
    </row>
    <row r="2416" spans="28:31" x14ac:dyDescent="0.2">
      <c r="AB2416" s="155"/>
      <c r="AD2416" s="155"/>
      <c r="AE2416" s="155"/>
    </row>
    <row r="2417" spans="28:31" x14ac:dyDescent="0.2">
      <c r="AB2417" s="155"/>
      <c r="AD2417" s="155"/>
      <c r="AE2417" s="155"/>
    </row>
    <row r="2418" spans="28:31" x14ac:dyDescent="0.2">
      <c r="AB2418" s="155"/>
      <c r="AD2418" s="155"/>
      <c r="AE2418" s="155"/>
    </row>
    <row r="2419" spans="28:31" x14ac:dyDescent="0.2">
      <c r="AB2419" s="155"/>
      <c r="AD2419" s="155"/>
      <c r="AE2419" s="155"/>
    </row>
    <row r="2420" spans="28:31" x14ac:dyDescent="0.2">
      <c r="AB2420" s="155"/>
      <c r="AD2420" s="155"/>
      <c r="AE2420" s="155"/>
    </row>
    <row r="2421" spans="28:31" x14ac:dyDescent="0.2">
      <c r="AB2421" s="155"/>
      <c r="AD2421" s="155"/>
      <c r="AE2421" s="155"/>
    </row>
    <row r="2422" spans="28:31" x14ac:dyDescent="0.2">
      <c r="AB2422" s="155"/>
      <c r="AD2422" s="155"/>
      <c r="AE2422" s="155"/>
    </row>
    <row r="2423" spans="28:31" x14ac:dyDescent="0.2">
      <c r="AB2423" s="155"/>
      <c r="AD2423" s="155"/>
      <c r="AE2423" s="155"/>
    </row>
    <row r="2424" spans="28:31" x14ac:dyDescent="0.2">
      <c r="AB2424" s="155"/>
      <c r="AD2424" s="155"/>
      <c r="AE2424" s="155"/>
    </row>
    <row r="2425" spans="28:31" x14ac:dyDescent="0.2">
      <c r="AB2425" s="155"/>
      <c r="AD2425" s="155"/>
      <c r="AE2425" s="155"/>
    </row>
    <row r="2426" spans="28:31" x14ac:dyDescent="0.2">
      <c r="AB2426" s="155"/>
      <c r="AD2426" s="155"/>
      <c r="AE2426" s="155"/>
    </row>
    <row r="2427" spans="28:31" x14ac:dyDescent="0.2">
      <c r="AB2427" s="155"/>
      <c r="AD2427" s="155"/>
      <c r="AE2427" s="155"/>
    </row>
    <row r="2428" spans="28:31" x14ac:dyDescent="0.2">
      <c r="AB2428" s="155"/>
      <c r="AD2428" s="155"/>
      <c r="AE2428" s="155"/>
    </row>
    <row r="2429" spans="28:31" x14ac:dyDescent="0.2">
      <c r="AB2429" s="155"/>
      <c r="AD2429" s="155"/>
      <c r="AE2429" s="155"/>
    </row>
    <row r="2430" spans="28:31" x14ac:dyDescent="0.2">
      <c r="AB2430" s="155"/>
      <c r="AD2430" s="155"/>
      <c r="AE2430" s="155"/>
    </row>
    <row r="2431" spans="28:31" x14ac:dyDescent="0.2">
      <c r="AB2431" s="155"/>
      <c r="AD2431" s="155"/>
      <c r="AE2431" s="155"/>
    </row>
    <row r="2432" spans="28:31" x14ac:dyDescent="0.2">
      <c r="AB2432" s="155"/>
      <c r="AD2432" s="155"/>
      <c r="AE2432" s="155"/>
    </row>
    <row r="2433" spans="28:31" x14ac:dyDescent="0.2">
      <c r="AB2433" s="155"/>
      <c r="AD2433" s="155"/>
      <c r="AE2433" s="155"/>
    </row>
    <row r="2434" spans="28:31" x14ac:dyDescent="0.2">
      <c r="AB2434" s="155"/>
      <c r="AD2434" s="155"/>
      <c r="AE2434" s="155"/>
    </row>
    <row r="2435" spans="28:31" x14ac:dyDescent="0.2">
      <c r="AB2435" s="155"/>
      <c r="AD2435" s="155"/>
      <c r="AE2435" s="155"/>
    </row>
    <row r="2436" spans="28:31" x14ac:dyDescent="0.2">
      <c r="AB2436" s="155"/>
      <c r="AD2436" s="155"/>
      <c r="AE2436" s="155"/>
    </row>
    <row r="2437" spans="28:31" x14ac:dyDescent="0.2">
      <c r="AB2437" s="155"/>
      <c r="AD2437" s="155"/>
      <c r="AE2437" s="155"/>
    </row>
    <row r="2438" spans="28:31" x14ac:dyDescent="0.2">
      <c r="AB2438" s="155"/>
      <c r="AD2438" s="155"/>
      <c r="AE2438" s="155"/>
    </row>
    <row r="2439" spans="28:31" x14ac:dyDescent="0.2">
      <c r="AB2439" s="155"/>
      <c r="AD2439" s="155"/>
      <c r="AE2439" s="155"/>
    </row>
    <row r="2440" spans="28:31" x14ac:dyDescent="0.2">
      <c r="AB2440" s="155"/>
      <c r="AD2440" s="155"/>
      <c r="AE2440" s="155"/>
    </row>
    <row r="2441" spans="28:31" x14ac:dyDescent="0.2">
      <c r="AB2441" s="155"/>
      <c r="AD2441" s="155"/>
      <c r="AE2441" s="155"/>
    </row>
    <row r="2442" spans="28:31" x14ac:dyDescent="0.2">
      <c r="AB2442" s="155"/>
      <c r="AD2442" s="155"/>
      <c r="AE2442" s="155"/>
    </row>
    <row r="2443" spans="28:31" x14ac:dyDescent="0.2">
      <c r="AB2443" s="155"/>
      <c r="AD2443" s="155"/>
      <c r="AE2443" s="155"/>
    </row>
    <row r="2444" spans="28:31" x14ac:dyDescent="0.2">
      <c r="AB2444" s="155"/>
      <c r="AD2444" s="155"/>
      <c r="AE2444" s="155"/>
    </row>
    <row r="2445" spans="28:31" x14ac:dyDescent="0.2">
      <c r="AB2445" s="155"/>
      <c r="AD2445" s="155"/>
      <c r="AE2445" s="155"/>
    </row>
    <row r="2446" spans="28:31" x14ac:dyDescent="0.2">
      <c r="AB2446" s="155"/>
      <c r="AD2446" s="155"/>
      <c r="AE2446" s="155"/>
    </row>
    <row r="2447" spans="28:31" x14ac:dyDescent="0.2">
      <c r="AB2447" s="155"/>
      <c r="AD2447" s="155"/>
      <c r="AE2447" s="155"/>
    </row>
    <row r="2448" spans="28:31" x14ac:dyDescent="0.2">
      <c r="AB2448" s="155"/>
      <c r="AD2448" s="155"/>
      <c r="AE2448" s="155"/>
    </row>
    <row r="2449" spans="28:31" x14ac:dyDescent="0.2">
      <c r="AB2449" s="155"/>
      <c r="AD2449" s="155"/>
      <c r="AE2449" s="155"/>
    </row>
    <row r="2450" spans="28:31" x14ac:dyDescent="0.2">
      <c r="AB2450" s="155"/>
      <c r="AD2450" s="155"/>
      <c r="AE2450" s="155"/>
    </row>
    <row r="2451" spans="28:31" x14ac:dyDescent="0.2">
      <c r="AB2451" s="155"/>
      <c r="AD2451" s="155"/>
      <c r="AE2451" s="155"/>
    </row>
    <row r="2452" spans="28:31" x14ac:dyDescent="0.2">
      <c r="AB2452" s="155"/>
      <c r="AD2452" s="155"/>
      <c r="AE2452" s="155"/>
    </row>
    <row r="2453" spans="28:31" x14ac:dyDescent="0.2">
      <c r="AB2453" s="155"/>
      <c r="AD2453" s="155"/>
      <c r="AE2453" s="155"/>
    </row>
    <row r="2454" spans="28:31" x14ac:dyDescent="0.2">
      <c r="AB2454" s="155"/>
      <c r="AD2454" s="155"/>
      <c r="AE2454" s="155"/>
    </row>
    <row r="2455" spans="28:31" x14ac:dyDescent="0.2">
      <c r="AB2455" s="155"/>
      <c r="AD2455" s="155"/>
      <c r="AE2455" s="155"/>
    </row>
    <row r="2456" spans="28:31" x14ac:dyDescent="0.2">
      <c r="AB2456" s="155"/>
      <c r="AD2456" s="155"/>
      <c r="AE2456" s="155"/>
    </row>
    <row r="2457" spans="28:31" x14ac:dyDescent="0.2">
      <c r="AB2457" s="155"/>
      <c r="AD2457" s="155"/>
      <c r="AE2457" s="155"/>
    </row>
    <row r="2458" spans="28:31" x14ac:dyDescent="0.2">
      <c r="AB2458" s="155"/>
      <c r="AD2458" s="155"/>
      <c r="AE2458" s="155"/>
    </row>
    <row r="2459" spans="28:31" x14ac:dyDescent="0.2">
      <c r="AB2459" s="155"/>
      <c r="AD2459" s="155"/>
      <c r="AE2459" s="155"/>
    </row>
    <row r="2460" spans="28:31" x14ac:dyDescent="0.2">
      <c r="AB2460" s="155"/>
      <c r="AD2460" s="155"/>
      <c r="AE2460" s="155"/>
    </row>
    <row r="2461" spans="28:31" x14ac:dyDescent="0.2">
      <c r="AB2461" s="155"/>
      <c r="AD2461" s="155"/>
      <c r="AE2461" s="155"/>
    </row>
    <row r="2462" spans="28:31" x14ac:dyDescent="0.2">
      <c r="AB2462" s="155"/>
      <c r="AD2462" s="155"/>
      <c r="AE2462" s="155"/>
    </row>
    <row r="2463" spans="28:31" x14ac:dyDescent="0.2">
      <c r="AB2463" s="155"/>
      <c r="AD2463" s="155"/>
      <c r="AE2463" s="155"/>
    </row>
    <row r="2464" spans="28:31" x14ac:dyDescent="0.2">
      <c r="AB2464" s="155"/>
      <c r="AD2464" s="155"/>
      <c r="AE2464" s="155"/>
    </row>
    <row r="2465" spans="28:31" x14ac:dyDescent="0.2">
      <c r="AB2465" s="155"/>
      <c r="AD2465" s="155"/>
      <c r="AE2465" s="155"/>
    </row>
    <row r="2466" spans="28:31" x14ac:dyDescent="0.2">
      <c r="AB2466" s="155"/>
      <c r="AD2466" s="155"/>
      <c r="AE2466" s="155"/>
    </row>
    <row r="2467" spans="28:31" x14ac:dyDescent="0.2">
      <c r="AB2467" s="155"/>
      <c r="AD2467" s="155"/>
      <c r="AE2467" s="155"/>
    </row>
    <row r="2468" spans="28:31" x14ac:dyDescent="0.2">
      <c r="AB2468" s="155"/>
      <c r="AD2468" s="155"/>
      <c r="AE2468" s="155"/>
    </row>
    <row r="2469" spans="28:31" x14ac:dyDescent="0.2">
      <c r="AB2469" s="155"/>
      <c r="AD2469" s="155"/>
      <c r="AE2469" s="155"/>
    </row>
    <row r="2470" spans="28:31" x14ac:dyDescent="0.2">
      <c r="AB2470" s="155"/>
      <c r="AD2470" s="155"/>
      <c r="AE2470" s="155"/>
    </row>
    <row r="2471" spans="28:31" x14ac:dyDescent="0.2">
      <c r="AB2471" s="155"/>
      <c r="AD2471" s="155"/>
      <c r="AE2471" s="155"/>
    </row>
    <row r="2472" spans="28:31" x14ac:dyDescent="0.2">
      <c r="AB2472" s="155"/>
      <c r="AD2472" s="155"/>
      <c r="AE2472" s="155"/>
    </row>
    <row r="2473" spans="28:31" x14ac:dyDescent="0.2">
      <c r="AB2473" s="155"/>
      <c r="AD2473" s="155"/>
      <c r="AE2473" s="155"/>
    </row>
    <row r="2474" spans="28:31" x14ac:dyDescent="0.2">
      <c r="AB2474" s="155"/>
      <c r="AD2474" s="155"/>
      <c r="AE2474" s="155"/>
    </row>
    <row r="2475" spans="28:31" x14ac:dyDescent="0.2">
      <c r="AB2475" s="155"/>
      <c r="AD2475" s="155"/>
      <c r="AE2475" s="155"/>
    </row>
    <row r="2476" spans="28:31" x14ac:dyDescent="0.2">
      <c r="AB2476" s="155"/>
      <c r="AD2476" s="155"/>
      <c r="AE2476" s="155"/>
    </row>
    <row r="2477" spans="28:31" x14ac:dyDescent="0.2">
      <c r="AB2477" s="155"/>
      <c r="AD2477" s="155"/>
      <c r="AE2477" s="155"/>
    </row>
    <row r="2478" spans="28:31" x14ac:dyDescent="0.2">
      <c r="AB2478" s="155"/>
      <c r="AD2478" s="155"/>
      <c r="AE2478" s="155"/>
    </row>
    <row r="2479" spans="28:31" x14ac:dyDescent="0.2">
      <c r="AB2479" s="155"/>
      <c r="AD2479" s="155"/>
      <c r="AE2479" s="155"/>
    </row>
    <row r="2480" spans="28:31" x14ac:dyDescent="0.2">
      <c r="AB2480" s="155"/>
      <c r="AD2480" s="155"/>
      <c r="AE2480" s="155"/>
    </row>
    <row r="2481" spans="28:31" x14ac:dyDescent="0.2">
      <c r="AB2481" s="155"/>
      <c r="AD2481" s="155"/>
      <c r="AE2481" s="155"/>
    </row>
    <row r="2482" spans="28:31" x14ac:dyDescent="0.2">
      <c r="AB2482" s="155"/>
      <c r="AD2482" s="155"/>
      <c r="AE2482" s="155"/>
    </row>
    <row r="2483" spans="28:31" x14ac:dyDescent="0.2">
      <c r="AB2483" s="155"/>
      <c r="AD2483" s="155"/>
      <c r="AE2483" s="155"/>
    </row>
    <row r="2484" spans="28:31" x14ac:dyDescent="0.2">
      <c r="AB2484" s="155"/>
      <c r="AD2484" s="155"/>
      <c r="AE2484" s="155"/>
    </row>
    <row r="2485" spans="28:31" x14ac:dyDescent="0.2">
      <c r="AB2485" s="155"/>
      <c r="AD2485" s="155"/>
      <c r="AE2485" s="155"/>
    </row>
    <row r="2486" spans="28:31" x14ac:dyDescent="0.2">
      <c r="AB2486" s="155"/>
      <c r="AD2486" s="155"/>
      <c r="AE2486" s="155"/>
    </row>
    <row r="2487" spans="28:31" x14ac:dyDescent="0.2">
      <c r="AB2487" s="155"/>
      <c r="AD2487" s="155"/>
      <c r="AE2487" s="155"/>
    </row>
    <row r="2488" spans="28:31" x14ac:dyDescent="0.2">
      <c r="AB2488" s="155"/>
      <c r="AD2488" s="155"/>
      <c r="AE2488" s="155"/>
    </row>
    <row r="2489" spans="28:31" x14ac:dyDescent="0.2">
      <c r="AB2489" s="155"/>
      <c r="AD2489" s="155"/>
      <c r="AE2489" s="155"/>
    </row>
    <row r="2490" spans="28:31" x14ac:dyDescent="0.2">
      <c r="AB2490" s="155"/>
      <c r="AD2490" s="155"/>
      <c r="AE2490" s="155"/>
    </row>
    <row r="2491" spans="28:31" x14ac:dyDescent="0.2">
      <c r="AB2491" s="155"/>
      <c r="AD2491" s="155"/>
      <c r="AE2491" s="155"/>
    </row>
    <row r="2492" spans="28:31" x14ac:dyDescent="0.2">
      <c r="AB2492" s="155"/>
      <c r="AD2492" s="155"/>
      <c r="AE2492" s="155"/>
    </row>
    <row r="2493" spans="28:31" x14ac:dyDescent="0.2">
      <c r="AB2493" s="155"/>
      <c r="AD2493" s="155"/>
      <c r="AE2493" s="155"/>
    </row>
    <row r="2494" spans="28:31" x14ac:dyDescent="0.2">
      <c r="AB2494" s="155"/>
      <c r="AD2494" s="155"/>
      <c r="AE2494" s="155"/>
    </row>
    <row r="2495" spans="28:31" x14ac:dyDescent="0.2">
      <c r="AB2495" s="155"/>
      <c r="AD2495" s="155"/>
      <c r="AE2495" s="155"/>
    </row>
    <row r="2496" spans="28:31" x14ac:dyDescent="0.2">
      <c r="AB2496" s="155"/>
      <c r="AD2496" s="155"/>
      <c r="AE2496" s="155"/>
    </row>
    <row r="2497" spans="28:31" x14ac:dyDescent="0.2">
      <c r="AB2497" s="155"/>
      <c r="AD2497" s="155"/>
      <c r="AE2497" s="155"/>
    </row>
    <row r="2498" spans="28:31" x14ac:dyDescent="0.2">
      <c r="AB2498" s="155"/>
      <c r="AD2498" s="155"/>
      <c r="AE2498" s="155"/>
    </row>
    <row r="2499" spans="28:31" x14ac:dyDescent="0.2">
      <c r="AB2499" s="155"/>
      <c r="AD2499" s="155"/>
      <c r="AE2499" s="155"/>
    </row>
    <row r="2500" spans="28:31" x14ac:dyDescent="0.2">
      <c r="AB2500" s="155"/>
      <c r="AD2500" s="155"/>
      <c r="AE2500" s="155"/>
    </row>
    <row r="2501" spans="28:31" x14ac:dyDescent="0.2">
      <c r="AB2501" s="155"/>
      <c r="AD2501" s="155"/>
      <c r="AE2501" s="155"/>
    </row>
    <row r="2502" spans="28:31" x14ac:dyDescent="0.2">
      <c r="AB2502" s="155"/>
      <c r="AD2502" s="155"/>
      <c r="AE2502" s="155"/>
    </row>
    <row r="2503" spans="28:31" x14ac:dyDescent="0.2">
      <c r="AB2503" s="155"/>
      <c r="AD2503" s="155"/>
      <c r="AE2503" s="155"/>
    </row>
    <row r="2504" spans="28:31" x14ac:dyDescent="0.2">
      <c r="AB2504" s="155"/>
      <c r="AD2504" s="155"/>
      <c r="AE2504" s="155"/>
    </row>
    <row r="2505" spans="28:31" x14ac:dyDescent="0.2">
      <c r="AB2505" s="155"/>
      <c r="AD2505" s="155"/>
      <c r="AE2505" s="155"/>
    </row>
    <row r="2506" spans="28:31" x14ac:dyDescent="0.2">
      <c r="AB2506" s="155"/>
      <c r="AD2506" s="155"/>
      <c r="AE2506" s="155"/>
    </row>
    <row r="2507" spans="28:31" x14ac:dyDescent="0.2">
      <c r="AB2507" s="155"/>
      <c r="AD2507" s="155"/>
      <c r="AE2507" s="155"/>
    </row>
    <row r="2508" spans="28:31" x14ac:dyDescent="0.2">
      <c r="AB2508" s="155"/>
      <c r="AD2508" s="155"/>
      <c r="AE2508" s="155"/>
    </row>
    <row r="2509" spans="28:31" x14ac:dyDescent="0.2">
      <c r="AB2509" s="155"/>
      <c r="AD2509" s="155"/>
      <c r="AE2509" s="155"/>
    </row>
    <row r="2510" spans="28:31" x14ac:dyDescent="0.2">
      <c r="AB2510" s="155"/>
      <c r="AD2510" s="155"/>
      <c r="AE2510" s="155"/>
    </row>
    <row r="2511" spans="28:31" x14ac:dyDescent="0.2">
      <c r="AB2511" s="155"/>
      <c r="AD2511" s="155"/>
      <c r="AE2511" s="155"/>
    </row>
    <row r="2512" spans="28:31" x14ac:dyDescent="0.2">
      <c r="AB2512" s="155"/>
      <c r="AD2512" s="155"/>
      <c r="AE2512" s="155"/>
    </row>
    <row r="2513" spans="28:31" x14ac:dyDescent="0.2">
      <c r="AB2513" s="155"/>
      <c r="AD2513" s="155"/>
      <c r="AE2513" s="155"/>
    </row>
    <row r="2514" spans="28:31" x14ac:dyDescent="0.2">
      <c r="AB2514" s="155"/>
      <c r="AD2514" s="155"/>
      <c r="AE2514" s="155"/>
    </row>
    <row r="2515" spans="28:31" x14ac:dyDescent="0.2">
      <c r="AB2515" s="155"/>
      <c r="AD2515" s="155"/>
      <c r="AE2515" s="155"/>
    </row>
    <row r="2516" spans="28:31" x14ac:dyDescent="0.2">
      <c r="AB2516" s="155"/>
      <c r="AD2516" s="155"/>
      <c r="AE2516" s="155"/>
    </row>
    <row r="2517" spans="28:31" x14ac:dyDescent="0.2">
      <c r="AB2517" s="155"/>
      <c r="AD2517" s="155"/>
      <c r="AE2517" s="155"/>
    </row>
    <row r="2518" spans="28:31" x14ac:dyDescent="0.2">
      <c r="AB2518" s="155"/>
      <c r="AD2518" s="155"/>
      <c r="AE2518" s="155"/>
    </row>
    <row r="2519" spans="28:31" x14ac:dyDescent="0.2">
      <c r="AB2519" s="155"/>
      <c r="AD2519" s="155"/>
      <c r="AE2519" s="155"/>
    </row>
    <row r="2520" spans="28:31" x14ac:dyDescent="0.2">
      <c r="AB2520" s="155"/>
      <c r="AD2520" s="155"/>
      <c r="AE2520" s="155"/>
    </row>
    <row r="2521" spans="28:31" x14ac:dyDescent="0.2">
      <c r="AB2521" s="155"/>
      <c r="AD2521" s="155"/>
      <c r="AE2521" s="155"/>
    </row>
    <row r="2522" spans="28:31" x14ac:dyDescent="0.2">
      <c r="AB2522" s="155"/>
      <c r="AD2522" s="155"/>
      <c r="AE2522" s="155"/>
    </row>
    <row r="2523" spans="28:31" x14ac:dyDescent="0.2">
      <c r="AB2523" s="155"/>
      <c r="AD2523" s="155"/>
      <c r="AE2523" s="155"/>
    </row>
    <row r="2524" spans="28:31" x14ac:dyDescent="0.2">
      <c r="AB2524" s="155"/>
      <c r="AD2524" s="155"/>
      <c r="AE2524" s="155"/>
    </row>
    <row r="2525" spans="28:31" x14ac:dyDescent="0.2">
      <c r="AB2525" s="155"/>
      <c r="AD2525" s="155"/>
      <c r="AE2525" s="155"/>
    </row>
    <row r="2526" spans="28:31" x14ac:dyDescent="0.2">
      <c r="AB2526" s="155"/>
      <c r="AD2526" s="155"/>
      <c r="AE2526" s="155"/>
    </row>
    <row r="2527" spans="28:31" x14ac:dyDescent="0.2">
      <c r="AB2527" s="155"/>
      <c r="AD2527" s="155"/>
      <c r="AE2527" s="155"/>
    </row>
    <row r="2528" spans="28:31" x14ac:dyDescent="0.2">
      <c r="AB2528" s="155"/>
      <c r="AD2528" s="155"/>
      <c r="AE2528" s="155"/>
    </row>
    <row r="2529" spans="28:31" x14ac:dyDescent="0.2">
      <c r="AB2529" s="155"/>
      <c r="AD2529" s="155"/>
      <c r="AE2529" s="155"/>
    </row>
    <row r="2530" spans="28:31" x14ac:dyDescent="0.2">
      <c r="AB2530" s="155"/>
      <c r="AD2530" s="155"/>
      <c r="AE2530" s="155"/>
    </row>
    <row r="2531" spans="28:31" x14ac:dyDescent="0.2">
      <c r="AB2531" s="155"/>
      <c r="AD2531" s="155"/>
      <c r="AE2531" s="155"/>
    </row>
    <row r="2532" spans="28:31" x14ac:dyDescent="0.2">
      <c r="AB2532" s="155"/>
      <c r="AD2532" s="155"/>
      <c r="AE2532" s="155"/>
    </row>
    <row r="2533" spans="28:31" x14ac:dyDescent="0.2">
      <c r="AB2533" s="155"/>
      <c r="AD2533" s="155"/>
      <c r="AE2533" s="155"/>
    </row>
    <row r="2534" spans="28:31" x14ac:dyDescent="0.2">
      <c r="AB2534" s="155"/>
      <c r="AD2534" s="155"/>
      <c r="AE2534" s="155"/>
    </row>
    <row r="2535" spans="28:31" x14ac:dyDescent="0.2">
      <c r="AB2535" s="155"/>
      <c r="AD2535" s="155"/>
      <c r="AE2535" s="155"/>
    </row>
    <row r="2536" spans="28:31" x14ac:dyDescent="0.2">
      <c r="AB2536" s="155"/>
      <c r="AD2536" s="155"/>
      <c r="AE2536" s="155"/>
    </row>
    <row r="2537" spans="28:31" x14ac:dyDescent="0.2">
      <c r="AB2537" s="155"/>
      <c r="AD2537" s="155"/>
      <c r="AE2537" s="155"/>
    </row>
    <row r="2538" spans="28:31" x14ac:dyDescent="0.2">
      <c r="AB2538" s="155"/>
      <c r="AD2538" s="155"/>
      <c r="AE2538" s="155"/>
    </row>
    <row r="2539" spans="28:31" x14ac:dyDescent="0.2">
      <c r="AB2539" s="155"/>
      <c r="AD2539" s="155"/>
      <c r="AE2539" s="155"/>
    </row>
    <row r="2540" spans="28:31" x14ac:dyDescent="0.2">
      <c r="AB2540" s="155"/>
      <c r="AD2540" s="155"/>
      <c r="AE2540" s="155"/>
    </row>
    <row r="2541" spans="28:31" x14ac:dyDescent="0.2">
      <c r="AB2541" s="155"/>
      <c r="AD2541" s="155"/>
      <c r="AE2541" s="155"/>
    </row>
    <row r="2542" spans="28:31" x14ac:dyDescent="0.2">
      <c r="AB2542" s="155"/>
      <c r="AD2542" s="155"/>
      <c r="AE2542" s="155"/>
    </row>
    <row r="2543" spans="28:31" x14ac:dyDescent="0.2">
      <c r="AB2543" s="155"/>
      <c r="AD2543" s="155"/>
      <c r="AE2543" s="155"/>
    </row>
    <row r="2544" spans="28:31" x14ac:dyDescent="0.2">
      <c r="AB2544" s="155"/>
      <c r="AD2544" s="155"/>
      <c r="AE2544" s="155"/>
    </row>
    <row r="2545" spans="28:31" x14ac:dyDescent="0.2">
      <c r="AB2545" s="155"/>
      <c r="AD2545" s="155"/>
      <c r="AE2545" s="155"/>
    </row>
    <row r="2546" spans="28:31" x14ac:dyDescent="0.2">
      <c r="AB2546" s="155"/>
      <c r="AD2546" s="155"/>
      <c r="AE2546" s="155"/>
    </row>
    <row r="2547" spans="28:31" x14ac:dyDescent="0.2">
      <c r="AB2547" s="155"/>
      <c r="AD2547" s="155"/>
      <c r="AE2547" s="155"/>
    </row>
    <row r="2548" spans="28:31" x14ac:dyDescent="0.2">
      <c r="AB2548" s="155"/>
      <c r="AD2548" s="155"/>
      <c r="AE2548" s="155"/>
    </row>
    <row r="2549" spans="28:31" x14ac:dyDescent="0.2">
      <c r="AB2549" s="155"/>
      <c r="AD2549" s="155"/>
      <c r="AE2549" s="155"/>
    </row>
    <row r="2550" spans="28:31" x14ac:dyDescent="0.2">
      <c r="AB2550" s="155"/>
      <c r="AD2550" s="155"/>
      <c r="AE2550" s="155"/>
    </row>
    <row r="2551" spans="28:31" x14ac:dyDescent="0.2">
      <c r="AB2551" s="155"/>
      <c r="AD2551" s="155"/>
      <c r="AE2551" s="155"/>
    </row>
    <row r="2552" spans="28:31" x14ac:dyDescent="0.2">
      <c r="AB2552" s="155"/>
      <c r="AD2552" s="155"/>
      <c r="AE2552" s="155"/>
    </row>
    <row r="2553" spans="28:31" x14ac:dyDescent="0.2">
      <c r="AB2553" s="155"/>
      <c r="AD2553" s="155"/>
      <c r="AE2553" s="155"/>
    </row>
    <row r="2554" spans="28:31" x14ac:dyDescent="0.2">
      <c r="AB2554" s="155"/>
      <c r="AD2554" s="155"/>
      <c r="AE2554" s="155"/>
    </row>
    <row r="2555" spans="28:31" x14ac:dyDescent="0.2">
      <c r="AB2555" s="155"/>
      <c r="AD2555" s="155"/>
      <c r="AE2555" s="155"/>
    </row>
    <row r="2556" spans="28:31" x14ac:dyDescent="0.2">
      <c r="AB2556" s="155"/>
      <c r="AD2556" s="155"/>
      <c r="AE2556" s="155"/>
    </row>
    <row r="2557" spans="28:31" x14ac:dyDescent="0.2">
      <c r="AB2557" s="155"/>
      <c r="AD2557" s="155"/>
      <c r="AE2557" s="155"/>
    </row>
    <row r="2558" spans="28:31" x14ac:dyDescent="0.2">
      <c r="AB2558" s="155"/>
      <c r="AD2558" s="155"/>
      <c r="AE2558" s="155"/>
    </row>
    <row r="2559" spans="28:31" x14ac:dyDescent="0.2">
      <c r="AB2559" s="155"/>
      <c r="AD2559" s="155"/>
      <c r="AE2559" s="155"/>
    </row>
    <row r="2560" spans="28:31" x14ac:dyDescent="0.2">
      <c r="AB2560" s="155"/>
      <c r="AD2560" s="155"/>
      <c r="AE2560" s="155"/>
    </row>
    <row r="2561" spans="28:31" x14ac:dyDescent="0.2">
      <c r="AB2561" s="155"/>
      <c r="AD2561" s="155"/>
      <c r="AE2561" s="155"/>
    </row>
    <row r="2562" spans="28:31" x14ac:dyDescent="0.2">
      <c r="AB2562" s="155"/>
      <c r="AD2562" s="155"/>
      <c r="AE2562" s="155"/>
    </row>
    <row r="2563" spans="28:31" x14ac:dyDescent="0.2">
      <c r="AB2563" s="155"/>
      <c r="AD2563" s="155"/>
      <c r="AE2563" s="155"/>
    </row>
    <row r="2564" spans="28:31" x14ac:dyDescent="0.2">
      <c r="AB2564" s="155"/>
      <c r="AD2564" s="155"/>
      <c r="AE2564" s="155"/>
    </row>
    <row r="2565" spans="28:31" x14ac:dyDescent="0.2">
      <c r="AB2565" s="155"/>
      <c r="AD2565" s="155"/>
      <c r="AE2565" s="155"/>
    </row>
    <row r="2566" spans="28:31" x14ac:dyDescent="0.2">
      <c r="AB2566" s="155"/>
      <c r="AD2566" s="155"/>
      <c r="AE2566" s="155"/>
    </row>
    <row r="2567" spans="28:31" x14ac:dyDescent="0.2">
      <c r="AB2567" s="155"/>
      <c r="AD2567" s="155"/>
      <c r="AE2567" s="155"/>
    </row>
    <row r="2568" spans="28:31" x14ac:dyDescent="0.2">
      <c r="AB2568" s="155"/>
      <c r="AD2568" s="155"/>
      <c r="AE2568" s="155"/>
    </row>
    <row r="2569" spans="28:31" x14ac:dyDescent="0.2">
      <c r="AB2569" s="155"/>
      <c r="AD2569" s="155"/>
      <c r="AE2569" s="155"/>
    </row>
    <row r="2570" spans="28:31" x14ac:dyDescent="0.2">
      <c r="AB2570" s="155"/>
      <c r="AD2570" s="155"/>
      <c r="AE2570" s="155"/>
    </row>
    <row r="2571" spans="28:31" x14ac:dyDescent="0.2">
      <c r="AB2571" s="155"/>
      <c r="AD2571" s="155"/>
      <c r="AE2571" s="155"/>
    </row>
    <row r="2572" spans="28:31" x14ac:dyDescent="0.2">
      <c r="AB2572" s="155"/>
      <c r="AD2572" s="155"/>
      <c r="AE2572" s="155"/>
    </row>
    <row r="2573" spans="28:31" x14ac:dyDescent="0.2">
      <c r="AB2573" s="155"/>
      <c r="AD2573" s="155"/>
      <c r="AE2573" s="155"/>
    </row>
    <row r="2574" spans="28:31" x14ac:dyDescent="0.2">
      <c r="AB2574" s="155"/>
      <c r="AD2574" s="155"/>
      <c r="AE2574" s="155"/>
    </row>
    <row r="2575" spans="28:31" x14ac:dyDescent="0.2">
      <c r="AB2575" s="155"/>
      <c r="AD2575" s="155"/>
      <c r="AE2575" s="155"/>
    </row>
    <row r="2576" spans="28:31" x14ac:dyDescent="0.2">
      <c r="AB2576" s="155"/>
      <c r="AD2576" s="155"/>
      <c r="AE2576" s="155"/>
    </row>
    <row r="2577" spans="28:31" x14ac:dyDescent="0.2">
      <c r="AB2577" s="155"/>
      <c r="AD2577" s="155"/>
      <c r="AE2577" s="155"/>
    </row>
    <row r="2578" spans="28:31" x14ac:dyDescent="0.2">
      <c r="AB2578" s="155"/>
      <c r="AD2578" s="155"/>
      <c r="AE2578" s="155"/>
    </row>
    <row r="2579" spans="28:31" x14ac:dyDescent="0.2">
      <c r="AB2579" s="155"/>
      <c r="AD2579" s="155"/>
      <c r="AE2579" s="155"/>
    </row>
    <row r="2580" spans="28:31" x14ac:dyDescent="0.2">
      <c r="AB2580" s="155"/>
      <c r="AD2580" s="155"/>
      <c r="AE2580" s="155"/>
    </row>
    <row r="2581" spans="28:31" x14ac:dyDescent="0.2">
      <c r="AB2581" s="155"/>
      <c r="AD2581" s="155"/>
      <c r="AE2581" s="155"/>
    </row>
    <row r="2582" spans="28:31" x14ac:dyDescent="0.2">
      <c r="AB2582" s="155"/>
      <c r="AD2582" s="155"/>
      <c r="AE2582" s="155"/>
    </row>
    <row r="2583" spans="28:31" x14ac:dyDescent="0.2">
      <c r="AB2583" s="155"/>
      <c r="AD2583" s="155"/>
      <c r="AE2583" s="155"/>
    </row>
    <row r="2584" spans="28:31" x14ac:dyDescent="0.2">
      <c r="AB2584" s="155"/>
      <c r="AD2584" s="155"/>
      <c r="AE2584" s="155"/>
    </row>
    <row r="2585" spans="28:31" x14ac:dyDescent="0.2">
      <c r="AB2585" s="155"/>
      <c r="AD2585" s="155"/>
      <c r="AE2585" s="155"/>
    </row>
    <row r="2586" spans="28:31" x14ac:dyDescent="0.2">
      <c r="AB2586" s="155"/>
      <c r="AD2586" s="155"/>
      <c r="AE2586" s="155"/>
    </row>
    <row r="2587" spans="28:31" x14ac:dyDescent="0.2">
      <c r="AB2587" s="155"/>
      <c r="AD2587" s="155"/>
      <c r="AE2587" s="155"/>
    </row>
    <row r="2588" spans="28:31" x14ac:dyDescent="0.2">
      <c r="AB2588" s="155"/>
      <c r="AD2588" s="155"/>
      <c r="AE2588" s="155"/>
    </row>
    <row r="2589" spans="28:31" x14ac:dyDescent="0.2">
      <c r="AB2589" s="155"/>
      <c r="AD2589" s="155"/>
      <c r="AE2589" s="155"/>
    </row>
    <row r="2590" spans="28:31" x14ac:dyDescent="0.2">
      <c r="AB2590" s="155"/>
      <c r="AD2590" s="155"/>
      <c r="AE2590" s="155"/>
    </row>
    <row r="2591" spans="28:31" x14ac:dyDescent="0.2">
      <c r="AB2591" s="155"/>
      <c r="AD2591" s="155"/>
      <c r="AE2591" s="155"/>
    </row>
    <row r="2592" spans="28:31" x14ac:dyDescent="0.2">
      <c r="AB2592" s="155"/>
      <c r="AD2592" s="155"/>
      <c r="AE2592" s="155"/>
    </row>
    <row r="2593" spans="28:31" x14ac:dyDescent="0.2">
      <c r="AB2593" s="155"/>
      <c r="AD2593" s="155"/>
      <c r="AE2593" s="155"/>
    </row>
    <row r="2594" spans="28:31" x14ac:dyDescent="0.2">
      <c r="AB2594" s="155"/>
      <c r="AD2594" s="155"/>
      <c r="AE2594" s="155"/>
    </row>
    <row r="2595" spans="28:31" x14ac:dyDescent="0.2">
      <c r="AB2595" s="155"/>
      <c r="AD2595" s="155"/>
      <c r="AE2595" s="155"/>
    </row>
    <row r="2596" spans="28:31" x14ac:dyDescent="0.2">
      <c r="AB2596" s="155"/>
      <c r="AD2596" s="155"/>
      <c r="AE2596" s="155"/>
    </row>
    <row r="2597" spans="28:31" x14ac:dyDescent="0.2">
      <c r="AB2597" s="155"/>
      <c r="AD2597" s="155"/>
      <c r="AE2597" s="155"/>
    </row>
    <row r="2598" spans="28:31" x14ac:dyDescent="0.2">
      <c r="AB2598" s="155"/>
      <c r="AD2598" s="155"/>
      <c r="AE2598" s="155"/>
    </row>
    <row r="2599" spans="28:31" x14ac:dyDescent="0.2">
      <c r="AB2599" s="155"/>
      <c r="AD2599" s="155"/>
      <c r="AE2599" s="155"/>
    </row>
    <row r="2600" spans="28:31" x14ac:dyDescent="0.2">
      <c r="AB2600" s="155"/>
      <c r="AD2600" s="155"/>
      <c r="AE2600" s="155"/>
    </row>
    <row r="2601" spans="28:31" x14ac:dyDescent="0.2">
      <c r="AB2601" s="155"/>
      <c r="AD2601" s="155"/>
      <c r="AE2601" s="155"/>
    </row>
    <row r="2602" spans="28:31" x14ac:dyDescent="0.2">
      <c r="AB2602" s="155"/>
      <c r="AD2602" s="155"/>
      <c r="AE2602" s="155"/>
    </row>
    <row r="2603" spans="28:31" x14ac:dyDescent="0.2">
      <c r="AB2603" s="155"/>
      <c r="AD2603" s="155"/>
      <c r="AE2603" s="155"/>
    </row>
    <row r="2604" spans="28:31" x14ac:dyDescent="0.2">
      <c r="AB2604" s="155"/>
      <c r="AD2604" s="155"/>
      <c r="AE2604" s="155"/>
    </row>
    <row r="2605" spans="28:31" x14ac:dyDescent="0.2">
      <c r="AB2605" s="155"/>
      <c r="AD2605" s="155"/>
      <c r="AE2605" s="155"/>
    </row>
    <row r="2606" spans="28:31" x14ac:dyDescent="0.2">
      <c r="AB2606" s="155"/>
      <c r="AD2606" s="155"/>
      <c r="AE2606" s="155"/>
    </row>
    <row r="2607" spans="28:31" x14ac:dyDescent="0.2">
      <c r="AB2607" s="155"/>
      <c r="AD2607" s="155"/>
      <c r="AE2607" s="155"/>
    </row>
    <row r="2608" spans="28:31" x14ac:dyDescent="0.2">
      <c r="AB2608" s="155"/>
      <c r="AD2608" s="155"/>
      <c r="AE2608" s="155"/>
    </row>
    <row r="2609" spans="28:31" x14ac:dyDescent="0.2">
      <c r="AB2609" s="155"/>
      <c r="AD2609" s="155"/>
      <c r="AE2609" s="155"/>
    </row>
    <row r="2610" spans="28:31" x14ac:dyDescent="0.2">
      <c r="AB2610" s="155"/>
      <c r="AD2610" s="155"/>
      <c r="AE2610" s="155"/>
    </row>
    <row r="2611" spans="28:31" x14ac:dyDescent="0.2">
      <c r="AB2611" s="155"/>
      <c r="AD2611" s="155"/>
      <c r="AE2611" s="155"/>
    </row>
    <row r="2612" spans="28:31" x14ac:dyDescent="0.2">
      <c r="AB2612" s="155"/>
      <c r="AD2612" s="155"/>
      <c r="AE2612" s="155"/>
    </row>
    <row r="2613" spans="28:31" x14ac:dyDescent="0.2">
      <c r="AB2613" s="155"/>
      <c r="AD2613" s="155"/>
      <c r="AE2613" s="155"/>
    </row>
    <row r="2614" spans="28:31" x14ac:dyDescent="0.2">
      <c r="AB2614" s="155"/>
      <c r="AD2614" s="155"/>
      <c r="AE2614" s="155"/>
    </row>
    <row r="2615" spans="28:31" x14ac:dyDescent="0.2">
      <c r="AB2615" s="155"/>
      <c r="AD2615" s="155"/>
      <c r="AE2615" s="155"/>
    </row>
    <row r="2616" spans="28:31" x14ac:dyDescent="0.2">
      <c r="AB2616" s="155"/>
      <c r="AD2616" s="155"/>
      <c r="AE2616" s="155"/>
    </row>
    <row r="2617" spans="28:31" x14ac:dyDescent="0.2">
      <c r="AB2617" s="155"/>
      <c r="AD2617" s="155"/>
      <c r="AE2617" s="155"/>
    </row>
    <row r="2618" spans="28:31" x14ac:dyDescent="0.2">
      <c r="AB2618" s="155"/>
      <c r="AD2618" s="155"/>
      <c r="AE2618" s="155"/>
    </row>
    <row r="2619" spans="28:31" x14ac:dyDescent="0.2">
      <c r="AB2619" s="155"/>
      <c r="AD2619" s="155"/>
      <c r="AE2619" s="155"/>
    </row>
    <row r="2620" spans="28:31" x14ac:dyDescent="0.2">
      <c r="AB2620" s="155"/>
      <c r="AD2620" s="155"/>
      <c r="AE2620" s="155"/>
    </row>
    <row r="2621" spans="28:31" x14ac:dyDescent="0.2">
      <c r="AB2621" s="155"/>
      <c r="AD2621" s="155"/>
      <c r="AE2621" s="155"/>
    </row>
    <row r="2622" spans="28:31" x14ac:dyDescent="0.2">
      <c r="AB2622" s="155"/>
      <c r="AD2622" s="155"/>
      <c r="AE2622" s="155"/>
    </row>
    <row r="2623" spans="28:31" x14ac:dyDescent="0.2">
      <c r="AB2623" s="155"/>
      <c r="AD2623" s="155"/>
      <c r="AE2623" s="155"/>
    </row>
    <row r="2624" spans="28:31" x14ac:dyDescent="0.2">
      <c r="AB2624" s="155"/>
      <c r="AD2624" s="155"/>
      <c r="AE2624" s="155"/>
    </row>
    <row r="2625" spans="28:31" x14ac:dyDescent="0.2">
      <c r="AB2625" s="155"/>
      <c r="AD2625" s="155"/>
      <c r="AE2625" s="155"/>
    </row>
    <row r="2626" spans="28:31" x14ac:dyDescent="0.2">
      <c r="AB2626" s="155"/>
      <c r="AD2626" s="155"/>
      <c r="AE2626" s="155"/>
    </row>
    <row r="2627" spans="28:31" x14ac:dyDescent="0.2">
      <c r="AB2627" s="155"/>
      <c r="AD2627" s="155"/>
      <c r="AE2627" s="155"/>
    </row>
    <row r="2628" spans="28:31" x14ac:dyDescent="0.2">
      <c r="AB2628" s="155"/>
      <c r="AD2628" s="155"/>
      <c r="AE2628" s="155"/>
    </row>
    <row r="2629" spans="28:31" x14ac:dyDescent="0.2">
      <c r="AB2629" s="155"/>
      <c r="AD2629" s="155"/>
      <c r="AE2629" s="155"/>
    </row>
    <row r="2630" spans="28:31" x14ac:dyDescent="0.2">
      <c r="AB2630" s="155"/>
      <c r="AD2630" s="155"/>
      <c r="AE2630" s="155"/>
    </row>
    <row r="2631" spans="28:31" x14ac:dyDescent="0.2">
      <c r="AB2631" s="155"/>
      <c r="AD2631" s="155"/>
      <c r="AE2631" s="155"/>
    </row>
    <row r="2632" spans="28:31" x14ac:dyDescent="0.2">
      <c r="AB2632" s="155"/>
      <c r="AD2632" s="155"/>
      <c r="AE2632" s="155"/>
    </row>
    <row r="2633" spans="28:31" x14ac:dyDescent="0.2">
      <c r="AB2633" s="155"/>
      <c r="AD2633" s="155"/>
      <c r="AE2633" s="155"/>
    </row>
    <row r="2634" spans="28:31" x14ac:dyDescent="0.2">
      <c r="AB2634" s="155"/>
      <c r="AD2634" s="155"/>
      <c r="AE2634" s="155"/>
    </row>
    <row r="2635" spans="28:31" x14ac:dyDescent="0.2">
      <c r="AB2635" s="155"/>
      <c r="AD2635" s="155"/>
      <c r="AE2635" s="155"/>
    </row>
    <row r="2636" spans="28:31" x14ac:dyDescent="0.2">
      <c r="AB2636" s="155"/>
      <c r="AD2636" s="155"/>
      <c r="AE2636" s="155"/>
    </row>
    <row r="2637" spans="28:31" x14ac:dyDescent="0.2">
      <c r="AB2637" s="155"/>
      <c r="AD2637" s="155"/>
      <c r="AE2637" s="155"/>
    </row>
    <row r="2638" spans="28:31" x14ac:dyDescent="0.2">
      <c r="AB2638" s="155"/>
      <c r="AD2638" s="155"/>
      <c r="AE2638" s="155"/>
    </row>
    <row r="2639" spans="28:31" x14ac:dyDescent="0.2">
      <c r="AB2639" s="155"/>
      <c r="AD2639" s="155"/>
      <c r="AE2639" s="155"/>
    </row>
    <row r="2640" spans="28:31" x14ac:dyDescent="0.2">
      <c r="AB2640" s="155"/>
      <c r="AD2640" s="155"/>
      <c r="AE2640" s="155"/>
    </row>
    <row r="2641" spans="28:31" x14ac:dyDescent="0.2">
      <c r="AB2641" s="155"/>
      <c r="AD2641" s="155"/>
      <c r="AE2641" s="155"/>
    </row>
    <row r="2642" spans="28:31" x14ac:dyDescent="0.2">
      <c r="AB2642" s="155"/>
      <c r="AD2642" s="155"/>
      <c r="AE2642" s="155"/>
    </row>
    <row r="2643" spans="28:31" x14ac:dyDescent="0.2">
      <c r="AB2643" s="155"/>
      <c r="AD2643" s="155"/>
      <c r="AE2643" s="155"/>
    </row>
    <row r="2644" spans="28:31" x14ac:dyDescent="0.2">
      <c r="AB2644" s="155"/>
      <c r="AD2644" s="155"/>
      <c r="AE2644" s="155"/>
    </row>
    <row r="2645" spans="28:31" x14ac:dyDescent="0.2">
      <c r="AB2645" s="155"/>
      <c r="AD2645" s="155"/>
      <c r="AE2645" s="155"/>
    </row>
    <row r="2646" spans="28:31" x14ac:dyDescent="0.2">
      <c r="AB2646" s="155"/>
      <c r="AD2646" s="155"/>
      <c r="AE2646" s="155"/>
    </row>
    <row r="2647" spans="28:31" x14ac:dyDescent="0.2">
      <c r="AB2647" s="155"/>
      <c r="AD2647" s="155"/>
      <c r="AE2647" s="155"/>
    </row>
    <row r="2648" spans="28:31" x14ac:dyDescent="0.2">
      <c r="AB2648" s="155"/>
      <c r="AD2648" s="155"/>
      <c r="AE2648" s="155"/>
    </row>
    <row r="2649" spans="28:31" x14ac:dyDescent="0.2">
      <c r="AB2649" s="155"/>
      <c r="AD2649" s="155"/>
      <c r="AE2649" s="155"/>
    </row>
    <row r="2650" spans="28:31" x14ac:dyDescent="0.2">
      <c r="AB2650" s="155"/>
      <c r="AD2650" s="155"/>
      <c r="AE2650" s="155"/>
    </row>
    <row r="2651" spans="28:31" x14ac:dyDescent="0.2">
      <c r="AB2651" s="155"/>
      <c r="AD2651" s="155"/>
      <c r="AE2651" s="155"/>
    </row>
    <row r="2652" spans="28:31" x14ac:dyDescent="0.2">
      <c r="AB2652" s="155"/>
      <c r="AD2652" s="155"/>
      <c r="AE2652" s="155"/>
    </row>
    <row r="2653" spans="28:31" x14ac:dyDescent="0.2">
      <c r="AB2653" s="155"/>
      <c r="AD2653" s="155"/>
      <c r="AE2653" s="155"/>
    </row>
    <row r="2654" spans="28:31" x14ac:dyDescent="0.2">
      <c r="AB2654" s="155"/>
      <c r="AD2654" s="155"/>
      <c r="AE2654" s="155"/>
    </row>
    <row r="2655" spans="28:31" x14ac:dyDescent="0.2">
      <c r="AB2655" s="155"/>
      <c r="AD2655" s="155"/>
      <c r="AE2655" s="155"/>
    </row>
    <row r="2656" spans="28:31" x14ac:dyDescent="0.2">
      <c r="AB2656" s="155"/>
      <c r="AD2656" s="155"/>
      <c r="AE2656" s="155"/>
    </row>
    <row r="2657" spans="28:31" x14ac:dyDescent="0.2">
      <c r="AB2657" s="155"/>
      <c r="AD2657" s="155"/>
      <c r="AE2657" s="155"/>
    </row>
    <row r="2658" spans="28:31" x14ac:dyDescent="0.2">
      <c r="AB2658" s="155"/>
      <c r="AD2658" s="155"/>
      <c r="AE2658" s="155"/>
    </row>
    <row r="2659" spans="28:31" x14ac:dyDescent="0.2">
      <c r="AB2659" s="155"/>
      <c r="AD2659" s="155"/>
      <c r="AE2659" s="155"/>
    </row>
    <row r="2660" spans="28:31" x14ac:dyDescent="0.2">
      <c r="AB2660" s="155"/>
      <c r="AD2660" s="155"/>
      <c r="AE2660" s="155"/>
    </row>
    <row r="2661" spans="28:31" x14ac:dyDescent="0.2">
      <c r="AB2661" s="155"/>
      <c r="AD2661" s="155"/>
      <c r="AE2661" s="155"/>
    </row>
    <row r="2662" spans="28:31" x14ac:dyDescent="0.2">
      <c r="AB2662" s="155"/>
      <c r="AD2662" s="155"/>
      <c r="AE2662" s="155"/>
    </row>
    <row r="2663" spans="28:31" x14ac:dyDescent="0.2">
      <c r="AB2663" s="155"/>
      <c r="AD2663" s="155"/>
      <c r="AE2663" s="155"/>
    </row>
    <row r="2664" spans="28:31" x14ac:dyDescent="0.2">
      <c r="AB2664" s="155"/>
      <c r="AD2664" s="155"/>
      <c r="AE2664" s="155"/>
    </row>
    <row r="2665" spans="28:31" x14ac:dyDescent="0.2">
      <c r="AB2665" s="155"/>
      <c r="AD2665" s="155"/>
      <c r="AE2665" s="155"/>
    </row>
    <row r="2666" spans="28:31" x14ac:dyDescent="0.2">
      <c r="AB2666" s="155"/>
      <c r="AD2666" s="155"/>
      <c r="AE2666" s="155"/>
    </row>
    <row r="2667" spans="28:31" x14ac:dyDescent="0.2">
      <c r="AB2667" s="155"/>
      <c r="AD2667" s="155"/>
      <c r="AE2667" s="155"/>
    </row>
    <row r="2668" spans="28:31" x14ac:dyDescent="0.2">
      <c r="AB2668" s="155"/>
      <c r="AD2668" s="155"/>
      <c r="AE2668" s="155"/>
    </row>
    <row r="2669" spans="28:31" x14ac:dyDescent="0.2">
      <c r="AB2669" s="155"/>
      <c r="AD2669" s="155"/>
      <c r="AE2669" s="155"/>
    </row>
    <row r="2670" spans="28:31" x14ac:dyDescent="0.2">
      <c r="AB2670" s="155"/>
      <c r="AD2670" s="155"/>
      <c r="AE2670" s="155"/>
    </row>
    <row r="2671" spans="28:31" x14ac:dyDescent="0.2">
      <c r="AB2671" s="155"/>
      <c r="AD2671" s="155"/>
      <c r="AE2671" s="155"/>
    </row>
    <row r="2672" spans="28:31" x14ac:dyDescent="0.2">
      <c r="AB2672" s="155"/>
      <c r="AD2672" s="155"/>
      <c r="AE2672" s="155"/>
    </row>
    <row r="2673" spans="28:31" x14ac:dyDescent="0.2">
      <c r="AB2673" s="155"/>
      <c r="AD2673" s="155"/>
      <c r="AE2673" s="155"/>
    </row>
    <row r="2674" spans="28:31" x14ac:dyDescent="0.2">
      <c r="AB2674" s="155"/>
      <c r="AD2674" s="155"/>
      <c r="AE2674" s="155"/>
    </row>
    <row r="2675" spans="28:31" x14ac:dyDescent="0.2">
      <c r="AB2675" s="155"/>
      <c r="AD2675" s="155"/>
      <c r="AE2675" s="155"/>
    </row>
    <row r="2676" spans="28:31" x14ac:dyDescent="0.2">
      <c r="AB2676" s="155"/>
      <c r="AD2676" s="155"/>
      <c r="AE2676" s="155"/>
    </row>
    <row r="2677" spans="28:31" x14ac:dyDescent="0.2">
      <c r="AB2677" s="155"/>
      <c r="AD2677" s="155"/>
      <c r="AE2677" s="155"/>
    </row>
    <row r="2678" spans="28:31" x14ac:dyDescent="0.2">
      <c r="AB2678" s="155"/>
      <c r="AD2678" s="155"/>
      <c r="AE2678" s="155"/>
    </row>
    <row r="2679" spans="28:31" x14ac:dyDescent="0.2">
      <c r="AB2679" s="155"/>
      <c r="AD2679" s="155"/>
      <c r="AE2679" s="155"/>
    </row>
    <row r="2680" spans="28:31" x14ac:dyDescent="0.2">
      <c r="AB2680" s="155"/>
      <c r="AD2680" s="155"/>
      <c r="AE2680" s="155"/>
    </row>
    <row r="2681" spans="28:31" x14ac:dyDescent="0.2">
      <c r="AB2681" s="155"/>
      <c r="AD2681" s="155"/>
      <c r="AE2681" s="155"/>
    </row>
    <row r="2682" spans="28:31" x14ac:dyDescent="0.2">
      <c r="AB2682" s="155"/>
      <c r="AD2682" s="155"/>
      <c r="AE2682" s="155"/>
    </row>
    <row r="2683" spans="28:31" x14ac:dyDescent="0.2">
      <c r="AB2683" s="155"/>
      <c r="AD2683" s="155"/>
      <c r="AE2683" s="155"/>
    </row>
    <row r="2684" spans="28:31" x14ac:dyDescent="0.2">
      <c r="AB2684" s="155"/>
      <c r="AD2684" s="155"/>
      <c r="AE2684" s="155"/>
    </row>
    <row r="2685" spans="28:31" x14ac:dyDescent="0.2">
      <c r="AB2685" s="155"/>
      <c r="AD2685" s="155"/>
      <c r="AE2685" s="155"/>
    </row>
    <row r="2686" spans="28:31" x14ac:dyDescent="0.2">
      <c r="AB2686" s="155"/>
      <c r="AD2686" s="155"/>
      <c r="AE2686" s="155"/>
    </row>
    <row r="2687" spans="28:31" x14ac:dyDescent="0.2">
      <c r="AB2687" s="155"/>
      <c r="AD2687" s="155"/>
      <c r="AE2687" s="155"/>
    </row>
    <row r="2688" spans="28:31" x14ac:dyDescent="0.2">
      <c r="AB2688" s="155"/>
      <c r="AD2688" s="155"/>
      <c r="AE2688" s="155"/>
    </row>
    <row r="2689" spans="28:31" x14ac:dyDescent="0.2">
      <c r="AB2689" s="155"/>
      <c r="AD2689" s="155"/>
      <c r="AE2689" s="155"/>
    </row>
    <row r="2690" spans="28:31" x14ac:dyDescent="0.2">
      <c r="AB2690" s="155"/>
      <c r="AD2690" s="155"/>
      <c r="AE2690" s="155"/>
    </row>
    <row r="2691" spans="28:31" x14ac:dyDescent="0.2">
      <c r="AB2691" s="155"/>
      <c r="AD2691" s="155"/>
      <c r="AE2691" s="155"/>
    </row>
    <row r="2692" spans="28:31" x14ac:dyDescent="0.2">
      <c r="AB2692" s="155"/>
      <c r="AD2692" s="155"/>
      <c r="AE2692" s="155"/>
    </row>
    <row r="2693" spans="28:31" x14ac:dyDescent="0.2">
      <c r="AB2693" s="155"/>
      <c r="AD2693" s="155"/>
      <c r="AE2693" s="155"/>
    </row>
    <row r="2694" spans="28:31" x14ac:dyDescent="0.2">
      <c r="AB2694" s="155"/>
      <c r="AD2694" s="155"/>
      <c r="AE2694" s="155"/>
    </row>
    <row r="2695" spans="28:31" x14ac:dyDescent="0.2">
      <c r="AB2695" s="155"/>
      <c r="AD2695" s="155"/>
      <c r="AE2695" s="155"/>
    </row>
    <row r="2696" spans="28:31" x14ac:dyDescent="0.2">
      <c r="AB2696" s="155"/>
      <c r="AD2696" s="155"/>
      <c r="AE2696" s="155"/>
    </row>
    <row r="2697" spans="28:31" x14ac:dyDescent="0.2">
      <c r="AB2697" s="155"/>
      <c r="AD2697" s="155"/>
      <c r="AE2697" s="155"/>
    </row>
    <row r="2698" spans="28:31" x14ac:dyDescent="0.2">
      <c r="AB2698" s="155"/>
      <c r="AD2698" s="155"/>
      <c r="AE2698" s="155"/>
    </row>
    <row r="2699" spans="28:31" x14ac:dyDescent="0.2">
      <c r="AB2699" s="155"/>
      <c r="AD2699" s="155"/>
      <c r="AE2699" s="155"/>
    </row>
    <row r="2700" spans="28:31" x14ac:dyDescent="0.2">
      <c r="AB2700" s="155"/>
      <c r="AD2700" s="155"/>
      <c r="AE2700" s="155"/>
    </row>
    <row r="2701" spans="28:31" x14ac:dyDescent="0.2">
      <c r="AB2701" s="155"/>
      <c r="AD2701" s="155"/>
      <c r="AE2701" s="155"/>
    </row>
    <row r="2702" spans="28:31" x14ac:dyDescent="0.2">
      <c r="AB2702" s="155"/>
      <c r="AD2702" s="155"/>
      <c r="AE2702" s="155"/>
    </row>
    <row r="2703" spans="28:31" x14ac:dyDescent="0.2">
      <c r="AB2703" s="155"/>
      <c r="AD2703" s="155"/>
      <c r="AE2703" s="155"/>
    </row>
    <row r="2704" spans="28:31" x14ac:dyDescent="0.2">
      <c r="AB2704" s="155"/>
      <c r="AD2704" s="155"/>
      <c r="AE2704" s="155"/>
    </row>
    <row r="2705" spans="28:31" x14ac:dyDescent="0.2">
      <c r="AB2705" s="155"/>
      <c r="AD2705" s="155"/>
      <c r="AE2705" s="155"/>
    </row>
    <row r="2706" spans="28:31" x14ac:dyDescent="0.2">
      <c r="AB2706" s="155"/>
      <c r="AD2706" s="155"/>
      <c r="AE2706" s="155"/>
    </row>
    <row r="2707" spans="28:31" x14ac:dyDescent="0.2">
      <c r="AB2707" s="155"/>
      <c r="AD2707" s="155"/>
      <c r="AE2707" s="155"/>
    </row>
    <row r="2708" spans="28:31" x14ac:dyDescent="0.2">
      <c r="AB2708" s="155"/>
      <c r="AD2708" s="155"/>
      <c r="AE2708" s="155"/>
    </row>
    <row r="2709" spans="28:31" x14ac:dyDescent="0.2">
      <c r="AB2709" s="155"/>
      <c r="AD2709" s="155"/>
      <c r="AE2709" s="155"/>
    </row>
    <row r="2710" spans="28:31" x14ac:dyDescent="0.2">
      <c r="AB2710" s="155"/>
      <c r="AD2710" s="155"/>
      <c r="AE2710" s="155"/>
    </row>
    <row r="2711" spans="28:31" x14ac:dyDescent="0.2">
      <c r="AB2711" s="155"/>
      <c r="AD2711" s="155"/>
      <c r="AE2711" s="155"/>
    </row>
    <row r="2712" spans="28:31" x14ac:dyDescent="0.2">
      <c r="AB2712" s="155"/>
      <c r="AD2712" s="155"/>
      <c r="AE2712" s="155"/>
    </row>
    <row r="2713" spans="28:31" x14ac:dyDescent="0.2">
      <c r="AB2713" s="155"/>
      <c r="AD2713" s="155"/>
      <c r="AE2713" s="155"/>
    </row>
    <row r="2714" spans="28:31" x14ac:dyDescent="0.2">
      <c r="AB2714" s="155"/>
      <c r="AD2714" s="155"/>
      <c r="AE2714" s="155"/>
    </row>
    <row r="2715" spans="28:31" x14ac:dyDescent="0.2">
      <c r="AB2715" s="155"/>
      <c r="AD2715" s="155"/>
      <c r="AE2715" s="155"/>
    </row>
    <row r="2716" spans="28:31" x14ac:dyDescent="0.2">
      <c r="AB2716" s="155"/>
      <c r="AD2716" s="155"/>
      <c r="AE2716" s="155"/>
    </row>
    <row r="2717" spans="28:31" x14ac:dyDescent="0.2">
      <c r="AB2717" s="155"/>
      <c r="AD2717" s="155"/>
      <c r="AE2717" s="155"/>
    </row>
    <row r="2718" spans="28:31" x14ac:dyDescent="0.2">
      <c r="AB2718" s="155"/>
      <c r="AD2718" s="155"/>
      <c r="AE2718" s="155"/>
    </row>
    <row r="2719" spans="28:31" x14ac:dyDescent="0.2">
      <c r="AB2719" s="155"/>
      <c r="AD2719" s="155"/>
      <c r="AE2719" s="155"/>
    </row>
    <row r="2720" spans="28:31" x14ac:dyDescent="0.2">
      <c r="AB2720" s="155"/>
      <c r="AD2720" s="155"/>
      <c r="AE2720" s="155"/>
    </row>
    <row r="2721" spans="28:31" x14ac:dyDescent="0.2">
      <c r="AB2721" s="155"/>
      <c r="AD2721" s="155"/>
      <c r="AE2721" s="155"/>
    </row>
    <row r="2722" spans="28:31" x14ac:dyDescent="0.2">
      <c r="AB2722" s="155"/>
      <c r="AD2722" s="155"/>
      <c r="AE2722" s="155"/>
    </row>
    <row r="2723" spans="28:31" x14ac:dyDescent="0.2">
      <c r="AB2723" s="155"/>
      <c r="AD2723" s="155"/>
      <c r="AE2723" s="155"/>
    </row>
    <row r="2724" spans="28:31" x14ac:dyDescent="0.2">
      <c r="AB2724" s="155"/>
      <c r="AD2724" s="155"/>
      <c r="AE2724" s="155"/>
    </row>
    <row r="2725" spans="28:31" x14ac:dyDescent="0.2">
      <c r="AB2725" s="155"/>
      <c r="AD2725" s="155"/>
      <c r="AE2725" s="155"/>
    </row>
    <row r="2726" spans="28:31" x14ac:dyDescent="0.2">
      <c r="AB2726" s="155"/>
      <c r="AD2726" s="155"/>
      <c r="AE2726" s="155"/>
    </row>
    <row r="2727" spans="28:31" x14ac:dyDescent="0.2">
      <c r="AB2727" s="155"/>
      <c r="AD2727" s="155"/>
      <c r="AE2727" s="155"/>
    </row>
    <row r="2728" spans="28:31" x14ac:dyDescent="0.2">
      <c r="AB2728" s="155"/>
      <c r="AD2728" s="155"/>
      <c r="AE2728" s="155"/>
    </row>
    <row r="2729" spans="28:31" x14ac:dyDescent="0.2">
      <c r="AB2729" s="155"/>
      <c r="AD2729" s="155"/>
      <c r="AE2729" s="155"/>
    </row>
    <row r="2730" spans="28:31" x14ac:dyDescent="0.2">
      <c r="AB2730" s="155"/>
      <c r="AD2730" s="155"/>
      <c r="AE2730" s="155"/>
    </row>
    <row r="2731" spans="28:31" x14ac:dyDescent="0.2">
      <c r="AB2731" s="155"/>
      <c r="AD2731" s="155"/>
      <c r="AE2731" s="155"/>
    </row>
    <row r="2732" spans="28:31" x14ac:dyDescent="0.2">
      <c r="AB2732" s="155"/>
      <c r="AD2732" s="155"/>
      <c r="AE2732" s="155"/>
    </row>
    <row r="2733" spans="28:31" x14ac:dyDescent="0.2">
      <c r="AB2733" s="155"/>
      <c r="AD2733" s="155"/>
      <c r="AE2733" s="155"/>
    </row>
    <row r="2734" spans="28:31" x14ac:dyDescent="0.2">
      <c r="AB2734" s="155"/>
      <c r="AD2734" s="155"/>
      <c r="AE2734" s="155"/>
    </row>
    <row r="2735" spans="28:31" x14ac:dyDescent="0.2">
      <c r="AB2735" s="155"/>
      <c r="AD2735" s="155"/>
      <c r="AE2735" s="155"/>
    </row>
    <row r="2736" spans="28:31" x14ac:dyDescent="0.2">
      <c r="AB2736" s="155"/>
      <c r="AD2736" s="155"/>
      <c r="AE2736" s="155"/>
    </row>
    <row r="2737" spans="28:31" x14ac:dyDescent="0.2">
      <c r="AB2737" s="155"/>
      <c r="AD2737" s="155"/>
      <c r="AE2737" s="155"/>
    </row>
    <row r="2738" spans="28:31" x14ac:dyDescent="0.2">
      <c r="AB2738" s="155"/>
      <c r="AD2738" s="155"/>
      <c r="AE2738" s="155"/>
    </row>
    <row r="2739" spans="28:31" x14ac:dyDescent="0.2">
      <c r="AB2739" s="155"/>
      <c r="AD2739" s="155"/>
      <c r="AE2739" s="155"/>
    </row>
    <row r="2740" spans="28:31" x14ac:dyDescent="0.2">
      <c r="AB2740" s="155"/>
      <c r="AD2740" s="155"/>
      <c r="AE2740" s="155"/>
    </row>
    <row r="2741" spans="28:31" x14ac:dyDescent="0.2">
      <c r="AB2741" s="155"/>
      <c r="AD2741" s="155"/>
      <c r="AE2741" s="155"/>
    </row>
    <row r="2742" spans="28:31" x14ac:dyDescent="0.2">
      <c r="AB2742" s="155"/>
      <c r="AD2742" s="155"/>
      <c r="AE2742" s="155"/>
    </row>
    <row r="2743" spans="28:31" x14ac:dyDescent="0.2">
      <c r="AB2743" s="155"/>
      <c r="AD2743" s="155"/>
      <c r="AE2743" s="155"/>
    </row>
    <row r="2744" spans="28:31" x14ac:dyDescent="0.2">
      <c r="AB2744" s="155"/>
      <c r="AD2744" s="155"/>
      <c r="AE2744" s="155"/>
    </row>
    <row r="2745" spans="28:31" x14ac:dyDescent="0.2">
      <c r="AB2745" s="155"/>
      <c r="AD2745" s="155"/>
      <c r="AE2745" s="155"/>
    </row>
    <row r="2746" spans="28:31" x14ac:dyDescent="0.2">
      <c r="AB2746" s="155"/>
      <c r="AD2746" s="155"/>
      <c r="AE2746" s="155"/>
    </row>
    <row r="2747" spans="28:31" x14ac:dyDescent="0.2">
      <c r="AB2747" s="155"/>
      <c r="AD2747" s="155"/>
      <c r="AE2747" s="155"/>
    </row>
    <row r="2748" spans="28:31" x14ac:dyDescent="0.2">
      <c r="AB2748" s="155"/>
      <c r="AD2748" s="155"/>
      <c r="AE2748" s="155"/>
    </row>
    <row r="2749" spans="28:31" x14ac:dyDescent="0.2">
      <c r="AB2749" s="155"/>
      <c r="AD2749" s="155"/>
      <c r="AE2749" s="155"/>
    </row>
    <row r="2750" spans="28:31" x14ac:dyDescent="0.2">
      <c r="AB2750" s="155"/>
      <c r="AD2750" s="155"/>
      <c r="AE2750" s="155"/>
    </row>
    <row r="2751" spans="28:31" x14ac:dyDescent="0.2">
      <c r="AB2751" s="155"/>
      <c r="AD2751" s="155"/>
      <c r="AE2751" s="155"/>
    </row>
    <row r="2752" spans="28:31" x14ac:dyDescent="0.2">
      <c r="AB2752" s="155"/>
      <c r="AD2752" s="155"/>
      <c r="AE2752" s="155"/>
    </row>
    <row r="2753" spans="28:31" x14ac:dyDescent="0.2">
      <c r="AB2753" s="155"/>
      <c r="AD2753" s="155"/>
      <c r="AE2753" s="155"/>
    </row>
    <row r="2754" spans="28:31" x14ac:dyDescent="0.2">
      <c r="AB2754" s="155"/>
      <c r="AD2754" s="155"/>
      <c r="AE2754" s="155"/>
    </row>
    <row r="2755" spans="28:31" x14ac:dyDescent="0.2">
      <c r="AB2755" s="155"/>
      <c r="AD2755" s="155"/>
      <c r="AE2755" s="155"/>
    </row>
    <row r="2756" spans="28:31" x14ac:dyDescent="0.2">
      <c r="AB2756" s="155"/>
      <c r="AD2756" s="155"/>
      <c r="AE2756" s="155"/>
    </row>
    <row r="2757" spans="28:31" x14ac:dyDescent="0.2">
      <c r="AB2757" s="155"/>
      <c r="AD2757" s="155"/>
      <c r="AE2757" s="155"/>
    </row>
    <row r="2758" spans="28:31" x14ac:dyDescent="0.2">
      <c r="AB2758" s="155"/>
      <c r="AD2758" s="155"/>
      <c r="AE2758" s="155"/>
    </row>
    <row r="2759" spans="28:31" x14ac:dyDescent="0.2">
      <c r="AB2759" s="155"/>
      <c r="AD2759" s="155"/>
      <c r="AE2759" s="155"/>
    </row>
    <row r="2760" spans="28:31" x14ac:dyDescent="0.2">
      <c r="AB2760" s="155"/>
      <c r="AD2760" s="155"/>
      <c r="AE2760" s="155"/>
    </row>
    <row r="2761" spans="28:31" x14ac:dyDescent="0.2">
      <c r="AB2761" s="155"/>
      <c r="AD2761" s="155"/>
      <c r="AE2761" s="155"/>
    </row>
    <row r="2762" spans="28:31" x14ac:dyDescent="0.2">
      <c r="AB2762" s="155"/>
      <c r="AD2762" s="155"/>
      <c r="AE2762" s="155"/>
    </row>
    <row r="2763" spans="28:31" x14ac:dyDescent="0.2">
      <c r="AB2763" s="155"/>
      <c r="AD2763" s="155"/>
      <c r="AE2763" s="155"/>
    </row>
    <row r="2764" spans="28:31" x14ac:dyDescent="0.2">
      <c r="AB2764" s="155"/>
      <c r="AD2764" s="155"/>
      <c r="AE2764" s="155"/>
    </row>
    <row r="2765" spans="28:31" x14ac:dyDescent="0.2">
      <c r="AB2765" s="155"/>
      <c r="AD2765" s="155"/>
      <c r="AE2765" s="155"/>
    </row>
    <row r="2766" spans="28:31" x14ac:dyDescent="0.2">
      <c r="AB2766" s="155"/>
      <c r="AD2766" s="155"/>
      <c r="AE2766" s="155"/>
    </row>
    <row r="2767" spans="28:31" x14ac:dyDescent="0.2">
      <c r="AB2767" s="155"/>
      <c r="AD2767" s="155"/>
      <c r="AE2767" s="155"/>
    </row>
    <row r="2768" spans="28:31" x14ac:dyDescent="0.2">
      <c r="AB2768" s="155"/>
      <c r="AD2768" s="155"/>
      <c r="AE2768" s="155"/>
    </row>
    <row r="2769" spans="28:31" x14ac:dyDescent="0.2">
      <c r="AB2769" s="155"/>
      <c r="AD2769" s="155"/>
      <c r="AE2769" s="155"/>
    </row>
    <row r="2770" spans="28:31" x14ac:dyDescent="0.2">
      <c r="AB2770" s="155"/>
      <c r="AD2770" s="155"/>
      <c r="AE2770" s="155"/>
    </row>
    <row r="2771" spans="28:31" x14ac:dyDescent="0.2">
      <c r="AB2771" s="155"/>
      <c r="AD2771" s="155"/>
      <c r="AE2771" s="155"/>
    </row>
    <row r="2772" spans="28:31" x14ac:dyDescent="0.2">
      <c r="AB2772" s="155"/>
      <c r="AD2772" s="155"/>
      <c r="AE2772" s="155"/>
    </row>
    <row r="2773" spans="28:31" x14ac:dyDescent="0.2">
      <c r="AB2773" s="155"/>
      <c r="AD2773" s="155"/>
      <c r="AE2773" s="155"/>
    </row>
    <row r="2774" spans="28:31" x14ac:dyDescent="0.2">
      <c r="AB2774" s="155"/>
      <c r="AD2774" s="155"/>
      <c r="AE2774" s="155"/>
    </row>
    <row r="2775" spans="28:31" x14ac:dyDescent="0.2">
      <c r="AB2775" s="155"/>
      <c r="AD2775" s="155"/>
      <c r="AE2775" s="155"/>
    </row>
    <row r="2776" spans="28:31" x14ac:dyDescent="0.2">
      <c r="AB2776" s="155"/>
      <c r="AD2776" s="155"/>
      <c r="AE2776" s="155"/>
    </row>
    <row r="2777" spans="28:31" x14ac:dyDescent="0.2">
      <c r="AB2777" s="155"/>
      <c r="AD2777" s="155"/>
      <c r="AE2777" s="155"/>
    </row>
    <row r="2778" spans="28:31" x14ac:dyDescent="0.2">
      <c r="AB2778" s="155"/>
      <c r="AD2778" s="155"/>
      <c r="AE2778" s="155"/>
    </row>
    <row r="2779" spans="28:31" x14ac:dyDescent="0.2">
      <c r="AB2779" s="155"/>
      <c r="AD2779" s="155"/>
      <c r="AE2779" s="155"/>
    </row>
    <row r="2780" spans="28:31" x14ac:dyDescent="0.2">
      <c r="AB2780" s="155"/>
      <c r="AD2780" s="155"/>
      <c r="AE2780" s="155"/>
    </row>
    <row r="2781" spans="28:31" x14ac:dyDescent="0.2">
      <c r="AB2781" s="155"/>
      <c r="AD2781" s="155"/>
      <c r="AE2781" s="155"/>
    </row>
    <row r="2782" spans="28:31" x14ac:dyDescent="0.2">
      <c r="AB2782" s="155"/>
      <c r="AD2782" s="155"/>
      <c r="AE2782" s="155"/>
    </row>
    <row r="2783" spans="28:31" x14ac:dyDescent="0.2">
      <c r="AB2783" s="155"/>
      <c r="AD2783" s="155"/>
      <c r="AE2783" s="155"/>
    </row>
    <row r="2784" spans="28:31" x14ac:dyDescent="0.2">
      <c r="AB2784" s="155"/>
      <c r="AD2784" s="155"/>
      <c r="AE2784" s="155"/>
    </row>
    <row r="2785" spans="28:31" x14ac:dyDescent="0.2">
      <c r="AB2785" s="155"/>
      <c r="AD2785" s="155"/>
      <c r="AE2785" s="155"/>
    </row>
    <row r="2786" spans="28:31" x14ac:dyDescent="0.2">
      <c r="AB2786" s="155"/>
      <c r="AD2786" s="155"/>
      <c r="AE2786" s="155"/>
    </row>
    <row r="2787" spans="28:31" x14ac:dyDescent="0.2">
      <c r="AB2787" s="155"/>
      <c r="AD2787" s="155"/>
      <c r="AE2787" s="155"/>
    </row>
    <row r="2788" spans="28:31" x14ac:dyDescent="0.2">
      <c r="AB2788" s="155"/>
      <c r="AD2788" s="155"/>
      <c r="AE2788" s="155"/>
    </row>
    <row r="2789" spans="28:31" x14ac:dyDescent="0.2">
      <c r="AB2789" s="155"/>
      <c r="AD2789" s="155"/>
      <c r="AE2789" s="155"/>
    </row>
    <row r="2790" spans="28:31" x14ac:dyDescent="0.2">
      <c r="AB2790" s="155"/>
      <c r="AD2790" s="155"/>
      <c r="AE2790" s="155"/>
    </row>
    <row r="2791" spans="28:31" x14ac:dyDescent="0.2">
      <c r="AB2791" s="155"/>
      <c r="AD2791" s="155"/>
      <c r="AE2791" s="155"/>
    </row>
    <row r="2792" spans="28:31" x14ac:dyDescent="0.2">
      <c r="AB2792" s="155"/>
      <c r="AD2792" s="155"/>
      <c r="AE2792" s="155"/>
    </row>
    <row r="2793" spans="28:31" x14ac:dyDescent="0.2">
      <c r="AB2793" s="155"/>
      <c r="AD2793" s="155"/>
      <c r="AE2793" s="155"/>
    </row>
    <row r="2794" spans="28:31" x14ac:dyDescent="0.2">
      <c r="AB2794" s="155"/>
      <c r="AD2794" s="155"/>
      <c r="AE2794" s="155"/>
    </row>
    <row r="2795" spans="28:31" x14ac:dyDescent="0.2">
      <c r="AB2795" s="155"/>
      <c r="AD2795" s="155"/>
      <c r="AE2795" s="155"/>
    </row>
    <row r="2796" spans="28:31" x14ac:dyDescent="0.2">
      <c r="AB2796" s="155"/>
      <c r="AD2796" s="155"/>
      <c r="AE2796" s="155"/>
    </row>
    <row r="2797" spans="28:31" x14ac:dyDescent="0.2">
      <c r="AB2797" s="155"/>
      <c r="AD2797" s="155"/>
      <c r="AE2797" s="155"/>
    </row>
    <row r="2798" spans="28:31" x14ac:dyDescent="0.2">
      <c r="AB2798" s="155"/>
      <c r="AD2798" s="155"/>
      <c r="AE2798" s="155"/>
    </row>
    <row r="2799" spans="28:31" x14ac:dyDescent="0.2">
      <c r="AB2799" s="155"/>
      <c r="AD2799" s="155"/>
      <c r="AE2799" s="155"/>
    </row>
    <row r="2800" spans="28:31" x14ac:dyDescent="0.2">
      <c r="AB2800" s="155"/>
      <c r="AD2800" s="155"/>
      <c r="AE2800" s="155"/>
    </row>
    <row r="2801" spans="28:31" x14ac:dyDescent="0.2">
      <c r="AB2801" s="155"/>
      <c r="AD2801" s="155"/>
      <c r="AE2801" s="155"/>
    </row>
    <row r="2802" spans="28:31" x14ac:dyDescent="0.2">
      <c r="AB2802" s="155"/>
      <c r="AD2802" s="155"/>
      <c r="AE2802" s="155"/>
    </row>
    <row r="2803" spans="28:31" x14ac:dyDescent="0.2">
      <c r="AB2803" s="155"/>
      <c r="AD2803" s="155"/>
      <c r="AE2803" s="155"/>
    </row>
    <row r="2804" spans="28:31" x14ac:dyDescent="0.2">
      <c r="AB2804" s="155"/>
      <c r="AD2804" s="155"/>
      <c r="AE2804" s="155"/>
    </row>
    <row r="2805" spans="28:31" x14ac:dyDescent="0.2">
      <c r="AB2805" s="155"/>
      <c r="AD2805" s="155"/>
      <c r="AE2805" s="155"/>
    </row>
    <row r="2806" spans="28:31" x14ac:dyDescent="0.2">
      <c r="AB2806" s="155"/>
      <c r="AD2806" s="155"/>
      <c r="AE2806" s="155"/>
    </row>
    <row r="2807" spans="28:31" x14ac:dyDescent="0.2">
      <c r="AB2807" s="155"/>
      <c r="AD2807" s="155"/>
      <c r="AE2807" s="155"/>
    </row>
    <row r="2808" spans="28:31" x14ac:dyDescent="0.2">
      <c r="AB2808" s="155"/>
      <c r="AD2808" s="155"/>
      <c r="AE2808" s="155"/>
    </row>
    <row r="2809" spans="28:31" x14ac:dyDescent="0.2">
      <c r="AB2809" s="155"/>
      <c r="AD2809" s="155"/>
      <c r="AE2809" s="155"/>
    </row>
    <row r="2810" spans="28:31" x14ac:dyDescent="0.2">
      <c r="AB2810" s="155"/>
      <c r="AD2810" s="155"/>
      <c r="AE2810" s="155"/>
    </row>
    <row r="2811" spans="28:31" x14ac:dyDescent="0.2">
      <c r="AB2811" s="155"/>
      <c r="AD2811" s="155"/>
      <c r="AE2811" s="155"/>
    </row>
    <row r="2812" spans="28:31" x14ac:dyDescent="0.2">
      <c r="AB2812" s="155"/>
      <c r="AD2812" s="155"/>
      <c r="AE2812" s="155"/>
    </row>
    <row r="2813" spans="28:31" x14ac:dyDescent="0.2">
      <c r="AB2813" s="155"/>
      <c r="AD2813" s="155"/>
      <c r="AE2813" s="155"/>
    </row>
    <row r="2814" spans="28:31" x14ac:dyDescent="0.2">
      <c r="AB2814" s="155"/>
      <c r="AD2814" s="155"/>
      <c r="AE2814" s="155"/>
    </row>
    <row r="2815" spans="28:31" x14ac:dyDescent="0.2">
      <c r="AB2815" s="155"/>
      <c r="AD2815" s="155"/>
      <c r="AE2815" s="155"/>
    </row>
    <row r="2816" spans="28:31" x14ac:dyDescent="0.2">
      <c r="AB2816" s="155"/>
      <c r="AD2816" s="155"/>
      <c r="AE2816" s="155"/>
    </row>
    <row r="2817" spans="28:31" x14ac:dyDescent="0.2">
      <c r="AB2817" s="155"/>
      <c r="AD2817" s="155"/>
      <c r="AE2817" s="155"/>
    </row>
    <row r="2818" spans="28:31" x14ac:dyDescent="0.2">
      <c r="AB2818" s="155"/>
      <c r="AD2818" s="155"/>
      <c r="AE2818" s="155"/>
    </row>
    <row r="2819" spans="28:31" x14ac:dyDescent="0.2">
      <c r="AB2819" s="155"/>
      <c r="AD2819" s="155"/>
      <c r="AE2819" s="155"/>
    </row>
    <row r="2820" spans="28:31" x14ac:dyDescent="0.2">
      <c r="AB2820" s="155"/>
      <c r="AD2820" s="155"/>
      <c r="AE2820" s="155"/>
    </row>
    <row r="2821" spans="28:31" x14ac:dyDescent="0.2">
      <c r="AB2821" s="155"/>
      <c r="AD2821" s="155"/>
      <c r="AE2821" s="155"/>
    </row>
    <row r="2822" spans="28:31" x14ac:dyDescent="0.2">
      <c r="AB2822" s="155"/>
      <c r="AD2822" s="155"/>
      <c r="AE2822" s="155"/>
    </row>
    <row r="2823" spans="28:31" x14ac:dyDescent="0.2">
      <c r="AB2823" s="155"/>
      <c r="AD2823" s="155"/>
      <c r="AE2823" s="155"/>
    </row>
    <row r="2824" spans="28:31" x14ac:dyDescent="0.2">
      <c r="AB2824" s="155"/>
      <c r="AD2824" s="155"/>
      <c r="AE2824" s="155"/>
    </row>
    <row r="2825" spans="28:31" x14ac:dyDescent="0.2">
      <c r="AB2825" s="155"/>
      <c r="AD2825" s="155"/>
      <c r="AE2825" s="155"/>
    </row>
    <row r="2826" spans="28:31" x14ac:dyDescent="0.2">
      <c r="AB2826" s="155"/>
      <c r="AD2826" s="155"/>
      <c r="AE2826" s="155"/>
    </row>
    <row r="2827" spans="28:31" x14ac:dyDescent="0.2">
      <c r="AB2827" s="155"/>
      <c r="AD2827" s="155"/>
      <c r="AE2827" s="155"/>
    </row>
    <row r="2828" spans="28:31" x14ac:dyDescent="0.2">
      <c r="AB2828" s="155"/>
      <c r="AD2828" s="155"/>
      <c r="AE2828" s="155"/>
    </row>
    <row r="2829" spans="28:31" x14ac:dyDescent="0.2">
      <c r="AB2829" s="155"/>
      <c r="AD2829" s="155"/>
      <c r="AE2829" s="155"/>
    </row>
    <row r="2830" spans="28:31" x14ac:dyDescent="0.2">
      <c r="AB2830" s="155"/>
      <c r="AD2830" s="155"/>
      <c r="AE2830" s="155"/>
    </row>
    <row r="2831" spans="28:31" x14ac:dyDescent="0.2">
      <c r="AB2831" s="155"/>
      <c r="AD2831" s="155"/>
      <c r="AE2831" s="155"/>
    </row>
    <row r="2832" spans="28:31" x14ac:dyDescent="0.2">
      <c r="AB2832" s="155"/>
      <c r="AD2832" s="155"/>
      <c r="AE2832" s="155"/>
    </row>
    <row r="2833" spans="28:31" x14ac:dyDescent="0.2">
      <c r="AB2833" s="155"/>
      <c r="AD2833" s="155"/>
      <c r="AE2833" s="155"/>
    </row>
    <row r="2834" spans="28:31" x14ac:dyDescent="0.2">
      <c r="AB2834" s="155"/>
      <c r="AD2834" s="155"/>
      <c r="AE2834" s="155"/>
    </row>
    <row r="2835" spans="28:31" x14ac:dyDescent="0.2">
      <c r="AB2835" s="155"/>
      <c r="AD2835" s="155"/>
      <c r="AE2835" s="155"/>
    </row>
    <row r="2836" spans="28:31" x14ac:dyDescent="0.2">
      <c r="AB2836" s="155"/>
      <c r="AD2836" s="155"/>
      <c r="AE2836" s="155"/>
    </row>
    <row r="2837" spans="28:31" x14ac:dyDescent="0.2">
      <c r="AB2837" s="155"/>
      <c r="AD2837" s="155"/>
      <c r="AE2837" s="155"/>
    </row>
    <row r="2838" spans="28:31" x14ac:dyDescent="0.2">
      <c r="AB2838" s="155"/>
      <c r="AD2838" s="155"/>
      <c r="AE2838" s="155"/>
    </row>
    <row r="2839" spans="28:31" x14ac:dyDescent="0.2">
      <c r="AB2839" s="155"/>
      <c r="AD2839" s="155"/>
      <c r="AE2839" s="155"/>
    </row>
    <row r="2840" spans="28:31" x14ac:dyDescent="0.2">
      <c r="AB2840" s="155"/>
      <c r="AD2840" s="155"/>
      <c r="AE2840" s="155"/>
    </row>
    <row r="2841" spans="28:31" x14ac:dyDescent="0.2">
      <c r="AB2841" s="155"/>
      <c r="AD2841" s="155"/>
      <c r="AE2841" s="155"/>
    </row>
    <row r="2842" spans="28:31" x14ac:dyDescent="0.2">
      <c r="AB2842" s="155"/>
      <c r="AD2842" s="155"/>
      <c r="AE2842" s="155"/>
    </row>
    <row r="2843" spans="28:31" x14ac:dyDescent="0.2">
      <c r="AB2843" s="155"/>
      <c r="AD2843" s="155"/>
      <c r="AE2843" s="155"/>
    </row>
    <row r="2844" spans="28:31" x14ac:dyDescent="0.2">
      <c r="AB2844" s="155"/>
      <c r="AD2844" s="155"/>
      <c r="AE2844" s="155"/>
    </row>
    <row r="2845" spans="28:31" x14ac:dyDescent="0.2">
      <c r="AB2845" s="155"/>
      <c r="AD2845" s="155"/>
      <c r="AE2845" s="155"/>
    </row>
    <row r="2846" spans="28:31" x14ac:dyDescent="0.2">
      <c r="AB2846" s="155"/>
      <c r="AD2846" s="155"/>
      <c r="AE2846" s="155"/>
    </row>
    <row r="2847" spans="28:31" x14ac:dyDescent="0.2">
      <c r="AB2847" s="155"/>
      <c r="AD2847" s="155"/>
      <c r="AE2847" s="155"/>
    </row>
    <row r="2848" spans="28:31" x14ac:dyDescent="0.2">
      <c r="AB2848" s="155"/>
      <c r="AD2848" s="155"/>
      <c r="AE2848" s="155"/>
    </row>
    <row r="2849" spans="28:31" x14ac:dyDescent="0.2">
      <c r="AB2849" s="155"/>
      <c r="AD2849" s="155"/>
      <c r="AE2849" s="155"/>
    </row>
    <row r="2850" spans="28:31" x14ac:dyDescent="0.2">
      <c r="AB2850" s="155"/>
      <c r="AD2850" s="155"/>
      <c r="AE2850" s="155"/>
    </row>
    <row r="2851" spans="28:31" x14ac:dyDescent="0.2">
      <c r="AB2851" s="155"/>
      <c r="AD2851" s="155"/>
      <c r="AE2851" s="155"/>
    </row>
    <row r="2852" spans="28:31" x14ac:dyDescent="0.2">
      <c r="AB2852" s="155"/>
      <c r="AD2852" s="155"/>
      <c r="AE2852" s="155"/>
    </row>
    <row r="2853" spans="28:31" x14ac:dyDescent="0.2">
      <c r="AB2853" s="155"/>
      <c r="AD2853" s="155"/>
      <c r="AE2853" s="155"/>
    </row>
    <row r="2854" spans="28:31" x14ac:dyDescent="0.2">
      <c r="AB2854" s="155"/>
      <c r="AD2854" s="155"/>
      <c r="AE2854" s="155"/>
    </row>
    <row r="2855" spans="28:31" x14ac:dyDescent="0.2">
      <c r="AB2855" s="155"/>
      <c r="AD2855" s="155"/>
      <c r="AE2855" s="155"/>
    </row>
    <row r="2856" spans="28:31" x14ac:dyDescent="0.2">
      <c r="AB2856" s="155"/>
      <c r="AD2856" s="155"/>
      <c r="AE2856" s="155"/>
    </row>
    <row r="2857" spans="28:31" x14ac:dyDescent="0.2">
      <c r="AB2857" s="155"/>
      <c r="AD2857" s="155"/>
      <c r="AE2857" s="155"/>
    </row>
    <row r="2858" spans="28:31" x14ac:dyDescent="0.2">
      <c r="AB2858" s="155"/>
      <c r="AD2858" s="155"/>
      <c r="AE2858" s="155"/>
    </row>
    <row r="2859" spans="28:31" x14ac:dyDescent="0.2">
      <c r="AB2859" s="155"/>
      <c r="AD2859" s="155"/>
      <c r="AE2859" s="155"/>
    </row>
    <row r="2860" spans="28:31" x14ac:dyDescent="0.2">
      <c r="AB2860" s="155"/>
      <c r="AD2860" s="155"/>
      <c r="AE2860" s="155"/>
    </row>
    <row r="2861" spans="28:31" x14ac:dyDescent="0.2">
      <c r="AB2861" s="155"/>
      <c r="AD2861" s="155"/>
      <c r="AE2861" s="155"/>
    </row>
    <row r="2862" spans="28:31" x14ac:dyDescent="0.2">
      <c r="AB2862" s="155"/>
      <c r="AD2862" s="155"/>
      <c r="AE2862" s="155"/>
    </row>
    <row r="2863" spans="28:31" x14ac:dyDescent="0.2">
      <c r="AB2863" s="155"/>
      <c r="AD2863" s="155"/>
      <c r="AE2863" s="155"/>
    </row>
    <row r="2864" spans="28:31" x14ac:dyDescent="0.2">
      <c r="AB2864" s="155"/>
      <c r="AD2864" s="155"/>
      <c r="AE2864" s="155"/>
    </row>
    <row r="2865" spans="28:31" x14ac:dyDescent="0.2">
      <c r="AB2865" s="155"/>
      <c r="AD2865" s="155"/>
      <c r="AE2865" s="155"/>
    </row>
    <row r="2866" spans="28:31" x14ac:dyDescent="0.2">
      <c r="AB2866" s="155"/>
      <c r="AD2866" s="155"/>
      <c r="AE2866" s="155"/>
    </row>
    <row r="2867" spans="28:31" x14ac:dyDescent="0.2">
      <c r="AB2867" s="155"/>
      <c r="AD2867" s="155"/>
      <c r="AE2867" s="155"/>
    </row>
    <row r="2868" spans="28:31" x14ac:dyDescent="0.2">
      <c r="AB2868" s="155"/>
      <c r="AD2868" s="155"/>
      <c r="AE2868" s="155"/>
    </row>
    <row r="2869" spans="28:31" x14ac:dyDescent="0.2">
      <c r="AB2869" s="155"/>
      <c r="AD2869" s="155"/>
      <c r="AE2869" s="155"/>
    </row>
    <row r="2870" spans="28:31" x14ac:dyDescent="0.2">
      <c r="AB2870" s="155"/>
      <c r="AD2870" s="155"/>
      <c r="AE2870" s="155"/>
    </row>
    <row r="2871" spans="28:31" x14ac:dyDescent="0.2">
      <c r="AB2871" s="155"/>
      <c r="AD2871" s="155"/>
      <c r="AE2871" s="155"/>
    </row>
    <row r="2872" spans="28:31" x14ac:dyDescent="0.2">
      <c r="AB2872" s="155"/>
      <c r="AD2872" s="155"/>
      <c r="AE2872" s="155"/>
    </row>
    <row r="2873" spans="28:31" x14ac:dyDescent="0.2">
      <c r="AB2873" s="155"/>
      <c r="AD2873" s="155"/>
      <c r="AE2873" s="155"/>
    </row>
    <row r="2874" spans="28:31" x14ac:dyDescent="0.2">
      <c r="AB2874" s="155"/>
      <c r="AD2874" s="155"/>
      <c r="AE2874" s="155"/>
    </row>
    <row r="2875" spans="28:31" x14ac:dyDescent="0.2">
      <c r="AB2875" s="155"/>
      <c r="AD2875" s="155"/>
      <c r="AE2875" s="155"/>
    </row>
    <row r="2876" spans="28:31" x14ac:dyDescent="0.2">
      <c r="AB2876" s="155"/>
      <c r="AD2876" s="155"/>
      <c r="AE2876" s="155"/>
    </row>
    <row r="2877" spans="28:31" x14ac:dyDescent="0.2">
      <c r="AB2877" s="155"/>
      <c r="AD2877" s="155"/>
      <c r="AE2877" s="155"/>
    </row>
    <row r="2878" spans="28:31" x14ac:dyDescent="0.2">
      <c r="AB2878" s="155"/>
      <c r="AD2878" s="155"/>
      <c r="AE2878" s="155"/>
    </row>
    <row r="2879" spans="28:31" x14ac:dyDescent="0.2">
      <c r="AB2879" s="155"/>
      <c r="AD2879" s="155"/>
      <c r="AE2879" s="155"/>
    </row>
    <row r="2880" spans="28:31" x14ac:dyDescent="0.2">
      <c r="AB2880" s="155"/>
      <c r="AD2880" s="155"/>
      <c r="AE2880" s="155"/>
    </row>
    <row r="2881" spans="28:31" x14ac:dyDescent="0.2">
      <c r="AB2881" s="155"/>
      <c r="AD2881" s="155"/>
      <c r="AE2881" s="155"/>
    </row>
    <row r="2882" spans="28:31" x14ac:dyDescent="0.2">
      <c r="AB2882" s="155"/>
      <c r="AD2882" s="155"/>
      <c r="AE2882" s="155"/>
    </row>
    <row r="2883" spans="28:31" x14ac:dyDescent="0.2">
      <c r="AB2883" s="155"/>
      <c r="AD2883" s="155"/>
      <c r="AE2883" s="155"/>
    </row>
    <row r="2884" spans="28:31" x14ac:dyDescent="0.2">
      <c r="AB2884" s="155"/>
      <c r="AD2884" s="155"/>
      <c r="AE2884" s="155"/>
    </row>
    <row r="2885" spans="28:31" x14ac:dyDescent="0.2">
      <c r="AB2885" s="155"/>
      <c r="AD2885" s="155"/>
      <c r="AE2885" s="155"/>
    </row>
    <row r="2886" spans="28:31" x14ac:dyDescent="0.2">
      <c r="AB2886" s="155"/>
      <c r="AD2886" s="155"/>
      <c r="AE2886" s="155"/>
    </row>
    <row r="2887" spans="28:31" x14ac:dyDescent="0.2">
      <c r="AB2887" s="155"/>
      <c r="AD2887" s="155"/>
      <c r="AE2887" s="155"/>
    </row>
    <row r="2888" spans="28:31" x14ac:dyDescent="0.2">
      <c r="AB2888" s="155"/>
      <c r="AD2888" s="155"/>
      <c r="AE2888" s="155"/>
    </row>
    <row r="2889" spans="28:31" x14ac:dyDescent="0.2">
      <c r="AB2889" s="155"/>
      <c r="AD2889" s="155"/>
      <c r="AE2889" s="155"/>
    </row>
    <row r="2890" spans="28:31" x14ac:dyDescent="0.2">
      <c r="AB2890" s="155"/>
      <c r="AD2890" s="155"/>
      <c r="AE2890" s="155"/>
    </row>
    <row r="2891" spans="28:31" x14ac:dyDescent="0.2">
      <c r="AB2891" s="155"/>
      <c r="AD2891" s="155"/>
      <c r="AE2891" s="155"/>
    </row>
    <row r="2892" spans="28:31" x14ac:dyDescent="0.2">
      <c r="AB2892" s="155"/>
      <c r="AD2892" s="155"/>
      <c r="AE2892" s="155"/>
    </row>
    <row r="2893" spans="28:31" x14ac:dyDescent="0.2">
      <c r="AB2893" s="155"/>
      <c r="AD2893" s="155"/>
      <c r="AE2893" s="155"/>
    </row>
    <row r="2894" spans="28:31" x14ac:dyDescent="0.2">
      <c r="AB2894" s="155"/>
      <c r="AD2894" s="155"/>
      <c r="AE2894" s="155"/>
    </row>
    <row r="2895" spans="28:31" x14ac:dyDescent="0.2">
      <c r="AB2895" s="155"/>
      <c r="AD2895" s="155"/>
      <c r="AE2895" s="155"/>
    </row>
    <row r="2896" spans="28:31" x14ac:dyDescent="0.2">
      <c r="AB2896" s="155"/>
      <c r="AD2896" s="155"/>
      <c r="AE2896" s="155"/>
    </row>
    <row r="2897" spans="28:31" x14ac:dyDescent="0.2">
      <c r="AB2897" s="155"/>
      <c r="AD2897" s="155"/>
      <c r="AE2897" s="155"/>
    </row>
    <row r="2898" spans="28:31" x14ac:dyDescent="0.2">
      <c r="AB2898" s="155"/>
      <c r="AD2898" s="155"/>
      <c r="AE2898" s="155"/>
    </row>
    <row r="2899" spans="28:31" x14ac:dyDescent="0.2">
      <c r="AB2899" s="155"/>
      <c r="AD2899" s="155"/>
      <c r="AE2899" s="155"/>
    </row>
    <row r="2900" spans="28:31" x14ac:dyDescent="0.2">
      <c r="AB2900" s="155"/>
      <c r="AD2900" s="155"/>
      <c r="AE2900" s="155"/>
    </row>
    <row r="2901" spans="28:31" x14ac:dyDescent="0.2">
      <c r="AB2901" s="155"/>
      <c r="AD2901" s="155"/>
      <c r="AE2901" s="155"/>
    </row>
    <row r="2902" spans="28:31" x14ac:dyDescent="0.2">
      <c r="AB2902" s="155"/>
      <c r="AD2902" s="155"/>
      <c r="AE2902" s="155"/>
    </row>
    <row r="2903" spans="28:31" x14ac:dyDescent="0.2">
      <c r="AB2903" s="155"/>
      <c r="AD2903" s="155"/>
      <c r="AE2903" s="155"/>
    </row>
    <row r="2904" spans="28:31" x14ac:dyDescent="0.2">
      <c r="AB2904" s="155"/>
      <c r="AD2904" s="155"/>
      <c r="AE2904" s="155"/>
    </row>
    <row r="2905" spans="28:31" x14ac:dyDescent="0.2">
      <c r="AB2905" s="155"/>
      <c r="AD2905" s="155"/>
      <c r="AE2905" s="155"/>
    </row>
    <row r="2906" spans="28:31" x14ac:dyDescent="0.2">
      <c r="AB2906" s="155"/>
      <c r="AD2906" s="155"/>
      <c r="AE2906" s="155"/>
    </row>
    <row r="2907" spans="28:31" x14ac:dyDescent="0.2">
      <c r="AB2907" s="155"/>
      <c r="AD2907" s="155"/>
      <c r="AE2907" s="155"/>
    </row>
    <row r="2908" spans="28:31" x14ac:dyDescent="0.2">
      <c r="AB2908" s="155"/>
      <c r="AD2908" s="155"/>
      <c r="AE2908" s="155"/>
    </row>
    <row r="2909" spans="28:31" x14ac:dyDescent="0.2">
      <c r="AB2909" s="155"/>
      <c r="AD2909" s="155"/>
      <c r="AE2909" s="155"/>
    </row>
    <row r="2910" spans="28:31" x14ac:dyDescent="0.2">
      <c r="AB2910" s="155"/>
      <c r="AD2910" s="155"/>
      <c r="AE2910" s="155"/>
    </row>
    <row r="2911" spans="28:31" x14ac:dyDescent="0.2">
      <c r="AB2911" s="155"/>
      <c r="AD2911" s="155"/>
      <c r="AE2911" s="155"/>
    </row>
    <row r="2912" spans="28:31" x14ac:dyDescent="0.2">
      <c r="AB2912" s="155"/>
      <c r="AD2912" s="155"/>
      <c r="AE2912" s="155"/>
    </row>
    <row r="2913" spans="28:31" x14ac:dyDescent="0.2">
      <c r="AB2913" s="155"/>
      <c r="AD2913" s="155"/>
      <c r="AE2913" s="155"/>
    </row>
    <row r="2914" spans="28:31" x14ac:dyDescent="0.2">
      <c r="AB2914" s="155"/>
      <c r="AD2914" s="155"/>
      <c r="AE2914" s="155"/>
    </row>
    <row r="2915" spans="28:31" x14ac:dyDescent="0.2">
      <c r="AB2915" s="155"/>
      <c r="AD2915" s="155"/>
      <c r="AE2915" s="155"/>
    </row>
    <row r="2916" spans="28:31" x14ac:dyDescent="0.2">
      <c r="AB2916" s="155"/>
      <c r="AD2916" s="155"/>
      <c r="AE2916" s="155"/>
    </row>
    <row r="2917" spans="28:31" x14ac:dyDescent="0.2">
      <c r="AB2917" s="155"/>
      <c r="AD2917" s="155"/>
      <c r="AE2917" s="155"/>
    </row>
    <row r="2918" spans="28:31" x14ac:dyDescent="0.2">
      <c r="AB2918" s="155"/>
      <c r="AD2918" s="155"/>
      <c r="AE2918" s="155"/>
    </row>
    <row r="2919" spans="28:31" x14ac:dyDescent="0.2">
      <c r="AB2919" s="155"/>
      <c r="AD2919" s="155"/>
      <c r="AE2919" s="155"/>
    </row>
    <row r="2920" spans="28:31" x14ac:dyDescent="0.2">
      <c r="AB2920" s="155"/>
      <c r="AD2920" s="155"/>
      <c r="AE2920" s="155"/>
    </row>
    <row r="2921" spans="28:31" x14ac:dyDescent="0.2">
      <c r="AB2921" s="155"/>
      <c r="AD2921" s="155"/>
      <c r="AE2921" s="155"/>
    </row>
    <row r="2922" spans="28:31" x14ac:dyDescent="0.2">
      <c r="AB2922" s="155"/>
      <c r="AD2922" s="155"/>
      <c r="AE2922" s="155"/>
    </row>
    <row r="2923" spans="28:31" x14ac:dyDescent="0.2">
      <c r="AB2923" s="155"/>
      <c r="AD2923" s="155"/>
      <c r="AE2923" s="155"/>
    </row>
    <row r="2924" spans="28:31" x14ac:dyDescent="0.2">
      <c r="AB2924" s="155"/>
      <c r="AD2924" s="155"/>
      <c r="AE2924" s="155"/>
    </row>
    <row r="2925" spans="28:31" x14ac:dyDescent="0.2">
      <c r="AB2925" s="155"/>
      <c r="AD2925" s="155"/>
      <c r="AE2925" s="155"/>
    </row>
    <row r="2926" spans="28:31" x14ac:dyDescent="0.2">
      <c r="AB2926" s="155"/>
      <c r="AD2926" s="155"/>
      <c r="AE2926" s="155"/>
    </row>
    <row r="2927" spans="28:31" x14ac:dyDescent="0.2">
      <c r="AB2927" s="155"/>
      <c r="AD2927" s="155"/>
      <c r="AE2927" s="155"/>
    </row>
    <row r="2928" spans="28:31" x14ac:dyDescent="0.2">
      <c r="AB2928" s="155"/>
      <c r="AD2928" s="155"/>
      <c r="AE2928" s="155"/>
    </row>
    <row r="2929" spans="28:31" x14ac:dyDescent="0.2">
      <c r="AB2929" s="155"/>
      <c r="AD2929" s="155"/>
      <c r="AE2929" s="155"/>
    </row>
    <row r="2930" spans="28:31" x14ac:dyDescent="0.2">
      <c r="AB2930" s="155"/>
      <c r="AD2930" s="155"/>
      <c r="AE2930" s="155"/>
    </row>
    <row r="2931" spans="28:31" x14ac:dyDescent="0.2">
      <c r="AB2931" s="155"/>
      <c r="AD2931" s="155"/>
      <c r="AE2931" s="155"/>
    </row>
    <row r="2932" spans="28:31" x14ac:dyDescent="0.2">
      <c r="AB2932" s="155"/>
      <c r="AD2932" s="155"/>
      <c r="AE2932" s="155"/>
    </row>
    <row r="2933" spans="28:31" x14ac:dyDescent="0.2">
      <c r="AB2933" s="155"/>
      <c r="AD2933" s="155"/>
      <c r="AE2933" s="155"/>
    </row>
    <row r="2934" spans="28:31" x14ac:dyDescent="0.2">
      <c r="AB2934" s="155"/>
      <c r="AD2934" s="155"/>
      <c r="AE2934" s="155"/>
    </row>
    <row r="2935" spans="28:31" x14ac:dyDescent="0.2">
      <c r="AB2935" s="155"/>
      <c r="AD2935" s="155"/>
      <c r="AE2935" s="155"/>
    </row>
    <row r="2936" spans="28:31" x14ac:dyDescent="0.2">
      <c r="AB2936" s="155"/>
      <c r="AD2936" s="155"/>
      <c r="AE2936" s="155"/>
    </row>
    <row r="2937" spans="28:31" x14ac:dyDescent="0.2">
      <c r="AB2937" s="155"/>
      <c r="AD2937" s="155"/>
      <c r="AE2937" s="155"/>
    </row>
    <row r="2938" spans="28:31" x14ac:dyDescent="0.2">
      <c r="AB2938" s="155"/>
      <c r="AD2938" s="155"/>
      <c r="AE2938" s="155"/>
    </row>
    <row r="2939" spans="28:31" x14ac:dyDescent="0.2">
      <c r="AB2939" s="155"/>
      <c r="AD2939" s="155"/>
      <c r="AE2939" s="155"/>
    </row>
    <row r="2940" spans="28:31" x14ac:dyDescent="0.2">
      <c r="AB2940" s="155"/>
      <c r="AD2940" s="155"/>
      <c r="AE2940" s="155"/>
    </row>
    <row r="2941" spans="28:31" x14ac:dyDescent="0.2">
      <c r="AB2941" s="155"/>
      <c r="AD2941" s="155"/>
      <c r="AE2941" s="155"/>
    </row>
    <row r="2942" spans="28:31" x14ac:dyDescent="0.2">
      <c r="AB2942" s="155"/>
      <c r="AD2942" s="155"/>
      <c r="AE2942" s="155"/>
    </row>
    <row r="2943" spans="28:31" x14ac:dyDescent="0.2">
      <c r="AB2943" s="155"/>
      <c r="AD2943" s="155"/>
      <c r="AE2943" s="155"/>
    </row>
    <row r="2944" spans="28:31" x14ac:dyDescent="0.2">
      <c r="AB2944" s="155"/>
      <c r="AD2944" s="155"/>
      <c r="AE2944" s="155"/>
    </row>
    <row r="2945" spans="28:31" x14ac:dyDescent="0.2">
      <c r="AB2945" s="155"/>
      <c r="AD2945" s="155"/>
      <c r="AE2945" s="155"/>
    </row>
    <row r="2946" spans="28:31" x14ac:dyDescent="0.2">
      <c r="AB2946" s="155"/>
      <c r="AD2946" s="155"/>
      <c r="AE2946" s="155"/>
    </row>
    <row r="2947" spans="28:31" x14ac:dyDescent="0.2">
      <c r="AB2947" s="155"/>
      <c r="AD2947" s="155"/>
      <c r="AE2947" s="155"/>
    </row>
    <row r="2948" spans="28:31" x14ac:dyDescent="0.2">
      <c r="AB2948" s="155"/>
      <c r="AD2948" s="155"/>
      <c r="AE2948" s="155"/>
    </row>
    <row r="2949" spans="28:31" x14ac:dyDescent="0.2">
      <c r="AB2949" s="155"/>
      <c r="AD2949" s="155"/>
      <c r="AE2949" s="155"/>
    </row>
    <row r="2950" spans="28:31" x14ac:dyDescent="0.2">
      <c r="AB2950" s="155"/>
      <c r="AD2950" s="155"/>
      <c r="AE2950" s="155"/>
    </row>
    <row r="2951" spans="28:31" x14ac:dyDescent="0.2">
      <c r="AB2951" s="155"/>
      <c r="AD2951" s="155"/>
      <c r="AE2951" s="155"/>
    </row>
    <row r="2952" spans="28:31" x14ac:dyDescent="0.2">
      <c r="AB2952" s="155"/>
      <c r="AD2952" s="155"/>
      <c r="AE2952" s="155"/>
    </row>
    <row r="2953" spans="28:31" x14ac:dyDescent="0.2">
      <c r="AB2953" s="155"/>
      <c r="AD2953" s="155"/>
      <c r="AE2953" s="155"/>
    </row>
    <row r="2954" spans="28:31" x14ac:dyDescent="0.2">
      <c r="AB2954" s="155"/>
      <c r="AD2954" s="155"/>
      <c r="AE2954" s="155"/>
    </row>
    <row r="2955" spans="28:31" x14ac:dyDescent="0.2">
      <c r="AB2955" s="155"/>
      <c r="AD2955" s="155"/>
      <c r="AE2955" s="155"/>
    </row>
    <row r="2956" spans="28:31" x14ac:dyDescent="0.2">
      <c r="AB2956" s="155"/>
      <c r="AD2956" s="155"/>
      <c r="AE2956" s="155"/>
    </row>
    <row r="2957" spans="28:31" x14ac:dyDescent="0.2">
      <c r="AB2957" s="155"/>
      <c r="AD2957" s="155"/>
      <c r="AE2957" s="155"/>
    </row>
    <row r="2958" spans="28:31" x14ac:dyDescent="0.2">
      <c r="AB2958" s="155"/>
      <c r="AD2958" s="155"/>
      <c r="AE2958" s="155"/>
    </row>
    <row r="2959" spans="28:31" x14ac:dyDescent="0.2">
      <c r="AB2959" s="155"/>
      <c r="AD2959" s="155"/>
      <c r="AE2959" s="155"/>
    </row>
    <row r="2960" spans="28:31" x14ac:dyDescent="0.2">
      <c r="AB2960" s="155"/>
      <c r="AD2960" s="155"/>
      <c r="AE2960" s="155"/>
    </row>
    <row r="2961" spans="28:31" x14ac:dyDescent="0.2">
      <c r="AB2961" s="155"/>
      <c r="AD2961" s="155"/>
      <c r="AE2961" s="155"/>
    </row>
    <row r="2962" spans="28:31" x14ac:dyDescent="0.2">
      <c r="AB2962" s="155"/>
      <c r="AD2962" s="155"/>
      <c r="AE2962" s="155"/>
    </row>
    <row r="2963" spans="28:31" x14ac:dyDescent="0.2">
      <c r="AB2963" s="155"/>
      <c r="AD2963" s="155"/>
      <c r="AE2963" s="155"/>
    </row>
    <row r="2964" spans="28:31" x14ac:dyDescent="0.2">
      <c r="AB2964" s="155"/>
      <c r="AD2964" s="155"/>
      <c r="AE2964" s="155"/>
    </row>
    <row r="2965" spans="28:31" x14ac:dyDescent="0.2">
      <c r="AB2965" s="155"/>
      <c r="AD2965" s="155"/>
      <c r="AE2965" s="155"/>
    </row>
    <row r="2966" spans="28:31" x14ac:dyDescent="0.2">
      <c r="AB2966" s="155"/>
      <c r="AD2966" s="155"/>
      <c r="AE2966" s="155"/>
    </row>
    <row r="2967" spans="28:31" x14ac:dyDescent="0.2">
      <c r="AB2967" s="155"/>
      <c r="AD2967" s="155"/>
      <c r="AE2967" s="155"/>
    </row>
    <row r="2968" spans="28:31" x14ac:dyDescent="0.2">
      <c r="AB2968" s="155"/>
      <c r="AD2968" s="155"/>
      <c r="AE2968" s="155"/>
    </row>
    <row r="2969" spans="28:31" x14ac:dyDescent="0.2">
      <c r="AB2969" s="155"/>
      <c r="AD2969" s="155"/>
      <c r="AE2969" s="155"/>
    </row>
    <row r="2970" spans="28:31" x14ac:dyDescent="0.2">
      <c r="AB2970" s="155"/>
      <c r="AD2970" s="155"/>
      <c r="AE2970" s="155"/>
    </row>
    <row r="2971" spans="28:31" x14ac:dyDescent="0.2">
      <c r="AB2971" s="155"/>
      <c r="AD2971" s="155"/>
      <c r="AE2971" s="155"/>
    </row>
    <row r="2972" spans="28:31" x14ac:dyDescent="0.2">
      <c r="AB2972" s="155"/>
      <c r="AD2972" s="155"/>
      <c r="AE2972" s="155"/>
    </row>
    <row r="2973" spans="28:31" x14ac:dyDescent="0.2">
      <c r="AB2973" s="155"/>
      <c r="AD2973" s="155"/>
      <c r="AE2973" s="155"/>
    </row>
    <row r="2974" spans="28:31" x14ac:dyDescent="0.2">
      <c r="AB2974" s="155"/>
      <c r="AD2974" s="155"/>
      <c r="AE2974" s="155"/>
    </row>
    <row r="2975" spans="28:31" x14ac:dyDescent="0.2">
      <c r="AB2975" s="155"/>
      <c r="AD2975" s="155"/>
      <c r="AE2975" s="155"/>
    </row>
    <row r="2976" spans="28:31" x14ac:dyDescent="0.2">
      <c r="AB2976" s="155"/>
      <c r="AD2976" s="155"/>
      <c r="AE2976" s="155"/>
    </row>
    <row r="2977" spans="28:31" x14ac:dyDescent="0.2">
      <c r="AB2977" s="155"/>
      <c r="AD2977" s="155"/>
      <c r="AE2977" s="155"/>
    </row>
    <row r="2978" spans="28:31" x14ac:dyDescent="0.2">
      <c r="AB2978" s="155"/>
      <c r="AD2978" s="155"/>
      <c r="AE2978" s="155"/>
    </row>
    <row r="2979" spans="28:31" x14ac:dyDescent="0.2">
      <c r="AB2979" s="155"/>
      <c r="AD2979" s="155"/>
      <c r="AE2979" s="155"/>
    </row>
    <row r="2980" spans="28:31" x14ac:dyDescent="0.2">
      <c r="AB2980" s="155"/>
      <c r="AD2980" s="155"/>
      <c r="AE2980" s="155"/>
    </row>
    <row r="2981" spans="28:31" x14ac:dyDescent="0.2">
      <c r="AB2981" s="155"/>
      <c r="AD2981" s="155"/>
      <c r="AE2981" s="155"/>
    </row>
    <row r="2982" spans="28:31" x14ac:dyDescent="0.2">
      <c r="AB2982" s="155"/>
      <c r="AD2982" s="155"/>
      <c r="AE2982" s="155"/>
    </row>
    <row r="2983" spans="28:31" x14ac:dyDescent="0.2">
      <c r="AB2983" s="155"/>
      <c r="AD2983" s="155"/>
      <c r="AE2983" s="155"/>
    </row>
    <row r="2984" spans="28:31" x14ac:dyDescent="0.2">
      <c r="AB2984" s="155"/>
      <c r="AD2984" s="155"/>
      <c r="AE2984" s="155"/>
    </row>
    <row r="2985" spans="28:31" x14ac:dyDescent="0.2">
      <c r="AB2985" s="155"/>
      <c r="AD2985" s="155"/>
      <c r="AE2985" s="155"/>
    </row>
    <row r="2986" spans="28:31" x14ac:dyDescent="0.2">
      <c r="AB2986" s="155"/>
      <c r="AD2986" s="155"/>
      <c r="AE2986" s="155"/>
    </row>
    <row r="2987" spans="28:31" x14ac:dyDescent="0.2">
      <c r="AB2987" s="155"/>
      <c r="AD2987" s="155"/>
      <c r="AE2987" s="155"/>
    </row>
    <row r="2988" spans="28:31" x14ac:dyDescent="0.2">
      <c r="AB2988" s="155"/>
      <c r="AD2988" s="155"/>
      <c r="AE2988" s="155"/>
    </row>
    <row r="2989" spans="28:31" x14ac:dyDescent="0.2">
      <c r="AB2989" s="155"/>
      <c r="AD2989" s="155"/>
      <c r="AE2989" s="155"/>
    </row>
    <row r="2990" spans="28:31" x14ac:dyDescent="0.2">
      <c r="AB2990" s="155"/>
      <c r="AD2990" s="155"/>
      <c r="AE2990" s="155"/>
    </row>
    <row r="2991" spans="28:31" x14ac:dyDescent="0.2">
      <c r="AB2991" s="155"/>
      <c r="AD2991" s="155"/>
      <c r="AE2991" s="155"/>
    </row>
    <row r="2992" spans="28:31" x14ac:dyDescent="0.2">
      <c r="AB2992" s="155"/>
      <c r="AD2992" s="155"/>
      <c r="AE2992" s="155"/>
    </row>
    <row r="2993" spans="28:31" x14ac:dyDescent="0.2">
      <c r="AB2993" s="155"/>
      <c r="AD2993" s="155"/>
      <c r="AE2993" s="155"/>
    </row>
    <row r="2994" spans="28:31" x14ac:dyDescent="0.2">
      <c r="AB2994" s="155"/>
      <c r="AD2994" s="155"/>
      <c r="AE2994" s="155"/>
    </row>
    <row r="2995" spans="28:31" x14ac:dyDescent="0.2">
      <c r="AB2995" s="155"/>
      <c r="AD2995" s="155"/>
      <c r="AE2995" s="155"/>
    </row>
    <row r="2996" spans="28:31" x14ac:dyDescent="0.2">
      <c r="AB2996" s="155"/>
      <c r="AD2996" s="155"/>
      <c r="AE2996" s="155"/>
    </row>
    <row r="2997" spans="28:31" x14ac:dyDescent="0.2">
      <c r="AB2997" s="155"/>
      <c r="AD2997" s="155"/>
      <c r="AE2997" s="155"/>
    </row>
    <row r="2998" spans="28:31" x14ac:dyDescent="0.2">
      <c r="AB2998" s="155"/>
      <c r="AD2998" s="155"/>
      <c r="AE2998" s="155"/>
    </row>
    <row r="2999" spans="28:31" x14ac:dyDescent="0.2">
      <c r="AB2999" s="155"/>
      <c r="AD2999" s="155"/>
      <c r="AE2999" s="155"/>
    </row>
    <row r="3000" spans="28:31" x14ac:dyDescent="0.2">
      <c r="AB3000" s="155"/>
      <c r="AD3000" s="155"/>
      <c r="AE3000" s="155"/>
    </row>
    <row r="3001" spans="28:31" x14ac:dyDescent="0.2">
      <c r="AB3001" s="155"/>
      <c r="AD3001" s="155"/>
      <c r="AE3001" s="155"/>
    </row>
    <row r="3002" spans="28:31" x14ac:dyDescent="0.2">
      <c r="AB3002" s="155"/>
      <c r="AD3002" s="155"/>
      <c r="AE3002" s="155"/>
    </row>
    <row r="3003" spans="28:31" x14ac:dyDescent="0.2">
      <c r="AB3003" s="155"/>
      <c r="AD3003" s="155"/>
      <c r="AE3003" s="155"/>
    </row>
    <row r="3004" spans="28:31" x14ac:dyDescent="0.2">
      <c r="AB3004" s="155"/>
      <c r="AD3004" s="155"/>
      <c r="AE3004" s="155"/>
    </row>
    <row r="3005" spans="28:31" x14ac:dyDescent="0.2">
      <c r="AB3005" s="155"/>
      <c r="AD3005" s="155"/>
      <c r="AE3005" s="155"/>
    </row>
    <row r="3006" spans="28:31" x14ac:dyDescent="0.2">
      <c r="AB3006" s="155"/>
      <c r="AD3006" s="155"/>
      <c r="AE3006" s="155"/>
    </row>
    <row r="3007" spans="28:31" x14ac:dyDescent="0.2">
      <c r="AB3007" s="155"/>
      <c r="AD3007" s="155"/>
      <c r="AE3007" s="155"/>
    </row>
    <row r="3008" spans="28:31" x14ac:dyDescent="0.2">
      <c r="AB3008" s="155"/>
      <c r="AD3008" s="155"/>
      <c r="AE3008" s="155"/>
    </row>
    <row r="3009" spans="28:31" x14ac:dyDescent="0.2">
      <c r="AB3009" s="155"/>
      <c r="AD3009" s="155"/>
      <c r="AE3009" s="155"/>
    </row>
    <row r="3010" spans="28:31" x14ac:dyDescent="0.2">
      <c r="AB3010" s="155"/>
      <c r="AD3010" s="155"/>
      <c r="AE3010" s="155"/>
    </row>
    <row r="3011" spans="28:31" x14ac:dyDescent="0.2">
      <c r="AB3011" s="155"/>
      <c r="AD3011" s="155"/>
      <c r="AE3011" s="155"/>
    </row>
    <row r="3012" spans="28:31" x14ac:dyDescent="0.2">
      <c r="AB3012" s="155"/>
      <c r="AD3012" s="155"/>
      <c r="AE3012" s="155"/>
    </row>
    <row r="3013" spans="28:31" x14ac:dyDescent="0.2">
      <c r="AB3013" s="155"/>
      <c r="AD3013" s="155"/>
      <c r="AE3013" s="155"/>
    </row>
    <row r="3014" spans="28:31" x14ac:dyDescent="0.2">
      <c r="AB3014" s="155"/>
      <c r="AD3014" s="155"/>
      <c r="AE3014" s="155"/>
    </row>
    <row r="3015" spans="28:31" x14ac:dyDescent="0.2">
      <c r="AB3015" s="155"/>
      <c r="AD3015" s="155"/>
      <c r="AE3015" s="155"/>
    </row>
    <row r="3016" spans="28:31" x14ac:dyDescent="0.2">
      <c r="AB3016" s="155"/>
      <c r="AD3016" s="155"/>
      <c r="AE3016" s="155"/>
    </row>
    <row r="3017" spans="28:31" x14ac:dyDescent="0.2">
      <c r="AB3017" s="155"/>
      <c r="AD3017" s="155"/>
      <c r="AE3017" s="155"/>
    </row>
    <row r="3018" spans="28:31" x14ac:dyDescent="0.2">
      <c r="AB3018" s="155"/>
      <c r="AD3018" s="155"/>
      <c r="AE3018" s="155"/>
    </row>
    <row r="3019" spans="28:31" x14ac:dyDescent="0.2">
      <c r="AB3019" s="155"/>
      <c r="AD3019" s="155"/>
      <c r="AE3019" s="155"/>
    </row>
    <row r="3020" spans="28:31" x14ac:dyDescent="0.2">
      <c r="AB3020" s="155"/>
      <c r="AD3020" s="155"/>
      <c r="AE3020" s="155"/>
    </row>
    <row r="3021" spans="28:31" x14ac:dyDescent="0.2">
      <c r="AB3021" s="155"/>
      <c r="AD3021" s="155"/>
      <c r="AE3021" s="155"/>
    </row>
    <row r="3022" spans="28:31" x14ac:dyDescent="0.2">
      <c r="AB3022" s="155"/>
      <c r="AD3022" s="155"/>
      <c r="AE3022" s="155"/>
    </row>
    <row r="3023" spans="28:31" x14ac:dyDescent="0.2">
      <c r="AB3023" s="155"/>
      <c r="AD3023" s="155"/>
      <c r="AE3023" s="155"/>
    </row>
    <row r="3024" spans="28:31" x14ac:dyDescent="0.2">
      <c r="AB3024" s="155"/>
      <c r="AD3024" s="155"/>
      <c r="AE3024" s="155"/>
    </row>
    <row r="3025" spans="28:31" x14ac:dyDescent="0.2">
      <c r="AB3025" s="155"/>
      <c r="AD3025" s="155"/>
      <c r="AE3025" s="155"/>
    </row>
    <row r="3026" spans="28:31" x14ac:dyDescent="0.2">
      <c r="AB3026" s="155"/>
      <c r="AD3026" s="155"/>
      <c r="AE3026" s="155"/>
    </row>
    <row r="3027" spans="28:31" x14ac:dyDescent="0.2">
      <c r="AB3027" s="155"/>
      <c r="AD3027" s="155"/>
      <c r="AE3027" s="155"/>
    </row>
    <row r="3028" spans="28:31" x14ac:dyDescent="0.2">
      <c r="AB3028" s="155"/>
      <c r="AD3028" s="155"/>
      <c r="AE3028" s="155"/>
    </row>
    <row r="3029" spans="28:31" x14ac:dyDescent="0.2">
      <c r="AB3029" s="155"/>
      <c r="AD3029" s="155"/>
      <c r="AE3029" s="155"/>
    </row>
    <row r="3030" spans="28:31" x14ac:dyDescent="0.2">
      <c r="AB3030" s="155"/>
      <c r="AD3030" s="155"/>
      <c r="AE3030" s="155"/>
    </row>
    <row r="3031" spans="28:31" x14ac:dyDescent="0.2">
      <c r="AB3031" s="155"/>
      <c r="AD3031" s="155"/>
      <c r="AE3031" s="155"/>
    </row>
    <row r="3032" spans="28:31" x14ac:dyDescent="0.2">
      <c r="AB3032" s="155"/>
      <c r="AD3032" s="155"/>
      <c r="AE3032" s="155"/>
    </row>
    <row r="3033" spans="28:31" x14ac:dyDescent="0.2">
      <c r="AB3033" s="155"/>
      <c r="AD3033" s="155"/>
      <c r="AE3033" s="155"/>
    </row>
    <row r="3034" spans="28:31" x14ac:dyDescent="0.2">
      <c r="AB3034" s="155"/>
      <c r="AD3034" s="155"/>
      <c r="AE3034" s="155"/>
    </row>
    <row r="3035" spans="28:31" x14ac:dyDescent="0.2">
      <c r="AB3035" s="155"/>
      <c r="AD3035" s="155"/>
      <c r="AE3035" s="155"/>
    </row>
    <row r="3036" spans="28:31" x14ac:dyDescent="0.2">
      <c r="AB3036" s="155"/>
      <c r="AD3036" s="155"/>
      <c r="AE3036" s="155"/>
    </row>
    <row r="3037" spans="28:31" x14ac:dyDescent="0.2">
      <c r="AB3037" s="155"/>
      <c r="AD3037" s="155"/>
      <c r="AE3037" s="155"/>
    </row>
    <row r="3038" spans="28:31" x14ac:dyDescent="0.2">
      <c r="AB3038" s="155"/>
      <c r="AD3038" s="155"/>
      <c r="AE3038" s="155"/>
    </row>
    <row r="3039" spans="28:31" x14ac:dyDescent="0.2">
      <c r="AB3039" s="155"/>
      <c r="AD3039" s="155"/>
      <c r="AE3039" s="155"/>
    </row>
    <row r="3040" spans="28:31" x14ac:dyDescent="0.2">
      <c r="AB3040" s="155"/>
      <c r="AD3040" s="155"/>
      <c r="AE3040" s="155"/>
    </row>
    <row r="3041" spans="28:31" x14ac:dyDescent="0.2">
      <c r="AB3041" s="155"/>
      <c r="AD3041" s="155"/>
      <c r="AE3041" s="155"/>
    </row>
    <row r="3042" spans="28:31" x14ac:dyDescent="0.2">
      <c r="AB3042" s="155"/>
      <c r="AD3042" s="155"/>
      <c r="AE3042" s="155"/>
    </row>
    <row r="3043" spans="28:31" x14ac:dyDescent="0.2">
      <c r="AB3043" s="155"/>
      <c r="AD3043" s="155"/>
      <c r="AE3043" s="155"/>
    </row>
    <row r="3044" spans="28:31" x14ac:dyDescent="0.2">
      <c r="AB3044" s="155"/>
      <c r="AD3044" s="155"/>
      <c r="AE3044" s="155"/>
    </row>
    <row r="3045" spans="28:31" x14ac:dyDescent="0.2">
      <c r="AB3045" s="155"/>
      <c r="AD3045" s="155"/>
      <c r="AE3045" s="155"/>
    </row>
    <row r="3046" spans="28:31" x14ac:dyDescent="0.2">
      <c r="AB3046" s="155"/>
      <c r="AD3046" s="155"/>
      <c r="AE3046" s="155"/>
    </row>
    <row r="3047" spans="28:31" x14ac:dyDescent="0.2">
      <c r="AB3047" s="155"/>
      <c r="AD3047" s="155"/>
      <c r="AE3047" s="155"/>
    </row>
    <row r="3048" spans="28:31" x14ac:dyDescent="0.2">
      <c r="AB3048" s="155"/>
      <c r="AD3048" s="155"/>
      <c r="AE3048" s="155"/>
    </row>
    <row r="3049" spans="28:31" x14ac:dyDescent="0.2">
      <c r="AB3049" s="155"/>
      <c r="AD3049" s="155"/>
      <c r="AE3049" s="155"/>
    </row>
    <row r="3050" spans="28:31" x14ac:dyDescent="0.2">
      <c r="AB3050" s="155"/>
      <c r="AD3050" s="155"/>
      <c r="AE3050" s="155"/>
    </row>
    <row r="3051" spans="28:31" x14ac:dyDescent="0.2">
      <c r="AB3051" s="155"/>
      <c r="AD3051" s="155"/>
      <c r="AE3051" s="155"/>
    </row>
    <row r="3052" spans="28:31" x14ac:dyDescent="0.2">
      <c r="AB3052" s="155"/>
      <c r="AD3052" s="155"/>
      <c r="AE3052" s="155"/>
    </row>
    <row r="3053" spans="28:31" x14ac:dyDescent="0.2">
      <c r="AB3053" s="155"/>
      <c r="AD3053" s="155"/>
      <c r="AE3053" s="155"/>
    </row>
    <row r="3054" spans="28:31" x14ac:dyDescent="0.2">
      <c r="AB3054" s="155"/>
      <c r="AD3054" s="155"/>
      <c r="AE3054" s="155"/>
    </row>
    <row r="3055" spans="28:31" x14ac:dyDescent="0.2">
      <c r="AB3055" s="155"/>
      <c r="AD3055" s="155"/>
      <c r="AE3055" s="155"/>
    </row>
    <row r="3056" spans="28:31" x14ac:dyDescent="0.2">
      <c r="AB3056" s="155"/>
      <c r="AD3056" s="155"/>
      <c r="AE3056" s="155"/>
    </row>
    <row r="3057" spans="28:31" x14ac:dyDescent="0.2">
      <c r="AB3057" s="155"/>
      <c r="AD3057" s="155"/>
      <c r="AE3057" s="155"/>
    </row>
    <row r="3058" spans="28:31" x14ac:dyDescent="0.2">
      <c r="AB3058" s="155"/>
      <c r="AD3058" s="155"/>
      <c r="AE3058" s="155"/>
    </row>
    <row r="3059" spans="28:31" x14ac:dyDescent="0.2">
      <c r="AB3059" s="155"/>
      <c r="AD3059" s="155"/>
      <c r="AE3059" s="155"/>
    </row>
    <row r="3060" spans="28:31" x14ac:dyDescent="0.2">
      <c r="AB3060" s="155"/>
      <c r="AD3060" s="155"/>
      <c r="AE3060" s="155"/>
    </row>
    <row r="3061" spans="28:31" x14ac:dyDescent="0.2">
      <c r="AB3061" s="155"/>
      <c r="AD3061" s="155"/>
      <c r="AE3061" s="155"/>
    </row>
    <row r="3062" spans="28:31" x14ac:dyDescent="0.2">
      <c r="AB3062" s="155"/>
      <c r="AD3062" s="155"/>
      <c r="AE3062" s="155"/>
    </row>
    <row r="3063" spans="28:31" x14ac:dyDescent="0.2">
      <c r="AB3063" s="155"/>
      <c r="AD3063" s="155"/>
      <c r="AE3063" s="155"/>
    </row>
    <row r="3064" spans="28:31" x14ac:dyDescent="0.2">
      <c r="AB3064" s="155"/>
      <c r="AD3064" s="155"/>
      <c r="AE3064" s="155"/>
    </row>
    <row r="3065" spans="28:31" x14ac:dyDescent="0.2">
      <c r="AB3065" s="155"/>
      <c r="AD3065" s="155"/>
      <c r="AE3065" s="155"/>
    </row>
    <row r="3066" spans="28:31" x14ac:dyDescent="0.2">
      <c r="AB3066" s="155"/>
      <c r="AD3066" s="155"/>
      <c r="AE3066" s="155"/>
    </row>
    <row r="3067" spans="28:31" x14ac:dyDescent="0.2">
      <c r="AB3067" s="155"/>
      <c r="AD3067" s="155"/>
      <c r="AE3067" s="155"/>
    </row>
    <row r="3068" spans="28:31" x14ac:dyDescent="0.2">
      <c r="AB3068" s="155"/>
      <c r="AD3068" s="155"/>
      <c r="AE3068" s="155"/>
    </row>
    <row r="3069" spans="28:31" x14ac:dyDescent="0.2">
      <c r="AB3069" s="155"/>
      <c r="AD3069" s="155"/>
      <c r="AE3069" s="155"/>
    </row>
    <row r="3070" spans="28:31" x14ac:dyDescent="0.2">
      <c r="AB3070" s="155"/>
      <c r="AD3070" s="155"/>
      <c r="AE3070" s="155"/>
    </row>
    <row r="3071" spans="28:31" x14ac:dyDescent="0.2">
      <c r="AB3071" s="155"/>
      <c r="AD3071" s="155"/>
      <c r="AE3071" s="155"/>
    </row>
    <row r="3072" spans="28:31" x14ac:dyDescent="0.2">
      <c r="AB3072" s="155"/>
      <c r="AD3072" s="155"/>
      <c r="AE3072" s="155"/>
    </row>
    <row r="3073" spans="28:31" x14ac:dyDescent="0.2">
      <c r="AB3073" s="155"/>
      <c r="AD3073" s="155"/>
      <c r="AE3073" s="155"/>
    </row>
    <row r="3074" spans="28:31" x14ac:dyDescent="0.2">
      <c r="AB3074" s="155"/>
      <c r="AD3074" s="155"/>
      <c r="AE3074" s="155"/>
    </row>
    <row r="3075" spans="28:31" x14ac:dyDescent="0.2">
      <c r="AB3075" s="155"/>
      <c r="AD3075" s="155"/>
      <c r="AE3075" s="155"/>
    </row>
    <row r="3076" spans="28:31" x14ac:dyDescent="0.2">
      <c r="AB3076" s="155"/>
      <c r="AD3076" s="155"/>
      <c r="AE3076" s="155"/>
    </row>
    <row r="3077" spans="28:31" x14ac:dyDescent="0.2">
      <c r="AB3077" s="155"/>
      <c r="AD3077" s="155"/>
      <c r="AE3077" s="155"/>
    </row>
    <row r="3078" spans="28:31" x14ac:dyDescent="0.2">
      <c r="AB3078" s="155"/>
      <c r="AD3078" s="155"/>
      <c r="AE3078" s="155"/>
    </row>
    <row r="3079" spans="28:31" x14ac:dyDescent="0.2">
      <c r="AB3079" s="155"/>
      <c r="AD3079" s="155"/>
      <c r="AE3079" s="155"/>
    </row>
    <row r="3080" spans="28:31" x14ac:dyDescent="0.2">
      <c r="AB3080" s="155"/>
      <c r="AD3080" s="155"/>
      <c r="AE3080" s="155"/>
    </row>
    <row r="3081" spans="28:31" x14ac:dyDescent="0.2">
      <c r="AB3081" s="155"/>
      <c r="AD3081" s="155"/>
      <c r="AE3081" s="155"/>
    </row>
    <row r="3082" spans="28:31" x14ac:dyDescent="0.2">
      <c r="AB3082" s="155"/>
      <c r="AD3082" s="155"/>
      <c r="AE3082" s="155"/>
    </row>
    <row r="3083" spans="28:31" x14ac:dyDescent="0.2">
      <c r="AB3083" s="155"/>
      <c r="AD3083" s="155"/>
      <c r="AE3083" s="155"/>
    </row>
    <row r="3084" spans="28:31" x14ac:dyDescent="0.2">
      <c r="AB3084" s="155"/>
      <c r="AD3084" s="155"/>
      <c r="AE3084" s="155"/>
    </row>
    <row r="3085" spans="28:31" x14ac:dyDescent="0.2">
      <c r="AB3085" s="155"/>
      <c r="AD3085" s="155"/>
      <c r="AE3085" s="155"/>
    </row>
    <row r="3086" spans="28:31" x14ac:dyDescent="0.2">
      <c r="AB3086" s="155"/>
      <c r="AD3086" s="155"/>
      <c r="AE3086" s="155"/>
    </row>
    <row r="3087" spans="28:31" x14ac:dyDescent="0.2">
      <c r="AB3087" s="155"/>
      <c r="AD3087" s="155"/>
      <c r="AE3087" s="155"/>
    </row>
    <row r="3088" spans="28:31" x14ac:dyDescent="0.2">
      <c r="AB3088" s="155"/>
      <c r="AD3088" s="155"/>
      <c r="AE3088" s="155"/>
    </row>
    <row r="3089" spans="28:31" x14ac:dyDescent="0.2">
      <c r="AB3089" s="155"/>
      <c r="AD3089" s="155"/>
      <c r="AE3089" s="155"/>
    </row>
    <row r="3090" spans="28:31" x14ac:dyDescent="0.2">
      <c r="AB3090" s="155"/>
      <c r="AD3090" s="155"/>
      <c r="AE3090" s="155"/>
    </row>
    <row r="3091" spans="28:31" x14ac:dyDescent="0.2">
      <c r="AB3091" s="155"/>
      <c r="AD3091" s="155"/>
      <c r="AE3091" s="155"/>
    </row>
    <row r="3092" spans="28:31" x14ac:dyDescent="0.2">
      <c r="AB3092" s="155"/>
      <c r="AD3092" s="155"/>
      <c r="AE3092" s="155"/>
    </row>
    <row r="3093" spans="28:31" x14ac:dyDescent="0.2">
      <c r="AB3093" s="155"/>
      <c r="AD3093" s="155"/>
      <c r="AE3093" s="155"/>
    </row>
    <row r="3094" spans="28:31" x14ac:dyDescent="0.2">
      <c r="AB3094" s="155"/>
      <c r="AD3094" s="155"/>
      <c r="AE3094" s="155"/>
    </row>
    <row r="3095" spans="28:31" x14ac:dyDescent="0.2">
      <c r="AB3095" s="155"/>
      <c r="AD3095" s="155"/>
      <c r="AE3095" s="155"/>
    </row>
    <row r="3096" spans="28:31" x14ac:dyDescent="0.2">
      <c r="AB3096" s="155"/>
      <c r="AD3096" s="155"/>
      <c r="AE3096" s="155"/>
    </row>
    <row r="3097" spans="28:31" x14ac:dyDescent="0.2">
      <c r="AB3097" s="155"/>
      <c r="AD3097" s="155"/>
      <c r="AE3097" s="155"/>
    </row>
    <row r="3098" spans="28:31" x14ac:dyDescent="0.2">
      <c r="AB3098" s="155"/>
      <c r="AD3098" s="155"/>
      <c r="AE3098" s="155"/>
    </row>
    <row r="3099" spans="28:31" x14ac:dyDescent="0.2">
      <c r="AB3099" s="155"/>
      <c r="AD3099" s="155"/>
      <c r="AE3099" s="155"/>
    </row>
    <row r="3100" spans="28:31" x14ac:dyDescent="0.2">
      <c r="AB3100" s="155"/>
      <c r="AD3100" s="155"/>
      <c r="AE3100" s="155"/>
    </row>
    <row r="3101" spans="28:31" x14ac:dyDescent="0.2">
      <c r="AB3101" s="155"/>
      <c r="AD3101" s="155"/>
      <c r="AE3101" s="155"/>
    </row>
    <row r="3102" spans="28:31" x14ac:dyDescent="0.2">
      <c r="AB3102" s="155"/>
      <c r="AD3102" s="155"/>
      <c r="AE3102" s="155"/>
    </row>
    <row r="3103" spans="28:31" x14ac:dyDescent="0.2">
      <c r="AB3103" s="155"/>
      <c r="AD3103" s="155"/>
      <c r="AE3103" s="155"/>
    </row>
    <row r="3104" spans="28:31" x14ac:dyDescent="0.2">
      <c r="AB3104" s="155"/>
      <c r="AD3104" s="155"/>
      <c r="AE3104" s="155"/>
    </row>
    <row r="3105" spans="28:31" x14ac:dyDescent="0.2">
      <c r="AB3105" s="155"/>
      <c r="AD3105" s="155"/>
      <c r="AE3105" s="155"/>
    </row>
    <row r="3106" spans="28:31" x14ac:dyDescent="0.2">
      <c r="AB3106" s="155"/>
      <c r="AD3106" s="155"/>
      <c r="AE3106" s="155"/>
    </row>
    <row r="3107" spans="28:31" x14ac:dyDescent="0.2">
      <c r="AB3107" s="155"/>
      <c r="AD3107" s="155"/>
      <c r="AE3107" s="155"/>
    </row>
    <row r="3108" spans="28:31" x14ac:dyDescent="0.2">
      <c r="AB3108" s="155"/>
      <c r="AD3108" s="155"/>
      <c r="AE3108" s="155"/>
    </row>
    <row r="3109" spans="28:31" x14ac:dyDescent="0.2">
      <c r="AB3109" s="155"/>
      <c r="AD3109" s="155"/>
      <c r="AE3109" s="155"/>
    </row>
    <row r="3110" spans="28:31" x14ac:dyDescent="0.2">
      <c r="AB3110" s="155"/>
      <c r="AD3110" s="155"/>
      <c r="AE3110" s="155"/>
    </row>
    <row r="3111" spans="28:31" x14ac:dyDescent="0.2">
      <c r="AB3111" s="155"/>
      <c r="AD3111" s="155"/>
      <c r="AE3111" s="155"/>
    </row>
    <row r="3112" spans="28:31" x14ac:dyDescent="0.2">
      <c r="AB3112" s="155"/>
      <c r="AD3112" s="155"/>
      <c r="AE3112" s="155"/>
    </row>
    <row r="3113" spans="28:31" x14ac:dyDescent="0.2">
      <c r="AB3113" s="155"/>
      <c r="AD3113" s="155"/>
      <c r="AE3113" s="155"/>
    </row>
    <row r="3114" spans="28:31" x14ac:dyDescent="0.2">
      <c r="AB3114" s="155"/>
      <c r="AD3114" s="155"/>
      <c r="AE3114" s="155"/>
    </row>
    <row r="3115" spans="28:31" x14ac:dyDescent="0.2">
      <c r="AB3115" s="155"/>
      <c r="AD3115" s="155"/>
      <c r="AE3115" s="155"/>
    </row>
    <row r="3116" spans="28:31" x14ac:dyDescent="0.2">
      <c r="AB3116" s="155"/>
      <c r="AD3116" s="155"/>
      <c r="AE3116" s="155"/>
    </row>
    <row r="3117" spans="28:31" x14ac:dyDescent="0.2">
      <c r="AB3117" s="155"/>
      <c r="AD3117" s="155"/>
      <c r="AE3117" s="155"/>
    </row>
    <row r="3118" spans="28:31" x14ac:dyDescent="0.2">
      <c r="AB3118" s="155"/>
      <c r="AD3118" s="155"/>
      <c r="AE3118" s="155"/>
    </row>
    <row r="3119" spans="28:31" x14ac:dyDescent="0.2">
      <c r="AB3119" s="155"/>
      <c r="AD3119" s="155"/>
      <c r="AE3119" s="155"/>
    </row>
    <row r="3120" spans="28:31" x14ac:dyDescent="0.2">
      <c r="AB3120" s="155"/>
      <c r="AD3120" s="155"/>
      <c r="AE3120" s="155"/>
    </row>
    <row r="3121" spans="28:31" x14ac:dyDescent="0.2">
      <c r="AB3121" s="155"/>
      <c r="AD3121" s="155"/>
      <c r="AE3121" s="155"/>
    </row>
    <row r="3122" spans="28:31" x14ac:dyDescent="0.2">
      <c r="AB3122" s="155"/>
      <c r="AD3122" s="155"/>
      <c r="AE3122" s="155"/>
    </row>
    <row r="3123" spans="28:31" x14ac:dyDescent="0.2">
      <c r="AB3123" s="155"/>
      <c r="AD3123" s="155"/>
      <c r="AE3123" s="155"/>
    </row>
    <row r="3124" spans="28:31" x14ac:dyDescent="0.2">
      <c r="AB3124" s="155"/>
      <c r="AD3124" s="155"/>
      <c r="AE3124" s="155"/>
    </row>
    <row r="3125" spans="28:31" x14ac:dyDescent="0.2">
      <c r="AB3125" s="155"/>
      <c r="AD3125" s="155"/>
      <c r="AE3125" s="155"/>
    </row>
    <row r="3126" spans="28:31" x14ac:dyDescent="0.2">
      <c r="AB3126" s="155"/>
      <c r="AD3126" s="155"/>
      <c r="AE3126" s="155"/>
    </row>
    <row r="3127" spans="28:31" x14ac:dyDescent="0.2">
      <c r="AB3127" s="155"/>
      <c r="AD3127" s="155"/>
      <c r="AE3127" s="155"/>
    </row>
    <row r="3128" spans="28:31" x14ac:dyDescent="0.2">
      <c r="AB3128" s="155"/>
      <c r="AD3128" s="155"/>
      <c r="AE3128" s="155"/>
    </row>
    <row r="3129" spans="28:31" x14ac:dyDescent="0.2">
      <c r="AB3129" s="155"/>
      <c r="AD3129" s="155"/>
      <c r="AE3129" s="155"/>
    </row>
    <row r="3130" spans="28:31" x14ac:dyDescent="0.2">
      <c r="AB3130" s="155"/>
      <c r="AD3130" s="155"/>
      <c r="AE3130" s="155"/>
    </row>
    <row r="3131" spans="28:31" x14ac:dyDescent="0.2">
      <c r="AB3131" s="155"/>
      <c r="AD3131" s="155"/>
      <c r="AE3131" s="155"/>
    </row>
    <row r="3132" spans="28:31" x14ac:dyDescent="0.2">
      <c r="AB3132" s="155"/>
      <c r="AD3132" s="155"/>
      <c r="AE3132" s="155"/>
    </row>
    <row r="3133" spans="28:31" x14ac:dyDescent="0.2">
      <c r="AB3133" s="155"/>
      <c r="AD3133" s="155"/>
      <c r="AE3133" s="155"/>
    </row>
    <row r="3134" spans="28:31" x14ac:dyDescent="0.2">
      <c r="AB3134" s="155"/>
      <c r="AD3134" s="155"/>
      <c r="AE3134" s="155"/>
    </row>
    <row r="3135" spans="28:31" x14ac:dyDescent="0.2">
      <c r="AB3135" s="155"/>
      <c r="AD3135" s="155"/>
      <c r="AE3135" s="155"/>
    </row>
    <row r="3136" spans="28:31" x14ac:dyDescent="0.2">
      <c r="AB3136" s="155"/>
      <c r="AD3136" s="155"/>
      <c r="AE3136" s="155"/>
    </row>
    <row r="3137" spans="28:31" x14ac:dyDescent="0.2">
      <c r="AB3137" s="155"/>
      <c r="AD3137" s="155"/>
      <c r="AE3137" s="155"/>
    </row>
    <row r="3138" spans="28:31" x14ac:dyDescent="0.2">
      <c r="AB3138" s="155"/>
      <c r="AD3138" s="155"/>
      <c r="AE3138" s="155"/>
    </row>
    <row r="3139" spans="28:31" x14ac:dyDescent="0.2">
      <c r="AB3139" s="155"/>
      <c r="AD3139" s="155"/>
      <c r="AE3139" s="155"/>
    </row>
    <row r="3140" spans="28:31" x14ac:dyDescent="0.2">
      <c r="AB3140" s="155"/>
      <c r="AD3140" s="155"/>
      <c r="AE3140" s="155"/>
    </row>
    <row r="3141" spans="28:31" x14ac:dyDescent="0.2">
      <c r="AB3141" s="155"/>
      <c r="AD3141" s="155"/>
      <c r="AE3141" s="155"/>
    </row>
    <row r="3142" spans="28:31" x14ac:dyDescent="0.2">
      <c r="AB3142" s="155"/>
      <c r="AD3142" s="155"/>
      <c r="AE3142" s="155"/>
    </row>
    <row r="3143" spans="28:31" x14ac:dyDescent="0.2">
      <c r="AB3143" s="155"/>
      <c r="AD3143" s="155"/>
      <c r="AE3143" s="155"/>
    </row>
    <row r="3144" spans="28:31" x14ac:dyDescent="0.2">
      <c r="AB3144" s="155"/>
      <c r="AD3144" s="155"/>
      <c r="AE3144" s="155"/>
    </row>
    <row r="3145" spans="28:31" x14ac:dyDescent="0.2">
      <c r="AB3145" s="155"/>
      <c r="AD3145" s="155"/>
      <c r="AE3145" s="155"/>
    </row>
    <row r="3146" spans="28:31" x14ac:dyDescent="0.2">
      <c r="AB3146" s="155"/>
      <c r="AD3146" s="155"/>
      <c r="AE3146" s="155"/>
    </row>
    <row r="3147" spans="28:31" x14ac:dyDescent="0.2">
      <c r="AB3147" s="155"/>
      <c r="AD3147" s="155"/>
      <c r="AE3147" s="155"/>
    </row>
    <row r="3148" spans="28:31" x14ac:dyDescent="0.2">
      <c r="AB3148" s="155"/>
      <c r="AD3148" s="155"/>
      <c r="AE3148" s="155"/>
    </row>
    <row r="3149" spans="28:31" x14ac:dyDescent="0.2">
      <c r="AB3149" s="155"/>
      <c r="AD3149" s="155"/>
      <c r="AE3149" s="155"/>
    </row>
    <row r="3150" spans="28:31" x14ac:dyDescent="0.2">
      <c r="AB3150" s="155"/>
      <c r="AD3150" s="155"/>
      <c r="AE3150" s="155"/>
    </row>
    <row r="3151" spans="28:31" x14ac:dyDescent="0.2">
      <c r="AB3151" s="155"/>
      <c r="AD3151" s="155"/>
      <c r="AE3151" s="155"/>
    </row>
    <row r="3152" spans="28:31" x14ac:dyDescent="0.2">
      <c r="AB3152" s="155"/>
      <c r="AD3152" s="155"/>
      <c r="AE3152" s="155"/>
    </row>
    <row r="3153" spans="28:31" x14ac:dyDescent="0.2">
      <c r="AB3153" s="155"/>
      <c r="AD3153" s="155"/>
      <c r="AE3153" s="155"/>
    </row>
    <row r="3154" spans="28:31" x14ac:dyDescent="0.2">
      <c r="AB3154" s="155"/>
      <c r="AD3154" s="155"/>
      <c r="AE3154" s="155"/>
    </row>
    <row r="3155" spans="28:31" x14ac:dyDescent="0.2">
      <c r="AB3155" s="155"/>
      <c r="AD3155" s="155"/>
      <c r="AE3155" s="155"/>
    </row>
    <row r="3156" spans="28:31" x14ac:dyDescent="0.2">
      <c r="AB3156" s="155"/>
      <c r="AD3156" s="155"/>
      <c r="AE3156" s="155"/>
    </row>
    <row r="3157" spans="28:31" x14ac:dyDescent="0.2">
      <c r="AB3157" s="155"/>
      <c r="AD3157" s="155"/>
      <c r="AE3157" s="155"/>
    </row>
    <row r="3158" spans="28:31" x14ac:dyDescent="0.2">
      <c r="AB3158" s="155"/>
      <c r="AD3158" s="155"/>
      <c r="AE3158" s="155"/>
    </row>
    <row r="3159" spans="28:31" x14ac:dyDescent="0.2">
      <c r="AB3159" s="155"/>
      <c r="AD3159" s="155"/>
      <c r="AE3159" s="155"/>
    </row>
    <row r="3160" spans="28:31" x14ac:dyDescent="0.2">
      <c r="AB3160" s="155"/>
      <c r="AD3160" s="155"/>
      <c r="AE3160" s="155"/>
    </row>
    <row r="3161" spans="28:31" x14ac:dyDescent="0.2">
      <c r="AB3161" s="155"/>
      <c r="AD3161" s="155"/>
      <c r="AE3161" s="155"/>
    </row>
    <row r="3162" spans="28:31" x14ac:dyDescent="0.2">
      <c r="AB3162" s="155"/>
      <c r="AD3162" s="155"/>
      <c r="AE3162" s="155"/>
    </row>
    <row r="3163" spans="28:31" x14ac:dyDescent="0.2">
      <c r="AB3163" s="155"/>
      <c r="AD3163" s="155"/>
      <c r="AE3163" s="155"/>
    </row>
    <row r="3164" spans="28:31" x14ac:dyDescent="0.2">
      <c r="AB3164" s="155"/>
      <c r="AD3164" s="155"/>
      <c r="AE3164" s="155"/>
    </row>
    <row r="3165" spans="28:31" x14ac:dyDescent="0.2">
      <c r="AB3165" s="155"/>
      <c r="AD3165" s="155"/>
      <c r="AE3165" s="155"/>
    </row>
    <row r="3166" spans="28:31" x14ac:dyDescent="0.2">
      <c r="AB3166" s="155"/>
      <c r="AD3166" s="155"/>
      <c r="AE3166" s="155"/>
    </row>
    <row r="3167" spans="28:31" x14ac:dyDescent="0.2">
      <c r="AB3167" s="155"/>
      <c r="AD3167" s="155"/>
      <c r="AE3167" s="155"/>
    </row>
    <row r="3168" spans="28:31" x14ac:dyDescent="0.2">
      <c r="AB3168" s="155"/>
      <c r="AD3168" s="155"/>
      <c r="AE3168" s="155"/>
    </row>
    <row r="3169" spans="28:31" x14ac:dyDescent="0.2">
      <c r="AB3169" s="155"/>
      <c r="AD3169" s="155"/>
      <c r="AE3169" s="155"/>
    </row>
    <row r="3170" spans="28:31" x14ac:dyDescent="0.2">
      <c r="AB3170" s="155"/>
      <c r="AD3170" s="155"/>
      <c r="AE3170" s="155"/>
    </row>
    <row r="3171" spans="28:31" x14ac:dyDescent="0.2">
      <c r="AB3171" s="155"/>
      <c r="AD3171" s="155"/>
      <c r="AE3171" s="155"/>
    </row>
    <row r="3172" spans="28:31" x14ac:dyDescent="0.2">
      <c r="AB3172" s="155"/>
      <c r="AD3172" s="155"/>
      <c r="AE3172" s="155"/>
    </row>
    <row r="3173" spans="28:31" x14ac:dyDescent="0.2">
      <c r="AB3173" s="155"/>
      <c r="AD3173" s="155"/>
      <c r="AE3173" s="155"/>
    </row>
    <row r="3174" spans="28:31" x14ac:dyDescent="0.2">
      <c r="AB3174" s="155"/>
      <c r="AD3174" s="155"/>
      <c r="AE3174" s="155"/>
    </row>
    <row r="3175" spans="28:31" x14ac:dyDescent="0.2">
      <c r="AB3175" s="155"/>
      <c r="AD3175" s="155"/>
      <c r="AE3175" s="155"/>
    </row>
    <row r="3176" spans="28:31" x14ac:dyDescent="0.2">
      <c r="AB3176" s="155"/>
      <c r="AD3176" s="155"/>
      <c r="AE3176" s="155"/>
    </row>
    <row r="3177" spans="28:31" x14ac:dyDescent="0.2">
      <c r="AB3177" s="155"/>
      <c r="AD3177" s="155"/>
      <c r="AE3177" s="155"/>
    </row>
    <row r="3178" spans="28:31" x14ac:dyDescent="0.2">
      <c r="AB3178" s="155"/>
      <c r="AD3178" s="155"/>
      <c r="AE3178" s="155"/>
    </row>
    <row r="3179" spans="28:31" x14ac:dyDescent="0.2">
      <c r="AB3179" s="155"/>
      <c r="AD3179" s="155"/>
      <c r="AE3179" s="155"/>
    </row>
    <row r="3180" spans="28:31" x14ac:dyDescent="0.2">
      <c r="AB3180" s="155"/>
      <c r="AD3180" s="155"/>
      <c r="AE3180" s="155"/>
    </row>
    <row r="3181" spans="28:31" x14ac:dyDescent="0.2">
      <c r="AB3181" s="155"/>
      <c r="AD3181" s="155"/>
      <c r="AE3181" s="155"/>
    </row>
    <row r="3182" spans="28:31" x14ac:dyDescent="0.2">
      <c r="AB3182" s="155"/>
      <c r="AD3182" s="155"/>
      <c r="AE3182" s="155"/>
    </row>
    <row r="3183" spans="28:31" x14ac:dyDescent="0.2">
      <c r="AB3183" s="155"/>
      <c r="AD3183" s="155"/>
      <c r="AE3183" s="155"/>
    </row>
    <row r="3184" spans="28:31" x14ac:dyDescent="0.2">
      <c r="AB3184" s="155"/>
      <c r="AD3184" s="155"/>
      <c r="AE3184" s="155"/>
    </row>
    <row r="3185" spans="28:31" x14ac:dyDescent="0.2">
      <c r="AB3185" s="155"/>
      <c r="AD3185" s="155"/>
      <c r="AE3185" s="155"/>
    </row>
    <row r="3186" spans="28:31" x14ac:dyDescent="0.2">
      <c r="AB3186" s="155"/>
      <c r="AD3186" s="155"/>
      <c r="AE3186" s="155"/>
    </row>
    <row r="3187" spans="28:31" x14ac:dyDescent="0.2">
      <c r="AB3187" s="155"/>
      <c r="AD3187" s="155"/>
      <c r="AE3187" s="155"/>
    </row>
    <row r="3188" spans="28:31" x14ac:dyDescent="0.2">
      <c r="AB3188" s="155"/>
      <c r="AD3188" s="155"/>
      <c r="AE3188" s="155"/>
    </row>
    <row r="3189" spans="28:31" x14ac:dyDescent="0.2">
      <c r="AB3189" s="155"/>
      <c r="AD3189" s="155"/>
      <c r="AE3189" s="155"/>
    </row>
    <row r="3190" spans="28:31" x14ac:dyDescent="0.2">
      <c r="AB3190" s="155"/>
      <c r="AD3190" s="155"/>
      <c r="AE3190" s="155"/>
    </row>
    <row r="3191" spans="28:31" x14ac:dyDescent="0.2">
      <c r="AB3191" s="155"/>
      <c r="AD3191" s="155"/>
      <c r="AE3191" s="155"/>
    </row>
    <row r="3192" spans="28:31" x14ac:dyDescent="0.2">
      <c r="AB3192" s="155"/>
      <c r="AD3192" s="155"/>
      <c r="AE3192" s="155"/>
    </row>
    <row r="3193" spans="28:31" x14ac:dyDescent="0.2">
      <c r="AB3193" s="155"/>
      <c r="AD3193" s="155"/>
      <c r="AE3193" s="155"/>
    </row>
    <row r="3194" spans="28:31" x14ac:dyDescent="0.2">
      <c r="AB3194" s="155"/>
      <c r="AD3194" s="155"/>
      <c r="AE3194" s="155"/>
    </row>
    <row r="3195" spans="28:31" x14ac:dyDescent="0.2">
      <c r="AB3195" s="155"/>
      <c r="AD3195" s="155"/>
      <c r="AE3195" s="155"/>
    </row>
    <row r="3196" spans="28:31" x14ac:dyDescent="0.2">
      <c r="AB3196" s="155"/>
      <c r="AD3196" s="155"/>
      <c r="AE3196" s="155"/>
    </row>
    <row r="3197" spans="28:31" x14ac:dyDescent="0.2">
      <c r="AB3197" s="155"/>
      <c r="AD3197" s="155"/>
      <c r="AE3197" s="155"/>
    </row>
    <row r="3198" spans="28:31" x14ac:dyDescent="0.2">
      <c r="AB3198" s="155"/>
      <c r="AD3198" s="155"/>
      <c r="AE3198" s="155"/>
    </row>
    <row r="3199" spans="28:31" x14ac:dyDescent="0.2">
      <c r="AB3199" s="155"/>
      <c r="AD3199" s="155"/>
      <c r="AE3199" s="155"/>
    </row>
    <row r="3200" spans="28:31" x14ac:dyDescent="0.2">
      <c r="AB3200" s="155"/>
      <c r="AD3200" s="155"/>
      <c r="AE3200" s="155"/>
    </row>
    <row r="3201" spans="28:31" x14ac:dyDescent="0.2">
      <c r="AB3201" s="155"/>
      <c r="AD3201" s="155"/>
      <c r="AE3201" s="155"/>
    </row>
    <row r="3202" spans="28:31" x14ac:dyDescent="0.2">
      <c r="AB3202" s="155"/>
      <c r="AD3202" s="155"/>
      <c r="AE3202" s="155"/>
    </row>
    <row r="3203" spans="28:31" x14ac:dyDescent="0.2">
      <c r="AB3203" s="155"/>
      <c r="AD3203" s="155"/>
      <c r="AE3203" s="155"/>
    </row>
    <row r="3204" spans="28:31" x14ac:dyDescent="0.2">
      <c r="AB3204" s="155"/>
      <c r="AD3204" s="155"/>
      <c r="AE3204" s="155"/>
    </row>
    <row r="3205" spans="28:31" x14ac:dyDescent="0.2">
      <c r="AB3205" s="155"/>
      <c r="AD3205" s="155"/>
      <c r="AE3205" s="155"/>
    </row>
    <row r="3206" spans="28:31" x14ac:dyDescent="0.2">
      <c r="AB3206" s="155"/>
      <c r="AD3206" s="155"/>
      <c r="AE3206" s="155"/>
    </row>
    <row r="3207" spans="28:31" x14ac:dyDescent="0.2">
      <c r="AB3207" s="155"/>
      <c r="AD3207" s="155"/>
      <c r="AE3207" s="155"/>
    </row>
    <row r="3208" spans="28:31" x14ac:dyDescent="0.2">
      <c r="AB3208" s="155"/>
      <c r="AD3208" s="155"/>
      <c r="AE3208" s="155"/>
    </row>
    <row r="3209" spans="28:31" x14ac:dyDescent="0.2">
      <c r="AB3209" s="155"/>
      <c r="AD3209" s="155"/>
      <c r="AE3209" s="155"/>
    </row>
    <row r="3210" spans="28:31" x14ac:dyDescent="0.2">
      <c r="AB3210" s="155"/>
      <c r="AD3210" s="155"/>
      <c r="AE3210" s="155"/>
    </row>
    <row r="3211" spans="28:31" x14ac:dyDescent="0.2">
      <c r="AB3211" s="155"/>
      <c r="AD3211" s="155"/>
      <c r="AE3211" s="155"/>
    </row>
    <row r="3212" spans="28:31" x14ac:dyDescent="0.2">
      <c r="AB3212" s="155"/>
      <c r="AD3212" s="155"/>
      <c r="AE3212" s="155"/>
    </row>
    <row r="3213" spans="28:31" x14ac:dyDescent="0.2">
      <c r="AB3213" s="155"/>
      <c r="AD3213" s="155"/>
      <c r="AE3213" s="155"/>
    </row>
    <row r="3214" spans="28:31" x14ac:dyDescent="0.2">
      <c r="AB3214" s="155"/>
      <c r="AD3214" s="155"/>
      <c r="AE3214" s="155"/>
    </row>
    <row r="3215" spans="28:31" x14ac:dyDescent="0.2">
      <c r="AB3215" s="155"/>
      <c r="AD3215" s="155"/>
      <c r="AE3215" s="155"/>
    </row>
    <row r="3216" spans="28:31" x14ac:dyDescent="0.2">
      <c r="AB3216" s="155"/>
      <c r="AD3216" s="155"/>
      <c r="AE3216" s="155"/>
    </row>
    <row r="3217" spans="28:31" x14ac:dyDescent="0.2">
      <c r="AB3217" s="155"/>
      <c r="AD3217" s="155"/>
      <c r="AE3217" s="155"/>
    </row>
    <row r="3218" spans="28:31" x14ac:dyDescent="0.2">
      <c r="AB3218" s="155"/>
      <c r="AD3218" s="155"/>
      <c r="AE3218" s="155"/>
    </row>
    <row r="3219" spans="28:31" x14ac:dyDescent="0.2">
      <c r="AB3219" s="155"/>
      <c r="AD3219" s="155"/>
      <c r="AE3219" s="155"/>
    </row>
    <row r="3220" spans="28:31" x14ac:dyDescent="0.2">
      <c r="AB3220" s="155"/>
      <c r="AD3220" s="155"/>
      <c r="AE3220" s="155"/>
    </row>
    <row r="3221" spans="28:31" x14ac:dyDescent="0.2">
      <c r="AB3221" s="155"/>
      <c r="AD3221" s="155"/>
      <c r="AE3221" s="155"/>
    </row>
    <row r="3222" spans="28:31" x14ac:dyDescent="0.2">
      <c r="AB3222" s="155"/>
      <c r="AD3222" s="155"/>
      <c r="AE3222" s="155"/>
    </row>
    <row r="3223" spans="28:31" x14ac:dyDescent="0.2">
      <c r="AB3223" s="155"/>
      <c r="AD3223" s="155"/>
      <c r="AE3223" s="155"/>
    </row>
    <row r="3224" spans="28:31" x14ac:dyDescent="0.2">
      <c r="AB3224" s="155"/>
      <c r="AD3224" s="155"/>
      <c r="AE3224" s="155"/>
    </row>
    <row r="3225" spans="28:31" x14ac:dyDescent="0.2">
      <c r="AB3225" s="155"/>
      <c r="AD3225" s="155"/>
      <c r="AE3225" s="155"/>
    </row>
    <row r="3226" spans="28:31" x14ac:dyDescent="0.2">
      <c r="AB3226" s="155"/>
      <c r="AD3226" s="155"/>
      <c r="AE3226" s="155"/>
    </row>
    <row r="3227" spans="28:31" x14ac:dyDescent="0.2">
      <c r="AB3227" s="155"/>
      <c r="AD3227" s="155"/>
      <c r="AE3227" s="155"/>
    </row>
    <row r="3228" spans="28:31" x14ac:dyDescent="0.2">
      <c r="AB3228" s="155"/>
      <c r="AD3228" s="155"/>
      <c r="AE3228" s="155"/>
    </row>
    <row r="3229" spans="28:31" x14ac:dyDescent="0.2">
      <c r="AB3229" s="155"/>
      <c r="AD3229" s="155"/>
      <c r="AE3229" s="155"/>
    </row>
    <row r="3230" spans="28:31" x14ac:dyDescent="0.2">
      <c r="AB3230" s="155"/>
      <c r="AD3230" s="155"/>
      <c r="AE3230" s="155"/>
    </row>
    <row r="3231" spans="28:31" x14ac:dyDescent="0.2">
      <c r="AB3231" s="155"/>
      <c r="AD3231" s="155"/>
      <c r="AE3231" s="155"/>
    </row>
    <row r="3232" spans="28:31" x14ac:dyDescent="0.2">
      <c r="AB3232" s="155"/>
      <c r="AD3232" s="155"/>
      <c r="AE3232" s="155"/>
    </row>
    <row r="3233" spans="28:31" x14ac:dyDescent="0.2">
      <c r="AB3233" s="155"/>
      <c r="AD3233" s="155"/>
      <c r="AE3233" s="155"/>
    </row>
    <row r="3234" spans="28:31" x14ac:dyDescent="0.2">
      <c r="AB3234" s="155"/>
      <c r="AD3234" s="155"/>
      <c r="AE3234" s="155"/>
    </row>
    <row r="3235" spans="28:31" x14ac:dyDescent="0.2">
      <c r="AB3235" s="155"/>
      <c r="AD3235" s="155"/>
      <c r="AE3235" s="155"/>
    </row>
    <row r="3236" spans="28:31" x14ac:dyDescent="0.2">
      <c r="AB3236" s="155"/>
      <c r="AD3236" s="155"/>
      <c r="AE3236" s="155"/>
    </row>
    <row r="3237" spans="28:31" x14ac:dyDescent="0.2">
      <c r="AB3237" s="155"/>
      <c r="AD3237" s="155"/>
      <c r="AE3237" s="155"/>
    </row>
    <row r="3238" spans="28:31" x14ac:dyDescent="0.2">
      <c r="AB3238" s="155"/>
      <c r="AD3238" s="155"/>
      <c r="AE3238" s="155"/>
    </row>
    <row r="3239" spans="28:31" x14ac:dyDescent="0.2">
      <c r="AB3239" s="155"/>
      <c r="AD3239" s="155"/>
      <c r="AE3239" s="155"/>
    </row>
    <row r="3240" spans="28:31" x14ac:dyDescent="0.2">
      <c r="AB3240" s="155"/>
      <c r="AD3240" s="155"/>
      <c r="AE3240" s="155"/>
    </row>
    <row r="3241" spans="28:31" x14ac:dyDescent="0.2">
      <c r="AB3241" s="155"/>
      <c r="AD3241" s="155"/>
      <c r="AE3241" s="155"/>
    </row>
    <row r="3242" spans="28:31" x14ac:dyDescent="0.2">
      <c r="AB3242" s="155"/>
      <c r="AD3242" s="155"/>
      <c r="AE3242" s="155"/>
    </row>
    <row r="3243" spans="28:31" x14ac:dyDescent="0.2">
      <c r="AB3243" s="155"/>
      <c r="AD3243" s="155"/>
      <c r="AE3243" s="155"/>
    </row>
    <row r="3244" spans="28:31" x14ac:dyDescent="0.2">
      <c r="AB3244" s="155"/>
      <c r="AD3244" s="155"/>
      <c r="AE3244" s="155"/>
    </row>
    <row r="3245" spans="28:31" x14ac:dyDescent="0.2">
      <c r="AB3245" s="155"/>
      <c r="AD3245" s="155"/>
      <c r="AE3245" s="155"/>
    </row>
    <row r="3246" spans="28:31" x14ac:dyDescent="0.2">
      <c r="AB3246" s="155"/>
      <c r="AD3246" s="155"/>
      <c r="AE3246" s="155"/>
    </row>
    <row r="3247" spans="28:31" x14ac:dyDescent="0.2">
      <c r="AB3247" s="155"/>
      <c r="AD3247" s="155"/>
      <c r="AE3247" s="155"/>
    </row>
    <row r="3248" spans="28:31" x14ac:dyDescent="0.2">
      <c r="AB3248" s="155"/>
      <c r="AD3248" s="155"/>
      <c r="AE3248" s="155"/>
    </row>
    <row r="3249" spans="28:31" x14ac:dyDescent="0.2">
      <c r="AB3249" s="155"/>
      <c r="AD3249" s="155"/>
      <c r="AE3249" s="155"/>
    </row>
    <row r="3250" spans="28:31" x14ac:dyDescent="0.2">
      <c r="AB3250" s="155"/>
      <c r="AD3250" s="155"/>
      <c r="AE3250" s="155"/>
    </row>
    <row r="3251" spans="28:31" x14ac:dyDescent="0.2">
      <c r="AB3251" s="155"/>
      <c r="AD3251" s="155"/>
      <c r="AE3251" s="155"/>
    </row>
    <row r="3252" spans="28:31" x14ac:dyDescent="0.2">
      <c r="AB3252" s="155"/>
      <c r="AD3252" s="155"/>
      <c r="AE3252" s="155"/>
    </row>
    <row r="3253" spans="28:31" x14ac:dyDescent="0.2">
      <c r="AB3253" s="155"/>
      <c r="AD3253" s="155"/>
      <c r="AE3253" s="155"/>
    </row>
    <row r="3254" spans="28:31" x14ac:dyDescent="0.2">
      <c r="AB3254" s="155"/>
      <c r="AD3254" s="155"/>
      <c r="AE3254" s="155"/>
    </row>
    <row r="3255" spans="28:31" x14ac:dyDescent="0.2">
      <c r="AB3255" s="155"/>
      <c r="AD3255" s="155"/>
      <c r="AE3255" s="155"/>
    </row>
    <row r="3256" spans="28:31" x14ac:dyDescent="0.2">
      <c r="AB3256" s="155"/>
      <c r="AD3256" s="155"/>
      <c r="AE3256" s="155"/>
    </row>
    <row r="3257" spans="28:31" x14ac:dyDescent="0.2">
      <c r="AB3257" s="155"/>
      <c r="AD3257" s="155"/>
      <c r="AE3257" s="155"/>
    </row>
    <row r="3258" spans="28:31" x14ac:dyDescent="0.2">
      <c r="AB3258" s="155"/>
      <c r="AD3258" s="155"/>
      <c r="AE3258" s="155"/>
    </row>
    <row r="3259" spans="28:31" x14ac:dyDescent="0.2">
      <c r="AB3259" s="155"/>
      <c r="AD3259" s="155"/>
      <c r="AE3259" s="155"/>
    </row>
    <row r="3260" spans="28:31" x14ac:dyDescent="0.2">
      <c r="AB3260" s="155"/>
      <c r="AD3260" s="155"/>
      <c r="AE3260" s="155"/>
    </row>
    <row r="3261" spans="28:31" x14ac:dyDescent="0.2">
      <c r="AB3261" s="155"/>
      <c r="AD3261" s="155"/>
      <c r="AE3261" s="155"/>
    </row>
    <row r="3262" spans="28:31" x14ac:dyDescent="0.2">
      <c r="AB3262" s="155"/>
      <c r="AD3262" s="155"/>
      <c r="AE3262" s="155"/>
    </row>
    <row r="3263" spans="28:31" x14ac:dyDescent="0.2">
      <c r="AB3263" s="155"/>
      <c r="AD3263" s="155"/>
      <c r="AE3263" s="155"/>
    </row>
    <row r="3264" spans="28:31" x14ac:dyDescent="0.2">
      <c r="AB3264" s="155"/>
      <c r="AD3264" s="155"/>
      <c r="AE3264" s="155"/>
    </row>
    <row r="3265" spans="28:31" x14ac:dyDescent="0.2">
      <c r="AB3265" s="155"/>
      <c r="AD3265" s="155"/>
      <c r="AE3265" s="155"/>
    </row>
    <row r="3266" spans="28:31" x14ac:dyDescent="0.2">
      <c r="AB3266" s="155"/>
      <c r="AD3266" s="155"/>
      <c r="AE3266" s="155"/>
    </row>
    <row r="3267" spans="28:31" x14ac:dyDescent="0.2">
      <c r="AB3267" s="155"/>
      <c r="AD3267" s="155"/>
      <c r="AE3267" s="155"/>
    </row>
    <row r="3268" spans="28:31" x14ac:dyDescent="0.2">
      <c r="AB3268" s="155"/>
      <c r="AD3268" s="155"/>
      <c r="AE3268" s="155"/>
    </row>
    <row r="3269" spans="28:31" x14ac:dyDescent="0.2">
      <c r="AB3269" s="155"/>
      <c r="AD3269" s="155"/>
      <c r="AE3269" s="155"/>
    </row>
    <row r="3270" spans="28:31" x14ac:dyDescent="0.2">
      <c r="AB3270" s="155"/>
      <c r="AD3270" s="155"/>
      <c r="AE3270" s="155"/>
    </row>
    <row r="3271" spans="28:31" x14ac:dyDescent="0.2">
      <c r="AB3271" s="155"/>
      <c r="AD3271" s="155"/>
      <c r="AE3271" s="155"/>
    </row>
    <row r="3272" spans="28:31" x14ac:dyDescent="0.2">
      <c r="AB3272" s="155"/>
      <c r="AD3272" s="155"/>
      <c r="AE3272" s="155"/>
    </row>
    <row r="3273" spans="28:31" x14ac:dyDescent="0.2">
      <c r="AB3273" s="155"/>
      <c r="AD3273" s="155"/>
      <c r="AE3273" s="155"/>
    </row>
    <row r="3274" spans="28:31" x14ac:dyDescent="0.2">
      <c r="AB3274" s="155"/>
      <c r="AD3274" s="155"/>
      <c r="AE3274" s="155"/>
    </row>
    <row r="3275" spans="28:31" x14ac:dyDescent="0.2">
      <c r="AB3275" s="155"/>
      <c r="AD3275" s="155"/>
      <c r="AE3275" s="155"/>
    </row>
    <row r="3276" spans="28:31" x14ac:dyDescent="0.2">
      <c r="AB3276" s="155"/>
      <c r="AD3276" s="155"/>
      <c r="AE3276" s="155"/>
    </row>
    <row r="3277" spans="28:31" x14ac:dyDescent="0.2">
      <c r="AB3277" s="155"/>
      <c r="AD3277" s="155"/>
      <c r="AE3277" s="155"/>
    </row>
    <row r="3278" spans="28:31" x14ac:dyDescent="0.2">
      <c r="AB3278" s="155"/>
      <c r="AD3278" s="155"/>
      <c r="AE3278" s="155"/>
    </row>
    <row r="3279" spans="28:31" x14ac:dyDescent="0.2">
      <c r="AB3279" s="155"/>
      <c r="AD3279" s="155"/>
      <c r="AE3279" s="155"/>
    </row>
    <row r="3280" spans="28:31" x14ac:dyDescent="0.2">
      <c r="AB3280" s="155"/>
      <c r="AD3280" s="155"/>
      <c r="AE3280" s="155"/>
    </row>
    <row r="3281" spans="28:31" x14ac:dyDescent="0.2">
      <c r="AB3281" s="155"/>
      <c r="AD3281" s="155"/>
      <c r="AE3281" s="155"/>
    </row>
    <row r="3282" spans="28:31" x14ac:dyDescent="0.2">
      <c r="AB3282" s="155"/>
      <c r="AD3282" s="155"/>
      <c r="AE3282" s="155"/>
    </row>
    <row r="3283" spans="28:31" x14ac:dyDescent="0.2">
      <c r="AB3283" s="155"/>
      <c r="AD3283" s="155"/>
      <c r="AE3283" s="155"/>
    </row>
    <row r="3284" spans="28:31" x14ac:dyDescent="0.2">
      <c r="AB3284" s="155"/>
      <c r="AD3284" s="155"/>
      <c r="AE3284" s="155"/>
    </row>
    <row r="3285" spans="28:31" x14ac:dyDescent="0.2">
      <c r="AB3285" s="155"/>
      <c r="AD3285" s="155"/>
      <c r="AE3285" s="155"/>
    </row>
    <row r="3286" spans="28:31" x14ac:dyDescent="0.2">
      <c r="AB3286" s="155"/>
      <c r="AD3286" s="155"/>
      <c r="AE3286" s="155"/>
    </row>
    <row r="3287" spans="28:31" x14ac:dyDescent="0.2">
      <c r="AB3287" s="155"/>
      <c r="AD3287" s="155"/>
      <c r="AE3287" s="155"/>
    </row>
    <row r="3288" spans="28:31" x14ac:dyDescent="0.2">
      <c r="AB3288" s="155"/>
      <c r="AD3288" s="155"/>
      <c r="AE3288" s="155"/>
    </row>
    <row r="3289" spans="28:31" x14ac:dyDescent="0.2">
      <c r="AB3289" s="155"/>
      <c r="AD3289" s="155"/>
      <c r="AE3289" s="155"/>
    </row>
    <row r="3290" spans="28:31" x14ac:dyDescent="0.2">
      <c r="AB3290" s="155"/>
      <c r="AD3290" s="155"/>
      <c r="AE3290" s="155"/>
    </row>
    <row r="3291" spans="28:31" x14ac:dyDescent="0.2">
      <c r="AB3291" s="155"/>
      <c r="AD3291" s="155"/>
      <c r="AE3291" s="155"/>
    </row>
    <row r="3292" spans="28:31" x14ac:dyDescent="0.2">
      <c r="AB3292" s="155"/>
      <c r="AD3292" s="155"/>
      <c r="AE3292" s="155"/>
    </row>
    <row r="3293" spans="28:31" x14ac:dyDescent="0.2">
      <c r="AB3293" s="155"/>
      <c r="AD3293" s="155"/>
      <c r="AE3293" s="155"/>
    </row>
    <row r="3294" spans="28:31" x14ac:dyDescent="0.2">
      <c r="AB3294" s="155"/>
      <c r="AD3294" s="155"/>
      <c r="AE3294" s="155"/>
    </row>
    <row r="3295" spans="28:31" x14ac:dyDescent="0.2">
      <c r="AB3295" s="155"/>
      <c r="AD3295" s="155"/>
      <c r="AE3295" s="155"/>
    </row>
    <row r="3296" spans="28:31" x14ac:dyDescent="0.2">
      <c r="AB3296" s="155"/>
      <c r="AD3296" s="155"/>
      <c r="AE3296" s="155"/>
    </row>
    <row r="3297" spans="28:31" x14ac:dyDescent="0.2">
      <c r="AB3297" s="155"/>
      <c r="AD3297" s="155"/>
      <c r="AE3297" s="155"/>
    </row>
    <row r="3298" spans="28:31" x14ac:dyDescent="0.2">
      <c r="AB3298" s="155"/>
      <c r="AD3298" s="155"/>
      <c r="AE3298" s="155"/>
    </row>
    <row r="3299" spans="28:31" x14ac:dyDescent="0.2">
      <c r="AB3299" s="155"/>
      <c r="AD3299" s="155"/>
      <c r="AE3299" s="155"/>
    </row>
    <row r="3300" spans="28:31" x14ac:dyDescent="0.2">
      <c r="AB3300" s="155"/>
      <c r="AD3300" s="155"/>
      <c r="AE3300" s="155"/>
    </row>
    <row r="3301" spans="28:31" x14ac:dyDescent="0.2">
      <c r="AB3301" s="155"/>
      <c r="AD3301" s="155"/>
      <c r="AE3301" s="155"/>
    </row>
    <row r="3302" spans="28:31" x14ac:dyDescent="0.2">
      <c r="AB3302" s="155"/>
      <c r="AD3302" s="155"/>
      <c r="AE3302" s="155"/>
    </row>
    <row r="3303" spans="28:31" x14ac:dyDescent="0.2">
      <c r="AB3303" s="155"/>
      <c r="AD3303" s="155"/>
      <c r="AE3303" s="155"/>
    </row>
    <row r="3304" spans="28:31" x14ac:dyDescent="0.2">
      <c r="AB3304" s="155"/>
      <c r="AD3304" s="155"/>
      <c r="AE3304" s="155"/>
    </row>
    <row r="3305" spans="28:31" x14ac:dyDescent="0.2">
      <c r="AB3305" s="155"/>
      <c r="AD3305" s="155"/>
      <c r="AE3305" s="155"/>
    </row>
    <row r="3306" spans="28:31" x14ac:dyDescent="0.2">
      <c r="AB3306" s="155"/>
      <c r="AD3306" s="155"/>
      <c r="AE3306" s="155"/>
    </row>
    <row r="3307" spans="28:31" x14ac:dyDescent="0.2">
      <c r="AB3307" s="155"/>
      <c r="AD3307" s="155"/>
      <c r="AE3307" s="155"/>
    </row>
    <row r="3308" spans="28:31" x14ac:dyDescent="0.2">
      <c r="AB3308" s="155"/>
      <c r="AD3308" s="155"/>
      <c r="AE3308" s="155"/>
    </row>
    <row r="3309" spans="28:31" x14ac:dyDescent="0.2">
      <c r="AB3309" s="155"/>
      <c r="AD3309" s="155"/>
      <c r="AE3309" s="155"/>
    </row>
    <row r="3310" spans="28:31" x14ac:dyDescent="0.2">
      <c r="AB3310" s="155"/>
      <c r="AD3310" s="155"/>
      <c r="AE3310" s="155"/>
    </row>
    <row r="3311" spans="28:31" x14ac:dyDescent="0.2">
      <c r="AB3311" s="155"/>
      <c r="AD3311" s="155"/>
      <c r="AE3311" s="155"/>
    </row>
    <row r="3312" spans="28:31" x14ac:dyDescent="0.2">
      <c r="AB3312" s="155"/>
      <c r="AD3312" s="155"/>
      <c r="AE3312" s="155"/>
    </row>
    <row r="3313" spans="28:31" x14ac:dyDescent="0.2">
      <c r="AB3313" s="155"/>
      <c r="AD3313" s="155"/>
      <c r="AE3313" s="155"/>
    </row>
    <row r="3314" spans="28:31" x14ac:dyDescent="0.2">
      <c r="AB3314" s="155"/>
      <c r="AD3314" s="155"/>
      <c r="AE3314" s="155"/>
    </row>
    <row r="3315" spans="28:31" x14ac:dyDescent="0.2">
      <c r="AB3315" s="155"/>
      <c r="AD3315" s="155"/>
      <c r="AE3315" s="155"/>
    </row>
    <row r="3316" spans="28:31" x14ac:dyDescent="0.2">
      <c r="AB3316" s="155"/>
      <c r="AD3316" s="155"/>
      <c r="AE3316" s="155"/>
    </row>
    <row r="3317" spans="28:31" x14ac:dyDescent="0.2">
      <c r="AB3317" s="155"/>
      <c r="AD3317" s="155"/>
      <c r="AE3317" s="155"/>
    </row>
    <row r="3318" spans="28:31" x14ac:dyDescent="0.2">
      <c r="AB3318" s="155"/>
      <c r="AD3318" s="155"/>
      <c r="AE3318" s="155"/>
    </row>
    <row r="3319" spans="28:31" x14ac:dyDescent="0.2">
      <c r="AB3319" s="155"/>
      <c r="AD3319" s="155"/>
      <c r="AE3319" s="155"/>
    </row>
    <row r="3320" spans="28:31" x14ac:dyDescent="0.2">
      <c r="AB3320" s="155"/>
      <c r="AD3320" s="155"/>
      <c r="AE3320" s="155"/>
    </row>
    <row r="3321" spans="28:31" x14ac:dyDescent="0.2">
      <c r="AB3321" s="155"/>
      <c r="AD3321" s="155"/>
      <c r="AE3321" s="155"/>
    </row>
    <row r="3322" spans="28:31" x14ac:dyDescent="0.2">
      <c r="AB3322" s="155"/>
      <c r="AD3322" s="155"/>
      <c r="AE3322" s="155"/>
    </row>
    <row r="3323" spans="28:31" x14ac:dyDescent="0.2">
      <c r="AB3323" s="155"/>
      <c r="AD3323" s="155"/>
      <c r="AE3323" s="155"/>
    </row>
    <row r="3324" spans="28:31" x14ac:dyDescent="0.2">
      <c r="AB3324" s="155"/>
      <c r="AD3324" s="155"/>
      <c r="AE3324" s="155"/>
    </row>
    <row r="3325" spans="28:31" x14ac:dyDescent="0.2">
      <c r="AB3325" s="155"/>
      <c r="AD3325" s="155"/>
      <c r="AE3325" s="155"/>
    </row>
    <row r="3326" spans="28:31" x14ac:dyDescent="0.2">
      <c r="AB3326" s="155"/>
      <c r="AD3326" s="155"/>
      <c r="AE3326" s="155"/>
    </row>
    <row r="3327" spans="28:31" x14ac:dyDescent="0.2">
      <c r="AB3327" s="155"/>
      <c r="AD3327" s="155"/>
      <c r="AE3327" s="155"/>
    </row>
    <row r="3328" spans="28:31" x14ac:dyDescent="0.2">
      <c r="AB3328" s="155"/>
      <c r="AD3328" s="155"/>
      <c r="AE3328" s="155"/>
    </row>
    <row r="3329" spans="28:31" x14ac:dyDescent="0.2">
      <c r="AB3329" s="155"/>
      <c r="AD3329" s="155"/>
      <c r="AE3329" s="155"/>
    </row>
    <row r="3330" spans="28:31" x14ac:dyDescent="0.2">
      <c r="AB3330" s="155"/>
      <c r="AD3330" s="155"/>
      <c r="AE3330" s="155"/>
    </row>
    <row r="3331" spans="28:31" x14ac:dyDescent="0.2">
      <c r="AB3331" s="155"/>
      <c r="AD3331" s="155"/>
      <c r="AE3331" s="155"/>
    </row>
    <row r="3332" spans="28:31" x14ac:dyDescent="0.2">
      <c r="AB3332" s="155"/>
      <c r="AD3332" s="155"/>
      <c r="AE3332" s="155"/>
    </row>
    <row r="3333" spans="28:31" x14ac:dyDescent="0.2">
      <c r="AB3333" s="155"/>
      <c r="AD3333" s="155"/>
      <c r="AE3333" s="155"/>
    </row>
    <row r="3334" spans="28:31" x14ac:dyDescent="0.2">
      <c r="AB3334" s="155"/>
      <c r="AD3334" s="155"/>
      <c r="AE3334" s="155"/>
    </row>
    <row r="3335" spans="28:31" x14ac:dyDescent="0.2">
      <c r="AB3335" s="155"/>
      <c r="AD3335" s="155"/>
      <c r="AE3335" s="155"/>
    </row>
    <row r="3336" spans="28:31" x14ac:dyDescent="0.2">
      <c r="AB3336" s="155"/>
      <c r="AD3336" s="155"/>
      <c r="AE3336" s="155"/>
    </row>
    <row r="3337" spans="28:31" x14ac:dyDescent="0.2">
      <c r="AB3337" s="155"/>
      <c r="AD3337" s="155"/>
      <c r="AE3337" s="155"/>
    </row>
    <row r="3338" spans="28:31" x14ac:dyDescent="0.2">
      <c r="AB3338" s="155"/>
      <c r="AD3338" s="155"/>
      <c r="AE3338" s="155"/>
    </row>
    <row r="3339" spans="28:31" x14ac:dyDescent="0.2">
      <c r="AB3339" s="155"/>
      <c r="AD3339" s="155"/>
      <c r="AE3339" s="155"/>
    </row>
    <row r="3340" spans="28:31" x14ac:dyDescent="0.2">
      <c r="AB3340" s="155"/>
      <c r="AD3340" s="155"/>
      <c r="AE3340" s="155"/>
    </row>
    <row r="3341" spans="28:31" x14ac:dyDescent="0.2">
      <c r="AB3341" s="155"/>
      <c r="AD3341" s="155"/>
      <c r="AE3341" s="155"/>
    </row>
    <row r="3342" spans="28:31" x14ac:dyDescent="0.2">
      <c r="AB3342" s="155"/>
      <c r="AD3342" s="155"/>
      <c r="AE3342" s="155"/>
    </row>
    <row r="3343" spans="28:31" x14ac:dyDescent="0.2">
      <c r="AB3343" s="155"/>
      <c r="AD3343" s="155"/>
      <c r="AE3343" s="155"/>
    </row>
    <row r="3344" spans="28:31" x14ac:dyDescent="0.2">
      <c r="AB3344" s="155"/>
      <c r="AD3344" s="155"/>
      <c r="AE3344" s="155"/>
    </row>
    <row r="3345" spans="28:31" x14ac:dyDescent="0.2">
      <c r="AB3345" s="155"/>
      <c r="AD3345" s="155"/>
      <c r="AE3345" s="155"/>
    </row>
    <row r="3346" spans="28:31" x14ac:dyDescent="0.2">
      <c r="AB3346" s="155"/>
      <c r="AD3346" s="155"/>
      <c r="AE3346" s="155"/>
    </row>
    <row r="3347" spans="28:31" x14ac:dyDescent="0.2">
      <c r="AB3347" s="155"/>
      <c r="AD3347" s="155"/>
      <c r="AE3347" s="155"/>
    </row>
    <row r="3348" spans="28:31" x14ac:dyDescent="0.2">
      <c r="AB3348" s="155"/>
      <c r="AD3348" s="155"/>
      <c r="AE3348" s="155"/>
    </row>
    <row r="3349" spans="28:31" x14ac:dyDescent="0.2">
      <c r="AB3349" s="155"/>
      <c r="AD3349" s="155"/>
      <c r="AE3349" s="155"/>
    </row>
    <row r="3350" spans="28:31" x14ac:dyDescent="0.2">
      <c r="AB3350" s="155"/>
      <c r="AD3350" s="155"/>
      <c r="AE3350" s="155"/>
    </row>
    <row r="3351" spans="28:31" x14ac:dyDescent="0.2">
      <c r="AB3351" s="155"/>
      <c r="AD3351" s="155"/>
      <c r="AE3351" s="155"/>
    </row>
    <row r="3352" spans="28:31" x14ac:dyDescent="0.2">
      <c r="AB3352" s="155"/>
      <c r="AD3352" s="155"/>
      <c r="AE3352" s="155"/>
    </row>
    <row r="3353" spans="28:31" x14ac:dyDescent="0.2">
      <c r="AB3353" s="155"/>
      <c r="AD3353" s="155"/>
      <c r="AE3353" s="155"/>
    </row>
    <row r="3354" spans="28:31" x14ac:dyDescent="0.2">
      <c r="AB3354" s="155"/>
      <c r="AD3354" s="155"/>
      <c r="AE3354" s="155"/>
    </row>
    <row r="3355" spans="28:31" x14ac:dyDescent="0.2">
      <c r="AB3355" s="155"/>
      <c r="AD3355" s="155"/>
      <c r="AE3355" s="155"/>
    </row>
    <row r="3356" spans="28:31" x14ac:dyDescent="0.2">
      <c r="AB3356" s="155"/>
      <c r="AD3356" s="155"/>
      <c r="AE3356" s="155"/>
    </row>
    <row r="3357" spans="28:31" x14ac:dyDescent="0.2">
      <c r="AB3357" s="155"/>
      <c r="AD3357" s="155"/>
      <c r="AE3357" s="155"/>
    </row>
    <row r="3358" spans="28:31" x14ac:dyDescent="0.2">
      <c r="AB3358" s="155"/>
      <c r="AD3358" s="155"/>
      <c r="AE3358" s="155"/>
    </row>
    <row r="3359" spans="28:31" x14ac:dyDescent="0.2">
      <c r="AB3359" s="155"/>
      <c r="AD3359" s="155"/>
      <c r="AE3359" s="155"/>
    </row>
    <row r="3360" spans="28:31" x14ac:dyDescent="0.2">
      <c r="AB3360" s="155"/>
      <c r="AD3360" s="155"/>
      <c r="AE3360" s="155"/>
    </row>
    <row r="3361" spans="28:31" x14ac:dyDescent="0.2">
      <c r="AB3361" s="155"/>
      <c r="AD3361" s="155"/>
      <c r="AE3361" s="155"/>
    </row>
    <row r="3362" spans="28:31" x14ac:dyDescent="0.2">
      <c r="AB3362" s="155"/>
      <c r="AD3362" s="155"/>
      <c r="AE3362" s="155"/>
    </row>
    <row r="3363" spans="28:31" x14ac:dyDescent="0.2">
      <c r="AB3363" s="155"/>
      <c r="AD3363" s="155"/>
      <c r="AE3363" s="155"/>
    </row>
    <row r="3364" spans="28:31" x14ac:dyDescent="0.2">
      <c r="AB3364" s="155"/>
      <c r="AD3364" s="155"/>
      <c r="AE3364" s="155"/>
    </row>
    <row r="3365" spans="28:31" x14ac:dyDescent="0.2">
      <c r="AB3365" s="155"/>
      <c r="AD3365" s="155"/>
      <c r="AE3365" s="155"/>
    </row>
    <row r="3366" spans="28:31" x14ac:dyDescent="0.2">
      <c r="AB3366" s="155"/>
      <c r="AD3366" s="155"/>
      <c r="AE3366" s="155"/>
    </row>
    <row r="3367" spans="28:31" x14ac:dyDescent="0.2">
      <c r="AB3367" s="155"/>
      <c r="AD3367" s="155"/>
      <c r="AE3367" s="155"/>
    </row>
    <row r="3368" spans="28:31" x14ac:dyDescent="0.2">
      <c r="AB3368" s="155"/>
      <c r="AD3368" s="155"/>
      <c r="AE3368" s="155"/>
    </row>
    <row r="3369" spans="28:31" x14ac:dyDescent="0.2">
      <c r="AB3369" s="155"/>
      <c r="AD3369" s="155"/>
      <c r="AE3369" s="155"/>
    </row>
    <row r="3370" spans="28:31" x14ac:dyDescent="0.2">
      <c r="AB3370" s="155"/>
      <c r="AD3370" s="155"/>
      <c r="AE3370" s="155"/>
    </row>
    <row r="3371" spans="28:31" x14ac:dyDescent="0.2">
      <c r="AB3371" s="155"/>
      <c r="AD3371" s="155"/>
      <c r="AE3371" s="155"/>
    </row>
    <row r="3372" spans="28:31" x14ac:dyDescent="0.2">
      <c r="AB3372" s="155"/>
      <c r="AD3372" s="155"/>
      <c r="AE3372" s="155"/>
    </row>
    <row r="3373" spans="28:31" x14ac:dyDescent="0.2">
      <c r="AB3373" s="155"/>
      <c r="AD3373" s="155"/>
      <c r="AE3373" s="155"/>
    </row>
    <row r="3374" spans="28:31" x14ac:dyDescent="0.2">
      <c r="AB3374" s="155"/>
      <c r="AD3374" s="155"/>
      <c r="AE3374" s="155"/>
    </row>
    <row r="3375" spans="28:31" x14ac:dyDescent="0.2">
      <c r="AB3375" s="155"/>
      <c r="AD3375" s="155"/>
      <c r="AE3375" s="155"/>
    </row>
    <row r="3376" spans="28:31" x14ac:dyDescent="0.2">
      <c r="AB3376" s="155"/>
      <c r="AD3376" s="155"/>
      <c r="AE3376" s="155"/>
    </row>
    <row r="3377" spans="28:31" x14ac:dyDescent="0.2">
      <c r="AB3377" s="155"/>
      <c r="AD3377" s="155"/>
      <c r="AE3377" s="155"/>
    </row>
    <row r="3378" spans="28:31" x14ac:dyDescent="0.2">
      <c r="AB3378" s="155"/>
      <c r="AD3378" s="155"/>
      <c r="AE3378" s="155"/>
    </row>
    <row r="3379" spans="28:31" x14ac:dyDescent="0.2">
      <c r="AB3379" s="155"/>
      <c r="AD3379" s="155"/>
      <c r="AE3379" s="155"/>
    </row>
    <row r="3380" spans="28:31" x14ac:dyDescent="0.2">
      <c r="AB3380" s="155"/>
      <c r="AD3380" s="155"/>
      <c r="AE3380" s="155"/>
    </row>
    <row r="3381" spans="28:31" x14ac:dyDescent="0.2">
      <c r="AB3381" s="155"/>
      <c r="AD3381" s="155"/>
      <c r="AE3381" s="155"/>
    </row>
    <row r="3382" spans="28:31" x14ac:dyDescent="0.2">
      <c r="AB3382" s="155"/>
      <c r="AD3382" s="155"/>
      <c r="AE3382" s="155"/>
    </row>
    <row r="3383" spans="28:31" x14ac:dyDescent="0.2">
      <c r="AB3383" s="155"/>
      <c r="AD3383" s="155"/>
      <c r="AE3383" s="155"/>
    </row>
    <row r="3384" spans="28:31" x14ac:dyDescent="0.2">
      <c r="AB3384" s="155"/>
      <c r="AD3384" s="155"/>
      <c r="AE3384" s="155"/>
    </row>
    <row r="3385" spans="28:31" x14ac:dyDescent="0.2">
      <c r="AB3385" s="155"/>
      <c r="AD3385" s="155"/>
      <c r="AE3385" s="155"/>
    </row>
    <row r="3386" spans="28:31" x14ac:dyDescent="0.2">
      <c r="AB3386" s="155"/>
      <c r="AD3386" s="155"/>
      <c r="AE3386" s="155"/>
    </row>
    <row r="3387" spans="28:31" x14ac:dyDescent="0.2">
      <c r="AB3387" s="155"/>
      <c r="AD3387" s="155"/>
      <c r="AE3387" s="155"/>
    </row>
    <row r="3388" spans="28:31" x14ac:dyDescent="0.2">
      <c r="AB3388" s="155"/>
      <c r="AD3388" s="155"/>
      <c r="AE3388" s="155"/>
    </row>
    <row r="3389" spans="28:31" x14ac:dyDescent="0.2">
      <c r="AB3389" s="155"/>
      <c r="AD3389" s="155"/>
      <c r="AE3389" s="155"/>
    </row>
    <row r="3390" spans="28:31" x14ac:dyDescent="0.2">
      <c r="AB3390" s="155"/>
      <c r="AD3390" s="155"/>
      <c r="AE3390" s="155"/>
    </row>
    <row r="3391" spans="28:31" x14ac:dyDescent="0.2">
      <c r="AB3391" s="155"/>
      <c r="AD3391" s="155"/>
      <c r="AE3391" s="155"/>
    </row>
    <row r="3392" spans="28:31" x14ac:dyDescent="0.2">
      <c r="AB3392" s="155"/>
      <c r="AD3392" s="155"/>
      <c r="AE3392" s="155"/>
    </row>
    <row r="3393" spans="28:31" x14ac:dyDescent="0.2">
      <c r="AB3393" s="155"/>
      <c r="AD3393" s="155"/>
      <c r="AE3393" s="155"/>
    </row>
    <row r="3394" spans="28:31" x14ac:dyDescent="0.2">
      <c r="AB3394" s="155"/>
      <c r="AD3394" s="155"/>
      <c r="AE3394" s="155"/>
    </row>
    <row r="3395" spans="28:31" x14ac:dyDescent="0.2">
      <c r="AB3395" s="155"/>
      <c r="AD3395" s="155"/>
      <c r="AE3395" s="155"/>
    </row>
    <row r="3396" spans="28:31" x14ac:dyDescent="0.2">
      <c r="AB3396" s="155"/>
      <c r="AD3396" s="155"/>
      <c r="AE3396" s="155"/>
    </row>
    <row r="3397" spans="28:31" x14ac:dyDescent="0.2">
      <c r="AB3397" s="155"/>
      <c r="AD3397" s="155"/>
      <c r="AE3397" s="155"/>
    </row>
    <row r="3398" spans="28:31" x14ac:dyDescent="0.2">
      <c r="AB3398" s="155"/>
      <c r="AD3398" s="155"/>
      <c r="AE3398" s="155"/>
    </row>
    <row r="3399" spans="28:31" x14ac:dyDescent="0.2">
      <c r="AB3399" s="155"/>
      <c r="AD3399" s="155"/>
      <c r="AE3399" s="155"/>
    </row>
    <row r="3400" spans="28:31" x14ac:dyDescent="0.2">
      <c r="AB3400" s="155"/>
      <c r="AD3400" s="155"/>
      <c r="AE3400" s="155"/>
    </row>
    <row r="3401" spans="28:31" x14ac:dyDescent="0.2">
      <c r="AB3401" s="155"/>
      <c r="AD3401" s="155"/>
      <c r="AE3401" s="155"/>
    </row>
    <row r="3402" spans="28:31" x14ac:dyDescent="0.2">
      <c r="AB3402" s="155"/>
      <c r="AD3402" s="155"/>
      <c r="AE3402" s="155"/>
    </row>
    <row r="3403" spans="28:31" x14ac:dyDescent="0.2">
      <c r="AB3403" s="155"/>
      <c r="AD3403" s="155"/>
      <c r="AE3403" s="155"/>
    </row>
    <row r="3404" spans="28:31" x14ac:dyDescent="0.2">
      <c r="AB3404" s="155"/>
      <c r="AD3404" s="155"/>
      <c r="AE3404" s="155"/>
    </row>
    <row r="3405" spans="28:31" x14ac:dyDescent="0.2">
      <c r="AB3405" s="155"/>
      <c r="AD3405" s="155"/>
      <c r="AE3405" s="155"/>
    </row>
    <row r="3406" spans="28:31" x14ac:dyDescent="0.2">
      <c r="AB3406" s="155"/>
      <c r="AD3406" s="155"/>
      <c r="AE3406" s="155"/>
    </row>
    <row r="3407" spans="28:31" x14ac:dyDescent="0.2">
      <c r="AB3407" s="155"/>
      <c r="AD3407" s="155"/>
      <c r="AE3407" s="155"/>
    </row>
    <row r="3408" spans="28:31" x14ac:dyDescent="0.2">
      <c r="AB3408" s="155"/>
      <c r="AD3408" s="155"/>
      <c r="AE3408" s="155"/>
    </row>
    <row r="3409" spans="28:31" x14ac:dyDescent="0.2">
      <c r="AB3409" s="155"/>
      <c r="AD3409" s="155"/>
      <c r="AE3409" s="155"/>
    </row>
    <row r="3410" spans="28:31" x14ac:dyDescent="0.2">
      <c r="AB3410" s="155"/>
      <c r="AD3410" s="155"/>
      <c r="AE3410" s="155"/>
    </row>
    <row r="3411" spans="28:31" x14ac:dyDescent="0.2">
      <c r="AB3411" s="155"/>
      <c r="AD3411" s="155"/>
      <c r="AE3411" s="155"/>
    </row>
    <row r="3412" spans="28:31" x14ac:dyDescent="0.2">
      <c r="AB3412" s="155"/>
      <c r="AD3412" s="155"/>
      <c r="AE3412" s="155"/>
    </row>
    <row r="3413" spans="28:31" x14ac:dyDescent="0.2">
      <c r="AB3413" s="155"/>
      <c r="AD3413" s="155"/>
      <c r="AE3413" s="155"/>
    </row>
    <row r="3414" spans="28:31" x14ac:dyDescent="0.2">
      <c r="AB3414" s="155"/>
      <c r="AD3414" s="155"/>
      <c r="AE3414" s="155"/>
    </row>
    <row r="3415" spans="28:31" x14ac:dyDescent="0.2">
      <c r="AB3415" s="155"/>
      <c r="AD3415" s="155"/>
      <c r="AE3415" s="155"/>
    </row>
    <row r="3416" spans="28:31" x14ac:dyDescent="0.2">
      <c r="AB3416" s="155"/>
      <c r="AD3416" s="155"/>
      <c r="AE3416" s="155"/>
    </row>
    <row r="3417" spans="28:31" x14ac:dyDescent="0.2">
      <c r="AB3417" s="155"/>
      <c r="AD3417" s="155"/>
      <c r="AE3417" s="155"/>
    </row>
    <row r="3418" spans="28:31" x14ac:dyDescent="0.2">
      <c r="AB3418" s="155"/>
      <c r="AD3418" s="155"/>
      <c r="AE3418" s="155"/>
    </row>
    <row r="3419" spans="28:31" x14ac:dyDescent="0.2">
      <c r="AB3419" s="155"/>
      <c r="AD3419" s="155"/>
      <c r="AE3419" s="155"/>
    </row>
    <row r="3420" spans="28:31" x14ac:dyDescent="0.2">
      <c r="AB3420" s="155"/>
      <c r="AD3420" s="155"/>
      <c r="AE3420" s="155"/>
    </row>
    <row r="3421" spans="28:31" x14ac:dyDescent="0.2">
      <c r="AB3421" s="155"/>
      <c r="AD3421" s="155"/>
      <c r="AE3421" s="155"/>
    </row>
    <row r="3422" spans="28:31" x14ac:dyDescent="0.2">
      <c r="AB3422" s="155"/>
      <c r="AD3422" s="155"/>
      <c r="AE3422" s="155"/>
    </row>
    <row r="3423" spans="28:31" x14ac:dyDescent="0.2">
      <c r="AB3423" s="155"/>
      <c r="AD3423" s="155"/>
      <c r="AE3423" s="155"/>
    </row>
    <row r="3424" spans="28:31" x14ac:dyDescent="0.2">
      <c r="AB3424" s="155"/>
      <c r="AD3424" s="155"/>
      <c r="AE3424" s="155"/>
    </row>
    <row r="3425" spans="28:31" x14ac:dyDescent="0.2">
      <c r="AB3425" s="155"/>
      <c r="AD3425" s="155"/>
      <c r="AE3425" s="155"/>
    </row>
    <row r="3426" spans="28:31" x14ac:dyDescent="0.2">
      <c r="AB3426" s="155"/>
      <c r="AD3426" s="155"/>
      <c r="AE3426" s="155"/>
    </row>
    <row r="3427" spans="28:31" x14ac:dyDescent="0.2">
      <c r="AB3427" s="155"/>
      <c r="AD3427" s="155"/>
      <c r="AE3427" s="155"/>
    </row>
    <row r="3428" spans="28:31" x14ac:dyDescent="0.2">
      <c r="AB3428" s="155"/>
      <c r="AD3428" s="155"/>
      <c r="AE3428" s="155"/>
    </row>
    <row r="3429" spans="28:31" x14ac:dyDescent="0.2">
      <c r="AB3429" s="155"/>
      <c r="AD3429" s="155"/>
      <c r="AE3429" s="155"/>
    </row>
    <row r="3430" spans="28:31" x14ac:dyDescent="0.2">
      <c r="AB3430" s="155"/>
      <c r="AD3430" s="155"/>
      <c r="AE3430" s="155"/>
    </row>
    <row r="3431" spans="28:31" x14ac:dyDescent="0.2">
      <c r="AB3431" s="155"/>
      <c r="AD3431" s="155"/>
      <c r="AE3431" s="155"/>
    </row>
    <row r="3432" spans="28:31" x14ac:dyDescent="0.2">
      <c r="AB3432" s="155"/>
      <c r="AD3432" s="155"/>
      <c r="AE3432" s="155"/>
    </row>
    <row r="3433" spans="28:31" x14ac:dyDescent="0.2">
      <c r="AB3433" s="155"/>
      <c r="AD3433" s="155"/>
      <c r="AE3433" s="155"/>
    </row>
    <row r="3434" spans="28:31" x14ac:dyDescent="0.2">
      <c r="AB3434" s="155"/>
      <c r="AD3434" s="155"/>
      <c r="AE3434" s="155"/>
    </row>
    <row r="3435" spans="28:31" x14ac:dyDescent="0.2">
      <c r="AB3435" s="155"/>
      <c r="AD3435" s="155"/>
      <c r="AE3435" s="155"/>
    </row>
    <row r="3436" spans="28:31" x14ac:dyDescent="0.2">
      <c r="AB3436" s="155"/>
      <c r="AD3436" s="155"/>
      <c r="AE3436" s="155"/>
    </row>
    <row r="3437" spans="28:31" x14ac:dyDescent="0.2">
      <c r="AB3437" s="155"/>
      <c r="AD3437" s="155"/>
      <c r="AE3437" s="155"/>
    </row>
    <row r="3438" spans="28:31" x14ac:dyDescent="0.2">
      <c r="AB3438" s="155"/>
      <c r="AD3438" s="155"/>
      <c r="AE3438" s="155"/>
    </row>
    <row r="3439" spans="28:31" x14ac:dyDescent="0.2">
      <c r="AB3439" s="155"/>
      <c r="AD3439" s="155"/>
      <c r="AE3439" s="155"/>
    </row>
    <row r="3440" spans="28:31" x14ac:dyDescent="0.2">
      <c r="AB3440" s="155"/>
      <c r="AD3440" s="155"/>
      <c r="AE3440" s="155"/>
    </row>
    <row r="3441" spans="28:31" x14ac:dyDescent="0.2">
      <c r="AB3441" s="155"/>
      <c r="AD3441" s="155"/>
      <c r="AE3441" s="155"/>
    </row>
    <row r="3442" spans="28:31" x14ac:dyDescent="0.2">
      <c r="AB3442" s="155"/>
      <c r="AD3442" s="155"/>
      <c r="AE3442" s="155"/>
    </row>
    <row r="3443" spans="28:31" x14ac:dyDescent="0.2">
      <c r="AB3443" s="155"/>
      <c r="AD3443" s="155"/>
      <c r="AE3443" s="155"/>
    </row>
    <row r="3444" spans="28:31" x14ac:dyDescent="0.2">
      <c r="AB3444" s="155"/>
      <c r="AD3444" s="155"/>
      <c r="AE3444" s="155"/>
    </row>
    <row r="3445" spans="28:31" x14ac:dyDescent="0.2">
      <c r="AB3445" s="155"/>
      <c r="AD3445" s="155"/>
      <c r="AE3445" s="155"/>
    </row>
    <row r="3446" spans="28:31" x14ac:dyDescent="0.2">
      <c r="AB3446" s="155"/>
      <c r="AD3446" s="155"/>
      <c r="AE3446" s="155"/>
    </row>
    <row r="3447" spans="28:31" x14ac:dyDescent="0.2">
      <c r="AB3447" s="155"/>
      <c r="AD3447" s="155"/>
      <c r="AE3447" s="155"/>
    </row>
    <row r="3448" spans="28:31" x14ac:dyDescent="0.2">
      <c r="AB3448" s="155"/>
      <c r="AD3448" s="155"/>
      <c r="AE3448" s="155"/>
    </row>
    <row r="3449" spans="28:31" x14ac:dyDescent="0.2">
      <c r="AB3449" s="155"/>
      <c r="AD3449" s="155"/>
      <c r="AE3449" s="155"/>
    </row>
    <row r="3450" spans="28:31" x14ac:dyDescent="0.2">
      <c r="AB3450" s="155"/>
      <c r="AD3450" s="155"/>
      <c r="AE3450" s="155"/>
    </row>
    <row r="3451" spans="28:31" x14ac:dyDescent="0.2">
      <c r="AB3451" s="155"/>
      <c r="AD3451" s="155"/>
      <c r="AE3451" s="155"/>
    </row>
    <row r="3452" spans="28:31" x14ac:dyDescent="0.2">
      <c r="AB3452" s="155"/>
      <c r="AD3452" s="155"/>
      <c r="AE3452" s="155"/>
    </row>
    <row r="3453" spans="28:31" x14ac:dyDescent="0.2">
      <c r="AB3453" s="155"/>
      <c r="AD3453" s="155"/>
      <c r="AE3453" s="155"/>
    </row>
    <row r="3454" spans="28:31" x14ac:dyDescent="0.2">
      <c r="AB3454" s="155"/>
      <c r="AD3454" s="155"/>
      <c r="AE3454" s="155"/>
    </row>
    <row r="3455" spans="28:31" x14ac:dyDescent="0.2">
      <c r="AB3455" s="155"/>
      <c r="AD3455" s="155"/>
      <c r="AE3455" s="155"/>
    </row>
    <row r="3456" spans="28:31" x14ac:dyDescent="0.2">
      <c r="AB3456" s="155"/>
      <c r="AD3456" s="155"/>
      <c r="AE3456" s="155"/>
    </row>
    <row r="3457" spans="28:31" x14ac:dyDescent="0.2">
      <c r="AB3457" s="155"/>
      <c r="AD3457" s="155"/>
      <c r="AE3457" s="155"/>
    </row>
    <row r="3458" spans="28:31" x14ac:dyDescent="0.2">
      <c r="AB3458" s="155"/>
      <c r="AD3458" s="155"/>
      <c r="AE3458" s="155"/>
    </row>
    <row r="3459" spans="28:31" x14ac:dyDescent="0.2">
      <c r="AB3459" s="155"/>
      <c r="AD3459" s="155"/>
      <c r="AE3459" s="155"/>
    </row>
    <row r="3460" spans="28:31" x14ac:dyDescent="0.2">
      <c r="AB3460" s="155"/>
      <c r="AD3460" s="155"/>
      <c r="AE3460" s="155"/>
    </row>
    <row r="3461" spans="28:31" x14ac:dyDescent="0.2">
      <c r="AB3461" s="155"/>
      <c r="AD3461" s="155"/>
      <c r="AE3461" s="155"/>
    </row>
    <row r="3462" spans="28:31" x14ac:dyDescent="0.2">
      <c r="AB3462" s="155"/>
      <c r="AD3462" s="155"/>
      <c r="AE3462" s="155"/>
    </row>
    <row r="3463" spans="28:31" x14ac:dyDescent="0.2">
      <c r="AB3463" s="155"/>
      <c r="AD3463" s="155"/>
      <c r="AE3463" s="155"/>
    </row>
    <row r="3464" spans="28:31" x14ac:dyDescent="0.2">
      <c r="AB3464" s="155"/>
      <c r="AD3464" s="155"/>
      <c r="AE3464" s="155"/>
    </row>
    <row r="3465" spans="28:31" x14ac:dyDescent="0.2">
      <c r="AB3465" s="155"/>
      <c r="AD3465" s="155"/>
      <c r="AE3465" s="155"/>
    </row>
    <row r="3466" spans="28:31" x14ac:dyDescent="0.2">
      <c r="AB3466" s="155"/>
      <c r="AD3466" s="155"/>
      <c r="AE3466" s="155"/>
    </row>
    <row r="3467" spans="28:31" x14ac:dyDescent="0.2">
      <c r="AB3467" s="155"/>
      <c r="AD3467" s="155"/>
      <c r="AE3467" s="155"/>
    </row>
    <row r="3468" spans="28:31" x14ac:dyDescent="0.2">
      <c r="AB3468" s="155"/>
      <c r="AD3468" s="155"/>
      <c r="AE3468" s="155"/>
    </row>
    <row r="3469" spans="28:31" x14ac:dyDescent="0.2">
      <c r="AB3469" s="155"/>
      <c r="AD3469" s="155"/>
      <c r="AE3469" s="155"/>
    </row>
    <row r="3470" spans="28:31" x14ac:dyDescent="0.2">
      <c r="AB3470" s="155"/>
      <c r="AD3470" s="155"/>
      <c r="AE3470" s="155"/>
    </row>
    <row r="3471" spans="28:31" x14ac:dyDescent="0.2">
      <c r="AB3471" s="155"/>
      <c r="AD3471" s="155"/>
      <c r="AE3471" s="155"/>
    </row>
    <row r="3472" spans="28:31" x14ac:dyDescent="0.2">
      <c r="AB3472" s="155"/>
      <c r="AD3472" s="155"/>
      <c r="AE3472" s="155"/>
    </row>
    <row r="3473" spans="28:31" x14ac:dyDescent="0.2">
      <c r="AB3473" s="155"/>
      <c r="AD3473" s="155"/>
      <c r="AE3473" s="155"/>
    </row>
    <row r="3474" spans="28:31" x14ac:dyDescent="0.2">
      <c r="AB3474" s="155"/>
      <c r="AD3474" s="155"/>
      <c r="AE3474" s="155"/>
    </row>
    <row r="3475" spans="28:31" x14ac:dyDescent="0.2">
      <c r="AB3475" s="155"/>
      <c r="AD3475" s="155"/>
      <c r="AE3475" s="155"/>
    </row>
    <row r="3476" spans="28:31" x14ac:dyDescent="0.2">
      <c r="AB3476" s="155"/>
      <c r="AD3476" s="155"/>
      <c r="AE3476" s="155"/>
    </row>
    <row r="3477" spans="28:31" x14ac:dyDescent="0.2">
      <c r="AB3477" s="155"/>
      <c r="AD3477" s="155"/>
      <c r="AE3477" s="155"/>
    </row>
    <row r="3478" spans="28:31" x14ac:dyDescent="0.2">
      <c r="AB3478" s="155"/>
      <c r="AD3478" s="155"/>
      <c r="AE3478" s="155"/>
    </row>
    <row r="3479" spans="28:31" x14ac:dyDescent="0.2">
      <c r="AB3479" s="155"/>
      <c r="AD3479" s="155"/>
      <c r="AE3479" s="155"/>
    </row>
    <row r="3480" spans="28:31" x14ac:dyDescent="0.2">
      <c r="AB3480" s="155"/>
      <c r="AD3480" s="155"/>
      <c r="AE3480" s="155"/>
    </row>
    <row r="3481" spans="28:31" x14ac:dyDescent="0.2">
      <c r="AB3481" s="155"/>
      <c r="AD3481" s="155"/>
      <c r="AE3481" s="155"/>
    </row>
    <row r="3482" spans="28:31" x14ac:dyDescent="0.2">
      <c r="AB3482" s="155"/>
      <c r="AD3482" s="155"/>
      <c r="AE3482" s="155"/>
    </row>
    <row r="3483" spans="28:31" x14ac:dyDescent="0.2">
      <c r="AB3483" s="155"/>
      <c r="AD3483" s="155"/>
      <c r="AE3483" s="155"/>
    </row>
    <row r="3484" spans="28:31" x14ac:dyDescent="0.2">
      <c r="AB3484" s="155"/>
      <c r="AD3484" s="155"/>
      <c r="AE3484" s="155"/>
    </row>
    <row r="3485" spans="28:31" x14ac:dyDescent="0.2">
      <c r="AB3485" s="155"/>
      <c r="AD3485" s="155"/>
      <c r="AE3485" s="155"/>
    </row>
    <row r="3486" spans="28:31" x14ac:dyDescent="0.2">
      <c r="AB3486" s="155"/>
      <c r="AD3486" s="155"/>
      <c r="AE3486" s="155"/>
    </row>
    <row r="3487" spans="28:31" x14ac:dyDescent="0.2">
      <c r="AB3487" s="155"/>
      <c r="AD3487" s="155"/>
      <c r="AE3487" s="155"/>
    </row>
    <row r="3488" spans="28:31" x14ac:dyDescent="0.2">
      <c r="AB3488" s="155"/>
      <c r="AD3488" s="155"/>
      <c r="AE3488" s="155"/>
    </row>
    <row r="3489" spans="28:31" x14ac:dyDescent="0.2">
      <c r="AB3489" s="155"/>
      <c r="AD3489" s="155"/>
      <c r="AE3489" s="155"/>
    </row>
    <row r="3490" spans="28:31" x14ac:dyDescent="0.2">
      <c r="AB3490" s="155"/>
      <c r="AD3490" s="155"/>
      <c r="AE3490" s="155"/>
    </row>
    <row r="3491" spans="28:31" x14ac:dyDescent="0.2">
      <c r="AB3491" s="155"/>
      <c r="AD3491" s="155"/>
      <c r="AE3491" s="155"/>
    </row>
    <row r="3492" spans="28:31" x14ac:dyDescent="0.2">
      <c r="AB3492" s="155"/>
      <c r="AD3492" s="155"/>
      <c r="AE3492" s="155"/>
    </row>
    <row r="3493" spans="28:31" x14ac:dyDescent="0.2">
      <c r="AB3493" s="155"/>
      <c r="AD3493" s="155"/>
      <c r="AE3493" s="155"/>
    </row>
    <row r="3494" spans="28:31" x14ac:dyDescent="0.2">
      <c r="AB3494" s="155"/>
      <c r="AD3494" s="155"/>
      <c r="AE3494" s="155"/>
    </row>
    <row r="3495" spans="28:31" x14ac:dyDescent="0.2">
      <c r="AB3495" s="155"/>
      <c r="AD3495" s="155"/>
      <c r="AE3495" s="155"/>
    </row>
    <row r="3496" spans="28:31" x14ac:dyDescent="0.2">
      <c r="AB3496" s="155"/>
      <c r="AD3496" s="155"/>
      <c r="AE3496" s="155"/>
    </row>
    <row r="3497" spans="28:31" x14ac:dyDescent="0.2">
      <c r="AB3497" s="155"/>
      <c r="AD3497" s="155"/>
      <c r="AE3497" s="155"/>
    </row>
    <row r="3498" spans="28:31" x14ac:dyDescent="0.2">
      <c r="AB3498" s="155"/>
      <c r="AD3498" s="155"/>
      <c r="AE3498" s="155"/>
    </row>
    <row r="3499" spans="28:31" x14ac:dyDescent="0.2">
      <c r="AB3499" s="155"/>
      <c r="AD3499" s="155"/>
      <c r="AE3499" s="155"/>
    </row>
    <row r="3500" spans="28:31" x14ac:dyDescent="0.2">
      <c r="AB3500" s="155"/>
      <c r="AD3500" s="155"/>
      <c r="AE3500" s="155"/>
    </row>
    <row r="3501" spans="28:31" x14ac:dyDescent="0.2">
      <c r="AB3501" s="155"/>
      <c r="AD3501" s="155"/>
      <c r="AE3501" s="155"/>
    </row>
    <row r="3502" spans="28:31" x14ac:dyDescent="0.2">
      <c r="AB3502" s="155"/>
      <c r="AD3502" s="155"/>
      <c r="AE3502" s="155"/>
    </row>
    <row r="3503" spans="28:31" x14ac:dyDescent="0.2">
      <c r="AB3503" s="155"/>
      <c r="AD3503" s="155"/>
      <c r="AE3503" s="155"/>
    </row>
    <row r="3504" spans="28:31" x14ac:dyDescent="0.2">
      <c r="AB3504" s="155"/>
      <c r="AD3504" s="155"/>
      <c r="AE3504" s="155"/>
    </row>
    <row r="3505" spans="28:31" x14ac:dyDescent="0.2">
      <c r="AB3505" s="155"/>
      <c r="AD3505" s="155"/>
      <c r="AE3505" s="155"/>
    </row>
    <row r="3506" spans="28:31" x14ac:dyDescent="0.2">
      <c r="AB3506" s="155"/>
      <c r="AD3506" s="155"/>
      <c r="AE3506" s="155"/>
    </row>
    <row r="3507" spans="28:31" x14ac:dyDescent="0.2">
      <c r="AB3507" s="155"/>
      <c r="AD3507" s="155"/>
      <c r="AE3507" s="155"/>
    </row>
    <row r="3508" spans="28:31" x14ac:dyDescent="0.2">
      <c r="AB3508" s="155"/>
      <c r="AD3508" s="155"/>
      <c r="AE3508" s="155"/>
    </row>
    <row r="3509" spans="28:31" x14ac:dyDescent="0.2">
      <c r="AB3509" s="155"/>
      <c r="AD3509" s="155"/>
      <c r="AE3509" s="155"/>
    </row>
    <row r="3510" spans="28:31" x14ac:dyDescent="0.2">
      <c r="AB3510" s="155"/>
      <c r="AD3510" s="155"/>
      <c r="AE3510" s="155"/>
    </row>
    <row r="3511" spans="28:31" x14ac:dyDescent="0.2">
      <c r="AB3511" s="155"/>
      <c r="AD3511" s="155"/>
      <c r="AE3511" s="155"/>
    </row>
    <row r="3512" spans="28:31" x14ac:dyDescent="0.2">
      <c r="AB3512" s="155"/>
      <c r="AD3512" s="155"/>
      <c r="AE3512" s="155"/>
    </row>
    <row r="3513" spans="28:31" x14ac:dyDescent="0.2">
      <c r="AB3513" s="155"/>
      <c r="AD3513" s="155"/>
      <c r="AE3513" s="155"/>
    </row>
    <row r="3514" spans="28:31" x14ac:dyDescent="0.2">
      <c r="AB3514" s="155"/>
      <c r="AD3514" s="155"/>
      <c r="AE3514" s="155"/>
    </row>
    <row r="3515" spans="28:31" x14ac:dyDescent="0.2">
      <c r="AB3515" s="155"/>
      <c r="AD3515" s="155"/>
      <c r="AE3515" s="155"/>
    </row>
    <row r="3516" spans="28:31" x14ac:dyDescent="0.2">
      <c r="AB3516" s="155"/>
      <c r="AD3516" s="155"/>
      <c r="AE3516" s="155"/>
    </row>
    <row r="3517" spans="28:31" x14ac:dyDescent="0.2">
      <c r="AB3517" s="155"/>
      <c r="AD3517" s="155"/>
      <c r="AE3517" s="155"/>
    </row>
    <row r="3518" spans="28:31" x14ac:dyDescent="0.2">
      <c r="AB3518" s="155"/>
      <c r="AD3518" s="155"/>
      <c r="AE3518" s="155"/>
    </row>
    <row r="3519" spans="28:31" x14ac:dyDescent="0.2">
      <c r="AB3519" s="155"/>
      <c r="AD3519" s="155"/>
      <c r="AE3519" s="155"/>
    </row>
    <row r="3520" spans="28:31" x14ac:dyDescent="0.2">
      <c r="AB3520" s="155"/>
      <c r="AD3520" s="155"/>
      <c r="AE3520" s="155"/>
    </row>
    <row r="3521" spans="28:31" x14ac:dyDescent="0.2">
      <c r="AB3521" s="155"/>
      <c r="AD3521" s="155"/>
      <c r="AE3521" s="155"/>
    </row>
    <row r="3522" spans="28:31" x14ac:dyDescent="0.2">
      <c r="AB3522" s="155"/>
      <c r="AD3522" s="155"/>
      <c r="AE3522" s="155"/>
    </row>
    <row r="3523" spans="28:31" x14ac:dyDescent="0.2">
      <c r="AB3523" s="155"/>
      <c r="AD3523" s="155"/>
      <c r="AE3523" s="155"/>
    </row>
    <row r="3524" spans="28:31" x14ac:dyDescent="0.2">
      <c r="AB3524" s="155"/>
      <c r="AD3524" s="155"/>
      <c r="AE3524" s="155"/>
    </row>
    <row r="3525" spans="28:31" x14ac:dyDescent="0.2">
      <c r="AB3525" s="155"/>
      <c r="AD3525" s="155"/>
      <c r="AE3525" s="155"/>
    </row>
    <row r="3526" spans="28:31" x14ac:dyDescent="0.2">
      <c r="AB3526" s="155"/>
      <c r="AD3526" s="155"/>
      <c r="AE3526" s="155"/>
    </row>
    <row r="3527" spans="28:31" x14ac:dyDescent="0.2">
      <c r="AB3527" s="155"/>
      <c r="AD3527" s="155"/>
      <c r="AE3527" s="155"/>
    </row>
    <row r="3528" spans="28:31" x14ac:dyDescent="0.2">
      <c r="AB3528" s="155"/>
      <c r="AD3528" s="155"/>
      <c r="AE3528" s="155"/>
    </row>
    <row r="3529" spans="28:31" x14ac:dyDescent="0.2">
      <c r="AB3529" s="155"/>
      <c r="AD3529" s="155"/>
      <c r="AE3529" s="155"/>
    </row>
    <row r="3530" spans="28:31" x14ac:dyDescent="0.2">
      <c r="AB3530" s="155"/>
      <c r="AD3530" s="155"/>
      <c r="AE3530" s="155"/>
    </row>
    <row r="3531" spans="28:31" x14ac:dyDescent="0.2">
      <c r="AB3531" s="155"/>
      <c r="AD3531" s="155"/>
      <c r="AE3531" s="155"/>
    </row>
    <row r="3532" spans="28:31" x14ac:dyDescent="0.2">
      <c r="AB3532" s="155"/>
      <c r="AD3532" s="155"/>
      <c r="AE3532" s="155"/>
    </row>
    <row r="3533" spans="28:31" x14ac:dyDescent="0.2">
      <c r="AB3533" s="155"/>
      <c r="AD3533" s="155"/>
      <c r="AE3533" s="155"/>
    </row>
    <row r="3534" spans="28:31" x14ac:dyDescent="0.2">
      <c r="AB3534" s="155"/>
      <c r="AD3534" s="155"/>
      <c r="AE3534" s="155"/>
    </row>
    <row r="3535" spans="28:31" x14ac:dyDescent="0.2">
      <c r="AB3535" s="155"/>
      <c r="AD3535" s="155"/>
      <c r="AE3535" s="155"/>
    </row>
    <row r="3536" spans="28:31" x14ac:dyDescent="0.2">
      <c r="AB3536" s="155"/>
      <c r="AD3536" s="155"/>
      <c r="AE3536" s="15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4"/>
  <sheetViews>
    <sheetView showGridLines="0" tabSelected="1" topLeftCell="A17" workbookViewId="0">
      <selection activeCell="A13" sqref="A13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bestFit="1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1.6640625" style="129" bestFit="1" customWidth="1"/>
    <col min="14" max="14" width="9.33203125" style="129" bestFit="1" customWidth="1"/>
    <col min="15" max="15" width="7" style="129" bestFit="1" customWidth="1"/>
    <col min="16" max="16" width="9.33203125" style="129" bestFit="1" customWidth="1"/>
    <col min="17" max="17" width="8.1640625" style="129" hidden="1" customWidth="1" outlineLevel="1"/>
    <col min="18" max="18" width="9.33203125" style="129" hidden="1" customWidth="1" outlineLevel="1"/>
    <col min="19" max="19" width="13.33203125" style="129" customWidth="1" collapsed="1"/>
    <col min="20" max="20" width="10.5" style="129" bestFit="1" customWidth="1"/>
    <col min="21" max="21" width="11.6640625" style="129" bestFit="1" customWidth="1"/>
    <col min="22" max="22" width="16.5" style="129" bestFit="1" customWidth="1"/>
    <col min="23" max="23" width="10.5" style="129" bestFit="1" customWidth="1"/>
    <col min="24" max="24" width="11.6640625" style="129" bestFit="1" customWidth="1"/>
    <col min="25" max="26" width="20.1640625" style="129" bestFit="1" customWidth="1"/>
    <col min="27" max="27" width="20.1640625" style="129" customWidth="1"/>
    <col min="28" max="28" width="8.1640625" style="129" bestFit="1" customWidth="1"/>
    <col min="29" max="29" width="9.33203125" style="129" bestFit="1" customWidth="1"/>
    <col min="30" max="31" width="14.1640625" style="129" hidden="1" customWidth="1" outlineLevel="1"/>
    <col min="32" max="32" width="10.5" style="129" bestFit="1" customWidth="1" collapsed="1"/>
    <col min="33" max="33" width="9.83203125" style="129" customWidth="1"/>
    <col min="34" max="34" width="9.33203125" style="129"/>
    <col min="35" max="35" width="7" style="129" bestFit="1" customWidth="1"/>
    <col min="36" max="37" width="11.83203125" style="129" customWidth="1"/>
    <col min="38" max="38" width="9.33203125" style="129"/>
    <col min="39" max="39" width="10.5" style="129" bestFit="1" customWidth="1"/>
    <col min="40" max="16384" width="9.33203125" style="129"/>
  </cols>
  <sheetData>
    <row r="1" spans="1:39" outlineLevel="1" x14ac:dyDescent="0.2">
      <c r="E1" s="346" t="s">
        <v>116</v>
      </c>
      <c r="F1" s="362" t="s">
        <v>42</v>
      </c>
      <c r="N1" s="129" t="str">
        <f>_xll.qlInterpolation(,interpolator6M,_xll.ohFilter(E4:E22,M4:M22),_xll.ohFilter(L4:L22,M4:M22))</f>
        <v>obj_0056b#0120</v>
      </c>
    </row>
    <row r="2" spans="1:39" ht="26.25" customHeight="1" x14ac:dyDescent="0.2">
      <c r="D2" s="156" t="str">
        <f>F1&amp;" Instruments"</f>
        <v>6M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6M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173</v>
      </c>
      <c r="N2" s="156" t="s">
        <v>150</v>
      </c>
      <c r="O2" s="156" t="s">
        <v>161</v>
      </c>
      <c r="P2" s="156" t="s">
        <v>164</v>
      </c>
      <c r="Q2" s="156" t="s">
        <v>165</v>
      </c>
      <c r="R2" s="156" t="s">
        <v>166</v>
      </c>
      <c r="S2" s="156" t="s">
        <v>162</v>
      </c>
      <c r="T2" s="156" t="s">
        <v>102</v>
      </c>
      <c r="U2" s="156" t="s">
        <v>174</v>
      </c>
      <c r="V2" s="156" t="s">
        <v>163</v>
      </c>
      <c r="W2" s="156" t="s">
        <v>102</v>
      </c>
      <c r="X2" s="156" t="s">
        <v>174</v>
      </c>
      <c r="Y2" s="129">
        <f>SUM(_xll.ohFilter(Y3:Y9,X3:X9))</f>
        <v>455</v>
      </c>
      <c r="Z2" s="156" t="s">
        <v>117</v>
      </c>
      <c r="AA2" s="156" t="s">
        <v>118</v>
      </c>
      <c r="AB2" s="156" t="s">
        <v>143</v>
      </c>
      <c r="AC2" s="156" t="s">
        <v>150</v>
      </c>
      <c r="AD2" s="156" t="s">
        <v>144</v>
      </c>
      <c r="AE2" s="156" t="s">
        <v>145</v>
      </c>
      <c r="AF2" s="156" t="s">
        <v>146</v>
      </c>
      <c r="AG2" s="156" t="s">
        <v>160</v>
      </c>
      <c r="AJ2" s="156" t="s">
        <v>104</v>
      </c>
      <c r="AK2" s="156" t="s">
        <v>105</v>
      </c>
    </row>
    <row r="3" spans="1:39" ht="11.25" customHeight="1" x14ac:dyDescent="0.2">
      <c r="A3" s="129">
        <v>0</v>
      </c>
      <c r="B3" s="129" t="s">
        <v>37</v>
      </c>
      <c r="C3" s="129">
        <f>A3+SUBSTITUTE($F$1,"M","")</f>
        <v>6</v>
      </c>
      <c r="D3" s="356" t="str">
        <f>Currency&amp;A3&amp;B3&amp;C3&amp;"F"</f>
        <v>EUR0x6F</v>
      </c>
      <c r="E3" s="357">
        <f>SettlementDate</f>
        <v>42110</v>
      </c>
      <c r="F3" s="357">
        <f>_xll.qlCalendarAdvance(Calendar,E3,$F$1,"mf",,Trigger)</f>
        <v>42293</v>
      </c>
      <c r="G3" s="164">
        <f>_xll.qlDayCounterYearFraction(DayCounter,E3,F3,,,Trigger)</f>
        <v>0.5083333333333333</v>
      </c>
      <c r="H3" s="358">
        <f>L3+K3</f>
        <v>7.2084923220718813E-4</v>
      </c>
      <c r="I3" s="359">
        <f>_xll.qlYieldTSDiscount(Discounting,E3,,AllTriggers)</f>
        <v>1</v>
      </c>
      <c r="J3" s="359">
        <f>_xll.qlYieldTSDiscount(Discounting,F3,,AllTriggers)</f>
        <v>1.0006455992998595</v>
      </c>
      <c r="K3" s="358">
        <f t="shared" ref="K3" si="0">(I3/J3-1)/G3</f>
        <v>-1.2692120071766133E-3</v>
      </c>
      <c r="L3" s="358">
        <f>_xll.qlInterpolationInterpolate(B6Minterpolation,E3,TRUE)</f>
        <v>1.9900612393838014E-3</v>
      </c>
      <c r="M3" s="345"/>
      <c r="N3" s="358">
        <f>_xll.qlInterpolationInterpolate($N$1,E3,TRUE)</f>
        <v>1.9900612393838014E-3</v>
      </c>
      <c r="O3" s="441">
        <f t="shared" ref="O3" si="1">(L3-N3)*10000</f>
        <v>0</v>
      </c>
      <c r="P3" s="442">
        <f t="shared" ref="P3" si="2">LN((1+H3*G3)/(1+K3*G3))</f>
        <v>1.0117555636249994E-3</v>
      </c>
      <c r="Q3" s="164">
        <f>_xll.qlDayCounterYearFraction(DayCounter,SettlementDate,E3,,,Trigger)</f>
        <v>0</v>
      </c>
      <c r="R3" s="442">
        <f>_xll.qlDayCounterYearFraction(DayCounter,SettlementDate,F3,,,Trigger)</f>
        <v>0.5083333333333333</v>
      </c>
      <c r="S3" s="442">
        <f>$AJ$5*(R3-Q3)+1/2*$AJ$4*(R3^2-Q3^2)</f>
        <v>1.0447751789773867E-3</v>
      </c>
      <c r="T3" s="443">
        <f t="shared" ref="T3" si="3">P3-S3</f>
        <v>-3.3019615352387335E-5</v>
      </c>
      <c r="U3" s="436" t="b">
        <v>0</v>
      </c>
      <c r="V3" s="442">
        <f>$AK$5*(R3-Q3)+1/2*$AK$4*(R3^2-Q3^2)+1/3*$AK$3*(R3^3-Q3^3)</f>
        <v>1.0346646997353144E-3</v>
      </c>
      <c r="W3" s="443">
        <f>(P3-V3)*Y3/$Y$2</f>
        <v>-9.2140041938190271E-6</v>
      </c>
      <c r="X3" s="436" t="b">
        <v>0</v>
      </c>
      <c r="Y3" s="130">
        <f>($F$3-$E$3)-(E3-SettlementDate)</f>
        <v>183</v>
      </c>
      <c r="Z3" s="178">
        <f>E4</f>
        <v>42110</v>
      </c>
      <c r="AA3" s="388">
        <f>_xll.qlCalendarAdvance(Calendar,Z3,$F$1,"mf",,Trigger)</f>
        <v>42293</v>
      </c>
      <c r="AB3" s="389">
        <f>_xll.qlDayCounterYearFraction(DayCounter,Z3,AA3,,,Trigger)</f>
        <v>0.5083333333333333</v>
      </c>
      <c r="AC3" s="347">
        <f>_xll.qlInterpolationInterpolate(B6Minterpolation,Z3,TRUE)</f>
        <v>1.9900612393838014E-3</v>
      </c>
      <c r="AD3" s="180">
        <f>_xll.qlYieldTSDiscount(Discounting,Z3,,AllTriggers)</f>
        <v>1</v>
      </c>
      <c r="AE3" s="180">
        <f>_xll.qlYieldTSDiscount(Discounting,AA3,,AllTriggers)</f>
        <v>1.0006455992998595</v>
      </c>
      <c r="AF3" s="194">
        <f>(AD3/AE3-1)/AB3</f>
        <v>-1.2692120071766133E-3</v>
      </c>
      <c r="AG3" s="347">
        <f>LN((1+(AC3+AF3)*AB3)/(1+AF3*AB3))</f>
        <v>1.0117555636249994E-3</v>
      </c>
      <c r="AI3" s="432" t="s">
        <v>171</v>
      </c>
      <c r="AJ3" s="439"/>
      <c r="AK3" s="440">
        <v>-9.2014114137726333E-5</v>
      </c>
      <c r="AL3" s="439"/>
      <c r="AM3" s="440">
        <v>-5.6287491600159976E-4</v>
      </c>
    </row>
    <row r="4" spans="1:39" ht="11.25" customHeight="1" x14ac:dyDescent="0.2">
      <c r="A4" s="129">
        <v>0</v>
      </c>
      <c r="B4" s="129" t="s">
        <v>37</v>
      </c>
      <c r="C4" s="384" t="str">
        <f>SUBSTITUTE(F1,"M","")</f>
        <v>6</v>
      </c>
      <c r="D4" s="356" t="str">
        <f>PROPER(Currency&amp;IborType)&amp;F1&amp;"LastFixing"&amp;QuoteSuffix</f>
        <v>Euribor6MLastFixing_Quote</v>
      </c>
      <c r="E4" s="357">
        <f>_xll.qlCalendarAdvance(Calendar,_xll.qlLastFixingQuoteReferenceDate(D4),_xll.qlInterestRateIndexFixingDays(PROPER(Currency)&amp;IborType&amp;$F$1)&amp;"D","f",,LastFixingsTrigger)</f>
        <v>42110</v>
      </c>
      <c r="F4" s="357">
        <f>_xll.qlCalendarAdvance(Calendar,E4,$F$1,"mf",,Trigger)</f>
        <v>42293</v>
      </c>
      <c r="G4" s="164">
        <f>_xll.qlDayCounterYearFraction(DayCounter,E4,F4,,,Trigger)</f>
        <v>0.5083333333333333</v>
      </c>
      <c r="H4" s="358">
        <f>_xll.qlQuoteValue(D4,LastFixingsTrigger)</f>
        <v>7.5999999999999993E-4</v>
      </c>
      <c r="I4" s="359">
        <f>_xll.qlYieldTSDiscount(Discounting,E4,,AllTriggers)</f>
        <v>1</v>
      </c>
      <c r="J4" s="359">
        <f>_xll.qlYieldTSDiscount(Discounting,F4,,AllTriggers)</f>
        <v>1.0006455992998595</v>
      </c>
      <c r="K4" s="358">
        <f>(I4/J4-1)/G4</f>
        <v>-1.2692120071766133E-3</v>
      </c>
      <c r="L4" s="358">
        <f>H4-K4</f>
        <v>2.0292120071766133E-3</v>
      </c>
      <c r="M4" s="345" t="b">
        <v>0</v>
      </c>
      <c r="N4" s="351">
        <f>_xll.qlInterpolationInterpolate($N$1,E4,TRUE)</f>
        <v>1.9900612393838014E-3</v>
      </c>
      <c r="O4" s="352">
        <f>(L4-N4)*10000</f>
        <v>0.39150767792811914</v>
      </c>
      <c r="P4" s="386">
        <f t="shared" ref="P4:P6" si="4">LN((1+H4*G4)/(1+K4*G4))</f>
        <v>1.0316497161093098E-3</v>
      </c>
      <c r="Q4" s="164">
        <f>_xll.qlDayCounterYearFraction(DayCounter,SettlementDate,E4,,,Trigger)</f>
        <v>0</v>
      </c>
      <c r="R4" s="164">
        <f>_xll.qlDayCounterYearFraction(DayCounter,SettlementDate,F4,,,Trigger)</f>
        <v>0.5083333333333333</v>
      </c>
      <c r="S4" s="386">
        <f>$AJ$5*(R4-Q4)+1/2*$AJ$4*(R4^2-Q4^2)</f>
        <v>1.0447751789773867E-3</v>
      </c>
      <c r="T4" s="433"/>
      <c r="U4" s="456" t="b">
        <v>0</v>
      </c>
      <c r="V4" s="386">
        <f>$AK$5*(R4-Q4)+1/2*$AK$4*(R4^2-Q4^2)+1/3*$AK$3*(R4^3-Q4^3)</f>
        <v>1.0346646997353144E-3</v>
      </c>
      <c r="W4" s="433"/>
      <c r="X4" s="456" t="b">
        <v>0</v>
      </c>
      <c r="Y4" s="130"/>
      <c r="Z4" s="183">
        <f>_xll.qlCalendarAdvance(Calendar,Z3,"1D","f")</f>
        <v>42111</v>
      </c>
      <c r="AA4" s="390">
        <f>_xll.qlCalendarAdvance(Calendar,Z4,$F$1,"mf",,Trigger)</f>
        <v>42296</v>
      </c>
      <c r="AB4" s="391">
        <f>_xll.qlDayCounterYearFraction(DayCounter,Z4,AA4,,,Trigger)</f>
        <v>0.51388888888888884</v>
      </c>
      <c r="AC4" s="348">
        <f>_xll.qlInterpolationInterpolate(B6Minterpolation,Z4,TRUE)</f>
        <v>1.9903912545767158E-3</v>
      </c>
      <c r="AD4" s="184">
        <f>_xll.qlYieldTSDiscount(Discounting,Z4,,AllTriggers)</f>
        <v>1.000002261326409</v>
      </c>
      <c r="AE4" s="184">
        <f>_xll.qlYieldTSDiscount(Discounting,AA4,,AllTriggers)</f>
        <v>1.0006581056912296</v>
      </c>
      <c r="AF4" s="181">
        <f t="shared" ref="AF4:AF67" si="5">(AD4/AE4-1)/AB4</f>
        <v>-1.2753983359905521E-3</v>
      </c>
      <c r="AG4" s="348">
        <f t="shared" ref="AG4:AG67" si="6">LN((1+(AC4+AF4)*AB4)/(1+AF4*AB4))</f>
        <v>1.0229873425454082E-3</v>
      </c>
      <c r="AI4" s="432" t="s">
        <v>172</v>
      </c>
      <c r="AJ4" s="440">
        <v>1.2799348447594446E-4</v>
      </c>
      <c r="AK4" s="440">
        <v>3.0531863796092417E-4</v>
      </c>
      <c r="AL4" s="440">
        <v>2.100437954723899E-4</v>
      </c>
      <c r="AM4" s="440">
        <v>7.7976564735751847E-4</v>
      </c>
    </row>
    <row r="5" spans="1:39" ht="11.25" customHeight="1" x14ac:dyDescent="0.2">
      <c r="A5" s="129">
        <v>1</v>
      </c>
      <c r="B5" s="129" t="s">
        <v>37</v>
      </c>
      <c r="C5" s="129">
        <f>A5+SUBSTITUTE($F$1,"M","")</f>
        <v>7</v>
      </c>
      <c r="D5" s="444" t="str">
        <f t="shared" ref="D5:D22" si="7">Currency&amp;A5&amp;B5&amp;C5&amp;"F"&amp;QuoteSuffix</f>
        <v>EUR1x7F_Quote</v>
      </c>
      <c r="E5" s="178">
        <f>_xll.qlCalendarAdvance("target",$E$3,A5&amp;"M","mf",,Trigger)</f>
        <v>42142</v>
      </c>
      <c r="F5" s="178">
        <f>_xll.qlCalendarAdvance(Calendar,E5,$F$1,"mf",,Trigger)</f>
        <v>42326</v>
      </c>
      <c r="G5" s="179">
        <f>_xll.qlDayCounterYearFraction(DayCounter,E5,F5,,,Trigger)</f>
        <v>0.51111111111111107</v>
      </c>
      <c r="H5" s="194">
        <f>_xll.qlQuoteValue(D5,AllTriggers)</f>
        <v>6.7000000000000002E-4</v>
      </c>
      <c r="I5" s="180">
        <f>_xll.qlYieldTSDiscount(Discounting,E5,,AllTriggers)</f>
        <v>1.0000773393142086</v>
      </c>
      <c r="J5" s="180">
        <f>_xll.qlYieldTSDiscount(Discounting,F5,,AllTriggers)</f>
        <v>1.00078190803608</v>
      </c>
      <c r="K5" s="194">
        <f t="shared" ref="K5:K22" si="8">(I5/J5-1)/G5</f>
        <v>-1.3774269998125281E-3</v>
      </c>
      <c r="L5" s="194">
        <f t="shared" ref="L5:L22" si="9">H5-K5</f>
        <v>2.0474269998125281E-3</v>
      </c>
      <c r="M5" s="445" t="b">
        <v>1</v>
      </c>
      <c r="N5" s="194">
        <f>_xll.qlInterpolationInterpolate($N$1,E5,TRUE)</f>
        <v>2.0474269998125281E-3</v>
      </c>
      <c r="O5" s="446">
        <f t="shared" ref="O5:O22" si="10">(L5-N5)*10000</f>
        <v>0</v>
      </c>
      <c r="P5" s="447">
        <f t="shared" si="4"/>
        <v>1.0466520052960146E-3</v>
      </c>
      <c r="Q5" s="179">
        <f>_xll.qlDayCounterYearFraction(DayCounter,SettlementDate,E5,,,Trigger)</f>
        <v>8.8888888888888892E-2</v>
      </c>
      <c r="R5" s="447">
        <f>_xll.qlDayCounterYearFraction(DayCounter,SettlementDate,F5,,,Trigger)</f>
        <v>0.6</v>
      </c>
      <c r="S5" s="447">
        <f>$AJ$5*(R5-Q5)+1/2*$AJ$4*(R5^2-Q5^2)</f>
        <v>1.0563902051612254E-3</v>
      </c>
      <c r="T5" s="448">
        <f t="shared" ref="T5:T22" si="11">P5-S5</f>
        <v>-9.738199865210774E-6</v>
      </c>
      <c r="U5" s="449" t="b">
        <v>1</v>
      </c>
      <c r="V5" s="447">
        <f>$AK$5*(R5-Q5)+1/2*$AK$4*(R5^2-Q5^2)+1/3*$AK$3*(R5^3-Q5^3)</f>
        <v>1.0518539811620515E-3</v>
      </c>
      <c r="W5" s="448">
        <f t="shared" ref="W5:W9" si="12">(P5-V5)*Y5/$Y$2</f>
        <v>-1.7263700126847681E-6</v>
      </c>
      <c r="X5" s="449" t="b">
        <v>1</v>
      </c>
      <c r="Y5" s="130">
        <f>($F$3-$E$3)-(E5-SettlementDate)</f>
        <v>151</v>
      </c>
      <c r="Z5" s="183">
        <f>_xll.qlCalendarAdvance(Calendar,Z4,"1D","f")</f>
        <v>42114</v>
      </c>
      <c r="AA5" s="390">
        <f>_xll.qlCalendarAdvance(Calendar,Z5,$F$1,"mf",,Trigger)</f>
        <v>42297</v>
      </c>
      <c r="AB5" s="391">
        <f>_xll.qlDayCounterYearFraction(DayCounter,Z5,AA5,,,Trigger)</f>
        <v>0.5083333333333333</v>
      </c>
      <c r="AC5" s="348">
        <f>_xll.qlInterpolationInterpolate(B6Minterpolation,Z5,TRUE)</f>
        <v>1.9921991342486327E-3</v>
      </c>
      <c r="AD5" s="184">
        <f>_xll.qlYieldTSDiscount(Discounting,Z5,,AllTriggers)</f>
        <v>1.0000091353728071</v>
      </c>
      <c r="AE5" s="184">
        <f>_xll.qlYieldTSDiscount(Discounting,AA5,,AllTriggers)</f>
        <v>1.0006622777809444</v>
      </c>
      <c r="AF5" s="181">
        <f t="shared" si="5"/>
        <v>-1.2840199332176021E-3</v>
      </c>
      <c r="AG5" s="348">
        <f t="shared" si="6"/>
        <v>1.0128495533246601E-3</v>
      </c>
      <c r="AI5" s="432" t="s">
        <v>35</v>
      </c>
      <c r="AJ5" s="440">
        <v>2.0227637567495726E-3</v>
      </c>
      <c r="AK5" s="440">
        <v>1.9657297137733371E-3</v>
      </c>
      <c r="AL5" s="440">
        <v>1.9718017211160666E-3</v>
      </c>
      <c r="AM5" s="440">
        <v>1.8559428991185326E-3</v>
      </c>
    </row>
    <row r="6" spans="1:39" ht="11.25" customHeight="1" x14ac:dyDescent="0.2">
      <c r="A6" s="129">
        <v>2</v>
      </c>
      <c r="B6" s="129" t="s">
        <v>37</v>
      </c>
      <c r="C6" s="129">
        <f t="shared" ref="C6:C22" si="13">A6+SUBSTITUTE($F$1,"M","")</f>
        <v>8</v>
      </c>
      <c r="D6" s="360" t="str">
        <f t="shared" si="7"/>
        <v>EUR2x8F_Quote</v>
      </c>
      <c r="E6" s="183">
        <f>_xll.qlCalendarAdvance("target",$E$3,A6&amp;"M","mf",,Trigger)</f>
        <v>42171</v>
      </c>
      <c r="F6" s="183">
        <f>_xll.qlCalendarAdvance(Calendar,E6,$F$1,"mf",,Trigger)</f>
        <v>42354</v>
      </c>
      <c r="G6" s="169">
        <f>_xll.qlDayCounterYearFraction(DayCounter,E6,F6,,,Trigger)</f>
        <v>0.5083333333333333</v>
      </c>
      <c r="H6" s="181">
        <f>_xll.qlQuoteValue(D6,AllTriggers)</f>
        <v>6.4000000000000005E-4</v>
      </c>
      <c r="I6" s="184">
        <f>_xll.qlYieldTSDiscount(Discounting,E6,,AllTriggers)</f>
        <v>1.0001605222997145</v>
      </c>
      <c r="J6" s="184">
        <f>_xll.qlYieldTSDiscount(Discounting,F6,,AllTriggers)</f>
        <v>1.000905085145986</v>
      </c>
      <c r="K6" s="181">
        <f t="shared" si="8"/>
        <v>-1.463389304022006E-3</v>
      </c>
      <c r="L6" s="181">
        <f t="shared" si="9"/>
        <v>2.1033893040220061E-3</v>
      </c>
      <c r="M6" s="99" t="b">
        <v>1</v>
      </c>
      <c r="N6" s="181">
        <f>_xll.qlInterpolationInterpolate($N$1,E6,TRUE)</f>
        <v>2.1033893040220061E-3</v>
      </c>
      <c r="O6" s="354">
        <f t="shared" si="10"/>
        <v>0</v>
      </c>
      <c r="P6" s="349">
        <f t="shared" si="4"/>
        <v>1.0694468099307715E-3</v>
      </c>
      <c r="Q6" s="169">
        <f>_xll.qlDayCounterYearFraction(DayCounter,SettlementDate,E6,,,Trigger)</f>
        <v>0.16944444444444445</v>
      </c>
      <c r="R6" s="349">
        <f>_xll.qlDayCounterYearFraction(DayCounter,SettlementDate,F6,,,Trigger)</f>
        <v>0.67777777777777781</v>
      </c>
      <c r="S6" s="349">
        <f>$AJ$5*(R6-Q6)+1/2*$AJ$4*(R6^2-Q6^2)</f>
        <v>1.0557998029527337E-3</v>
      </c>
      <c r="T6" s="434">
        <f t="shared" si="11"/>
        <v>1.3647006978037817E-5</v>
      </c>
      <c r="U6" s="437" t="b">
        <v>1</v>
      </c>
      <c r="V6" s="349">
        <f>$AK$5*(R6-Q6)+1/2*$AK$4*(R6^2-Q6^2)+1/3*$AK$3*(R6^3-Q6^3)</f>
        <v>1.0555913208838842E-3</v>
      </c>
      <c r="W6" s="434">
        <f t="shared" si="12"/>
        <v>3.7150981620225304E-6</v>
      </c>
      <c r="X6" s="437" t="b">
        <v>1</v>
      </c>
      <c r="Y6" s="130">
        <f>($F$3-$E$3)-(E6-SettlementDate)</f>
        <v>122</v>
      </c>
      <c r="Z6" s="183">
        <f>_xll.qlCalendarAdvance(Calendar,Z5,"1D","f")</f>
        <v>42115</v>
      </c>
      <c r="AA6" s="390">
        <f>_xll.qlCalendarAdvance(Calendar,Z6,$F$1,"mf",,Trigger)</f>
        <v>42298</v>
      </c>
      <c r="AB6" s="391">
        <f>_xll.qlDayCounterYearFraction(DayCounter,Z6,AA6,,,Trigger)</f>
        <v>0.5083333333333333</v>
      </c>
      <c r="AC6" s="348">
        <f>_xll.qlInterpolationInterpolate(B6Minterpolation,Z6,TRUE)</f>
        <v>1.9930593935239345E-3</v>
      </c>
      <c r="AD6" s="184">
        <f>_xll.qlYieldTSDiscount(Discounting,Z6,,AllTriggers)</f>
        <v>1.0000114867565753</v>
      </c>
      <c r="AE6" s="184">
        <f>_xll.qlYieldTSDiscount(Discounting,AA6,,AllTriggers)</f>
        <v>1.0006664515040946</v>
      </c>
      <c r="AF6" s="181">
        <f t="shared" si="5"/>
        <v>-1.2875971199845125E-3</v>
      </c>
      <c r="AG6" s="348">
        <f t="shared" si="6"/>
        <v>1.01328853716396E-3</v>
      </c>
      <c r="AI6" s="432" t="s">
        <v>36</v>
      </c>
      <c r="AJ6" s="455">
        <f>SUMSQ(_xll.ohFilter(T3:T22,$U$3:$U$22))</f>
        <v>2.9680917131608924E-10</v>
      </c>
      <c r="AK6" s="455">
        <f>SUMSQ(_xll.ohFilter(W3:W22,$X$3:$X$22))</f>
        <v>1.9150740372449409E-11</v>
      </c>
      <c r="AL6" s="455">
        <v>5.9621029367736986E-10</v>
      </c>
      <c r="AM6" s="455">
        <v>1.889502580465139E-11</v>
      </c>
    </row>
    <row r="7" spans="1:39" ht="11.25" customHeight="1" x14ac:dyDescent="0.2">
      <c r="A7" s="129">
        <f>A6+1</f>
        <v>3</v>
      </c>
      <c r="B7" s="129" t="s">
        <v>37</v>
      </c>
      <c r="C7" s="129">
        <f t="shared" si="13"/>
        <v>9</v>
      </c>
      <c r="D7" s="360" t="str">
        <f t="shared" si="7"/>
        <v>EUR3x9F_Quote</v>
      </c>
      <c r="E7" s="183">
        <f>_xll.qlCalendarAdvance("target",$E$3,A7&amp;"M","mf",,Trigger)</f>
        <v>42201</v>
      </c>
      <c r="F7" s="183">
        <f>_xll.qlCalendarAdvance(Calendar,E7,$F$1,"mf",,Trigger)</f>
        <v>42387</v>
      </c>
      <c r="G7" s="169">
        <f>_xll.qlDayCounterYearFraction(DayCounter,E7,F7,,,Trigger)</f>
        <v>0.51666666666666672</v>
      </c>
      <c r="H7" s="181">
        <f>_xll.qlQuoteValue(D7,AllTriggers)</f>
        <v>5.9999999999999995E-4</v>
      </c>
      <c r="I7" s="184">
        <f>_xll.qlYieldTSDiscount(Discounting,E7,,AllTriggers)</f>
        <v>1.0002739540974652</v>
      </c>
      <c r="J7" s="184">
        <f>_xll.qlYieldTSDiscount(Discounting,F7,,AllTriggers)</f>
        <v>1.0010443880817568</v>
      </c>
      <c r="K7" s="181">
        <f t="shared" si="8"/>
        <v>-1.4896068226296023E-3</v>
      </c>
      <c r="L7" s="181">
        <f t="shared" si="9"/>
        <v>2.0896068226296024E-3</v>
      </c>
      <c r="M7" s="99" t="b">
        <v>1</v>
      </c>
      <c r="N7" s="181">
        <f>_xll.qlInterpolationInterpolate($N$1,E7,TRUE)</f>
        <v>2.0896068226296024E-3</v>
      </c>
      <c r="O7" s="354">
        <f t="shared" si="10"/>
        <v>0</v>
      </c>
      <c r="P7" s="349">
        <f t="shared" ref="P7:P22" si="14">LN((1+H7*G7)/(1+K7*G7))</f>
        <v>1.0798784689823755E-3</v>
      </c>
      <c r="Q7" s="169">
        <f>_xll.qlDayCounterYearFraction(DayCounter,SettlementDate,E7,,,Trigger)</f>
        <v>0.25277777777777777</v>
      </c>
      <c r="R7" s="349">
        <f>_xll.qlDayCounterYearFraction(DayCounter,SettlementDate,F7,,,Trigger)</f>
        <v>0.76944444444444449</v>
      </c>
      <c r="S7" s="349">
        <f>$AJ$5*(R7-Q7)+1/2*$AJ$4*(R7^2-Q7^2)</f>
        <v>1.0788943685544454E-3</v>
      </c>
      <c r="T7" s="434">
        <f t="shared" si="11"/>
        <v>9.8410042793017558E-7</v>
      </c>
      <c r="U7" s="437" t="b">
        <v>1</v>
      </c>
      <c r="V7" s="349">
        <f>$AK$5*(R7-Q7)+1/2*$AK$4*(R7^2-Q7^2)+1/3*$AK$3*(R7^3-Q7^3)</f>
        <v>1.0827769417787753E-3</v>
      </c>
      <c r="W7" s="434">
        <f t="shared" si="12"/>
        <v>-5.8606482916215344E-7</v>
      </c>
      <c r="X7" s="437" t="b">
        <v>1</v>
      </c>
      <c r="Y7" s="130">
        <f>($F$3-$E$3)-(E7-SettlementDate)</f>
        <v>92</v>
      </c>
      <c r="Z7" s="183">
        <f>_xll.qlCalendarAdvance(Calendar,Z6,"1D","f")</f>
        <v>42116</v>
      </c>
      <c r="AA7" s="390">
        <f>_xll.qlCalendarAdvance(Calendar,Z7,$F$1,"mf",,Trigger)</f>
        <v>42299</v>
      </c>
      <c r="AB7" s="391">
        <f>_xll.qlDayCounterYearFraction(DayCounter,Z7,AA7,,,Trigger)</f>
        <v>0.5083333333333333</v>
      </c>
      <c r="AC7" s="348">
        <f>_xll.qlInterpolationInterpolate(B6Minterpolation,Z7,TRUE)</f>
        <v>1.9940409798350363E-3</v>
      </c>
      <c r="AD7" s="184">
        <f>_xll.qlYieldTSDiscount(Discounting,Z7,,AllTriggers)</f>
        <v>1.0000138831643322</v>
      </c>
      <c r="AE7" s="184">
        <f>_xll.qlYieldTSDiscount(Discounting,AA7,,AllTriggers)</f>
        <v>1.0006706268529633</v>
      </c>
      <c r="AF7" s="181">
        <f t="shared" si="5"/>
        <v>-1.2910889583819579E-3</v>
      </c>
      <c r="AG7" s="348">
        <f t="shared" si="6"/>
        <v>1.0137891309685066E-3</v>
      </c>
    </row>
    <row r="8" spans="1:39" ht="11.25" customHeight="1" x14ac:dyDescent="0.2">
      <c r="A8" s="129">
        <f t="shared" ref="A8:A22" si="15">A7+1</f>
        <v>4</v>
      </c>
      <c r="B8" s="129" t="s">
        <v>37</v>
      </c>
      <c r="C8" s="129">
        <f t="shared" si="13"/>
        <v>10</v>
      </c>
      <c r="D8" s="360" t="str">
        <f t="shared" si="7"/>
        <v>EUR4x10F_Quote</v>
      </c>
      <c r="E8" s="183">
        <f>_xll.qlCalendarAdvance("target",$E$3,A8&amp;"M","mf",,Trigger)</f>
        <v>42233</v>
      </c>
      <c r="F8" s="183">
        <f>_xll.qlCalendarAdvance(Calendar,E8,$F$1,"mf",,Trigger)</f>
        <v>42417</v>
      </c>
      <c r="G8" s="169">
        <f>_xll.qlDayCounterYearFraction(DayCounter,E8,F8,,,Trigger)</f>
        <v>0.51111111111111107</v>
      </c>
      <c r="H8" s="181">
        <f>_xll.qlQuoteValue(D8,AllTriggers)</f>
        <v>5.5999999999999995E-4</v>
      </c>
      <c r="I8" s="184">
        <f>_xll.qlYieldTSDiscount(Discounting,E8,,AllTriggers)</f>
        <v>1.0004030503323569</v>
      </c>
      <c r="J8" s="184">
        <f>_xll.qlYieldTSDiscount(Discounting,F8,,AllTriggers)</f>
        <v>1.0011877531172111</v>
      </c>
      <c r="K8" s="181">
        <f t="shared" si="8"/>
        <v>-1.5334666774971409E-3</v>
      </c>
      <c r="L8" s="181">
        <f t="shared" si="9"/>
        <v>2.0934666774971408E-3</v>
      </c>
      <c r="M8" s="99" t="b">
        <v>0</v>
      </c>
      <c r="N8" s="181">
        <f>_xll.qlInterpolationInterpolate($N$1,E8,TRUE)</f>
        <v>2.0807928026418819E-3</v>
      </c>
      <c r="O8" s="354">
        <f t="shared" si="10"/>
        <v>0.12673874855258921</v>
      </c>
      <c r="P8" s="349">
        <f t="shared" si="14"/>
        <v>1.0702604355903459E-3</v>
      </c>
      <c r="Q8" s="169">
        <f>_xll.qlDayCounterYearFraction(DayCounter,SettlementDate,E8,,,Trigger)</f>
        <v>0.34166666666666667</v>
      </c>
      <c r="R8" s="349">
        <f>_xll.qlDayCounterYearFraction(DayCounter,SettlementDate,F8,,,Trigger)</f>
        <v>0.85277777777777775</v>
      </c>
      <c r="S8" s="349">
        <f>$AJ$5*(R8-Q8)+1/2*$AJ$4*(R8^2-Q8^2)</f>
        <v>1.0729266473222224E-3</v>
      </c>
      <c r="T8" s="434">
        <f t="shared" si="11"/>
        <v>-2.6662117318765159E-6</v>
      </c>
      <c r="U8" s="437" t="b">
        <v>1</v>
      </c>
      <c r="V8" s="349">
        <f>$AK$5*(R8-Q8)+1/2*$AK$4*(R8^2-Q8^2)+1/3*$AK$3*(R8^3-Q8^3)</f>
        <v>1.080105865415995E-3</v>
      </c>
      <c r="W8" s="434">
        <f t="shared" si="12"/>
        <v>-1.2982984385471354E-6</v>
      </c>
      <c r="X8" s="437" t="b">
        <v>1</v>
      </c>
      <c r="Y8" s="130">
        <f>($F$3-$E$3)-(E8-SettlementDate)</f>
        <v>60</v>
      </c>
      <c r="Z8" s="183">
        <f>_xll.qlCalendarAdvance(Calendar,Z7,"1D","f")</f>
        <v>42117</v>
      </c>
      <c r="AA8" s="390">
        <f>_xll.qlCalendarAdvance(Calendar,Z8,$F$1,"mf",,Trigger)</f>
        <v>42300</v>
      </c>
      <c r="AB8" s="391">
        <f>_xll.qlDayCounterYearFraction(DayCounter,Z8,AA8,,,Trigger)</f>
        <v>0.5083333333333333</v>
      </c>
      <c r="AC8" s="348">
        <f>_xll.qlInterpolationInterpolate(B6Minterpolation,Z8,TRUE)</f>
        <v>1.9951393995880206E-3</v>
      </c>
      <c r="AD8" s="184">
        <f>_xll.qlYieldTSDiscount(Discounting,Z8,,AllTriggers)</f>
        <v>1.0000163336001151</v>
      </c>
      <c r="AE8" s="184">
        <f>_xll.qlYieldTSDiscount(Discounting,AA8,,AllTriggers)</f>
        <v>1.0006748038198339</v>
      </c>
      <c r="AF8" s="181">
        <f t="shared" si="5"/>
        <v>-1.2944777333866108E-3</v>
      </c>
      <c r="AG8" s="348">
        <f t="shared" si="6"/>
        <v>1.0143490423427776E-3</v>
      </c>
    </row>
    <row r="9" spans="1:39" ht="11.25" customHeight="1" x14ac:dyDescent="0.2">
      <c r="A9" s="129">
        <f t="shared" si="15"/>
        <v>5</v>
      </c>
      <c r="B9" s="129" t="s">
        <v>37</v>
      </c>
      <c r="C9" s="129">
        <f t="shared" si="13"/>
        <v>11</v>
      </c>
      <c r="D9" s="360" t="str">
        <f t="shared" si="7"/>
        <v>EUR5x11F_Quote</v>
      </c>
      <c r="E9" s="183">
        <f>_xll.qlCalendarAdvance("target",$E$3,A9&amp;"M","mf",,Trigger)</f>
        <v>42263</v>
      </c>
      <c r="F9" s="183">
        <f>_xll.qlCalendarAdvance(Calendar,E9,$F$1,"mf",,Trigger)</f>
        <v>42445</v>
      </c>
      <c r="G9" s="169">
        <f>_xll.qlDayCounterYearFraction(DayCounter,E9,F9,,,Trigger)</f>
        <v>0.50555555555555554</v>
      </c>
      <c r="H9" s="181">
        <f>_xll.qlQuoteValue(D9,AllTriggers)</f>
        <v>5.4000000000000001E-4</v>
      </c>
      <c r="I9" s="184">
        <f>_xll.qlYieldTSDiscount(Discounting,E9,,AllTriggers)</f>
        <v>1.0005255957935155</v>
      </c>
      <c r="J9" s="184">
        <f>_xll.qlYieldTSDiscount(Discounting,F9,,AllTriggers)</f>
        <v>1.0013205744627667</v>
      </c>
      <c r="K9" s="181">
        <f t="shared" si="8"/>
        <v>-1.5704114346008144E-3</v>
      </c>
      <c r="L9" s="181">
        <f t="shared" si="9"/>
        <v>2.1104114346008145E-3</v>
      </c>
      <c r="M9" s="99" t="b">
        <v>0</v>
      </c>
      <c r="N9" s="181">
        <f>_xll.qlInterpolationInterpolate($N$1,E9,TRUE)</f>
        <v>2.0932831575526186E-3</v>
      </c>
      <c r="O9" s="354">
        <f t="shared" si="10"/>
        <v>0.1712827704819595</v>
      </c>
      <c r="P9" s="349">
        <f t="shared" si="14"/>
        <v>1.0672082970632295E-3</v>
      </c>
      <c r="Q9" s="169">
        <f>_xll.qlDayCounterYearFraction(DayCounter,SettlementDate,E9,,,Trigger)</f>
        <v>0.42499999999999999</v>
      </c>
      <c r="R9" s="349">
        <f>_xll.qlDayCounterYearFraction(DayCounter,SettlementDate,F9,,,Trigger)</f>
        <v>0.93055555555555558</v>
      </c>
      <c r="S9" s="349">
        <f>$AJ$5*(R9-Q9)+1/2*$AJ$4*(R9^2-Q9^2)</f>
        <v>1.0664769753151214E-3</v>
      </c>
      <c r="T9" s="434">
        <f t="shared" si="11"/>
        <v>7.3132174810809983E-7</v>
      </c>
      <c r="U9" s="437" t="b">
        <v>1</v>
      </c>
      <c r="V9" s="349">
        <f>$AK$5*(R9-Q9)+1/2*$AK$4*(R9^2-Q9^2)+1/3*$AK$3*(R9^3-Q9^3)</f>
        <v>1.0760438636205989E-3</v>
      </c>
      <c r="W9" s="434">
        <f t="shared" si="12"/>
        <v>-5.8256482795842099E-7</v>
      </c>
      <c r="X9" s="437" t="b">
        <v>1</v>
      </c>
      <c r="Y9" s="130">
        <f>($F$3-$E$3)-(E9-SettlementDate)</f>
        <v>30</v>
      </c>
      <c r="Z9" s="183">
        <f>_xll.qlCalendarAdvance(Calendar,Z8,"1D","f")</f>
        <v>42118</v>
      </c>
      <c r="AA9" s="390">
        <f>_xll.qlCalendarAdvance(Calendar,Z9,$F$1,"mf",,Trigger)</f>
        <v>42303</v>
      </c>
      <c r="AB9" s="391">
        <f>_xll.qlDayCounterYearFraction(DayCounter,Z9,AA9,,,Trigger)</f>
        <v>0.51388888888888884</v>
      </c>
      <c r="AC9" s="348">
        <f>_xll.qlInterpolationInterpolate(B6Minterpolation,Z9,TRUE)</f>
        <v>1.9963501591889676E-3</v>
      </c>
      <c r="AD9" s="184">
        <f>_xll.qlYieldTSDiscount(Discounting,Z9,,AllTriggers)</f>
        <v>1.0000188437343314</v>
      </c>
      <c r="AE9" s="184">
        <f>_xll.qlYieldTSDiscount(Discounting,AA9,,AllTriggers)</f>
        <v>1.0006873443512865</v>
      </c>
      <c r="AF9" s="181">
        <f t="shared" si="5"/>
        <v>-1.2999725366463378E-3</v>
      </c>
      <c r="AG9" s="348">
        <f t="shared" si="6"/>
        <v>1.026061387374471E-3</v>
      </c>
    </row>
    <row r="10" spans="1:39" ht="11.25" customHeight="1" x14ac:dyDescent="0.2">
      <c r="A10" s="129">
        <f t="shared" si="15"/>
        <v>6</v>
      </c>
      <c r="B10" s="129" t="s">
        <v>37</v>
      </c>
      <c r="C10" s="129">
        <f t="shared" si="13"/>
        <v>12</v>
      </c>
      <c r="D10" s="360" t="str">
        <f t="shared" si="7"/>
        <v>EUR6x12F_Quote</v>
      </c>
      <c r="E10" s="183">
        <f>_xll.qlCalendarAdvance("target",$E$3,A10&amp;"M","mf",,Trigger)</f>
        <v>42293</v>
      </c>
      <c r="F10" s="183">
        <f>_xll.qlCalendarAdvance(Calendar,E10,$F$1,"mf",,Trigger)</f>
        <v>42478</v>
      </c>
      <c r="G10" s="169">
        <f>_xll.qlDayCounterYearFraction(DayCounter,E10,F10,,,Trigger)</f>
        <v>0.51388888888888884</v>
      </c>
      <c r="H10" s="181">
        <f>_xll.qlQuoteValue(D10,AllTriggers)</f>
        <v>5.0000000000000001E-4</v>
      </c>
      <c r="I10" s="184">
        <f>_xll.qlYieldTSDiscount(Discounting,E10,,AllTriggers)</f>
        <v>1.0006455992998595</v>
      </c>
      <c r="J10" s="184">
        <f>_xll.qlYieldTSDiscount(Discounting,F10,,AllTriggers)</f>
        <v>1.0014767112880343</v>
      </c>
      <c r="K10" s="181">
        <f t="shared" si="8"/>
        <v>-1.6149142419254606E-3</v>
      </c>
      <c r="L10" s="181">
        <f t="shared" si="9"/>
        <v>2.1149142419254604E-3</v>
      </c>
      <c r="M10" s="99" t="b">
        <v>1</v>
      </c>
      <c r="N10" s="181">
        <f>_xll.qlInterpolationInterpolate($N$1,E10,TRUE)</f>
        <v>2.1149142419254604E-3</v>
      </c>
      <c r="O10" s="354">
        <f t="shared" si="10"/>
        <v>0</v>
      </c>
      <c r="P10" s="349">
        <f t="shared" si="14"/>
        <v>1.0871424717334335E-3</v>
      </c>
      <c r="Q10" s="169">
        <f>_xll.qlDayCounterYearFraction(DayCounter,SettlementDate,E10,,,Trigger)</f>
        <v>0.5083333333333333</v>
      </c>
      <c r="R10" s="349">
        <f>_xll.qlDayCounterYearFraction(DayCounter,SettlementDate,F10,,,Trigger)</f>
        <v>1.0222222222222221</v>
      </c>
      <c r="S10" s="349">
        <f>$AJ$5*(R10-Q10)+1/2*$AJ$4*(R10^2-Q10^2)</f>
        <v>1.0898115287002255E-3</v>
      </c>
      <c r="T10" s="434">
        <f t="shared" si="11"/>
        <v>-2.6690569667920262E-6</v>
      </c>
      <c r="U10" s="437" t="b">
        <v>1</v>
      </c>
      <c r="V10" s="349">
        <f>$AK$5*(R10-Q10)+1/2*$AK$4*(R10^2-Q10^2)+1/3*$AK$3*(R10^3-Q10^3)</f>
        <v>1.1015055563605542E-3</v>
      </c>
      <c r="W10" s="434">
        <f t="shared" ref="W10:W22" si="16">P10-V10</f>
        <v>-1.4363084627120725E-5</v>
      </c>
      <c r="X10" s="437" t="b">
        <v>0</v>
      </c>
      <c r="Y10" s="130"/>
      <c r="Z10" s="183">
        <f>_xll.qlCalendarAdvance(Calendar,Z9,"1D","f")</f>
        <v>42121</v>
      </c>
      <c r="AA10" s="390">
        <f>_xll.qlCalendarAdvance(Calendar,Z10,$F$1,"mf",,Trigger)</f>
        <v>42304</v>
      </c>
      <c r="AB10" s="391">
        <f>_xll.qlDayCounterYearFraction(DayCounter,Z10,AA10,,,Trigger)</f>
        <v>0.5083333333333333</v>
      </c>
      <c r="AC10" s="348">
        <f>_xll.qlInterpolationInterpolate(B6Minterpolation,Z10,TRUE)</f>
        <v>2.0006115411404049E-3</v>
      </c>
      <c r="AD10" s="184">
        <f>_xll.qlYieldTSDiscount(Discounting,Z10,,AllTriggers)</f>
        <v>1.0000266423475335</v>
      </c>
      <c r="AE10" s="184">
        <f>_xll.qlYieldTSDiscount(Discounting,AA10,,AllTriggers)</f>
        <v>1.0006915277129937</v>
      </c>
      <c r="AF10" s="181">
        <f t="shared" si="5"/>
        <v>-1.3070673374549289E-3</v>
      </c>
      <c r="AG10" s="348">
        <f t="shared" si="6"/>
        <v>1.0171362303948751E-3</v>
      </c>
    </row>
    <row r="11" spans="1:39" ht="11.25" customHeight="1" x14ac:dyDescent="0.2">
      <c r="A11" s="450">
        <f t="shared" si="15"/>
        <v>7</v>
      </c>
      <c r="B11" s="451" t="s">
        <v>37</v>
      </c>
      <c r="C11" s="451">
        <f t="shared" si="13"/>
        <v>13</v>
      </c>
      <c r="D11" s="444" t="str">
        <f t="shared" si="7"/>
        <v>EUR7x13F_Quote</v>
      </c>
      <c r="E11" s="178">
        <f>_xll.qlCalendarAdvance("target",$E$3,A11&amp;"M","mf",,Trigger)</f>
        <v>42324</v>
      </c>
      <c r="F11" s="178">
        <f>_xll.qlCalendarAdvance(Calendar,E11,$F$1,"mf",,Trigger)</f>
        <v>42506</v>
      </c>
      <c r="G11" s="179">
        <f>_xll.qlDayCounterYearFraction(DayCounter,E11,F11,,,Trigger)</f>
        <v>0.50555555555555554</v>
      </c>
      <c r="H11" s="194">
        <f>_xll.qlQuoteValue(D11,AllTriggers)</f>
        <v>4.8000000000000001E-4</v>
      </c>
      <c r="I11" s="180">
        <f>_xll.qlYieldTSDiscount(Discounting,E11,,AllTriggers)</f>
        <v>1.0007733568878137</v>
      </c>
      <c r="J11" s="180">
        <f>_xll.qlYieldTSDiscount(Discounting,F11,,AllTriggers)</f>
        <v>1.0016089633108833</v>
      </c>
      <c r="K11" s="194">
        <f t="shared" si="8"/>
        <v>-1.6501927701851383E-3</v>
      </c>
      <c r="L11" s="194">
        <f t="shared" si="9"/>
        <v>2.1301927701851383E-3</v>
      </c>
      <c r="M11" s="445" t="b">
        <v>0</v>
      </c>
      <c r="N11" s="194">
        <f>_xll.qlInterpolationInterpolate($N$1,E11,TRUE)</f>
        <v>2.1371676465039842E-3</v>
      </c>
      <c r="O11" s="446">
        <f t="shared" si="10"/>
        <v>-6.9748763188459156E-2</v>
      </c>
      <c r="P11" s="447">
        <f t="shared" si="14"/>
        <v>1.0772495425609263E-3</v>
      </c>
      <c r="Q11" s="179">
        <f>_xll.qlDayCounterYearFraction(DayCounter,SettlementDate,E11,,,Trigger)</f>
        <v>0.59444444444444444</v>
      </c>
      <c r="R11" s="447">
        <f>_xll.qlDayCounterYearFraction(DayCounter,SettlementDate,F11,,,Trigger)</f>
        <v>1.1000000000000001</v>
      </c>
      <c r="S11" s="447">
        <f>$AJ$5*(R11-Q11)+1/2*$AJ$4*(R11^2-Q11^2)</f>
        <v>1.077441355443609E-3</v>
      </c>
      <c r="T11" s="448">
        <f t="shared" si="11"/>
        <v>-1.918128826826869E-7</v>
      </c>
      <c r="U11" s="449" t="b">
        <v>0</v>
      </c>
      <c r="V11" s="447">
        <f>$AK$5*(R11-Q11)+1/2*$AK$4*(R11^2-Q11^2)+1/3*$AK$3*(R11^3-Q11^3)</f>
        <v>1.0901781071277576E-3</v>
      </c>
      <c r="W11" s="448">
        <f t="shared" si="16"/>
        <v>-1.2928564566831377E-5</v>
      </c>
      <c r="X11" s="449" t="b">
        <v>0</v>
      </c>
      <c r="Y11" s="130"/>
      <c r="Z11" s="183">
        <f>_xll.qlCalendarAdvance(Calendar,Z10,"1D","f")</f>
        <v>42122</v>
      </c>
      <c r="AA11" s="390">
        <f>_xll.qlCalendarAdvance(Calendar,Z11,$F$1,"mf",,Trigger)</f>
        <v>42305</v>
      </c>
      <c r="AB11" s="391">
        <f>_xll.qlDayCounterYearFraction(DayCounter,Z11,AA11,,,Trigger)</f>
        <v>0.5083333333333333</v>
      </c>
      <c r="AC11" s="348">
        <f>_xll.qlInterpolationInterpolate(B6Minterpolation,Z11,TRUE)</f>
        <v>2.0022267241940205E-3</v>
      </c>
      <c r="AD11" s="184">
        <f>_xll.qlYieldTSDiscount(Discounting,Z11,,AllTriggers)</f>
        <v>1.00002929462748</v>
      </c>
      <c r="AE11" s="184">
        <f>_xll.qlYieldTSDiscount(Discounting,AA11,,AllTriggers)</f>
        <v>1.0006957126541174</v>
      </c>
      <c r="AF11" s="181">
        <f t="shared" si="5"/>
        <v>-1.3100748462610784E-3</v>
      </c>
      <c r="AG11" s="348">
        <f t="shared" si="6"/>
        <v>1.0179585485973592E-3</v>
      </c>
    </row>
    <row r="12" spans="1:39" ht="11.25" customHeight="1" x14ac:dyDescent="0.2">
      <c r="A12" s="452">
        <f t="shared" si="15"/>
        <v>8</v>
      </c>
      <c r="B12" s="131" t="s">
        <v>37</v>
      </c>
      <c r="C12" s="131">
        <f t="shared" si="13"/>
        <v>14</v>
      </c>
      <c r="D12" s="360" t="str">
        <f t="shared" si="7"/>
        <v>EUR8x14F_Quote</v>
      </c>
      <c r="E12" s="183">
        <f>_xll.qlCalendarAdvance("target",$E$3,A12&amp;"M","mf",,Trigger)</f>
        <v>42354</v>
      </c>
      <c r="F12" s="183">
        <f>_xll.qlCalendarAdvance(Calendar,E12,$F$1,"mf",,Trigger)</f>
        <v>42537</v>
      </c>
      <c r="G12" s="169">
        <f>_xll.qlDayCounterYearFraction(DayCounter,E12,F12,,,Trigger)</f>
        <v>0.5083333333333333</v>
      </c>
      <c r="H12" s="181">
        <f>_xll.qlQuoteValue(D12,AllTriggers)</f>
        <v>4.6000000000000001E-4</v>
      </c>
      <c r="I12" s="184">
        <f>_xll.qlYieldTSDiscount(Discounting,E12,,AllTriggers)</f>
        <v>1.000905085145986</v>
      </c>
      <c r="J12" s="184">
        <f>_xll.qlYieldTSDiscount(Discounting,F12,,AllTriggers)</f>
        <v>1.0017580419205372</v>
      </c>
      <c r="K12" s="181">
        <f t="shared" si="8"/>
        <v>-1.6750030276758135E-3</v>
      </c>
      <c r="L12" s="181">
        <f t="shared" si="9"/>
        <v>2.1350030276758134E-3</v>
      </c>
      <c r="M12" s="99" t="b">
        <v>0</v>
      </c>
      <c r="N12" s="181">
        <f>_xll.qlInterpolationInterpolate($N$1,E12,TRUE)</f>
        <v>2.155424681042867E-3</v>
      </c>
      <c r="O12" s="354">
        <f t="shared" si="10"/>
        <v>-0.20421653367053672</v>
      </c>
      <c r="P12" s="349">
        <f t="shared" si="14"/>
        <v>1.0856285688359384E-3</v>
      </c>
      <c r="Q12" s="169">
        <f>_xll.qlDayCounterYearFraction(DayCounter,SettlementDate,E12,,,Trigger)</f>
        <v>0.67777777777777781</v>
      </c>
      <c r="R12" s="349">
        <f>_xll.qlDayCounterYearFraction(DayCounter,SettlementDate,F12,,,Trigger)</f>
        <v>1.1861111111111111</v>
      </c>
      <c r="S12" s="349">
        <f>$AJ$5*(R12-Q12)+1/2*$AJ$4*(R12^2-Q12^2)</f>
        <v>1.0888736748787746E-3</v>
      </c>
      <c r="T12" s="434">
        <f t="shared" si="11"/>
        <v>-3.2451060428362148E-6</v>
      </c>
      <c r="U12" s="437" t="b">
        <v>0</v>
      </c>
      <c r="V12" s="349">
        <f>$AK$5*(R12-Q12)+1/2*$AK$4*(R12^2-Q12^2)+1/3*$AK$3*(R12^3-Q12^3)</f>
        <v>1.1022558636188712E-3</v>
      </c>
      <c r="W12" s="434">
        <f t="shared" si="16"/>
        <v>-1.6627294782932834E-5</v>
      </c>
      <c r="X12" s="437" t="b">
        <v>0</v>
      </c>
      <c r="Y12" s="130"/>
      <c r="Z12" s="183">
        <f>_xll.qlCalendarAdvance(Calendar,Z11,"1D","f")</f>
        <v>42123</v>
      </c>
      <c r="AA12" s="390">
        <f>_xll.qlCalendarAdvance(Calendar,Z12,$F$1,"mf",,Trigger)</f>
        <v>42306</v>
      </c>
      <c r="AB12" s="391">
        <f>_xll.qlDayCounterYearFraction(DayCounter,Z12,AA12,,,Trigger)</f>
        <v>0.5083333333333333</v>
      </c>
      <c r="AC12" s="348">
        <f>_xll.qlInterpolationInterpolate(B6Minterpolation,Z12,TRUE)</f>
        <v>2.0039317791260068E-3</v>
      </c>
      <c r="AD12" s="184">
        <f>_xll.qlYieldTSDiscount(Discounting,Z12,,AllTriggers)</f>
        <v>1.0000319549475987</v>
      </c>
      <c r="AE12" s="184">
        <f>_xll.qlYieldTSDiscount(Discounting,AA12,,AllTriggers)</f>
        <v>1.0006998992168656</v>
      </c>
      <c r="AF12" s="181">
        <f t="shared" si="5"/>
        <v>-1.3130697099652134E-3</v>
      </c>
      <c r="AG12" s="348">
        <f t="shared" si="6"/>
        <v>1.0188265309242796E-3</v>
      </c>
    </row>
    <row r="13" spans="1:39" ht="11.25" customHeight="1" x14ac:dyDescent="0.2">
      <c r="A13" s="452">
        <f t="shared" si="15"/>
        <v>9</v>
      </c>
      <c r="B13" s="131" t="s">
        <v>37</v>
      </c>
      <c r="C13" s="131">
        <f t="shared" si="13"/>
        <v>15</v>
      </c>
      <c r="D13" s="360" t="str">
        <f t="shared" si="7"/>
        <v>EUR9x15F_Quote</v>
      </c>
      <c r="E13" s="183">
        <f>_xll.qlCalendarAdvance("target",$E$3,A13&amp;"M","mf",,Trigger)</f>
        <v>42387</v>
      </c>
      <c r="F13" s="183">
        <f>_xll.qlCalendarAdvance(Calendar,E13,$F$1,"mf",,Trigger)</f>
        <v>42569</v>
      </c>
      <c r="G13" s="169">
        <f>_xll.qlDayCounterYearFraction(DayCounter,E13,F13,,,Trigger)</f>
        <v>0.50555555555555554</v>
      </c>
      <c r="H13" s="181">
        <f>_xll.qlQuoteValue(D13,AllTriggers)</f>
        <v>4.4999999999999999E-4</v>
      </c>
      <c r="I13" s="184">
        <f>_xll.qlYieldTSDiscount(Discounting,E13,,AllTriggers)</f>
        <v>1.0010443880817568</v>
      </c>
      <c r="J13" s="184">
        <f>_xll.qlYieldTSDiscount(Discounting,F13,,AllTriggers)</f>
        <v>1.0019155199939185</v>
      </c>
      <c r="K13" s="181">
        <f t="shared" si="8"/>
        <v>-1.71982371130715E-3</v>
      </c>
      <c r="L13" s="181">
        <f t="shared" si="9"/>
        <v>2.1698237113071499E-3</v>
      </c>
      <c r="M13" s="99" t="b">
        <v>1</v>
      </c>
      <c r="N13" s="181">
        <f>_xll.qlInterpolationInterpolate($N$1,E13,TRUE)</f>
        <v>2.1698237113071499E-3</v>
      </c>
      <c r="O13" s="354">
        <f t="shared" si="10"/>
        <v>0</v>
      </c>
      <c r="P13" s="349">
        <f t="shared" si="14"/>
        <v>1.0973187628051575E-3</v>
      </c>
      <c r="Q13" s="169">
        <f>_xll.qlDayCounterYearFraction(DayCounter,SettlementDate,E13,,,Trigger)</f>
        <v>0.76944444444444449</v>
      </c>
      <c r="R13" s="349">
        <f>_xll.qlDayCounterYearFraction(DayCounter,SettlementDate,F13,,,Trigger)</f>
        <v>1.2749999999999999</v>
      </c>
      <c r="S13" s="349">
        <f>$AJ$5*(R13-Q13)+1/2*$AJ$4*(R13^2-Q13^2)</f>
        <v>1.0887652234451606E-3</v>
      </c>
      <c r="T13" s="434">
        <f t="shared" si="11"/>
        <v>8.5535393599968888E-6</v>
      </c>
      <c r="U13" s="437" t="b">
        <v>0</v>
      </c>
      <c r="V13" s="349">
        <f>$AK$5*(R13-Q13)+1/2*$AK$4*(R13^2-Q13^2)+1/3*$AK$3*(R13^3-Q13^3)</f>
        <v>1.1019717519241464E-3</v>
      </c>
      <c r="W13" s="434">
        <f t="shared" si="16"/>
        <v>-4.6529891189889261E-6</v>
      </c>
      <c r="X13" s="437" t="b">
        <v>0</v>
      </c>
      <c r="Y13" s="130"/>
      <c r="Z13" s="183">
        <f>_xll.qlCalendarAdvance(Calendar,Z12,"1D","f")</f>
        <v>42124</v>
      </c>
      <c r="AA13" s="390">
        <f>_xll.qlCalendarAdvance(Calendar,Z13,$F$1,"mf",,Trigger)</f>
        <v>42307</v>
      </c>
      <c r="AB13" s="391">
        <f>_xll.qlDayCounterYearFraction(DayCounter,Z13,AA13,,,Trigger)</f>
        <v>0.5083333333333333</v>
      </c>
      <c r="AC13" s="348">
        <f>_xll.qlInterpolationInterpolate(B6Minterpolation,Z13,TRUE)</f>
        <v>2.005722212342445E-3</v>
      </c>
      <c r="AD13" s="184">
        <f>_xll.qlYieldTSDiscount(Discounting,Z13,,AllTriggers)</f>
        <v>1.0000346123091548</v>
      </c>
      <c r="AE13" s="184">
        <f>_xll.qlYieldTSDiscount(Discounting,AA13,,AllTriggers)</f>
        <v>1.0007040876431523</v>
      </c>
      <c r="AF13" s="181">
        <f t="shared" si="5"/>
        <v>-1.3160740255853194E-3</v>
      </c>
      <c r="AG13" s="348">
        <f t="shared" si="6"/>
        <v>1.0197379054614289E-3</v>
      </c>
    </row>
    <row r="14" spans="1:39" ht="11.25" customHeight="1" x14ac:dyDescent="0.2">
      <c r="A14" s="452">
        <f t="shared" si="15"/>
        <v>10</v>
      </c>
      <c r="B14" s="131" t="s">
        <v>37</v>
      </c>
      <c r="C14" s="131">
        <f t="shared" si="13"/>
        <v>16</v>
      </c>
      <c r="D14" s="360" t="str">
        <f t="shared" si="7"/>
        <v>EUR10x16F_Quote</v>
      </c>
      <c r="E14" s="183">
        <f>_xll.qlCalendarAdvance("target",$E$3,A14&amp;"M","mf",,Trigger)</f>
        <v>42416</v>
      </c>
      <c r="F14" s="183">
        <f>_xll.qlCalendarAdvance(Calendar,E14,$F$1,"mf",,Trigger)</f>
        <v>42598</v>
      </c>
      <c r="G14" s="169">
        <f>_xll.qlDayCounterYearFraction(DayCounter,E14,F14,,,Trigger)</f>
        <v>0.50555555555555554</v>
      </c>
      <c r="H14" s="181">
        <f>_xll.qlQuoteValue(D14,AllTriggers)</f>
        <v>4.4999999999999999E-4</v>
      </c>
      <c r="I14" s="184">
        <f>_xll.qlYieldTSDiscount(Discounting,E14,,AllTriggers)</f>
        <v>1.0011829966318</v>
      </c>
      <c r="J14" s="184">
        <f>_xll.qlYieldTSDiscount(Discounting,F14,,AllTriggers)</f>
        <v>1.0020562290155866</v>
      </c>
      <c r="K14" s="181">
        <f t="shared" si="8"/>
        <v>-1.7237284665623292E-3</v>
      </c>
      <c r="L14" s="181">
        <f t="shared" si="9"/>
        <v>2.1737284665623293E-3</v>
      </c>
      <c r="M14" s="99" t="b">
        <v>0</v>
      </c>
      <c r="N14" s="181">
        <f>_xll.qlInterpolationInterpolate($N$1,E14,TRUE)</f>
        <v>2.1767464199382689E-3</v>
      </c>
      <c r="O14" s="354">
        <f t="shared" si="10"/>
        <v>-3.0179533759395159E-2</v>
      </c>
      <c r="P14" s="349">
        <f t="shared" si="14"/>
        <v>1.0992945533512893E-3</v>
      </c>
      <c r="Q14" s="169">
        <f>_xll.qlDayCounterYearFraction(DayCounter,SettlementDate,E14,,,Trigger)</f>
        <v>0.85</v>
      </c>
      <c r="R14" s="349">
        <f>_xll.qlDayCounterYearFraction(DayCounter,SettlementDate,F14,,,Trigger)</f>
        <v>1.3555555555555556</v>
      </c>
      <c r="S14" s="349">
        <f>$AJ$5*(R14-Q14)+1/2*$AJ$4*(R14^2-Q14^2)</f>
        <v>1.0939777976046059E-3</v>
      </c>
      <c r="T14" s="434">
        <f t="shared" si="11"/>
        <v>5.3167557466833344E-6</v>
      </c>
      <c r="U14" s="437" t="b">
        <v>0</v>
      </c>
      <c r="V14" s="349">
        <f>$AK$5*(R14-Q14)+1/2*$AK$4*(R14^2-Q14^2)+1/3*$AK$3*(R14^3-Q14^3)</f>
        <v>1.1064429283941897E-3</v>
      </c>
      <c r="W14" s="434">
        <f t="shared" si="16"/>
        <v>-7.1483750429003883E-6</v>
      </c>
      <c r="X14" s="437" t="b">
        <v>0</v>
      </c>
      <c r="Y14" s="130"/>
      <c r="Z14" s="183">
        <f>_xll.qlCalendarAdvance(Calendar,Z13,"1D","f")</f>
        <v>42128</v>
      </c>
      <c r="AA14" s="390">
        <f>_xll.qlCalendarAdvance(Calendar,Z14,$F$1,"mf",,Trigger)</f>
        <v>42312</v>
      </c>
      <c r="AB14" s="391">
        <f>_xll.qlDayCounterYearFraction(DayCounter,Z14,AA14,,,Trigger)</f>
        <v>0.51111111111111107</v>
      </c>
      <c r="AC14" s="348">
        <f>_xll.qlInterpolationInterpolate(B6Minterpolation,Z14,TRUE)</f>
        <v>2.0136478561743501E-3</v>
      </c>
      <c r="AD14" s="184">
        <f>_xll.qlYieldTSDiscount(Discounting,Z14,,AllTriggers)</f>
        <v>1.0000373962270792</v>
      </c>
      <c r="AE14" s="184">
        <f>_xll.qlYieldTSDiscount(Discounting,AA14,,AllTriggers)</f>
        <v>1.0007225661297072</v>
      </c>
      <c r="AF14" s="181">
        <f t="shared" si="5"/>
        <v>-1.3395818730001533E-3</v>
      </c>
      <c r="AG14" s="348">
        <f t="shared" si="6"/>
        <v>1.0293729559606737E-3</v>
      </c>
    </row>
    <row r="15" spans="1:39" ht="11.25" customHeight="1" x14ac:dyDescent="0.2">
      <c r="A15" s="452">
        <f t="shared" si="15"/>
        <v>11</v>
      </c>
      <c r="B15" s="131" t="s">
        <v>37</v>
      </c>
      <c r="C15" s="131">
        <f t="shared" si="13"/>
        <v>17</v>
      </c>
      <c r="D15" s="360" t="str">
        <f t="shared" si="7"/>
        <v>EUR11x17F_Quote</v>
      </c>
      <c r="E15" s="183">
        <f>_xll.qlCalendarAdvance("target",$E$3,A15&amp;"M","mf",,Trigger)</f>
        <v>42445</v>
      </c>
      <c r="F15" s="183">
        <f>_xll.qlCalendarAdvance(Calendar,E15,$F$1,"mf",,Trigger)</f>
        <v>42629</v>
      </c>
      <c r="G15" s="169">
        <f>_xll.qlDayCounterYearFraction(DayCounter,E15,F15,,,Trigger)</f>
        <v>0.51111111111111107</v>
      </c>
      <c r="H15" s="181">
        <f>_xll.qlQuoteValue(D15,AllTriggers)</f>
        <v>4.4000000000000007E-4</v>
      </c>
      <c r="I15" s="184">
        <f>_xll.qlYieldTSDiscount(Discounting,E15,,AllTriggers)</f>
        <v>1.0013205744627667</v>
      </c>
      <c r="J15" s="184">
        <f>_xll.qlYieldTSDiscount(Discounting,F15,,AllTriggers)</f>
        <v>1.0022055830789811</v>
      </c>
      <c r="K15" s="181">
        <f t="shared" si="8"/>
        <v>-1.7277279494109343E-3</v>
      </c>
      <c r="L15" s="181">
        <f t="shared" si="9"/>
        <v>2.1677279494109344E-3</v>
      </c>
      <c r="M15" s="99" t="b">
        <v>0</v>
      </c>
      <c r="N15" s="181">
        <f>_xll.qlInterpolationInterpolate($N$1,E15,TRUE)</f>
        <v>2.1810416491770007E-3</v>
      </c>
      <c r="O15" s="354">
        <f t="shared" si="10"/>
        <v>-0.13313699766066311</v>
      </c>
      <c r="P15" s="349">
        <f t="shared" si="14"/>
        <v>1.1083146851050365E-3</v>
      </c>
      <c r="Q15" s="169">
        <f>_xll.qlDayCounterYearFraction(DayCounter,SettlementDate,E15,,,Trigger)</f>
        <v>0.93055555555555558</v>
      </c>
      <c r="R15" s="349">
        <f>_xll.qlDayCounterYearFraction(DayCounter,SettlementDate,F15,,,Trigger)</f>
        <v>1.4416666666666667</v>
      </c>
      <c r="S15" s="349">
        <f>$AJ$5*(R15-Q15)+1/2*$AJ$4*(R15^2-Q15^2)</f>
        <v>1.1114511059830067E-3</v>
      </c>
      <c r="T15" s="434">
        <f t="shared" si="11"/>
        <v>-3.1364208779702165E-6</v>
      </c>
      <c r="U15" s="437" t="b">
        <v>0</v>
      </c>
      <c r="V15" s="349">
        <f>$AK$5*(R15-Q15)+1/2*$AK$4*(R15^2-Q15^2)+1/3*$AK$3*(R15^3-Q15^3)</f>
        <v>1.1226133890009167E-3</v>
      </c>
      <c r="W15" s="434">
        <f t="shared" si="16"/>
        <v>-1.4298703895880213E-5</v>
      </c>
      <c r="X15" s="437" t="b">
        <v>0</v>
      </c>
      <c r="Y15" s="130"/>
      <c r="Z15" s="183">
        <f>_xll.qlCalendarAdvance(Calendar,Z14,"1D","f")</f>
        <v>42129</v>
      </c>
      <c r="AA15" s="390">
        <f>_xll.qlCalendarAdvance(Calendar,Z15,$F$1,"mf",,Trigger)</f>
        <v>42313</v>
      </c>
      <c r="AB15" s="391">
        <f>_xll.qlDayCounterYearFraction(DayCounter,Z15,AA15,,,Trigger)</f>
        <v>0.51111111111111107</v>
      </c>
      <c r="AC15" s="348">
        <f>_xll.qlInterpolationInterpolate(B6Minterpolation,Z15,TRUE)</f>
        <v>2.0157977769042711E-3</v>
      </c>
      <c r="AD15" s="184">
        <f>_xll.qlYieldTSDiscount(Discounting,Z15,,AllTriggers)</f>
        <v>1.0000400685988493</v>
      </c>
      <c r="AE15" s="184">
        <f>_xll.qlYieldTSDiscount(Discounting,AA15,,AllTriggers)</f>
        <v>1.0007267718556083</v>
      </c>
      <c r="AF15" s="181">
        <f t="shared" si="5"/>
        <v>-1.3425741051070268E-3</v>
      </c>
      <c r="AG15" s="348">
        <f t="shared" si="6"/>
        <v>1.0304730015176361E-3</v>
      </c>
    </row>
    <row r="16" spans="1:39" ht="11.25" customHeight="1" x14ac:dyDescent="0.2">
      <c r="A16" s="452">
        <f t="shared" si="15"/>
        <v>12</v>
      </c>
      <c r="B16" s="131" t="s">
        <v>37</v>
      </c>
      <c r="C16" s="131">
        <f t="shared" si="13"/>
        <v>18</v>
      </c>
      <c r="D16" s="360" t="str">
        <f t="shared" si="7"/>
        <v>EUR12x18F_Quote</v>
      </c>
      <c r="E16" s="183">
        <f>_xll.qlCalendarAdvance("target",$E$3,A16&amp;"M","mf",,Trigger)</f>
        <v>42478</v>
      </c>
      <c r="F16" s="183">
        <f>_xll.qlCalendarAdvance(Calendar,E16,$F$1,"mf",,Trigger)</f>
        <v>42661</v>
      </c>
      <c r="G16" s="169">
        <f>_xll.qlDayCounterYearFraction(DayCounter,E16,F16,,,Trigger)</f>
        <v>0.5083333333333333</v>
      </c>
      <c r="H16" s="181">
        <f>_xll.qlQuoteValue(D16,AllTriggers)</f>
        <v>4.4999999999999999E-4</v>
      </c>
      <c r="I16" s="184">
        <f>_xll.qlYieldTSDiscount(Discounting,E16,,AllTriggers)</f>
        <v>1.0014767112880343</v>
      </c>
      <c r="J16" s="184">
        <f>_xll.qlYieldTSDiscount(Discounting,F16,,AllTriggers)</f>
        <v>1.0023619248777977</v>
      </c>
      <c r="K16" s="181">
        <f t="shared" si="8"/>
        <v>-1.7373004100823997E-3</v>
      </c>
      <c r="L16" s="181">
        <f t="shared" si="9"/>
        <v>2.1873004100823996E-3</v>
      </c>
      <c r="M16" s="99" t="b">
        <v>1</v>
      </c>
      <c r="N16" s="181">
        <f>_xll.qlInterpolationInterpolate($N$1,E16,TRUE)</f>
        <v>2.1873004100823996E-3</v>
      </c>
      <c r="O16" s="354">
        <f t="shared" si="10"/>
        <v>0</v>
      </c>
      <c r="P16" s="349">
        <f t="shared" si="14"/>
        <v>1.1122417361815206E-3</v>
      </c>
      <c r="Q16" s="169">
        <f>_xll.qlDayCounterYearFraction(DayCounter,SettlementDate,E16,,,Trigger)</f>
        <v>1.0222222222222221</v>
      </c>
      <c r="R16" s="349">
        <f>_xll.qlDayCounterYearFraction(DayCounter,SettlementDate,F16,,,Trigger)</f>
        <v>1.5305555555555554</v>
      </c>
      <c r="S16" s="349">
        <f>$AJ$5*(R16-Q16)+1/2*$AJ$4*(R16^2-Q16^2)</f>
        <v>1.1112843859106274E-3</v>
      </c>
      <c r="T16" s="434">
        <f t="shared" si="11"/>
        <v>9.573502708932341E-7</v>
      </c>
      <c r="U16" s="437" t="b">
        <v>0</v>
      </c>
      <c r="V16" s="349">
        <f>$AK$5*(R16-Q16)+1/2*$AK$4*(R16^2-Q16^2)+1/3*$AK$3*(R16^3-Q16^3)</f>
        <v>1.120136459699092E-3</v>
      </c>
      <c r="W16" s="434">
        <f t="shared" si="16"/>
        <v>-7.8947235175714191E-6</v>
      </c>
      <c r="X16" s="437" t="b">
        <v>0</v>
      </c>
      <c r="Y16" s="130"/>
      <c r="Z16" s="183">
        <f>_xll.qlCalendarAdvance(Calendar,Z15,"1D","f")</f>
        <v>42130</v>
      </c>
      <c r="AA16" s="390">
        <f>_xll.qlCalendarAdvance(Calendar,Z16,$F$1,"mf",,Trigger)</f>
        <v>42314</v>
      </c>
      <c r="AB16" s="391">
        <f>_xll.qlDayCounterYearFraction(DayCounter,Z16,AA16,,,Trigger)</f>
        <v>0.51111111111111107</v>
      </c>
      <c r="AC16" s="348">
        <f>_xll.qlInterpolationInterpolate(B6Minterpolation,Z16,TRUE)</f>
        <v>2.0180061143551336E-3</v>
      </c>
      <c r="AD16" s="184">
        <f>_xll.qlYieldTSDiscount(Discounting,Z16,,AllTriggers)</f>
        <v>1.0000427678257038</v>
      </c>
      <c r="AE16" s="184">
        <f>_xll.qlYieldTSDiscount(Discounting,AA16,,AllTriggers)</f>
        <v>1.0007309814880503</v>
      </c>
      <c r="AF16" s="181">
        <f t="shared" si="5"/>
        <v>-1.3455214402829448E-3</v>
      </c>
      <c r="AG16" s="348">
        <f t="shared" si="6"/>
        <v>1.0316028727321586E-3</v>
      </c>
    </row>
    <row r="17" spans="1:33" ht="11.25" customHeight="1" x14ac:dyDescent="0.2">
      <c r="A17" s="452">
        <f t="shared" si="15"/>
        <v>13</v>
      </c>
      <c r="B17" s="131" t="s">
        <v>37</v>
      </c>
      <c r="C17" s="131">
        <f t="shared" si="13"/>
        <v>19</v>
      </c>
      <c r="D17" s="360" t="str">
        <f t="shared" si="7"/>
        <v>EUR13x19F_Quote</v>
      </c>
      <c r="E17" s="183">
        <f>_xll.qlCalendarAdvance("target",$E$3,A17&amp;"M","mf",,Trigger)</f>
        <v>42506</v>
      </c>
      <c r="F17" s="183">
        <f>_xll.qlCalendarAdvance(Calendar,E17,$F$1,"mf",,Trigger)</f>
        <v>42690</v>
      </c>
      <c r="G17" s="169">
        <f>_xll.qlDayCounterYearFraction(DayCounter,E17,F17,,,Trigger)</f>
        <v>0.51111111111111107</v>
      </c>
      <c r="H17" s="181">
        <f>_xll.qlQuoteValue(D17,AllTriggers)</f>
        <v>4.6000000000000001E-4</v>
      </c>
      <c r="I17" s="184">
        <f>_xll.qlYieldTSDiscount(Discounting,E17,,AllTriggers)</f>
        <v>1.0016089633108833</v>
      </c>
      <c r="J17" s="184">
        <f>_xll.qlYieldTSDiscount(Discounting,F17,,AllTriggers)</f>
        <v>1.0025072079003523</v>
      </c>
      <c r="K17" s="181">
        <f t="shared" si="8"/>
        <v>-1.7530398310383612E-3</v>
      </c>
      <c r="L17" s="181">
        <f t="shared" si="9"/>
        <v>2.2130398310383614E-3</v>
      </c>
      <c r="M17" s="99" t="b">
        <v>0</v>
      </c>
      <c r="N17" s="181">
        <f>_xll.qlInterpolationInterpolate($N$1,E17,TRUE)</f>
        <v>2.196867113420957E-3</v>
      </c>
      <c r="O17" s="354">
        <f t="shared" si="10"/>
        <v>0.16172717617404364</v>
      </c>
      <c r="P17" s="349">
        <f t="shared" si="14"/>
        <v>1.1314832589531326E-3</v>
      </c>
      <c r="Q17" s="169">
        <f>_xll.qlDayCounterYearFraction(DayCounter,SettlementDate,E17,,,Trigger)</f>
        <v>1.1000000000000001</v>
      </c>
      <c r="R17" s="349">
        <f>_xll.qlDayCounterYearFraction(DayCounter,SettlementDate,F17,,,Trigger)</f>
        <v>1.6111111111111112</v>
      </c>
      <c r="S17" s="349">
        <f>$AJ$5*(R17-Q17)+1/2*$AJ$4*(R17^2-Q17^2)</f>
        <v>1.1225359738052136E-3</v>
      </c>
      <c r="T17" s="434">
        <f t="shared" si="11"/>
        <v>8.9472851479189836E-6</v>
      </c>
      <c r="U17" s="437" t="b">
        <v>0</v>
      </c>
      <c r="V17" s="349">
        <f>$AK$5*(R17-Q17)+1/2*$AK$4*(R17^2-Q17^2)+1/3*$AK$3*(R17^3-Q17^3)</f>
        <v>1.1288012625790319E-3</v>
      </c>
      <c r="W17" s="434">
        <f t="shared" si="16"/>
        <v>2.6819963741006678E-6</v>
      </c>
      <c r="X17" s="437" t="b">
        <v>0</v>
      </c>
      <c r="Y17" s="130"/>
      <c r="Z17" s="183">
        <f>_xll.qlCalendarAdvance(Calendar,Z16,"1D","f")</f>
        <v>42131</v>
      </c>
      <c r="AA17" s="390">
        <f>_xll.qlCalendarAdvance(Calendar,Z17,$F$1,"mf",,Trigger)</f>
        <v>42317</v>
      </c>
      <c r="AB17" s="391">
        <f>_xll.qlDayCounterYearFraction(DayCounter,Z17,AA17,,,Trigger)</f>
        <v>0.51666666666666672</v>
      </c>
      <c r="AC17" s="348">
        <f>_xll.qlInterpolationInterpolate(B6Minterpolation,Z17,TRUE)</f>
        <v>2.0202683749330182E-3</v>
      </c>
      <c r="AD17" s="184">
        <f>_xll.qlYieldTSDiscount(Discounting,Z17,,AllTriggers)</f>
        <v>1.0000455020703813</v>
      </c>
      <c r="AE17" s="184">
        <f>_xll.qlYieldTSDiscount(Discounting,AA17,,AllTriggers)</f>
        <v>1.0007436367434237</v>
      </c>
      <c r="AF17" s="181">
        <f t="shared" si="5"/>
        <v>-1.3502243230184741E-3</v>
      </c>
      <c r="AG17" s="348">
        <f t="shared" si="6"/>
        <v>1.0439888645157687E-3</v>
      </c>
    </row>
    <row r="18" spans="1:33" ht="11.25" customHeight="1" x14ac:dyDescent="0.2">
      <c r="A18" s="452">
        <f t="shared" si="15"/>
        <v>14</v>
      </c>
      <c r="B18" s="131" t="s">
        <v>37</v>
      </c>
      <c r="C18" s="131">
        <f t="shared" si="13"/>
        <v>20</v>
      </c>
      <c r="D18" s="360" t="str">
        <f t="shared" si="7"/>
        <v>EUR14x20F_Quote</v>
      </c>
      <c r="E18" s="183">
        <f>_xll.qlCalendarAdvance("target",$E$3,A18&amp;"M","mf",,Trigger)</f>
        <v>42537</v>
      </c>
      <c r="F18" s="183">
        <f>_xll.qlCalendarAdvance(Calendar,E18,$F$1,"mf",,Trigger)</f>
        <v>42720</v>
      </c>
      <c r="G18" s="169">
        <f>_xll.qlDayCounterYearFraction(DayCounter,E18,F18,,,Trigger)</f>
        <v>0.5083333333333333</v>
      </c>
      <c r="H18" s="181">
        <f>_xll.qlQuoteValue(D18,AllTriggers)</f>
        <v>4.6000000000000001E-4</v>
      </c>
      <c r="I18" s="184">
        <f>_xll.qlYieldTSDiscount(Discounting,E18,,AllTriggers)</f>
        <v>1.0017580419205372</v>
      </c>
      <c r="J18" s="184">
        <f>_xll.qlYieldTSDiscount(Discounting,F18,,AllTriggers)</f>
        <v>1.0026579325337459</v>
      </c>
      <c r="K18" s="181">
        <f t="shared" si="8"/>
        <v>-1.7655838134892664E-3</v>
      </c>
      <c r="L18" s="181">
        <f t="shared" si="9"/>
        <v>2.2255838134892666E-3</v>
      </c>
      <c r="M18" s="99" t="b">
        <v>0</v>
      </c>
      <c r="N18" s="181">
        <f>_xll.qlInterpolationInterpolate($N$1,E18,TRUE)</f>
        <v>2.2120722828940179E-3</v>
      </c>
      <c r="O18" s="354">
        <f t="shared" si="10"/>
        <v>0.13511530595248633</v>
      </c>
      <c r="P18" s="349">
        <f t="shared" si="14"/>
        <v>1.1317141026248752E-3</v>
      </c>
      <c r="Q18" s="169">
        <f>_xll.qlDayCounterYearFraction(DayCounter,SettlementDate,E18,,,Trigger)</f>
        <v>1.1861111111111111</v>
      </c>
      <c r="R18" s="349">
        <f>_xll.qlDayCounterYearFraction(DayCounter,SettlementDate,F18,,,Trigger)</f>
        <v>1.6944444444444444</v>
      </c>
      <c r="S18" s="349">
        <f>$AJ$5*(R18-Q18)+1/2*$AJ$4*(R18^2-Q18^2)</f>
        <v>1.1219475468048155E-3</v>
      </c>
      <c r="T18" s="434">
        <f t="shared" si="11"/>
        <v>9.7665558200597108E-6</v>
      </c>
      <c r="U18" s="437" t="b">
        <v>0</v>
      </c>
      <c r="V18" s="349">
        <f>$AK$5*(R18-Q18)+1/2*$AK$4*(R18^2-Q18^2)+1/3*$AK$3*(R18^3-Q18^3)</f>
        <v>1.1247474252877759E-3</v>
      </c>
      <c r="W18" s="434">
        <f t="shared" si="16"/>
        <v>6.9666773370993459E-6</v>
      </c>
      <c r="X18" s="437" t="b">
        <v>0</v>
      </c>
      <c r="Y18" s="130"/>
      <c r="Z18" s="183">
        <f>_xll.qlCalendarAdvance(Calendar,Z17,"1D","f")</f>
        <v>42132</v>
      </c>
      <c r="AA18" s="390">
        <f>_xll.qlCalendarAdvance(Calendar,Z18,$F$1,"mf",,Trigger)</f>
        <v>42317</v>
      </c>
      <c r="AB18" s="391">
        <f>_xll.qlDayCounterYearFraction(DayCounter,Z18,AA18,,,Trigger)</f>
        <v>0.51388888888888884</v>
      </c>
      <c r="AC18" s="348">
        <f>_xll.qlInterpolationInterpolate(B6Minterpolation,Z18,TRUE)</f>
        <v>2.0225800650440066E-3</v>
      </c>
      <c r="AD18" s="184">
        <f>_xll.qlYieldTSDiscount(Discounting,Z18,,AllTriggers)</f>
        <v>1.0000482773280344</v>
      </c>
      <c r="AE18" s="184">
        <f>_xll.qlYieldTSDiscount(Discounting,AA18,,AllTriggers)</f>
        <v>1.0007436367434237</v>
      </c>
      <c r="AF18" s="181">
        <f t="shared" si="5"/>
        <v>-1.3521263445206615E-3</v>
      </c>
      <c r="AG18" s="348">
        <f t="shared" si="6"/>
        <v>1.0395635975553518E-3</v>
      </c>
    </row>
    <row r="19" spans="1:33" ht="11.25" customHeight="1" x14ac:dyDescent="0.2">
      <c r="A19" s="452">
        <f t="shared" si="15"/>
        <v>15</v>
      </c>
      <c r="B19" s="131" t="s">
        <v>37</v>
      </c>
      <c r="C19" s="131">
        <f t="shared" si="13"/>
        <v>21</v>
      </c>
      <c r="D19" s="360" t="str">
        <f t="shared" si="7"/>
        <v>EUR15x21F_Quote</v>
      </c>
      <c r="E19" s="183">
        <f>_xll.qlCalendarAdvance("target",$E$3,A19&amp;"M","mf",,Trigger)</f>
        <v>42569</v>
      </c>
      <c r="F19" s="183">
        <f>_xll.qlCalendarAdvance(Calendar,E19,$F$1,"mf",,Trigger)</f>
        <v>42753</v>
      </c>
      <c r="G19" s="169">
        <f>_xll.qlDayCounterYearFraction(DayCounter,E19,F19,,,Trigger)</f>
        <v>0.51111111111111107</v>
      </c>
      <c r="H19" s="181">
        <f>_xll.qlQuoteValue(D19,AllTriggers)</f>
        <v>5.1000000000000004E-4</v>
      </c>
      <c r="I19" s="184">
        <f>_xll.qlYieldTSDiscount(Discounting,E19,,AllTriggers)</f>
        <v>1.0019155199939185</v>
      </c>
      <c r="J19" s="184">
        <f>_xll.qlYieldTSDiscount(Discounting,F19,,AllTriggers)</f>
        <v>1.0028107003864482</v>
      </c>
      <c r="K19" s="181">
        <f t="shared" si="8"/>
        <v>-1.7465309232866692E-3</v>
      </c>
      <c r="L19" s="181">
        <f t="shared" si="9"/>
        <v>2.256530923286669E-3</v>
      </c>
      <c r="M19" s="99" t="b">
        <v>0</v>
      </c>
      <c r="N19" s="181">
        <f>_xll.qlInterpolationInterpolate($N$1,E19,TRUE)</f>
        <v>2.2318449249113573E-3</v>
      </c>
      <c r="O19" s="354">
        <f t="shared" si="10"/>
        <v>0.2468599837531166</v>
      </c>
      <c r="P19" s="349">
        <f t="shared" si="14"/>
        <v>1.1537027281548228E-3</v>
      </c>
      <c r="Q19" s="169">
        <f>_xll.qlDayCounterYearFraction(DayCounter,SettlementDate,E19,,,Trigger)</f>
        <v>1.2749999999999999</v>
      </c>
      <c r="R19" s="349">
        <f>_xll.qlDayCounterYearFraction(DayCounter,SettlementDate,F19,,,Trigger)</f>
        <v>1.7861111111111112</v>
      </c>
      <c r="S19" s="349">
        <f>$AJ$5*(R19-Q19)+1/2*$AJ$4*(R19^2-Q19^2)</f>
        <v>1.1339842799166738E-3</v>
      </c>
      <c r="T19" s="434">
        <f t="shared" si="11"/>
        <v>1.9718448238149021E-5</v>
      </c>
      <c r="U19" s="437" t="b">
        <v>0</v>
      </c>
      <c r="V19" s="349">
        <f>$AK$5*(R19-Q19)+1/2*$AK$4*(R19^2-Q19^2)+1/3*$AK$3*(R19^3-Q19^3)</f>
        <v>1.1323571873589249E-3</v>
      </c>
      <c r="W19" s="434">
        <f t="shared" si="16"/>
        <v>2.1345540795897951E-5</v>
      </c>
      <c r="X19" s="437" t="b">
        <v>0</v>
      </c>
      <c r="Y19" s="130"/>
      <c r="Z19" s="183">
        <f>_xll.qlCalendarAdvance(Calendar,Z18,"1D","f")</f>
        <v>42135</v>
      </c>
      <c r="AA19" s="390">
        <f>_xll.qlCalendarAdvance(Calendar,Z19,$F$1,"mf",,Trigger)</f>
        <v>42319</v>
      </c>
      <c r="AB19" s="391">
        <f>_xll.qlDayCounterYearFraction(DayCounter,Z19,AA19,,,Trigger)</f>
        <v>0.51111111111111107</v>
      </c>
      <c r="AC19" s="348">
        <f>_xll.qlInterpolationInterpolate(B6Minterpolation,Z19,TRUE)</f>
        <v>2.0297667766364103E-3</v>
      </c>
      <c r="AD19" s="184">
        <f>_xll.qlYieldTSDiscount(Discounting,Z19,,AllTriggers)</f>
        <v>1.0000568137527825</v>
      </c>
      <c r="AE19" s="184">
        <f>_xll.qlYieldTSDiscount(Discounting,AA19,,AllTriggers)</f>
        <v>1.0007520984642706</v>
      </c>
      <c r="AF19" s="181">
        <f t="shared" si="5"/>
        <v>-1.3593173124482533E-3</v>
      </c>
      <c r="AG19" s="348">
        <f t="shared" si="6"/>
        <v>1.0376191122078943E-3</v>
      </c>
    </row>
    <row r="20" spans="1:33" ht="11.25" customHeight="1" x14ac:dyDescent="0.2">
      <c r="A20" s="452">
        <f t="shared" si="15"/>
        <v>16</v>
      </c>
      <c r="B20" s="131" t="s">
        <v>37</v>
      </c>
      <c r="C20" s="131">
        <f t="shared" si="13"/>
        <v>22</v>
      </c>
      <c r="D20" s="360" t="str">
        <f t="shared" si="7"/>
        <v>EUR16x22F_Quote</v>
      </c>
      <c r="E20" s="183">
        <f>_xll.qlCalendarAdvance("target",$E$3,A20&amp;"M","mf",,Trigger)</f>
        <v>42598</v>
      </c>
      <c r="F20" s="183">
        <f>_xll.qlCalendarAdvance(Calendar,E20,$F$1,"mf",,Trigger)</f>
        <v>42782</v>
      </c>
      <c r="G20" s="169">
        <f>_xll.qlDayCounterYearFraction(DayCounter,E20,F20,,,Trigger)</f>
        <v>0.51111111111111107</v>
      </c>
      <c r="H20" s="181">
        <f>_xll.qlQuoteValue(D20,AllTriggers)</f>
        <v>5.4000000000000001E-4</v>
      </c>
      <c r="I20" s="184">
        <f>_xll.qlYieldTSDiscount(Discounting,E20,,AllTriggers)</f>
        <v>1.0020562290155866</v>
      </c>
      <c r="J20" s="184">
        <f>_xll.qlYieldTSDiscount(Discounting,F20,,AllTriggers)</f>
        <v>1.0029446526510146</v>
      </c>
      <c r="K20" s="181">
        <f t="shared" si="8"/>
        <v>-1.733116729500263E-3</v>
      </c>
      <c r="L20" s="181">
        <f t="shared" si="9"/>
        <v>2.2731167295002631E-3</v>
      </c>
      <c r="M20" s="99" t="b">
        <v>0</v>
      </c>
      <c r="N20" s="181">
        <f>_xll.qlInterpolationInterpolate($N$1,E20,TRUE)</f>
        <v>2.2524469856429149E-3</v>
      </c>
      <c r="O20" s="354">
        <f t="shared" si="10"/>
        <v>0.20669743857348183</v>
      </c>
      <c r="P20" s="349">
        <f t="shared" si="14"/>
        <v>1.1621697024509089E-3</v>
      </c>
      <c r="Q20" s="169">
        <f>_xll.qlDayCounterYearFraction(DayCounter,SettlementDate,E20,,,Trigger)</f>
        <v>1.3555555555555556</v>
      </c>
      <c r="R20" s="349">
        <f>_xll.qlDayCounterYearFraction(DayCounter,SettlementDate,F20,,,Trigger)</f>
        <v>1.8666666666666667</v>
      </c>
      <c r="S20" s="349">
        <f>$AJ$5*(R20-Q20)+1/2*$AJ$4*(R20^2-Q20^2)</f>
        <v>1.1392541351108369E-3</v>
      </c>
      <c r="T20" s="434">
        <f t="shared" si="11"/>
        <v>2.2915567340071928E-5</v>
      </c>
      <c r="U20" s="437" t="b">
        <v>0</v>
      </c>
      <c r="V20" s="349">
        <f>$AK$5*(R20-Q20)+1/2*$AK$4*(R20^2-Q20^2)+1/3*$AK$3*(R20^3-Q20^3)</f>
        <v>1.1330258739100736E-3</v>
      </c>
      <c r="W20" s="434">
        <f t="shared" si="16"/>
        <v>2.9143828540835253E-5</v>
      </c>
      <c r="X20" s="437" t="b">
        <v>0</v>
      </c>
      <c r="Y20" s="130"/>
      <c r="Z20" s="183">
        <f>_xll.qlCalendarAdvance(Calendar,Z19,"1D","f")</f>
        <v>42136</v>
      </c>
      <c r="AA20" s="390">
        <f>_xll.qlCalendarAdvance(Calendar,Z20,$F$1,"mf",,Trigger)</f>
        <v>42320</v>
      </c>
      <c r="AB20" s="391">
        <f>_xll.qlDayCounterYearFraction(DayCounter,Z20,AA20,,,Trigger)</f>
        <v>0.51111111111111107</v>
      </c>
      <c r="AC20" s="348">
        <f>_xll.qlInterpolationInterpolate(B6Minterpolation,Z20,TRUE)</f>
        <v>2.0322312489406288E-3</v>
      </c>
      <c r="AD20" s="184">
        <f>_xll.qlYieldTSDiscount(Discounting,Z20,,AllTriggers)</f>
        <v>1.0000597133006848</v>
      </c>
      <c r="AE20" s="184">
        <f>_xll.qlYieldTSDiscount(Discounting,AA20,,AllTriggers)</f>
        <v>1.0007563376655668</v>
      </c>
      <c r="AF20" s="181">
        <f t="shared" si="5"/>
        <v>-1.3619306344629114E-3</v>
      </c>
      <c r="AG20" s="348">
        <f t="shared" si="6"/>
        <v>1.0388796869747851E-3</v>
      </c>
    </row>
    <row r="21" spans="1:33" ht="11.25" customHeight="1" x14ac:dyDescent="0.2">
      <c r="A21" s="452">
        <f t="shared" si="15"/>
        <v>17</v>
      </c>
      <c r="B21" s="131" t="s">
        <v>37</v>
      </c>
      <c r="C21" s="131">
        <f t="shared" si="13"/>
        <v>23</v>
      </c>
      <c r="D21" s="360" t="str">
        <f t="shared" si="7"/>
        <v>EUR17x23F_Quote</v>
      </c>
      <c r="E21" s="183">
        <f>_xll.qlCalendarAdvance("target",$E$3,A21&amp;"M","mf",,Trigger)</f>
        <v>42629</v>
      </c>
      <c r="F21" s="183">
        <f>_xll.qlCalendarAdvance(Calendar,E21,$F$1,"mf",,Trigger)</f>
        <v>42810</v>
      </c>
      <c r="G21" s="169">
        <f>_xll.qlDayCounterYearFraction(DayCounter,E21,F21,,,Trigger)</f>
        <v>0.50277777777777777</v>
      </c>
      <c r="H21" s="181">
        <f>_xll.qlQuoteValue(D21,AllTriggers)</f>
        <v>5.6999999999999998E-4</v>
      </c>
      <c r="I21" s="184">
        <f>_xll.qlYieldTSDiscount(Discounting,E21,,AllTriggers)</f>
        <v>1.0022055830789811</v>
      </c>
      <c r="J21" s="184">
        <f>_xll.qlYieldTSDiscount(Discounting,F21,,AllTriggers)</f>
        <v>1.0030672317712865</v>
      </c>
      <c r="K21" s="181">
        <f t="shared" si="8"/>
        <v>-1.7085359289019271E-3</v>
      </c>
      <c r="L21" s="181">
        <f t="shared" si="9"/>
        <v>2.2785359289019271E-3</v>
      </c>
      <c r="M21" s="99" t="b">
        <v>0</v>
      </c>
      <c r="N21" s="181">
        <f>_xll.qlInterpolationInterpolate($N$1,E21,TRUE)</f>
        <v>2.2763506293306036E-3</v>
      </c>
      <c r="O21" s="354">
        <f t="shared" si="10"/>
        <v>2.185299571323511E-2</v>
      </c>
      <c r="P21" s="349">
        <f t="shared" si="14"/>
        <v>1.1459253376252072E-3</v>
      </c>
      <c r="Q21" s="169">
        <f>_xll.qlDayCounterYearFraction(DayCounter,SettlementDate,E21,,,Trigger)</f>
        <v>1.4416666666666667</v>
      </c>
      <c r="R21" s="349">
        <f>_xll.qlDayCounterYearFraction(DayCounter,SettlementDate,F21,,,Trigger)</f>
        <v>1.9444444444444444</v>
      </c>
      <c r="S21" s="349">
        <f>$AJ$5*(R21-Q21)+1/2*$AJ$4*(R21^2-Q21^2)</f>
        <v>1.1259526512380101E-3</v>
      </c>
      <c r="T21" s="434">
        <f t="shared" si="11"/>
        <v>1.9972686387197125E-5</v>
      </c>
      <c r="U21" s="437" t="b">
        <v>0</v>
      </c>
      <c r="V21" s="349">
        <f>$AK$5*(R21-Q21)+1/2*$AK$4*(R21^2-Q21^2)+1/3*$AK$3*(R21^3-Q21^3)</f>
        <v>1.1146382919842652E-3</v>
      </c>
      <c r="W21" s="434">
        <f t="shared" si="16"/>
        <v>3.1287045640942049E-5</v>
      </c>
      <c r="X21" s="437" t="b">
        <v>0</v>
      </c>
      <c r="Y21" s="130"/>
      <c r="Z21" s="183">
        <f>_xll.qlCalendarAdvance(Calendar,Z20,"1D","f")</f>
        <v>42137</v>
      </c>
      <c r="AA21" s="390">
        <f>_xll.qlCalendarAdvance(Calendar,Z21,$F$1,"mf",,Trigger)</f>
        <v>42321</v>
      </c>
      <c r="AB21" s="391">
        <f>_xll.qlDayCounterYearFraction(DayCounter,Z21,AA21,,,Trigger)</f>
        <v>0.51111111111111107</v>
      </c>
      <c r="AC21" s="348">
        <f>_xll.qlInterpolationInterpolate(B6Minterpolation,Z21,TRUE)</f>
        <v>2.034722682808359E-3</v>
      </c>
      <c r="AD21" s="184">
        <f>_xll.qlYieldTSDiscount(Discounting,Z21,,AllTriggers)</f>
        <v>1.0000626318128085</v>
      </c>
      <c r="AE21" s="184">
        <f>_xll.qlYieldTSDiscount(Discounting,AA21,,AllTriggers)</f>
        <v>1.0007605828166537</v>
      </c>
      <c r="AF21" s="181">
        <f t="shared" si="5"/>
        <v>-1.364518482560246E-3</v>
      </c>
      <c r="AG21" s="348">
        <f t="shared" si="6"/>
        <v>1.0401540256134985E-3</v>
      </c>
    </row>
    <row r="22" spans="1:33" ht="11.25" customHeight="1" x14ac:dyDescent="0.2">
      <c r="A22" s="453">
        <f t="shared" si="15"/>
        <v>18</v>
      </c>
      <c r="B22" s="454" t="s">
        <v>37</v>
      </c>
      <c r="C22" s="454">
        <f t="shared" si="13"/>
        <v>24</v>
      </c>
      <c r="D22" s="361" t="str">
        <f t="shared" si="7"/>
        <v>EUR18x24F_Quote</v>
      </c>
      <c r="E22" s="187">
        <f>_xll.qlCalendarAdvance("target",$E$3,A22&amp;"M","mf",,Trigger)</f>
        <v>42660</v>
      </c>
      <c r="F22" s="187">
        <f>_xll.qlCalendarAdvance(Calendar,E22,$F$1,"mf",,Trigger)</f>
        <v>42843</v>
      </c>
      <c r="G22" s="174">
        <f>_xll.qlDayCounterYearFraction(DayCounter,E22,F22,,,Trigger)</f>
        <v>0.5083333333333333</v>
      </c>
      <c r="H22" s="190">
        <f>_xll.qlQuoteValue(D22,AllTriggers)</f>
        <v>6.4000000000000005E-4</v>
      </c>
      <c r="I22" s="188">
        <f>_xll.qlYieldTSDiscount(Discounting,E22,,AllTriggers)</f>
        <v>1.0023569714773823</v>
      </c>
      <c r="J22" s="188">
        <f>_xll.qlYieldTSDiscount(Discounting,F22,,AllTriggers)</f>
        <v>1.0032041391671815</v>
      </c>
      <c r="K22" s="190">
        <f t="shared" si="8"/>
        <v>-1.6612365566516952E-3</v>
      </c>
      <c r="L22" s="190">
        <f t="shared" si="9"/>
        <v>2.3012365566516951E-3</v>
      </c>
      <c r="M22" s="118" t="b">
        <v>1</v>
      </c>
      <c r="N22" s="190">
        <f>_xll.qlInterpolationInterpolate($N$1,E22,TRUE)</f>
        <v>2.3012365566516951E-3</v>
      </c>
      <c r="O22" s="355">
        <f t="shared" si="10"/>
        <v>0</v>
      </c>
      <c r="P22" s="387">
        <f t="shared" si="14"/>
        <v>1.170099099041791E-3</v>
      </c>
      <c r="Q22" s="174">
        <f>_xll.qlDayCounterYearFraction(DayCounter,SettlementDate,E22,,,Trigger)</f>
        <v>1.5277777777777777</v>
      </c>
      <c r="R22" s="387">
        <f>_xll.qlDayCounterYearFraction(DayCounter,SettlementDate,F22,,,Trigger)</f>
        <v>2.036111111111111</v>
      </c>
      <c r="S22" s="387">
        <f>$AJ$5*(R22-Q22)+1/2*$AJ$4*(R22^2-Q22^2)</f>
        <v>1.1441775262960889E-3</v>
      </c>
      <c r="T22" s="435">
        <f t="shared" si="11"/>
        <v>2.5921572745702141E-5</v>
      </c>
      <c r="U22" s="438" t="b">
        <v>0</v>
      </c>
      <c r="V22" s="387">
        <f>$AK$5*(R22-Q22)+1/2*$AK$4*(R22^2-Q22^2)+1/3*$AK$3*(R22^3-Q22^3)</f>
        <v>1.1262808013492518E-3</v>
      </c>
      <c r="W22" s="435">
        <f t="shared" si="16"/>
        <v>4.3818297692539178E-5</v>
      </c>
      <c r="X22" s="438" t="b">
        <v>0</v>
      </c>
      <c r="Y22" s="130"/>
      <c r="Z22" s="183">
        <f>_xll.qlCalendarAdvance(Calendar,Z21,"1D","f")</f>
        <v>42138</v>
      </c>
      <c r="AA22" s="390">
        <f>_xll.qlCalendarAdvance(Calendar,Z22,$F$1,"mf",,Trigger)</f>
        <v>42324</v>
      </c>
      <c r="AB22" s="391">
        <f>_xll.qlDayCounterYearFraction(DayCounter,Z22,AA22,,,Trigger)</f>
        <v>0.51666666666666672</v>
      </c>
      <c r="AC22" s="348">
        <f>_xll.qlInterpolationInterpolate(B6Minterpolation,Z22,TRUE)</f>
        <v>2.0372365846456817E-3</v>
      </c>
      <c r="AD22" s="184">
        <f>_xll.qlYieldTSDiscount(Discounting,Z22,,AllTriggers)</f>
        <v>1.0000655644457093</v>
      </c>
      <c r="AE22" s="184">
        <f>_xll.qlYieldTSDiscount(Discounting,AA22,,AllTriggers)</f>
        <v>1.0007733568878137</v>
      </c>
      <c r="AF22" s="181">
        <f t="shared" si="5"/>
        <v>-1.3688622366468269E-3</v>
      </c>
      <c r="AG22" s="348">
        <f t="shared" si="6"/>
        <v>1.0527628399165782E-3</v>
      </c>
    </row>
    <row r="23" spans="1:33" ht="11.25" customHeight="1" x14ac:dyDescent="0.2">
      <c r="E23" s="340"/>
      <c r="F23" s="340"/>
      <c r="G23" s="340"/>
      <c r="H23" s="155"/>
      <c r="I23" s="131"/>
      <c r="J23" s="131"/>
      <c r="K23" s="155"/>
      <c r="L23" s="155"/>
      <c r="O23" s="131"/>
      <c r="P23" s="131"/>
      <c r="Q23" s="131"/>
      <c r="R23" s="131"/>
      <c r="Z23" s="183">
        <f>_xll.qlCalendarAdvance(Calendar,Z22,"1D","f")</f>
        <v>42139</v>
      </c>
      <c r="AA23" s="390">
        <f>_xll.qlCalendarAdvance(Calendar,Z23,$F$1,"mf",,Trigger)</f>
        <v>42324</v>
      </c>
      <c r="AB23" s="391">
        <f>_xll.qlDayCounterYearFraction(DayCounter,Z23,AA23,,,Trigger)</f>
        <v>0.51388888888888884</v>
      </c>
      <c r="AC23" s="348">
        <f>_xll.qlInterpolationInterpolate(B6Minterpolation,Z23,TRUE)</f>
        <v>2.0397684608586784E-3</v>
      </c>
      <c r="AD23" s="184">
        <f>_xll.qlYieldTSDiscount(Discounting,Z23,,AllTriggers)</f>
        <v>1.0000685063558861</v>
      </c>
      <c r="AE23" s="184">
        <f>_xll.qlYieldTSDiscount(Discounting,AA23,,AllTriggers)</f>
        <v>1.0007733568878137</v>
      </c>
      <c r="AF23" s="181">
        <f t="shared" si="5"/>
        <v>-1.3705411176890448E-3</v>
      </c>
      <c r="AG23" s="348">
        <f t="shared" si="6"/>
        <v>1.0484033648537978E-3</v>
      </c>
    </row>
    <row r="24" spans="1:33" ht="11.25" customHeight="1" x14ac:dyDescent="0.2">
      <c r="E24" s="340"/>
      <c r="F24" s="340"/>
      <c r="G24" s="340"/>
      <c r="H24" s="155"/>
      <c r="K24" s="155"/>
      <c r="L24" s="155"/>
      <c r="P24" s="131"/>
      <c r="Q24" s="131"/>
      <c r="R24" s="131"/>
      <c r="Z24" s="183">
        <f>_xll.qlCalendarAdvance(Calendar,Z23,"1D","f")</f>
        <v>42142</v>
      </c>
      <c r="AA24" s="390">
        <f>_xll.qlCalendarAdvance(Calendar,Z24,$F$1,"mf",,Trigger)</f>
        <v>42326</v>
      </c>
      <c r="AB24" s="391">
        <f>_xll.qlDayCounterYearFraction(DayCounter,Z24,AA24,,,Trigger)</f>
        <v>0.51111111111111107</v>
      </c>
      <c r="AC24" s="348">
        <f>_xll.qlInterpolationInterpolate(B6Minterpolation,Z24,TRUE)</f>
        <v>2.0474269998125281E-3</v>
      </c>
      <c r="AD24" s="184">
        <f>_xll.qlYieldTSDiscount(Discounting,Z24,,AllTriggers)</f>
        <v>1.0000773393142086</v>
      </c>
      <c r="AE24" s="184">
        <f>_xll.qlYieldTSDiscount(Discounting,AA24,,AllTriggers)</f>
        <v>1.00078190803608</v>
      </c>
      <c r="AF24" s="181">
        <f t="shared" si="5"/>
        <v>-1.3774269998125281E-3</v>
      </c>
      <c r="AG24" s="348">
        <f t="shared" si="6"/>
        <v>1.0466520052960146E-3</v>
      </c>
    </row>
    <row r="25" spans="1:33" ht="11.25" customHeight="1" x14ac:dyDescent="0.2">
      <c r="E25" s="340"/>
      <c r="F25" s="340"/>
      <c r="G25" s="340"/>
      <c r="H25" s="155"/>
      <c r="K25" s="155"/>
      <c r="L25" s="155"/>
      <c r="Z25" s="183">
        <f>_xll.qlCalendarAdvance(Calendar,Z24,"1D","f")</f>
        <v>42143</v>
      </c>
      <c r="AA25" s="390">
        <f>_xll.qlCalendarAdvance(Calendar,Z25,$F$1,"mf",,Trigger)</f>
        <v>42327</v>
      </c>
      <c r="AB25" s="391">
        <f>_xll.qlDayCounterYearFraction(DayCounter,Z25,AA25,,,Trigger)</f>
        <v>0.51111111111111107</v>
      </c>
      <c r="AC25" s="348">
        <f>_xll.qlInterpolationInterpolate(B6Minterpolation,Z25,TRUE)</f>
        <v>2.0499858375890362E-3</v>
      </c>
      <c r="AD25" s="184">
        <f>_xll.qlYieldTSDiscount(Discounting,Z25,,AllTriggers)</f>
        <v>1.0000802710398209</v>
      </c>
      <c r="AE25" s="184">
        <f>_xll.qlYieldTSDiscount(Discounting,AA25,,AllTriggers)</f>
        <v>1.0007861950162613</v>
      </c>
      <c r="AF25" s="181">
        <f t="shared" si="5"/>
        <v>-1.3800706014501255E-3</v>
      </c>
      <c r="AG25" s="348">
        <f t="shared" si="6"/>
        <v>1.0479608233805963E-3</v>
      </c>
    </row>
    <row r="26" spans="1:33" ht="11.25" customHeight="1" x14ac:dyDescent="0.2">
      <c r="E26" s="340"/>
      <c r="F26" s="340"/>
      <c r="G26" s="340"/>
      <c r="H26" s="155"/>
      <c r="K26" s="155"/>
      <c r="L26" s="155"/>
      <c r="Z26" s="183">
        <f>_xll.qlCalendarAdvance(Calendar,Z25,"1D","f")</f>
        <v>42144</v>
      </c>
      <c r="AA26" s="390">
        <f>_xll.qlCalendarAdvance(Calendar,Z26,$F$1,"mf",,Trigger)</f>
        <v>42328</v>
      </c>
      <c r="AB26" s="391">
        <f>_xll.qlDayCounterYearFraction(DayCounter,Z26,AA26,,,Trigger)</f>
        <v>0.51111111111111107</v>
      </c>
      <c r="AC26" s="348">
        <f>_xll.qlInterpolationInterpolate(B6Minterpolation,Z26,TRUE)</f>
        <v>2.0525401817716254E-3</v>
      </c>
      <c r="AD26" s="184">
        <f>_xll.qlYieldTSDiscount(Discounting,Z26,,AllTriggers)</f>
        <v>1.0000831946792539</v>
      </c>
      <c r="AE26" s="184">
        <f>_xll.qlYieldTSDiscount(Discounting,AA26,,AllTriggers)</f>
        <v>1.0007904899897311</v>
      </c>
      <c r="AF26" s="181">
        <f t="shared" si="5"/>
        <v>-1.3827456043749456E-3</v>
      </c>
      <c r="AG26" s="348">
        <f t="shared" si="6"/>
        <v>1.0492673641952668E-3</v>
      </c>
    </row>
    <row r="27" spans="1:33" ht="11.25" customHeight="1" x14ac:dyDescent="0.2">
      <c r="E27" s="340"/>
      <c r="F27" s="340"/>
      <c r="G27" s="340"/>
      <c r="H27" s="155"/>
      <c r="K27" s="155"/>
      <c r="L27" s="155"/>
      <c r="Z27" s="183">
        <f>_xll.qlCalendarAdvance(Calendar,Z26,"1D","f")</f>
        <v>42145</v>
      </c>
      <c r="AA27" s="390">
        <f>_xll.qlCalendarAdvance(Calendar,Z27,$F$1,"mf",,Trigger)</f>
        <v>42331</v>
      </c>
      <c r="AB27" s="391">
        <f>_xll.qlDayCounterYearFraction(DayCounter,Z27,AA27,,,Trigger)</f>
        <v>0.51666666666666672</v>
      </c>
      <c r="AC27" s="348">
        <f>_xll.qlInterpolationInterpolate(B6Minterpolation,Z27,TRUE)</f>
        <v>2.0550855387663778E-3</v>
      </c>
      <c r="AD27" s="184">
        <f>_xll.qlYieldTSDiscount(Discounting,Z27,,AllTriggers)</f>
        <v>1.0000861122436424</v>
      </c>
      <c r="AE27" s="184">
        <f>_xll.qlYieldTSDiscount(Discounting,AA27,,AllTriggers)</f>
        <v>1.0008034257893863</v>
      </c>
      <c r="AF27" s="181">
        <f t="shared" si="5"/>
        <v>-1.3872342584348063E-3</v>
      </c>
      <c r="AG27" s="348">
        <f t="shared" si="6"/>
        <v>1.0619916559919244E-3</v>
      </c>
    </row>
    <row r="28" spans="1:33" ht="11.25" customHeight="1" x14ac:dyDescent="0.2">
      <c r="E28" s="340"/>
      <c r="F28" s="340"/>
      <c r="G28" s="340"/>
      <c r="H28" s="155"/>
      <c r="K28" s="155"/>
      <c r="L28" s="155"/>
      <c r="Z28" s="183">
        <f>_xll.qlCalendarAdvance(Calendar,Z27,"1D","f")</f>
        <v>42146</v>
      </c>
      <c r="AA28" s="390">
        <f>_xll.qlCalendarAdvance(Calendar,Z28,$F$1,"mf",,Trigger)</f>
        <v>42331</v>
      </c>
      <c r="AB28" s="391">
        <f>_xll.qlDayCounterYearFraction(DayCounter,Z28,AA28,,,Trigger)</f>
        <v>0.51388888888888884</v>
      </c>
      <c r="AC28" s="348">
        <f>_xll.qlInterpolationInterpolate(B6Minterpolation,Z28,TRUE)</f>
        <v>2.0576174149793745E-3</v>
      </c>
      <c r="AD28" s="184">
        <f>_xll.qlYieldTSDiscount(Discounting,Z28,,AllTriggers)</f>
        <v>1.0000890257441446</v>
      </c>
      <c r="AE28" s="184">
        <f>_xll.qlYieldTSDiscount(Discounting,AA28,,AllTriggers)</f>
        <v>1.0008034257893863</v>
      </c>
      <c r="AF28" s="181">
        <f t="shared" si="5"/>
        <v>-1.3890678588806054E-3</v>
      </c>
      <c r="AG28" s="348">
        <f t="shared" si="6"/>
        <v>1.057582619325984E-3</v>
      </c>
    </row>
    <row r="29" spans="1:33" ht="11.25" customHeight="1" x14ac:dyDescent="0.2">
      <c r="E29" s="340"/>
      <c r="F29" s="340"/>
      <c r="G29" s="340"/>
      <c r="H29" s="155"/>
      <c r="K29" s="155"/>
      <c r="L29" s="155"/>
      <c r="Z29" s="183">
        <f>_xll.qlCalendarAdvance(Calendar,Z28,"1D","f")</f>
        <v>42149</v>
      </c>
      <c r="AA29" s="390">
        <f>_xll.qlCalendarAdvance(Calendar,Z29,$F$1,"mf",,Trigger)</f>
        <v>42333</v>
      </c>
      <c r="AB29" s="391">
        <f>_xll.qlDayCounterYearFraction(DayCounter,Z29,AA29,,,Trigger)</f>
        <v>0.51111111111111107</v>
      </c>
      <c r="AC29" s="348">
        <f>_xll.qlInterpolationInterpolate(B6Minterpolation,Z29,TRUE)</f>
        <v>2.0650872229886459E-3</v>
      </c>
      <c r="AD29" s="184">
        <f>_xll.qlYieldTSDiscount(Discounting,Z29,,AllTriggers)</f>
        <v>1.000097761974267</v>
      </c>
      <c r="AE29" s="184">
        <f>_xll.qlYieldTSDiscount(Discounting,AA29,,AllTriggers)</f>
        <v>1.0008120949748016</v>
      </c>
      <c r="AF29" s="181">
        <f t="shared" si="5"/>
        <v>-1.3964739750265277E-3</v>
      </c>
      <c r="AG29" s="348">
        <f t="shared" si="6"/>
        <v>1.0556854899556457E-3</v>
      </c>
    </row>
    <row r="30" spans="1:33" ht="11.25" customHeight="1" x14ac:dyDescent="0.2">
      <c r="E30" s="340"/>
      <c r="F30" s="340"/>
      <c r="G30" s="340"/>
      <c r="H30" s="155"/>
      <c r="K30" s="155"/>
      <c r="L30" s="155"/>
      <c r="Z30" s="183">
        <f>_xll.qlCalendarAdvance(Calendar,Z29,"1D","f")</f>
        <v>42150</v>
      </c>
      <c r="AA30" s="390">
        <f>_xll.qlCalendarAdvance(Calendar,Z30,$F$1,"mf",,Trigger)</f>
        <v>42334</v>
      </c>
      <c r="AB30" s="391">
        <f>_xll.qlDayCounterYearFraction(DayCounter,Z30,AA30,,,Trigger)</f>
        <v>0.51111111111111107</v>
      </c>
      <c r="AC30" s="348">
        <f>_xll.qlInterpolationInterpolate(B6Minterpolation,Z30,TRUE)</f>
        <v>2.0675202401354352E-3</v>
      </c>
      <c r="AD30" s="184">
        <f>_xll.qlYieldTSDiscount(Discounting,Z30,,AllTriggers)</f>
        <v>1.0001006793312754</v>
      </c>
      <c r="AE30" s="184">
        <f>_xll.qlYieldTSDiscount(Discounting,AA30,,AllTriggers)</f>
        <v>1.0008164440391125</v>
      </c>
      <c r="AF30" s="181">
        <f t="shared" si="5"/>
        <v>-1.3992667879574462E-3</v>
      </c>
      <c r="AG30" s="348">
        <f t="shared" si="6"/>
        <v>1.0569301154447653E-3</v>
      </c>
    </row>
    <row r="31" spans="1:33" ht="11.25" customHeight="1" x14ac:dyDescent="0.2">
      <c r="E31" s="340"/>
      <c r="F31" s="340"/>
      <c r="G31" s="340"/>
      <c r="H31" s="155"/>
      <c r="K31" s="155"/>
      <c r="L31" s="155"/>
      <c r="Z31" s="183">
        <f>_xll.qlCalendarAdvance(Calendar,Z30,"1D","f")</f>
        <v>42151</v>
      </c>
      <c r="AA31" s="390">
        <f>_xll.qlCalendarAdvance(Calendar,Z31,$F$1,"mf",,Trigger)</f>
        <v>42335</v>
      </c>
      <c r="AB31" s="391">
        <f>_xll.qlDayCounterYearFraction(DayCounter,Z31,AA31,,,Trigger)</f>
        <v>0.51111111111111107</v>
      </c>
      <c r="AC31" s="348">
        <f>_xll.qlInterpolationInterpolate(B6Minterpolation,Z31,TRUE)</f>
        <v>2.0699173085308759E-3</v>
      </c>
      <c r="AD31" s="184">
        <f>_xll.qlYieldTSDiscount(Discounting,Z31,,AllTriggers)</f>
        <v>1.0001036026805405</v>
      </c>
      <c r="AE31" s="184">
        <f>_xll.qlYieldTSDiscount(Discounting,AA31,,AllTriggers)</f>
        <v>1.0008208031404644</v>
      </c>
      <c r="AF31" s="181">
        <f t="shared" si="5"/>
        <v>-1.4020674697730389E-3</v>
      </c>
      <c r="AG31" s="348">
        <f t="shared" si="6"/>
        <v>1.0581563796607345E-3</v>
      </c>
    </row>
    <row r="32" spans="1:33" ht="11.25" customHeight="1" x14ac:dyDescent="0.2">
      <c r="E32" s="340"/>
      <c r="F32" s="340"/>
      <c r="G32" s="340"/>
      <c r="H32" s="155"/>
      <c r="K32" s="155"/>
      <c r="L32" s="155"/>
      <c r="Z32" s="183">
        <f>_xll.qlCalendarAdvance(Calendar,Z31,"1D","f")</f>
        <v>42152</v>
      </c>
      <c r="AA32" s="390">
        <f>_xll.qlCalendarAdvance(Calendar,Z32,$F$1,"mf",,Trigger)</f>
        <v>42338</v>
      </c>
      <c r="AB32" s="391">
        <f>_xll.qlDayCounterYearFraction(DayCounter,Z32,AA32,,,Trigger)</f>
        <v>0.51666666666666672</v>
      </c>
      <c r="AC32" s="348">
        <f>_xll.qlInterpolationInterpolate(B6Minterpolation,Z32,TRUE)</f>
        <v>2.0722739345810496E-3</v>
      </c>
      <c r="AD32" s="184">
        <f>_xll.qlYieldTSDiscount(Discounting,Z32,,AllTriggers)</f>
        <v>1.0001065340333617</v>
      </c>
      <c r="AE32" s="184">
        <f>_xll.qlYieldTSDiscount(Discounting,AA32,,AllTriggers)</f>
        <v>1.0008339435866538</v>
      </c>
      <c r="AF32" s="181">
        <f t="shared" si="5"/>
        <v>-1.4067163359181064E-3</v>
      </c>
      <c r="AG32" s="348">
        <f t="shared" si="6"/>
        <v>1.0708800056383274E-3</v>
      </c>
    </row>
    <row r="33" spans="5:33" ht="11.25" customHeight="1" x14ac:dyDescent="0.2">
      <c r="E33" s="340"/>
      <c r="F33" s="340"/>
      <c r="G33" s="340"/>
      <c r="H33" s="155"/>
      <c r="K33" s="155"/>
      <c r="L33" s="155"/>
      <c r="Z33" s="183">
        <f>_xll.qlCalendarAdvance(Calendar,Z32,"1D","f")</f>
        <v>42153</v>
      </c>
      <c r="AA33" s="390">
        <f>_xll.qlCalendarAdvance(Calendar,Z33,$F$1,"mf",,Trigger)</f>
        <v>42338</v>
      </c>
      <c r="AB33" s="391">
        <f>_xll.qlDayCounterYearFraction(DayCounter,Z33,AA33,,,Trigger)</f>
        <v>0.51388888888888884</v>
      </c>
      <c r="AC33" s="348">
        <f>_xll.qlInterpolationInterpolate(B6Minterpolation,Z33,TRUE)</f>
        <v>2.074585624692038E-3</v>
      </c>
      <c r="AD33" s="184">
        <f>_xll.qlYieldTSDiscount(Discounting,Z33,,AllTriggers)</f>
        <v>1.0001094754010618</v>
      </c>
      <c r="AE33" s="184">
        <f>_xll.qlYieldTSDiscount(Discounting,AA33,,AllTriggers)</f>
        <v>1.0008339435866538</v>
      </c>
      <c r="AF33" s="181">
        <f t="shared" si="5"/>
        <v>-1.408601234753723E-3</v>
      </c>
      <c r="AG33" s="348">
        <f t="shared" si="6"/>
        <v>1.0663100665736804E-3</v>
      </c>
    </row>
    <row r="34" spans="5:33" ht="11.25" customHeight="1" x14ac:dyDescent="0.2">
      <c r="E34" s="340"/>
      <c r="F34" s="340"/>
      <c r="G34" s="340"/>
      <c r="H34" s="155"/>
      <c r="K34" s="155"/>
      <c r="L34" s="155"/>
      <c r="Z34" s="183">
        <f>_xll.qlCalendarAdvance(Calendar,Z33,"1D","f")</f>
        <v>42156</v>
      </c>
      <c r="AA34" s="390">
        <f>_xll.qlCalendarAdvance(Calendar,Z34,$F$1,"mf",,Trigger)</f>
        <v>42339</v>
      </c>
      <c r="AB34" s="391">
        <f>_xll.qlDayCounterYearFraction(DayCounter,Z34,AA34,,,Trigger)</f>
        <v>0.5083333333333333</v>
      </c>
      <c r="AC34" s="348">
        <f>_xll.qlInterpolationInterpolate(B6Minterpolation,Z34,TRUE)</f>
        <v>2.0812061434507061E-3</v>
      </c>
      <c r="AD34" s="184">
        <f>_xll.qlYieldTSDiscount(Discounting,Z34,,AllTriggers)</f>
        <v>1.0001125790204217</v>
      </c>
      <c r="AE34" s="184">
        <f>_xll.qlYieldTSDiscount(Discounting,AA34,,AllTriggers)</f>
        <v>1.0008375450854075</v>
      </c>
      <c r="AF34" s="181">
        <f t="shared" si="5"/>
        <v>-1.4249692747787244E-3</v>
      </c>
      <c r="AG34" s="348">
        <f t="shared" si="6"/>
        <v>1.0581533034717319E-3</v>
      </c>
    </row>
    <row r="35" spans="5:33" ht="11.25" customHeight="1" x14ac:dyDescent="0.2">
      <c r="E35" s="340"/>
      <c r="F35" s="340"/>
      <c r="G35" s="340"/>
      <c r="H35" s="155"/>
      <c r="K35" s="155"/>
      <c r="L35" s="155"/>
      <c r="Z35" s="183">
        <f>_xll.qlCalendarAdvance(Calendar,Z34,"1D","f")</f>
        <v>42157</v>
      </c>
      <c r="AA35" s="390">
        <f>_xll.qlCalendarAdvance(Calendar,Z35,$F$1,"mf",,Trigger)</f>
        <v>42340</v>
      </c>
      <c r="AB35" s="391">
        <f>_xll.qlDayCounterYearFraction(DayCounter,Z35,AA35,,,Trigger)</f>
        <v>0.5083333333333333</v>
      </c>
      <c r="AC35" s="348">
        <f>_xll.qlInterpolationInterpolate(B6Minterpolation,Z35,TRUE)</f>
        <v>2.0832931538657682E-3</v>
      </c>
      <c r="AD35" s="184">
        <f>_xll.qlYieldTSDiscount(Discounting,Z35,,AllTriggers)</f>
        <v>1.0001155805439392</v>
      </c>
      <c r="AE35" s="184">
        <f>_xll.qlYieldTSDiscount(Discounting,AA35,,AllTriggers)</f>
        <v>1.0008419587483324</v>
      </c>
      <c r="AF35" s="181">
        <f t="shared" si="5"/>
        <v>-1.4277386329213128E-3</v>
      </c>
      <c r="AG35" s="348">
        <f t="shared" si="6"/>
        <v>1.0592153374957697E-3</v>
      </c>
    </row>
    <row r="36" spans="5:33" ht="11.25" customHeight="1" x14ac:dyDescent="0.2">
      <c r="E36" s="340"/>
      <c r="F36" s="340"/>
      <c r="G36" s="340"/>
      <c r="H36" s="155"/>
      <c r="K36" s="155"/>
      <c r="L36" s="155"/>
      <c r="Z36" s="183">
        <f>_xll.qlCalendarAdvance(Calendar,Z35,"1D","f")</f>
        <v>42158</v>
      </c>
      <c r="AA36" s="390">
        <f>_xll.qlCalendarAdvance(Calendar,Z36,$F$1,"mf",,Trigger)</f>
        <v>42341</v>
      </c>
      <c r="AB36" s="391">
        <f>_xll.qlDayCounterYearFraction(DayCounter,Z36,AA36,,,Trigger)</f>
        <v>0.5083333333333333</v>
      </c>
      <c r="AC36" s="348">
        <f>_xll.qlInterpolationInterpolate(B6Minterpolation,Z36,TRUE)</f>
        <v>2.085312760372052E-3</v>
      </c>
      <c r="AD36" s="184">
        <f>_xll.qlYieldTSDiscount(Discounting,Z36,,AllTriggers)</f>
        <v>1.0001186021391977</v>
      </c>
      <c r="AE36" s="184">
        <f>_xll.qlYieldTSDiscount(Discounting,AA36,,AllTriggers)</f>
        <v>1.0008463842002866</v>
      </c>
      <c r="AF36" s="181">
        <f t="shared" si="5"/>
        <v>-1.4304916697089232E-3</v>
      </c>
      <c r="AG36" s="348">
        <f t="shared" si="6"/>
        <v>1.0602431123338471E-3</v>
      </c>
    </row>
    <row r="37" spans="5:33" ht="11.25" customHeight="1" x14ac:dyDescent="0.2">
      <c r="E37" s="340"/>
      <c r="F37" s="340"/>
      <c r="G37" s="340"/>
      <c r="H37" s="155"/>
      <c r="K37" s="155"/>
      <c r="L37" s="155"/>
      <c r="Z37" s="183">
        <f>_xll.qlCalendarAdvance(Calendar,Z36,"1D","f")</f>
        <v>42159</v>
      </c>
      <c r="AA37" s="390">
        <f>_xll.qlCalendarAdvance(Calendar,Z37,$F$1,"mf",,Trigger)</f>
        <v>42342</v>
      </c>
      <c r="AB37" s="391">
        <f>_xll.qlDayCounterYearFraction(DayCounter,Z37,AA37,,,Trigger)</f>
        <v>0.5083333333333333</v>
      </c>
      <c r="AC37" s="348">
        <f>_xll.qlInterpolationInterpolate(B6Minterpolation,Z37,TRUE)</f>
        <v>2.0872604693756391E-3</v>
      </c>
      <c r="AD37" s="184">
        <f>_xll.qlYieldTSDiscount(Discounting,Z37,,AllTriggers)</f>
        <v>1.0001216458176561</v>
      </c>
      <c r="AE37" s="184">
        <f>_xll.qlYieldTSDiscount(Discounting,AA37,,AllTriggers)</f>
        <v>1.0008508217332883</v>
      </c>
      <c r="AF37" s="181">
        <f t="shared" si="5"/>
        <v>-1.4332250052115586E-3</v>
      </c>
      <c r="AG37" s="348">
        <f t="shared" si="6"/>
        <v>1.061234342614224E-3</v>
      </c>
    </row>
    <row r="38" spans="5:33" ht="11.25" customHeight="1" x14ac:dyDescent="0.2">
      <c r="E38" s="340"/>
      <c r="F38" s="340"/>
      <c r="G38" s="340"/>
      <c r="H38" s="155"/>
      <c r="K38" s="155"/>
      <c r="L38" s="155"/>
      <c r="Z38" s="183">
        <f>_xll.qlCalendarAdvance(Calendar,Z37,"1D","f")</f>
        <v>42160</v>
      </c>
      <c r="AA38" s="390">
        <f>_xll.qlCalendarAdvance(Calendar,Z38,$F$1,"mf",,Trigger)</f>
        <v>42345</v>
      </c>
      <c r="AB38" s="391">
        <f>_xll.qlDayCounterYearFraction(DayCounter,Z38,AA38,,,Trigger)</f>
        <v>0.51388888888888884</v>
      </c>
      <c r="AC38" s="348">
        <f>_xll.qlInterpolationInterpolate(B6Minterpolation,Z38,TRUE)</f>
        <v>2.0891317872826112E-3</v>
      </c>
      <c r="AD38" s="184">
        <f>_xll.qlYieldTSDiscount(Discounting,Z38,,AllTriggers)</f>
        <v>1.0001247135907989</v>
      </c>
      <c r="AE38" s="184">
        <f>_xll.qlYieldTSDiscount(Discounting,AA38,,AllTriggers)</f>
        <v>1.0008642097388532</v>
      </c>
      <c r="AF38" s="181">
        <f t="shared" si="5"/>
        <v>-1.4377769904712549E-3</v>
      </c>
      <c r="AG38" s="348">
        <f t="shared" si="6"/>
        <v>1.0737986951471325E-3</v>
      </c>
    </row>
    <row r="39" spans="5:33" ht="11.25" customHeight="1" x14ac:dyDescent="0.2">
      <c r="E39" s="340"/>
      <c r="F39" s="340"/>
      <c r="G39" s="340"/>
      <c r="H39" s="155"/>
      <c r="K39" s="155"/>
      <c r="L39" s="155"/>
      <c r="Z39" s="183">
        <f>_xll.qlCalendarAdvance(Calendar,Z38,"1D","f")</f>
        <v>42163</v>
      </c>
      <c r="AA39" s="390">
        <f>_xll.qlCalendarAdvance(Calendar,Z39,$F$1,"mf",,Trigger)</f>
        <v>42346</v>
      </c>
      <c r="AB39" s="391">
        <f>_xll.qlDayCounterYearFraction(DayCounter,Z39,AA39,,,Trigger)</f>
        <v>0.5083333333333333</v>
      </c>
      <c r="AC39" s="348">
        <f>_xll.qlInterpolationInterpolate(B6Minterpolation,Z39,TRUE)</f>
        <v>2.0942424584846514E-3</v>
      </c>
      <c r="AD39" s="184">
        <f>_xll.qlYieldTSDiscount(Discounting,Z39,,AllTriggers)</f>
        <v>1.0001340815935809</v>
      </c>
      <c r="AE39" s="184">
        <f>_xll.qlYieldTSDiscount(Discounting,AA39,,AllTriggers)</f>
        <v>1.0008686985163462</v>
      </c>
      <c r="AF39" s="181">
        <f t="shared" si="5"/>
        <v>-1.443893736437669E-3</v>
      </c>
      <c r="AG39" s="348">
        <f t="shared" si="6"/>
        <v>1.0647881102913911E-3</v>
      </c>
    </row>
    <row r="40" spans="5:33" ht="11.25" customHeight="1" x14ac:dyDescent="0.2">
      <c r="E40" s="340"/>
      <c r="F40" s="340"/>
      <c r="G40" s="340"/>
      <c r="H40" s="155"/>
      <c r="K40" s="155"/>
      <c r="L40" s="155"/>
      <c r="Z40" s="183">
        <f>_xll.qlCalendarAdvance(Calendar,Z39,"1D","f")</f>
        <v>42164</v>
      </c>
      <c r="AA40" s="390">
        <f>_xll.qlCalendarAdvance(Calendar,Z40,$F$1,"mf",,Trigger)</f>
        <v>42347</v>
      </c>
      <c r="AB40" s="391">
        <f>_xll.qlDayCounterYearFraction(DayCounter,Z40,AA40,,,Trigger)</f>
        <v>0.5083333333333333</v>
      </c>
      <c r="AC40" s="348">
        <f>_xll.qlInterpolationInterpolate(B6Minterpolation,Z40,TRUE)</f>
        <v>2.0957632760659779E-3</v>
      </c>
      <c r="AD40" s="184">
        <f>_xll.qlYieldTSDiscount(Discounting,Z40,,AllTriggers)</f>
        <v>1.0001372658608445</v>
      </c>
      <c r="AE40" s="184">
        <f>_xll.qlYieldTSDiscount(Discounting,AA40,,AllTriggers)</f>
        <v>1.0008732008350654</v>
      </c>
      <c r="AF40" s="181">
        <f t="shared" si="5"/>
        <v>-1.4464778672119505E-3</v>
      </c>
      <c r="AG40" s="348">
        <f t="shared" si="6"/>
        <v>1.065562336775817E-3</v>
      </c>
    </row>
    <row r="41" spans="5:33" ht="11.25" customHeight="1" x14ac:dyDescent="0.2">
      <c r="E41" s="340"/>
      <c r="F41" s="340"/>
      <c r="G41" s="340"/>
      <c r="H41" s="155"/>
      <c r="K41" s="155"/>
      <c r="L41" s="155"/>
      <c r="Z41" s="183">
        <f>_xll.qlCalendarAdvance(Calendar,Z40,"1D","f")</f>
        <v>42165</v>
      </c>
      <c r="AA41" s="390">
        <f>_xll.qlCalendarAdvance(Calendar,Z41,$F$1,"mf",,Trigger)</f>
        <v>42348</v>
      </c>
      <c r="AB41" s="391">
        <f>_xll.qlDayCounterYearFraction(DayCounter,Z41,AA41,,,Trigger)</f>
        <v>0.5083333333333333</v>
      </c>
      <c r="AC41" s="348">
        <f>_xll.qlInterpolationInterpolate(B6Minterpolation,Z41,TRUE)</f>
        <v>2.0971852345810964E-3</v>
      </c>
      <c r="AD41" s="184">
        <f>_xll.qlYieldTSDiscount(Discounting,Z41,,AllTriggers)</f>
        <v>1.0001404842806221</v>
      </c>
      <c r="AE41" s="184">
        <f>_xll.qlYieldTSDiscount(Discounting,AA41,,AllTriggers)</f>
        <v>1.0008777168832541</v>
      </c>
      <c r="AF41" s="181">
        <f t="shared" si="5"/>
        <v>-1.4490218136119341E-3</v>
      </c>
      <c r="AG41" s="348">
        <f t="shared" si="6"/>
        <v>1.0662863061047341E-3</v>
      </c>
    </row>
    <row r="42" spans="5:33" ht="11.25" customHeight="1" x14ac:dyDescent="0.2">
      <c r="E42" s="340"/>
      <c r="F42" s="340"/>
      <c r="G42" s="340"/>
      <c r="H42" s="155"/>
      <c r="K42" s="155"/>
      <c r="L42" s="155"/>
      <c r="Z42" s="183">
        <f>_xll.qlCalendarAdvance(Calendar,Z41,"1D","f")</f>
        <v>42166</v>
      </c>
      <c r="AA42" s="390">
        <f>_xll.qlCalendarAdvance(Calendar,Z42,$F$1,"mf",,Trigger)</f>
        <v>42349</v>
      </c>
      <c r="AB42" s="391">
        <f>_xll.qlDayCounterYearFraction(DayCounter,Z42,AA42,,,Trigger)</f>
        <v>0.5083333333333333</v>
      </c>
      <c r="AC42" s="348">
        <f>_xll.qlInterpolationInterpolate(B6Minterpolation,Z42,TRUE)</f>
        <v>2.0985038404360886E-3</v>
      </c>
      <c r="AD42" s="184">
        <f>_xll.qlYieldTSDiscount(Discounting,Z42,,AllTriggers)</f>
        <v>1.0001437383906981</v>
      </c>
      <c r="AE42" s="184">
        <f>_xll.qlYieldTSDiscount(Discounting,AA42,,AllTriggers)</f>
        <v>1.0008822464339198</v>
      </c>
      <c r="AF42" s="181">
        <f t="shared" si="5"/>
        <v>-1.4515221077735908E-3</v>
      </c>
      <c r="AG42" s="348">
        <f t="shared" si="6"/>
        <v>1.0669577327739499E-3</v>
      </c>
    </row>
    <row r="43" spans="5:33" ht="11.25" customHeight="1" x14ac:dyDescent="0.2">
      <c r="E43" s="340"/>
      <c r="F43" s="340"/>
      <c r="G43" s="340"/>
      <c r="H43" s="155"/>
      <c r="K43" s="155"/>
      <c r="L43" s="155"/>
      <c r="Z43" s="183">
        <f>_xll.qlCalendarAdvance(Calendar,Z42,"1D","f")</f>
        <v>42167</v>
      </c>
      <c r="AA43" s="390">
        <f>_xll.qlCalendarAdvance(Calendar,Z43,$F$1,"mf",,Trigger)</f>
        <v>42352</v>
      </c>
      <c r="AB43" s="391">
        <f>_xll.qlDayCounterYearFraction(DayCounter,Z43,AA43,,,Trigger)</f>
        <v>0.51388888888888884</v>
      </c>
      <c r="AC43" s="348">
        <f>_xll.qlInterpolationInterpolate(B6Minterpolation,Z43,TRUE)</f>
        <v>2.0997146000370356E-3</v>
      </c>
      <c r="AD43" s="184">
        <f>_xll.qlYieldTSDiscount(Discounting,Z43,,AllTriggers)</f>
        <v>1.0001470278334066</v>
      </c>
      <c r="AE43" s="184">
        <f>_xll.qlYieldTSDiscount(Discounting,AA43,,AllTriggers)</f>
        <v>1.0008959127926873</v>
      </c>
      <c r="AF43" s="181">
        <f t="shared" si="5"/>
        <v>-1.4559852147124871E-3</v>
      </c>
      <c r="AG43" s="348">
        <f t="shared" si="6"/>
        <v>1.0792453510248894E-3</v>
      </c>
    </row>
    <row r="44" spans="5:33" ht="11.25" customHeight="1" x14ac:dyDescent="0.2">
      <c r="E44" s="340"/>
      <c r="F44" s="340"/>
      <c r="G44" s="340"/>
      <c r="H44" s="155"/>
      <c r="K44" s="155"/>
      <c r="L44" s="155"/>
      <c r="Z44" s="183">
        <f>_xll.qlCalendarAdvance(Calendar,Z43,"1D","f")</f>
        <v>42170</v>
      </c>
      <c r="AA44" s="390">
        <f>_xll.qlCalendarAdvance(Calendar,Z44,$F$1,"mf",,Trigger)</f>
        <v>42353</v>
      </c>
      <c r="AB44" s="391">
        <f>_xll.qlDayCounterYearFraction(DayCounter,Z44,AA44,,,Trigger)</f>
        <v>0.5083333333333333</v>
      </c>
      <c r="AC44" s="348">
        <f>_xll.qlInterpolationInterpolate(B6Minterpolation,Z44,TRUE)</f>
        <v>2.1026548653764235E-3</v>
      </c>
      <c r="AD44" s="184">
        <f>_xll.qlYieldTSDiscount(Discounting,Z44,,AllTriggers)</f>
        <v>1.0001570998419205</v>
      </c>
      <c r="AE44" s="184">
        <f>_xll.qlYieldTSDiscount(Discounting,AA44,,AllTriggers)</f>
        <v>1.0009004930451417</v>
      </c>
      <c r="AF44" s="181">
        <f t="shared" si="5"/>
        <v>-1.4610971509732189E-3</v>
      </c>
      <c r="AG44" s="348">
        <f t="shared" si="6"/>
        <v>1.0690723457160716E-3</v>
      </c>
    </row>
    <row r="45" spans="5:33" ht="11.25" customHeight="1" x14ac:dyDescent="0.2">
      <c r="E45" s="340"/>
      <c r="F45" s="340"/>
      <c r="G45" s="340"/>
      <c r="H45" s="155"/>
      <c r="K45" s="155"/>
      <c r="L45" s="155"/>
      <c r="Z45" s="183">
        <f>_xll.qlCalendarAdvance(Calendar,Z44,"1D","f")</f>
        <v>42171</v>
      </c>
      <c r="AA45" s="390">
        <f>_xll.qlCalendarAdvance(Calendar,Z45,$F$1,"mf",,Trigger)</f>
        <v>42354</v>
      </c>
      <c r="AB45" s="391">
        <f>_xll.qlDayCounterYearFraction(DayCounter,Z45,AA45,,,Trigger)</f>
        <v>0.5083333333333333</v>
      </c>
      <c r="AC45" s="348">
        <f>_xll.qlInterpolationInterpolate(B6Minterpolation,Z45,TRUE)</f>
        <v>2.1033893040220061E-3</v>
      </c>
      <c r="AD45" s="184">
        <f>_xll.qlYieldTSDiscount(Discounting,Z45,,AllTriggers)</f>
        <v>1.0001605222997145</v>
      </c>
      <c r="AE45" s="184">
        <f>_xll.qlYieldTSDiscount(Discounting,AA45,,AllTriggers)</f>
        <v>1.000905085145986</v>
      </c>
      <c r="AF45" s="181">
        <f t="shared" si="5"/>
        <v>-1.463389304022006E-3</v>
      </c>
      <c r="AG45" s="348">
        <f t="shared" si="6"/>
        <v>1.0694468099307715E-3</v>
      </c>
    </row>
    <row r="46" spans="5:33" ht="11.25" customHeight="1" x14ac:dyDescent="0.2">
      <c r="E46" s="340"/>
      <c r="F46" s="340"/>
      <c r="G46" s="340"/>
      <c r="H46" s="155"/>
      <c r="K46" s="155"/>
      <c r="L46" s="155"/>
      <c r="Z46" s="183">
        <f>_xll.qlCalendarAdvance(Calendar,Z45,"1D","f")</f>
        <v>42172</v>
      </c>
      <c r="AA46" s="390">
        <f>_xll.qlCalendarAdvance(Calendar,Z46,$F$1,"mf",,Trigger)</f>
        <v>42355</v>
      </c>
      <c r="AB46" s="391">
        <f>_xll.qlDayCounterYearFraction(DayCounter,Z46,AA46,,,Trigger)</f>
        <v>0.5083333333333333</v>
      </c>
      <c r="AC46" s="348">
        <f>_xll.qlInterpolationInterpolate(B6Minterpolation,Z46,TRUE)</f>
        <v>2.1039950943394291E-3</v>
      </c>
      <c r="AD46" s="184">
        <f>_xll.qlYieldTSDiscount(Discounting,Z46,,AllTriggers)</f>
        <v>1.0001639759323795</v>
      </c>
      <c r="AE46" s="184">
        <f>_xll.qlYieldTSDiscount(Discounting,AA46,,AllTriggers)</f>
        <v>1.0009096887643854</v>
      </c>
      <c r="AF46" s="181">
        <f t="shared" si="5"/>
        <v>-1.4656427841890655E-3</v>
      </c>
      <c r="AG46" s="348">
        <f t="shared" si="6"/>
        <v>1.0697558788253074E-3</v>
      </c>
    </row>
    <row r="47" spans="5:33" ht="11.25" customHeight="1" x14ac:dyDescent="0.2">
      <c r="E47" s="340"/>
      <c r="F47" s="340"/>
      <c r="G47" s="340"/>
      <c r="H47" s="155"/>
      <c r="K47" s="155"/>
      <c r="L47" s="155"/>
      <c r="Z47" s="183">
        <f>_xll.qlCalendarAdvance(Calendar,Z46,"1D","f")</f>
        <v>42173</v>
      </c>
      <c r="AA47" s="390">
        <f>_xll.qlCalendarAdvance(Calendar,Z47,$F$1,"mf",,Trigger)</f>
        <v>42356</v>
      </c>
      <c r="AB47" s="391">
        <f>_xll.qlDayCounterYearFraction(DayCounter,Z47,AA47,,,Trigger)</f>
        <v>0.5083333333333333</v>
      </c>
      <c r="AC47" s="348">
        <f>_xll.qlInterpolationInterpolate(B6Minterpolation,Z47,TRUE)</f>
        <v>2.1044760722121613E-3</v>
      </c>
      <c r="AD47" s="184">
        <f>_xll.qlYieldTSDiscount(Discounting,Z47,,AllTriggers)</f>
        <v>1.0001674599083386</v>
      </c>
      <c r="AE47" s="184">
        <f>_xll.qlYieldTSDiscount(Discounting,AA47,,AllTriggers)</f>
        <v>1.0009143035695003</v>
      </c>
      <c r="AF47" s="181">
        <f t="shared" si="5"/>
        <v>-1.4678585765723023E-3</v>
      </c>
      <c r="AG47" s="348">
        <f t="shared" si="6"/>
        <v>1.0700015020299936E-3</v>
      </c>
    </row>
    <row r="48" spans="5:33" ht="11.25" customHeight="1" x14ac:dyDescent="0.2">
      <c r="E48" s="340"/>
      <c r="F48" s="340"/>
      <c r="G48" s="340"/>
      <c r="H48" s="155"/>
      <c r="K48" s="155"/>
      <c r="L48" s="155"/>
      <c r="Z48" s="183">
        <f>_xll.qlCalendarAdvance(Calendar,Z47,"1D","f")</f>
        <v>42174</v>
      </c>
      <c r="AA48" s="390">
        <f>_xll.qlCalendarAdvance(Calendar,Z48,$F$1,"mf",,Trigger)</f>
        <v>42359</v>
      </c>
      <c r="AB48" s="391">
        <f>_xll.qlDayCounterYearFraction(DayCounter,Z48,AA48,,,Trigger)</f>
        <v>0.51388888888888884</v>
      </c>
      <c r="AC48" s="348">
        <f>_xll.qlInterpolationInterpolate(B6Minterpolation,Z48,TRUE)</f>
        <v>2.1048377394191501E-3</v>
      </c>
      <c r="AD48" s="184">
        <f>_xll.qlYieldTSDiscount(Discounting,Z48,,AllTriggers)</f>
        <v>1.0001709733960062</v>
      </c>
      <c r="AE48" s="184">
        <f>_xll.qlYieldTSDiscount(Discounting,AA48,,AllTriggers)</f>
        <v>1.0009282117966527</v>
      </c>
      <c r="AF48" s="181">
        <f t="shared" si="5"/>
        <v>-1.4721785023998962E-3</v>
      </c>
      <c r="AG48" s="348">
        <f t="shared" si="6"/>
        <v>1.081886206174873E-3</v>
      </c>
    </row>
    <row r="49" spans="5:33" ht="11.25" customHeight="1" x14ac:dyDescent="0.2">
      <c r="E49" s="340"/>
      <c r="F49" s="340"/>
      <c r="G49" s="340"/>
      <c r="H49" s="155"/>
      <c r="K49" s="155"/>
      <c r="L49" s="155"/>
      <c r="Z49" s="183">
        <f>_xll.qlCalendarAdvance(Calendar,Z48,"1D","f")</f>
        <v>42177</v>
      </c>
      <c r="AA49" s="390">
        <f>_xll.qlCalendarAdvance(Calendar,Z49,$F$1,"mf",,Trigger)</f>
        <v>42360</v>
      </c>
      <c r="AB49" s="391">
        <f>_xll.qlDayCounterYearFraction(DayCounter,Z49,AA49,,,Trigger)</f>
        <v>0.5083333333333333</v>
      </c>
      <c r="AC49" s="348">
        <f>_xll.qlInterpolationInterpolate(B6Minterpolation,Z49,TRUE)</f>
        <v>2.1052618948351281E-3</v>
      </c>
      <c r="AD49" s="184">
        <f>_xll.qlYieldTSDiscount(Discounting,Z49,,AllTriggers)</f>
        <v>1.000181682613269</v>
      </c>
      <c r="AE49" s="184">
        <f>_xll.qlYieldTSDiscount(Discounting,AA49,,AllTriggers)</f>
        <v>1.0009328680401151</v>
      </c>
      <c r="AF49" s="181">
        <f t="shared" si="5"/>
        <v>-1.4763645699807254E-3</v>
      </c>
      <c r="AG49" s="348">
        <f t="shared" si="6"/>
        <v>1.0704054618372062E-3</v>
      </c>
    </row>
    <row r="50" spans="5:33" ht="11.25" customHeight="1" x14ac:dyDescent="0.2">
      <c r="E50" s="340"/>
      <c r="F50" s="340"/>
      <c r="G50" s="340"/>
      <c r="H50" s="155"/>
      <c r="K50" s="155"/>
      <c r="L50" s="155"/>
      <c r="Z50" s="183">
        <f>_xll.qlCalendarAdvance(Calendar,Z49,"1D","f")</f>
        <v>42178</v>
      </c>
      <c r="AA50" s="390">
        <f>_xll.qlCalendarAdvance(Calendar,Z50,$F$1,"mf",,Trigger)</f>
        <v>42361</v>
      </c>
      <c r="AB50" s="391">
        <f>_xll.qlDayCounterYearFraction(DayCounter,Z50,AA50,,,Trigger)</f>
        <v>0.5083333333333333</v>
      </c>
      <c r="AC50" s="348">
        <f>_xll.qlInterpolationInterpolate(B6Minterpolation,Z50,TRUE)</f>
        <v>2.1052013371686148E-3</v>
      </c>
      <c r="AD50" s="184">
        <f>_xll.qlYieldTSDiscount(Discounting,Z50,,AllTriggers)</f>
        <v>1.0001853058317314</v>
      </c>
      <c r="AE50" s="184">
        <f>_xll.qlYieldTSDiscount(Discounting,AA50,,AllTriggers)</f>
        <v>1.0009375338160067</v>
      </c>
      <c r="AF50" s="181">
        <f t="shared" si="5"/>
        <v>-1.4784066996766715E-3</v>
      </c>
      <c r="AG50" s="348">
        <f t="shared" si="6"/>
        <v>1.0703757995725151E-3</v>
      </c>
    </row>
    <row r="51" spans="5:33" ht="11.25" customHeight="1" x14ac:dyDescent="0.2">
      <c r="E51" s="340"/>
      <c r="F51" s="340"/>
      <c r="G51" s="340"/>
      <c r="H51" s="155"/>
      <c r="K51" s="155"/>
      <c r="L51" s="155"/>
      <c r="Z51" s="183">
        <f>_xll.qlCalendarAdvance(Calendar,Z50,"1D","f")</f>
        <v>42179</v>
      </c>
      <c r="AA51" s="390">
        <f>_xll.qlCalendarAdvance(Calendar,Z51,$F$1,"mf",,Trigger)</f>
        <v>42362</v>
      </c>
      <c r="AB51" s="391">
        <f>_xll.qlDayCounterYearFraction(DayCounter,Z51,AA51,,,Trigger)</f>
        <v>0.5083333333333333</v>
      </c>
      <c r="AC51" s="348">
        <f>_xll.qlInterpolationInterpolate(B6Minterpolation,Z51,TRUE)</f>
        <v>2.105048977731094E-3</v>
      </c>
      <c r="AD51" s="184">
        <f>_xll.qlYieldTSDiscount(Discounting,Z51,,AllTriggers)</f>
        <v>1.0001889544038347</v>
      </c>
      <c r="AE51" s="184">
        <f>_xll.qlYieldTSDiscount(Discounting,AA51,,AllTriggers)</f>
        <v>1.000942208793453</v>
      </c>
      <c r="AF51" s="181">
        <f t="shared" si="5"/>
        <v>-1.4804170520386292E-3</v>
      </c>
      <c r="AG51" s="348">
        <f t="shared" si="6"/>
        <v>1.0702994688652932E-3</v>
      </c>
    </row>
    <row r="52" spans="5:33" ht="11.25" customHeight="1" x14ac:dyDescent="0.2">
      <c r="E52" s="340"/>
      <c r="F52" s="340"/>
      <c r="G52" s="340"/>
      <c r="H52" s="155"/>
      <c r="K52" s="155"/>
      <c r="L52" s="155"/>
      <c r="Z52" s="183">
        <f>_xll.qlCalendarAdvance(Calendar,Z51,"1D","f")</f>
        <v>42180</v>
      </c>
      <c r="AA52" s="390">
        <f>_xll.qlCalendarAdvance(Calendar,Z52,$F$1,"mf",,Trigger)</f>
        <v>42366</v>
      </c>
      <c r="AB52" s="391">
        <f>_xll.qlDayCounterYearFraction(DayCounter,Z52,AA52,,,Trigger)</f>
        <v>0.51666666666666672</v>
      </c>
      <c r="AC52" s="348">
        <f>_xll.qlInterpolationInterpolate(B6Minterpolation,Z52,TRUE)</f>
        <v>2.1048103183015122E-3</v>
      </c>
      <c r="AD52" s="184">
        <f>_xll.qlYieldTSDiscount(Discounting,Z52,,AllTriggers)</f>
        <v>1.0001926274979351</v>
      </c>
      <c r="AE52" s="184">
        <f>_xll.qlYieldTSDiscount(Discounting,AA52,,AllTriggers)</f>
        <v>1.0009609941010782</v>
      </c>
      <c r="AF52" s="181">
        <f t="shared" si="5"/>
        <v>-1.485733386353576E-3</v>
      </c>
      <c r="AG52" s="348">
        <f t="shared" si="6"/>
        <v>1.0877289659041681E-3</v>
      </c>
    </row>
    <row r="53" spans="5:33" x14ac:dyDescent="0.2">
      <c r="E53" s="340"/>
      <c r="F53" s="340"/>
      <c r="G53" s="340"/>
      <c r="H53" s="155"/>
      <c r="K53" s="155"/>
      <c r="L53" s="155"/>
      <c r="Z53" s="183">
        <f>_xll.qlCalendarAdvance(Calendar,Z52,"1D","f")</f>
        <v>42181</v>
      </c>
      <c r="AA53" s="390">
        <f>_xll.qlCalendarAdvance(Calendar,Z53,$F$1,"mf",,Trigger)</f>
        <v>42366</v>
      </c>
      <c r="AB53" s="391">
        <f>_xll.qlDayCounterYearFraction(DayCounter,Z53,AA53,,,Trigger)</f>
        <v>0.51388888888888884</v>
      </c>
      <c r="AC53" s="348">
        <f>_xll.qlInterpolationInterpolate(B6Minterpolation,Z53,TRUE)</f>
        <v>2.1044908606588169E-3</v>
      </c>
      <c r="AD53" s="184">
        <f>_xll.qlYieldTSDiscount(Discounting,Z53,,AllTriggers)</f>
        <v>1.0001963242823797</v>
      </c>
      <c r="AE53" s="184">
        <f>_xll.qlYieldTSDiscount(Discounting,AA53,,AllTriggers)</f>
        <v>1.0009609941010782</v>
      </c>
      <c r="AF53" s="181">
        <f t="shared" si="5"/>
        <v>-1.4865775414353811E-3</v>
      </c>
      <c r="AG53" s="348">
        <f t="shared" si="6"/>
        <v>1.0817160128473089E-3</v>
      </c>
    </row>
    <row r="54" spans="5:33" x14ac:dyDescent="0.2">
      <c r="Z54" s="183">
        <f>_xll.qlCalendarAdvance(Calendar,Z53,"1D","f")</f>
        <v>42184</v>
      </c>
      <c r="AA54" s="390">
        <f>_xll.qlCalendarAdvance(Calendar,Z54,$F$1,"mf",,Trigger)</f>
        <v>42367</v>
      </c>
      <c r="AB54" s="391">
        <f>_xll.qlDayCounterYearFraction(DayCounter,Z54,AA54,,,Trigger)</f>
        <v>0.5083333333333333</v>
      </c>
      <c r="AC54" s="348">
        <f>_xll.qlInterpolationInterpolate(B6Minterpolation,Z54,TRUE)</f>
        <v>2.1031027162415209E-3</v>
      </c>
      <c r="AD54" s="184">
        <f>_xll.qlYieldTSDiscount(Discounting,Z54,,AllTriggers)</f>
        <v>1.00020754846108</v>
      </c>
      <c r="AE54" s="184">
        <f>_xll.qlYieldTSDiscount(Discounting,AA54,,AllTriggers)</f>
        <v>1.0009657101229665</v>
      </c>
      <c r="AF54" s="181">
        <f t="shared" si="5"/>
        <v>-1.4900266305665156E-3</v>
      </c>
      <c r="AG54" s="348">
        <f t="shared" si="6"/>
        <v>1.0693156574320881E-3</v>
      </c>
    </row>
    <row r="55" spans="5:33" x14ac:dyDescent="0.2">
      <c r="Z55" s="183">
        <f>_xll.qlCalendarAdvance(Calendar,Z54,"1D","f")</f>
        <v>42185</v>
      </c>
      <c r="AA55" s="390">
        <f>_xll.qlCalendarAdvance(Calendar,Z55,$F$1,"mf",,Trigger)</f>
        <v>42368</v>
      </c>
      <c r="AB55" s="391">
        <f>_xll.qlDayCounterYearFraction(DayCounter,Z55,AA55,,,Trigger)</f>
        <v>0.5083333333333333</v>
      </c>
      <c r="AC55" s="348">
        <f>_xll.qlInterpolationInterpolate(B6Minterpolation,Z55,TRUE)</f>
        <v>2.102515083535842E-3</v>
      </c>
      <c r="AD55" s="184">
        <f>_xll.qlYieldTSDiscount(Discounting,Z55,,AllTriggers)</f>
        <v>1.0002113316901495</v>
      </c>
      <c r="AE55" s="184">
        <f>_xll.qlYieldTSDiscount(Discounting,AA55,,AllTriggers)</f>
        <v>1.0009704333610352</v>
      </c>
      <c r="AF55" s="181">
        <f t="shared" si="5"/>
        <v>-1.49186700488634E-3</v>
      </c>
      <c r="AG55" s="348">
        <f t="shared" si="6"/>
        <v>1.0690180374747537E-3</v>
      </c>
    </row>
    <row r="56" spans="5:33" x14ac:dyDescent="0.2">
      <c r="Z56" s="183">
        <f>_xll.qlCalendarAdvance(Calendar,Z55,"1D","f")</f>
        <v>42186</v>
      </c>
      <c r="AA56" s="390">
        <f>_xll.qlCalendarAdvance(Calendar,Z56,$F$1,"mf",,Trigger)</f>
        <v>42373</v>
      </c>
      <c r="AB56" s="391">
        <f>_xll.qlDayCounterYearFraction(DayCounter,Z56,AA56,,,Trigger)</f>
        <v>0.51944444444444449</v>
      </c>
      <c r="AC56" s="348">
        <f>_xll.qlInterpolationInterpolate(B6Minterpolation,Z56,TRUE)</f>
        <v>2.1018741615117858E-3</v>
      </c>
      <c r="AD56" s="184">
        <f>_xll.qlYieldTSDiscount(Discounting,Z56,,AllTriggers)</f>
        <v>1.0002151344511323</v>
      </c>
      <c r="AE56" s="184">
        <f>_xll.qlYieldTSDiscount(Discounting,AA56,,AllTriggers)</f>
        <v>1.0009774296095362</v>
      </c>
      <c r="AF56" s="181">
        <f t="shared" si="5"/>
        <v>-1.4660870941090101E-3</v>
      </c>
      <c r="AG56" s="348">
        <f t="shared" si="6"/>
        <v>1.0920424607045827E-3</v>
      </c>
    </row>
    <row r="57" spans="5:33" x14ac:dyDescent="0.2">
      <c r="Z57" s="183">
        <f>_xll.qlCalendarAdvance(Calendar,Z56,"1D","f")</f>
        <v>42187</v>
      </c>
      <c r="AA57" s="390">
        <f>_xll.qlCalendarAdvance(Calendar,Z57,$F$1,"mf",,Trigger)</f>
        <v>42373</v>
      </c>
      <c r="AB57" s="391">
        <f>_xll.qlDayCounterYearFraction(DayCounter,Z57,AA57,,,Trigger)</f>
        <v>0.51666666666666672</v>
      </c>
      <c r="AC57" s="348">
        <f>_xll.qlInterpolationInterpolate(B6Minterpolation,Z57,TRUE)</f>
        <v>2.101185451948298E-3</v>
      </c>
      <c r="AD57" s="184">
        <f>_xll.qlYieldTSDiscount(Discounting,Z57,,AllTriggers)</f>
        <v>1.0002189559123087</v>
      </c>
      <c r="AE57" s="184">
        <f>_xll.qlYieldTSDiscount(Discounting,AA57,,AllTriggers)</f>
        <v>1.0009774296095362</v>
      </c>
      <c r="AF57" s="181">
        <f t="shared" si="5"/>
        <v>-1.4665801286945482E-3</v>
      </c>
      <c r="AG57" s="348">
        <f t="shared" si="6"/>
        <v>1.0858459675996701E-3</v>
      </c>
    </row>
    <row r="58" spans="5:33" x14ac:dyDescent="0.2">
      <c r="Z58" s="183">
        <f>_xll.qlCalendarAdvance(Calendar,Z57,"1D","f")</f>
        <v>42188</v>
      </c>
      <c r="AA58" s="390">
        <f>_xll.qlCalendarAdvance(Calendar,Z58,$F$1,"mf",,Trigger)</f>
        <v>42373</v>
      </c>
      <c r="AB58" s="391">
        <f>_xll.qlDayCounterYearFraction(DayCounter,Z58,AA58,,,Trigger)</f>
        <v>0.51388888888888884</v>
      </c>
      <c r="AC58" s="348">
        <f>_xll.qlInterpolationInterpolate(B6Minterpolation,Z58,TRUE)</f>
        <v>2.1004544566243268E-3</v>
      </c>
      <c r="AD58" s="184">
        <f>_xll.qlYieldTSDiscount(Discounting,Z58,,AllTriggers)</f>
        <v>1.0002227952419471</v>
      </c>
      <c r="AE58" s="184">
        <f>_xll.qlYieldTSDiscount(Discounting,AA58,,AllTriggers)</f>
        <v>1.0009774296095362</v>
      </c>
      <c r="AF58" s="181">
        <f t="shared" si="5"/>
        <v>-1.467043756275605E-3</v>
      </c>
      <c r="AG58" s="348">
        <f t="shared" si="6"/>
        <v>1.0796315659779966E-3</v>
      </c>
    </row>
    <row r="59" spans="5:33" x14ac:dyDescent="0.2">
      <c r="Z59" s="183">
        <f>_xll.qlCalendarAdvance(Calendar,Z58,"1D","f")</f>
        <v>42191</v>
      </c>
      <c r="AA59" s="390">
        <f>_xll.qlCalendarAdvance(Calendar,Z59,$F$1,"mf",,Trigger)</f>
        <v>42375</v>
      </c>
      <c r="AB59" s="391">
        <f>_xll.qlDayCounterYearFraction(DayCounter,Z59,AA59,,,Trigger)</f>
        <v>0.51111111111111107</v>
      </c>
      <c r="AC59" s="348">
        <f>_xll.qlInterpolationInterpolate(B6Minterpolation,Z59,TRUE)</f>
        <v>2.0980627738789808E-3</v>
      </c>
      <c r="AD59" s="184">
        <f>_xll.qlYieldTSDiscount(Discounting,Z59,,AllTriggers)</f>
        <v>1.0002344121241438</v>
      </c>
      <c r="AE59" s="184">
        <f>_xll.qlYieldTSDiscount(Discounting,AA59,,AllTriggers)</f>
        <v>1.0009869535214815</v>
      </c>
      <c r="AF59" s="181">
        <f t="shared" si="5"/>
        <v>-1.4709118818252529E-3</v>
      </c>
      <c r="AG59" s="348">
        <f t="shared" si="6"/>
        <v>1.0725745752467404E-3</v>
      </c>
    </row>
    <row r="60" spans="5:33" x14ac:dyDescent="0.2">
      <c r="Z60" s="183">
        <f>_xll.qlCalendarAdvance(Calendar,Z59,"1D","f")</f>
        <v>42192</v>
      </c>
      <c r="AA60" s="390">
        <f>_xll.qlCalendarAdvance(Calendar,Z60,$F$1,"mf",,Trigger)</f>
        <v>42376</v>
      </c>
      <c r="AB60" s="391">
        <f>_xll.qlDayCounterYearFraction(DayCounter,Z60,AA60,,,Trigger)</f>
        <v>0.51111111111111107</v>
      </c>
      <c r="AC60" s="348">
        <f>_xll.qlInterpolationInterpolate(B6Minterpolation,Z60,TRUE)</f>
        <v>2.0972176533025451E-3</v>
      </c>
      <c r="AD60" s="184">
        <f>_xll.qlYieldTSDiscount(Discounting,Z60,,AllTriggers)</f>
        <v>1.0002383146100786</v>
      </c>
      <c r="AE60" s="184">
        <f>_xll.qlYieldTSDiscount(Discounting,AA60,,AllTriggers)</f>
        <v>1.0009917224958267</v>
      </c>
      <c r="AF60" s="181">
        <f t="shared" si="5"/>
        <v>-1.4725984978407991E-3</v>
      </c>
      <c r="AG60" s="348">
        <f t="shared" si="6"/>
        <v>1.0721436874904485E-3</v>
      </c>
    </row>
    <row r="61" spans="5:33" x14ac:dyDescent="0.2">
      <c r="Z61" s="183">
        <f>_xll.qlCalendarAdvance(Calendar,Z60,"1D","f")</f>
        <v>42193</v>
      </c>
      <c r="AA61" s="390">
        <f>_xll.qlCalendarAdvance(Calendar,Z61,$F$1,"mf",,Trigger)</f>
        <v>42377</v>
      </c>
      <c r="AB61" s="391">
        <f>_xll.qlDayCounterYearFraction(DayCounter,Z61,AA61,,,Trigger)</f>
        <v>0.51111111111111107</v>
      </c>
      <c r="AC61" s="348">
        <f>_xll.qlInterpolationInterpolate(B6Minterpolation,Z61,TRUE)</f>
        <v>2.0963577558603609E-3</v>
      </c>
      <c r="AD61" s="184">
        <f>_xll.qlYieldTSDiscount(Discounting,Z61,,AllTriggers)</f>
        <v>1.0002422308056387</v>
      </c>
      <c r="AE61" s="184">
        <f>_xll.qlYieldTSDiscount(Discounting,AA61,,AllTriggers)</f>
        <v>1.0009964957078081</v>
      </c>
      <c r="AF61" s="181">
        <f t="shared" si="5"/>
        <v>-1.4742665778405793E-3</v>
      </c>
      <c r="AG61" s="348">
        <f t="shared" si="6"/>
        <v>1.071705238430242E-3</v>
      </c>
    </row>
    <row r="62" spans="5:33" x14ac:dyDescent="0.2">
      <c r="Z62" s="183">
        <f>_xll.qlCalendarAdvance(Calendar,Z61,"1D","f")</f>
        <v>42194</v>
      </c>
      <c r="AA62" s="390">
        <f>_xll.qlCalendarAdvance(Calendar,Z62,$F$1,"mf",,Trigger)</f>
        <v>42380</v>
      </c>
      <c r="AB62" s="391">
        <f>_xll.qlDayCounterYearFraction(DayCounter,Z62,AA62,,,Trigger)</f>
        <v>0.51666666666666672</v>
      </c>
      <c r="AC62" s="348">
        <f>_xll.qlInterpolationInterpolate(B6Minterpolation,Z62,TRUE)</f>
        <v>2.0954885833313758E-3</v>
      </c>
      <c r="AD62" s="184">
        <f>_xll.qlYieldTSDiscount(Discounting,Z62,,AllTriggers)</f>
        <v>1.0002461598790198</v>
      </c>
      <c r="AE62" s="184">
        <f>_xll.qlYieldTSDiscount(Discounting,AA62,,AllTriggers)</f>
        <v>1.0010108374598683</v>
      </c>
      <c r="AF62" s="181">
        <f t="shared" si="5"/>
        <v>-1.478526574176439E-3</v>
      </c>
      <c r="AG62" s="348">
        <f t="shared" si="6"/>
        <v>1.0829102314373672E-3</v>
      </c>
    </row>
    <row r="63" spans="5:33" x14ac:dyDescent="0.2">
      <c r="Z63" s="183">
        <f>_xll.qlCalendarAdvance(Calendar,Z62,"1D","f")</f>
        <v>42195</v>
      </c>
      <c r="AA63" s="390">
        <f>_xll.qlCalendarAdvance(Calendar,Z63,$F$1,"mf",,Trigger)</f>
        <v>42380</v>
      </c>
      <c r="AB63" s="391">
        <f>_xll.qlDayCounterYearFraction(DayCounter,Z63,AA63,,,Trigger)</f>
        <v>0.51388888888888884</v>
      </c>
      <c r="AC63" s="348">
        <f>_xll.qlInterpolationInterpolate(B6Minterpolation,Z63,TRUE)</f>
        <v>2.0946156374945365E-3</v>
      </c>
      <c r="AD63" s="184">
        <f>_xll.qlYieldTSDiscount(Discounting,Z63,,AllTriggers)</f>
        <v>1.0002501009984053</v>
      </c>
      <c r="AE63" s="184">
        <f>_xll.qlYieldTSDiscount(Discounting,AA63,,AllTriggers)</f>
        <v>1.0010108374598683</v>
      </c>
      <c r="AF63" s="181">
        <f t="shared" si="5"/>
        <v>-1.4788571489133429E-3</v>
      </c>
      <c r="AG63" s="348">
        <f t="shared" si="6"/>
        <v>1.0766385709966052E-3</v>
      </c>
    </row>
    <row r="64" spans="5:33" x14ac:dyDescent="0.2">
      <c r="Z64" s="183">
        <f>_xll.qlCalendarAdvance(Calendar,Z63,"1D","f")</f>
        <v>42198</v>
      </c>
      <c r="AA64" s="390">
        <f>_xll.qlCalendarAdvance(Calendar,Z64,$F$1,"mf",,Trigger)</f>
        <v>42382</v>
      </c>
      <c r="AB64" s="391">
        <f>_xll.qlDayCounterYearFraction(DayCounter,Z64,AA64,,,Trigger)</f>
        <v>0.51111111111111107</v>
      </c>
      <c r="AC64" s="348">
        <f>_xll.qlInterpolationInterpolate(B6Minterpolation,Z64,TRUE)</f>
        <v>2.0920291779263651E-3</v>
      </c>
      <c r="AD64" s="184">
        <f>_xll.qlYieldTSDiscount(Discounting,Z64,,AllTriggers)</f>
        <v>1.0002619883142301</v>
      </c>
      <c r="AE64" s="184">
        <f>_xll.qlYieldTSDiscount(Discounting,AA64,,AllTriggers)</f>
        <v>1.0010204137481931</v>
      </c>
      <c r="AF64" s="181">
        <f t="shared" si="5"/>
        <v>-1.4823632252431128E-3</v>
      </c>
      <c r="AG64" s="348">
        <f t="shared" si="6"/>
        <v>1.0694979817866726E-3</v>
      </c>
    </row>
    <row r="65" spans="26:33" x14ac:dyDescent="0.2">
      <c r="Z65" s="183">
        <f>_xll.qlCalendarAdvance(Calendar,Z64,"1D","f")</f>
        <v>42199</v>
      </c>
      <c r="AA65" s="390">
        <f>_xll.qlCalendarAdvance(Calendar,Z65,$F$1,"mf",,Trigger)</f>
        <v>42383</v>
      </c>
      <c r="AB65" s="391">
        <f>_xll.qlDayCounterYearFraction(DayCounter,Z65,AA65,,,Trigger)</f>
        <v>0.51111111111111107</v>
      </c>
      <c r="AC65" s="348">
        <f>_xll.qlInterpolationInterpolate(B6Minterpolation,Z65,TRUE)</f>
        <v>2.0911961566475804E-3</v>
      </c>
      <c r="AD65" s="184">
        <f>_xll.qlYieldTSDiscount(Discounting,Z65,,AllTriggers)</f>
        <v>1.0002659692992109</v>
      </c>
      <c r="AE65" s="184">
        <f>_xll.qlYieldTSDiscount(Discounting,AA65,,AllTriggers)</f>
        <v>1.0010252054354645</v>
      </c>
      <c r="AF65" s="181">
        <f t="shared" si="5"/>
        <v>-1.4839406616813234E-3</v>
      </c>
      <c r="AG65" s="348">
        <f t="shared" si="6"/>
        <v>1.0690732100232343E-3</v>
      </c>
    </row>
    <row r="66" spans="26:33" x14ac:dyDescent="0.2">
      <c r="Z66" s="183">
        <f>_xll.qlCalendarAdvance(Calendar,Z65,"1D","f")</f>
        <v>42200</v>
      </c>
      <c r="AA66" s="390">
        <f>_xll.qlCalendarAdvance(Calendar,Z66,$F$1,"mf",,Trigger)</f>
        <v>42384</v>
      </c>
      <c r="AB66" s="391">
        <f>_xll.qlDayCounterYearFraction(DayCounter,Z66,AA66,,,Trigger)</f>
        <v>0.51111111111111107</v>
      </c>
      <c r="AC66" s="348">
        <f>_xll.qlInterpolationInterpolate(B6Minterpolation,Z66,TRUE)</f>
        <v>2.090386870955677E-3</v>
      </c>
      <c r="AD66" s="184">
        <f>_xll.qlYieldTSDiscount(Discounting,Z66,,AllTriggers)</f>
        <v>1.0002699581709207</v>
      </c>
      <c r="AE66" s="184">
        <f>_xll.qlYieldTSDiscount(Discounting,AA66,,AllTriggers)</f>
        <v>1.0010299990434708</v>
      </c>
      <c r="AF66" s="181">
        <f t="shared" si="5"/>
        <v>-1.4855064195807457E-3</v>
      </c>
      <c r="AG66" s="348">
        <f t="shared" si="6"/>
        <v>1.0686605587861098E-3</v>
      </c>
    </row>
    <row r="67" spans="26:33" x14ac:dyDescent="0.2">
      <c r="Z67" s="183">
        <f>_xll.qlCalendarAdvance(Calendar,Z66,"1D","f")</f>
        <v>42201</v>
      </c>
      <c r="AA67" s="390">
        <f>_xll.qlCalendarAdvance(Calendar,Z67,$F$1,"mf",,Trigger)</f>
        <v>42387</v>
      </c>
      <c r="AB67" s="391">
        <f>_xll.qlDayCounterYearFraction(DayCounter,Z67,AA67,,,Trigger)</f>
        <v>0.51666666666666672</v>
      </c>
      <c r="AC67" s="348">
        <f>_xll.qlInterpolationInterpolate(B6Minterpolation,Z67,TRUE)</f>
        <v>2.0896068226296024E-3</v>
      </c>
      <c r="AD67" s="184">
        <f>_xll.qlYieldTSDiscount(Discounting,Z67,,AllTriggers)</f>
        <v>1.0002739540974652</v>
      </c>
      <c r="AE67" s="184">
        <f>_xll.qlYieldTSDiscount(Discounting,AA67,,AllTriggers)</f>
        <v>1.0010443880817568</v>
      </c>
      <c r="AF67" s="181">
        <f t="shared" si="5"/>
        <v>-1.4896068226296023E-3</v>
      </c>
      <c r="AG67" s="348">
        <f t="shared" si="6"/>
        <v>1.0798784689823755E-3</v>
      </c>
    </row>
    <row r="68" spans="26:33" x14ac:dyDescent="0.2">
      <c r="Z68" s="183">
        <f>_xll.qlCalendarAdvance(Calendar,Z67,"1D","f")</f>
        <v>42202</v>
      </c>
      <c r="AA68" s="390">
        <f>_xll.qlCalendarAdvance(Calendar,Z68,$F$1,"mf",,Trigger)</f>
        <v>42387</v>
      </c>
      <c r="AB68" s="391">
        <f>_xll.qlDayCounterYearFraction(DayCounter,Z68,AA68,,,Trigger)</f>
        <v>0.51388888888888884</v>
      </c>
      <c r="AC68" s="348">
        <f>_xll.qlInterpolationInterpolate(B6Minterpolation,Z68,TRUE)</f>
        <v>2.088860530402407E-3</v>
      </c>
      <c r="AD68" s="184">
        <f>_xll.qlYieldTSDiscount(Discounting,Z68,,AllTriggers)</f>
        <v>1.0002779562469375</v>
      </c>
      <c r="AE68" s="184">
        <f>_xll.qlYieldTSDiscount(Discounting,AA68,,AllTriggers)</f>
        <v>1.0010443880817568</v>
      </c>
      <c r="AF68" s="181">
        <f t="shared" ref="AF68:AF131" si="17">(AD68/AE68-1)/AB68</f>
        <v>-1.4898789100335531E-3</v>
      </c>
      <c r="AG68" s="348">
        <f t="shared" ref="AG68:AG131" si="18">LN((1+(AC68+AF68)*AB68)/(1+AF68*AB68))</f>
        <v>1.0736880992686466E-3</v>
      </c>
    </row>
    <row r="69" spans="26:33" x14ac:dyDescent="0.2">
      <c r="Z69" s="183">
        <f>_xll.qlCalendarAdvance(Calendar,Z68,"1D","f")</f>
        <v>42205</v>
      </c>
      <c r="AA69" s="390">
        <f>_xll.qlCalendarAdvance(Calendar,Z69,$F$1,"mf",,Trigger)</f>
        <v>42389</v>
      </c>
      <c r="AB69" s="391">
        <f>_xll.qlDayCounterYearFraction(DayCounter,Z69,AA69,,,Trigger)</f>
        <v>0.51111111111111107</v>
      </c>
      <c r="AC69" s="348">
        <f>_xll.qlInterpolationInterpolate(B6Minterpolation,Z69,TRUE)</f>
        <v>2.0868261236251674E-3</v>
      </c>
      <c r="AD69" s="184">
        <f>_xll.qlYieldTSDiscount(Discounting,Z69,,AllTriggers)</f>
        <v>1.0002899917136512</v>
      </c>
      <c r="AE69" s="184">
        <f>_xll.qlYieldTSDiscount(Discounting,AA69,,AllTriggers)</f>
        <v>1.0010539843089161</v>
      </c>
      <c r="AF69" s="181">
        <f t="shared" si="17"/>
        <v>-1.4931943177894395E-3</v>
      </c>
      <c r="AG69" s="348">
        <f t="shared" si="18"/>
        <v>1.0668453750655594E-3</v>
      </c>
    </row>
    <row r="70" spans="26:33" x14ac:dyDescent="0.2">
      <c r="Z70" s="183">
        <f>_xll.qlCalendarAdvance(Calendar,Z69,"1D","f")</f>
        <v>42206</v>
      </c>
      <c r="AA70" s="390">
        <f>_xll.qlCalendarAdvance(Calendar,Z70,$F$1,"mf",,Trigger)</f>
        <v>42390</v>
      </c>
      <c r="AB70" s="391">
        <f>_xll.qlDayCounterYearFraction(DayCounter,Z70,AA70,,,Trigger)</f>
        <v>0.51111111111111107</v>
      </c>
      <c r="AC70" s="348">
        <f>_xll.qlInterpolationInterpolate(B6Minterpolation,Z70,TRUE)</f>
        <v>2.0862148230127667E-3</v>
      </c>
      <c r="AD70" s="184">
        <f>_xll.qlYieldTSDiscount(Discounting,Z70,,AllTriggers)</f>
        <v>1.0002940104354987</v>
      </c>
      <c r="AE70" s="184">
        <f>_xll.qlYieldTSDiscount(Discounting,AA70,,AllTriggers)</f>
        <v>1.0010587824898765</v>
      </c>
      <c r="AF70" s="181">
        <f t="shared" si="17"/>
        <v>-1.4947105764836924E-3</v>
      </c>
      <c r="AG70" s="348">
        <f t="shared" si="18"/>
        <v>1.0665338539804028E-3</v>
      </c>
    </row>
    <row r="71" spans="26:33" x14ac:dyDescent="0.2">
      <c r="Z71" s="183">
        <f>_xll.qlCalendarAdvance(Calendar,Z70,"1D","f")</f>
        <v>42207</v>
      </c>
      <c r="AA71" s="390">
        <f>_xll.qlCalendarAdvance(Calendar,Z71,$F$1,"mf",,Trigger)</f>
        <v>42391</v>
      </c>
      <c r="AB71" s="391">
        <f>_xll.qlDayCounterYearFraction(DayCounter,Z71,AA71,,,Trigger)</f>
        <v>0.51111111111111107</v>
      </c>
      <c r="AC71" s="348">
        <f>_xll.qlInterpolationInterpolate(B6Minterpolation,Z71,TRUE)</f>
        <v>2.0856362790629885E-3</v>
      </c>
      <c r="AD71" s="184">
        <f>_xll.qlYieldTSDiscount(Discounting,Z71,,AllTriggers)</f>
        <v>1.0002980312205392</v>
      </c>
      <c r="AE71" s="184">
        <f>_xll.qlYieldTSDiscount(Discounting,AA71,,AllTriggers)</f>
        <v>1.001063580274361</v>
      </c>
      <c r="AF71" s="181">
        <f t="shared" si="17"/>
        <v>-1.4962220139532216E-3</v>
      </c>
      <c r="AG71" s="348">
        <f t="shared" si="18"/>
        <v>1.0662390669395783E-3</v>
      </c>
    </row>
    <row r="72" spans="26:33" x14ac:dyDescent="0.2">
      <c r="Z72" s="183">
        <f>_xll.qlCalendarAdvance(Calendar,Z71,"1D","f")</f>
        <v>42208</v>
      </c>
      <c r="AA72" s="390">
        <f>_xll.qlCalendarAdvance(Calendar,Z72,$F$1,"mf",,Trigger)</f>
        <v>42394</v>
      </c>
      <c r="AB72" s="391">
        <f>_xll.qlDayCounterYearFraction(DayCounter,Z72,AA72,,,Trigger)</f>
        <v>0.51666666666666672</v>
      </c>
      <c r="AC72" s="348">
        <f>_xll.qlInterpolationInterpolate(B6Minterpolation,Z72,TRUE)</f>
        <v>2.0850900952794011E-3</v>
      </c>
      <c r="AD72" s="184">
        <f>_xll.qlYieldTSDiscount(Discounting,Z72,,AllTriggers)</f>
        <v>1.0003020533778955</v>
      </c>
      <c r="AE72" s="184">
        <f>_xll.qlYieldTSDiscount(Discounting,AA72,,AllTriggers)</f>
        <v>1.0010779679383706</v>
      </c>
      <c r="AF72" s="181">
        <f t="shared" si="17"/>
        <v>-1.5001530002117969E-3</v>
      </c>
      <c r="AG72" s="348">
        <f t="shared" si="18"/>
        <v>1.0775514197845669E-3</v>
      </c>
    </row>
    <row r="73" spans="26:33" x14ac:dyDescent="0.2">
      <c r="Z73" s="183">
        <f>_xll.qlCalendarAdvance(Calendar,Z72,"1D","f")</f>
        <v>42209</v>
      </c>
      <c r="AA73" s="390">
        <f>_xll.qlCalendarAdvance(Calendar,Z73,$F$1,"mf",,Trigger)</f>
        <v>42394</v>
      </c>
      <c r="AB73" s="391">
        <f>_xll.qlDayCounterYearFraction(DayCounter,Z73,AA73,,,Trigger)</f>
        <v>0.51388888888888884</v>
      </c>
      <c r="AC73" s="348">
        <f>_xll.qlInterpolationInterpolate(B6Minterpolation,Z73,TRUE)</f>
        <v>2.0845758751655741E-3</v>
      </c>
      <c r="AD73" s="184">
        <f>_xll.qlYieldTSDiscount(Discounting,Z73,,AllTriggers)</f>
        <v>1.0003060767811169</v>
      </c>
      <c r="AE73" s="184">
        <f>_xll.qlYieldTSDiscount(Discounting,AA73,,AllTriggers)</f>
        <v>1.0010779679383706</v>
      </c>
      <c r="AF73" s="181">
        <f t="shared" si="17"/>
        <v>-1.500441040833797E-3</v>
      </c>
      <c r="AG73" s="348">
        <f t="shared" si="18"/>
        <v>1.0714927548123865E-3</v>
      </c>
    </row>
    <row r="74" spans="26:33" x14ac:dyDescent="0.2">
      <c r="Z74" s="183">
        <f>_xll.qlCalendarAdvance(Calendar,Z73,"1D","f")</f>
        <v>42212</v>
      </c>
      <c r="AA74" s="390">
        <f>_xll.qlCalendarAdvance(Calendar,Z74,$F$1,"mf",,Trigger)</f>
        <v>42396</v>
      </c>
      <c r="AB74" s="391">
        <f>_xll.qlDayCounterYearFraction(DayCounter,Z74,AA74,,,Trigger)</f>
        <v>0.51111111111111107</v>
      </c>
      <c r="AC74" s="348">
        <f>_xll.qlInterpolationInterpolate(B6Minterpolation,Z74,TRUE)</f>
        <v>2.0832210318783477E-3</v>
      </c>
      <c r="AD74" s="184">
        <f>_xll.qlYieldTSDiscount(Discounting,Z74,,AllTriggers)</f>
        <v>1.0003181546125548</v>
      </c>
      <c r="AE74" s="184">
        <f>_xll.qlYieldTSDiscount(Discounting,AA74,,AllTriggers)</f>
        <v>1.0010875517239155</v>
      </c>
      <c r="AF74" s="181">
        <f t="shared" si="17"/>
        <v>-1.5037068154620224E-3</v>
      </c>
      <c r="AG74" s="348">
        <f t="shared" si="18"/>
        <v>1.0650090534918431E-3</v>
      </c>
    </row>
    <row r="75" spans="26:33" x14ac:dyDescent="0.2">
      <c r="Z75" s="183">
        <f>_xll.qlCalendarAdvance(Calendar,Z74,"1D","f")</f>
        <v>42213</v>
      </c>
      <c r="AA75" s="390">
        <f>_xll.qlCalendarAdvance(Calendar,Z75,$F$1,"mf",,Trigger)</f>
        <v>42397</v>
      </c>
      <c r="AB75" s="391">
        <f>_xll.qlDayCounterYearFraction(DayCounter,Z75,AA75,,,Trigger)</f>
        <v>0.51111111111111107</v>
      </c>
      <c r="AC75" s="348">
        <f>_xll.qlInterpolationInterpolate(B6Minterpolation,Z75,TRUE)</f>
        <v>2.0828307014792548E-3</v>
      </c>
      <c r="AD75" s="184">
        <f>_xll.qlYieldTSDiscount(Discounting,Z75,,AllTriggers)</f>
        <v>1.0003221831458198</v>
      </c>
      <c r="AE75" s="184">
        <f>_xll.qlYieldTSDiscount(Discounting,AA75,,AllTriggers)</f>
        <v>1.0010923406072361</v>
      </c>
      <c r="AF75" s="181">
        <f t="shared" si="17"/>
        <v>-1.5051856404179923E-3</v>
      </c>
      <c r="AG75" s="348">
        <f t="shared" si="18"/>
        <v>1.0648104153630992E-3</v>
      </c>
    </row>
    <row r="76" spans="26:33" x14ac:dyDescent="0.2">
      <c r="Z76" s="183">
        <f>_xll.qlCalendarAdvance(Calendar,Z75,"1D","f")</f>
        <v>42214</v>
      </c>
      <c r="AA76" s="390">
        <f>_xll.qlCalendarAdvance(Calendar,Z76,$F$1,"mf",,Trigger)</f>
        <v>42398</v>
      </c>
      <c r="AB76" s="391">
        <f>_xll.qlDayCounterYearFraction(DayCounter,Z76,AA76,,,Trigger)</f>
        <v>0.51111111111111107</v>
      </c>
      <c r="AC76" s="348">
        <f>_xll.qlInterpolationInterpolate(B6Minterpolation,Z76,TRUE)</f>
        <v>2.0824703522677682E-3</v>
      </c>
      <c r="AD76" s="184">
        <f>_xll.qlYieldTSDiscount(Discounting,Z76,,AllTriggers)</f>
        <v>1.0003262129982422</v>
      </c>
      <c r="AE76" s="184">
        <f>_xll.qlYieldTSDiscount(Discounting,AA76,,AllTriggers)</f>
        <v>1.0010971275138481</v>
      </c>
      <c r="AF76" s="181">
        <f t="shared" si="17"/>
        <v>-1.5066580128341555E-3</v>
      </c>
      <c r="AG76" s="348">
        <f t="shared" si="18"/>
        <v>1.0646270925921577E-3</v>
      </c>
    </row>
    <row r="77" spans="26:33" x14ac:dyDescent="0.2">
      <c r="Z77" s="183">
        <f>_xll.qlCalendarAdvance(Calendar,Z76,"1D","f")</f>
        <v>42215</v>
      </c>
      <c r="AA77" s="390">
        <f>_xll.qlCalendarAdvance(Calendar,Z77,$F$1,"mf",,Trigger)</f>
        <v>42398</v>
      </c>
      <c r="AB77" s="391">
        <f>_xll.qlDayCounterYearFraction(DayCounter,Z77,AA77,,,Trigger)</f>
        <v>0.5083333333333333</v>
      </c>
      <c r="AC77" s="348">
        <f>_xll.qlInterpolationInterpolate(B6Minterpolation,Z77,TRUE)</f>
        <v>2.0821395877474577E-3</v>
      </c>
      <c r="AD77" s="184">
        <f>_xll.qlYieldTSDiscount(Discounting,Z77,,AllTriggers)</f>
        <v>1.0003302441844815</v>
      </c>
      <c r="AE77" s="184">
        <f>_xll.qlYieldTSDiscount(Discounting,AA77,,AllTriggers)</f>
        <v>1.0010971275138481</v>
      </c>
      <c r="AF77" s="181">
        <f t="shared" si="17"/>
        <v>-1.5069696051998531E-3</v>
      </c>
      <c r="AG77" s="348">
        <f t="shared" si="18"/>
        <v>1.0586717837438228E-3</v>
      </c>
    </row>
    <row r="78" spans="26:33" x14ac:dyDescent="0.2">
      <c r="Z78" s="183">
        <f>_xll.qlCalendarAdvance(Calendar,Z77,"1D","f")</f>
        <v>42216</v>
      </c>
      <c r="AA78" s="390">
        <f>_xll.qlCalendarAdvance(Calendar,Z78,$F$1,"mf",,Trigger)</f>
        <v>42398</v>
      </c>
      <c r="AB78" s="391">
        <f>_xll.qlDayCounterYearFraction(DayCounter,Z78,AA78,,,Trigger)</f>
        <v>0.50555555555555554</v>
      </c>
      <c r="AC78" s="348">
        <f>_xll.qlInterpolationInterpolate(B6Minterpolation,Z78,TRUE)</f>
        <v>2.081838011421892E-3</v>
      </c>
      <c r="AD78" s="184">
        <f>_xll.qlYieldTSDiscount(Discounting,Z78,,AllTriggers)</f>
        <v>1.0003342767191969</v>
      </c>
      <c r="AE78" s="184">
        <f>_xll.qlYieldTSDiscount(Discounting,AA78,,AllTriggers)</f>
        <v>1.0010971275138481</v>
      </c>
      <c r="AF78" s="181">
        <f t="shared" si="17"/>
        <v>-1.5072819572650386E-3</v>
      </c>
      <c r="AG78" s="348">
        <f t="shared" si="18"/>
        <v>1.0527330750258654E-3</v>
      </c>
    </row>
    <row r="79" spans="26:33" x14ac:dyDescent="0.2">
      <c r="Z79" s="183">
        <f>_xll.qlCalendarAdvance(Calendar,Z78,"1D","f")</f>
        <v>42219</v>
      </c>
      <c r="AA79" s="390">
        <f>_xll.qlCalendarAdvance(Calendar,Z79,$F$1,"mf",,Trigger)</f>
        <v>42403</v>
      </c>
      <c r="AB79" s="391">
        <f>_xll.qlDayCounterYearFraction(DayCounter,Z79,AA79,,,Trigger)</f>
        <v>0.51111111111111107</v>
      </c>
      <c r="AC79" s="348">
        <f>_xll.qlInterpolationInterpolate(B6Minterpolation,Z79,TRUE)</f>
        <v>2.0811044466493588E-3</v>
      </c>
      <c r="AD79" s="184">
        <f>_xll.qlYieldTSDiscount(Discounting,Z79,,AllTriggers)</f>
        <v>1.0003463825607983</v>
      </c>
      <c r="AE79" s="184">
        <f>_xll.qlYieldTSDiscount(Discounting,AA79,,AllTriggers)</f>
        <v>1.0011210337107215</v>
      </c>
      <c r="AF79" s="181">
        <f t="shared" si="17"/>
        <v>-1.5139246544938576E-3</v>
      </c>
      <c r="AG79" s="348">
        <f t="shared" si="18"/>
        <v>1.063933120667476E-3</v>
      </c>
    </row>
    <row r="80" spans="26:33" x14ac:dyDescent="0.2">
      <c r="Z80" s="183">
        <f>_xll.qlCalendarAdvance(Calendar,Z79,"1D","f")</f>
        <v>42220</v>
      </c>
      <c r="AA80" s="390">
        <f>_xll.qlCalendarAdvance(Calendar,Z80,$F$1,"mf",,Trigger)</f>
        <v>42404</v>
      </c>
      <c r="AB80" s="391">
        <f>_xll.qlDayCounterYearFraction(DayCounter,Z80,AA80,,,Trigger)</f>
        <v>0.51111111111111107</v>
      </c>
      <c r="AC80" s="348">
        <f>_xll.qlInterpolationInterpolate(B6Minterpolation,Z80,TRUE)</f>
        <v>2.0809156581384665E-3</v>
      </c>
      <c r="AD80" s="184">
        <f>_xll.qlYieldTSDiscount(Discounting,Z80,,AllTriggers)</f>
        <v>1.0003504206360174</v>
      </c>
      <c r="AE80" s="184">
        <f>_xll.qlYieldTSDiscount(Discounting,AA80,,AllTriggers)</f>
        <v>1.0011258095457591</v>
      </c>
      <c r="AF80" s="181">
        <f t="shared" si="17"/>
        <v>-1.5153592522787716E-3</v>
      </c>
      <c r="AG80" s="348">
        <f t="shared" si="18"/>
        <v>1.0638374369573195E-3</v>
      </c>
    </row>
    <row r="81" spans="26:33" x14ac:dyDescent="0.2">
      <c r="Z81" s="183">
        <f>_xll.qlCalendarAdvance(Calendar,Z80,"1D","f")</f>
        <v>42221</v>
      </c>
      <c r="AA81" s="390">
        <f>_xll.qlCalendarAdvance(Calendar,Z81,$F$1,"mf",,Trigger)</f>
        <v>42405</v>
      </c>
      <c r="AB81" s="391">
        <f>_xll.qlDayCounterYearFraction(DayCounter,Z81,AA81,,,Trigger)</f>
        <v>0.51111111111111107</v>
      </c>
      <c r="AC81" s="348">
        <f>_xll.qlInterpolationInterpolate(B6Minterpolation,Z81,TRUE)</f>
        <v>2.0807540753401653E-3</v>
      </c>
      <c r="AD81" s="184">
        <f>_xll.qlYieldTSDiscount(Discounting,Z81,,AllTriggers)</f>
        <v>1.0003544601330134</v>
      </c>
      <c r="AE81" s="184">
        <f>_xll.qlYieldTSDiscount(Discounting,AA81,,AllTriggers)</f>
        <v>1.0011305836669879</v>
      </c>
      <c r="AF81" s="181">
        <f t="shared" si="17"/>
        <v>-1.5167877110593808E-3</v>
      </c>
      <c r="AG81" s="348">
        <f t="shared" si="18"/>
        <v>1.0637556508941663E-3</v>
      </c>
    </row>
    <row r="82" spans="26:33" x14ac:dyDescent="0.2">
      <c r="Z82" s="183">
        <f>_xll.qlCalendarAdvance(Calendar,Z81,"1D","f")</f>
        <v>42222</v>
      </c>
      <c r="AA82" s="390">
        <f>_xll.qlCalendarAdvance(Calendar,Z82,$F$1,"mf",,Trigger)</f>
        <v>42408</v>
      </c>
      <c r="AB82" s="391">
        <f>_xll.qlDayCounterYearFraction(DayCounter,Z82,AA82,,,Trigger)</f>
        <v>0.51666666666666672</v>
      </c>
      <c r="AC82" s="348">
        <f>_xll.qlInterpolationInterpolate(B6Minterpolation,Z82,TRUE)</f>
        <v>2.0806193017580245E-3</v>
      </c>
      <c r="AD82" s="184">
        <f>_xll.qlYieldTSDiscount(Discounting,Z82,,AllTriggers)</f>
        <v>1.0003585010664471</v>
      </c>
      <c r="AE82" s="184">
        <f>_xll.qlYieldTSDiscount(Discounting,AA82,,AllTriggers)</f>
        <v>1.0011448961234242</v>
      </c>
      <c r="AF82" s="181">
        <f t="shared" si="17"/>
        <v>-1.52031434698559E-3</v>
      </c>
      <c r="AG82" s="348">
        <f t="shared" si="18"/>
        <v>1.0752534082681267E-3</v>
      </c>
    </row>
    <row r="83" spans="26:33" x14ac:dyDescent="0.2">
      <c r="Z83" s="183">
        <f>_xll.qlCalendarAdvance(Calendar,Z82,"1D","f")</f>
        <v>42223</v>
      </c>
      <c r="AA83" s="390">
        <f>_xll.qlCalendarAdvance(Calendar,Z83,$F$1,"mf",,Trigger)</f>
        <v>42408</v>
      </c>
      <c r="AB83" s="391">
        <f>_xll.qlDayCounterYearFraction(DayCounter,Z83,AA83,,,Trigger)</f>
        <v>0.51388888888888884</v>
      </c>
      <c r="AC83" s="348">
        <f>_xll.qlInterpolationInterpolate(B6Minterpolation,Z83,TRUE)</f>
        <v>2.0805109408956139E-3</v>
      </c>
      <c r="AD83" s="184">
        <f>_xll.qlYieldTSDiscount(Discounting,Z83,,AllTriggers)</f>
        <v>1.0003625434509795</v>
      </c>
      <c r="AE83" s="184">
        <f>_xll.qlYieldTSDiscount(Discounting,AA83,,AllTriggers)</f>
        <v>1.0011448961234242</v>
      </c>
      <c r="AF83" s="181">
        <f t="shared" si="17"/>
        <v>-1.5206749963353864E-3</v>
      </c>
      <c r="AG83" s="348">
        <f t="shared" si="18"/>
        <v>1.0694155773632533E-3</v>
      </c>
    </row>
    <row r="84" spans="26:33" x14ac:dyDescent="0.2">
      <c r="Z84" s="183">
        <f>_xll.qlCalendarAdvance(Calendar,Z83,"1D","f")</f>
        <v>42226</v>
      </c>
      <c r="AA84" s="390">
        <f>_xll.qlCalendarAdvance(Calendar,Z84,$F$1,"mf",,Trigger)</f>
        <v>42410</v>
      </c>
      <c r="AB84" s="391">
        <f>_xll.qlDayCounterYearFraction(DayCounter,Z84,AA84,,,Trigger)</f>
        <v>0.51111111111111107</v>
      </c>
      <c r="AC84" s="348">
        <f>_xll.qlInterpolationInterpolate(B6Minterpolation,Z84,TRUE)</f>
        <v>2.080340369662453E-3</v>
      </c>
      <c r="AD84" s="184">
        <f>_xll.qlYieldTSDiscount(Discounting,Z84,,AllTriggers)</f>
        <v>1.0003746794577846</v>
      </c>
      <c r="AE84" s="184">
        <f>_xll.qlYieldTSDiscount(Discounting,AA84,,AllTriggers)</f>
        <v>1.0011544298806232</v>
      </c>
      <c r="AF84" s="181">
        <f t="shared" si="17"/>
        <v>-1.5238394875421279E-3</v>
      </c>
      <c r="AG84" s="348">
        <f t="shared" si="18"/>
        <v>1.063548096454339E-3</v>
      </c>
    </row>
    <row r="85" spans="26:33" x14ac:dyDescent="0.2">
      <c r="Z85" s="183">
        <f>_xll.qlCalendarAdvance(Calendar,Z84,"1D","f")</f>
        <v>42227</v>
      </c>
      <c r="AA85" s="390">
        <f>_xll.qlCalendarAdvance(Calendar,Z85,$F$1,"mf",,Trigger)</f>
        <v>42411</v>
      </c>
      <c r="AB85" s="391">
        <f>_xll.qlDayCounterYearFraction(DayCounter,Z85,AA85,,,Trigger)</f>
        <v>0.51111111111111107</v>
      </c>
      <c r="AC85" s="348">
        <f>_xll.qlInterpolationInterpolate(B6Minterpolation,Z85,TRUE)</f>
        <v>2.080333694714654E-3</v>
      </c>
      <c r="AD85" s="184">
        <f>_xll.qlYieldTSDiscount(Discounting,Z85,,AllTriggers)</f>
        <v>1.0003787277933285</v>
      </c>
      <c r="AE85" s="184">
        <f>_xll.qlYieldTSDiscount(Discounting,AA85,,AllTriggers)</f>
        <v>1.0011591945077842</v>
      </c>
      <c r="AF85" s="181">
        <f t="shared" si="17"/>
        <v>-1.5252320528816915E-3</v>
      </c>
      <c r="AG85" s="348">
        <f t="shared" si="18"/>
        <v>1.0635454429563523E-3</v>
      </c>
    </row>
    <row r="86" spans="26:33" x14ac:dyDescent="0.2">
      <c r="Z86" s="183">
        <f>_xll.qlCalendarAdvance(Calendar,Z85,"1D","f")</f>
        <v>42228</v>
      </c>
      <c r="AA86" s="390">
        <f>_xll.qlCalendarAdvance(Calendar,Z86,$F$1,"mf",,Trigger)</f>
        <v>42412</v>
      </c>
      <c r="AB86" s="391">
        <f>_xll.qlDayCounterYearFraction(DayCounter,Z86,AA86,,,Trigger)</f>
        <v>0.51111111111111107</v>
      </c>
      <c r="AC86" s="348">
        <f>_xll.qlInterpolationInterpolate(B6Minterpolation,Z86,TRUE)</f>
        <v>2.0803514500044311E-3</v>
      </c>
      <c r="AD86" s="184">
        <f>_xll.qlYieldTSDiscount(Discounting,Z86,,AllTriggers)</f>
        <v>1.0003827776532799</v>
      </c>
      <c r="AE86" s="184">
        <f>_xll.qlYieldTSDiscount(Discounting,AA86,,AllTriggers)</f>
        <v>1.0011639576840716</v>
      </c>
      <c r="AF86" s="181">
        <f t="shared" si="17"/>
        <v>-1.5266187927441977E-3</v>
      </c>
      <c r="AG86" s="348">
        <f t="shared" si="18"/>
        <v>1.0635552693202073E-3</v>
      </c>
    </row>
    <row r="87" spans="26:33" x14ac:dyDescent="0.2">
      <c r="Z87" s="183">
        <f>_xll.qlCalendarAdvance(Calendar,Z86,"1D","f")</f>
        <v>42229</v>
      </c>
      <c r="AA87" s="390">
        <f>_xll.qlCalendarAdvance(Calendar,Z87,$F$1,"mf",,Trigger)</f>
        <v>42415</v>
      </c>
      <c r="AB87" s="391">
        <f>_xll.qlDayCounterYearFraction(DayCounter,Z87,AA87,,,Trigger)</f>
        <v>0.51666666666666672</v>
      </c>
      <c r="AC87" s="348">
        <f>_xll.qlInterpolationInterpolate(B6Minterpolation,Z87,TRUE)</f>
        <v>2.0803932390353534E-3</v>
      </c>
      <c r="AD87" s="184">
        <f>_xll.qlYieldTSDiscount(Discounting,Z87,,AllTriggers)</f>
        <v>1.0003868290523024</v>
      </c>
      <c r="AE87" s="184">
        <f>_xll.qlYieldTSDiscount(Discounting,AA87,,AllTriggers)</f>
        <v>1.0011782388833481</v>
      </c>
      <c r="AF87" s="181">
        <f t="shared" si="17"/>
        <v>-1.5299583069471716E-3</v>
      </c>
      <c r="AG87" s="348">
        <f t="shared" si="18"/>
        <v>1.0751420014443432E-3</v>
      </c>
    </row>
    <row r="88" spans="26:33" x14ac:dyDescent="0.2">
      <c r="Z88" s="183">
        <f>_xll.qlCalendarAdvance(Calendar,Z87,"1D","f")</f>
        <v>42230</v>
      </c>
      <c r="AA88" s="390">
        <f>_xll.qlCalendarAdvance(Calendar,Z88,$F$1,"mf",,Trigger)</f>
        <v>42415</v>
      </c>
      <c r="AB88" s="391">
        <f>_xll.qlDayCounterYearFraction(DayCounter,Z88,AA88,,,Trigger)</f>
        <v>0.51388888888888884</v>
      </c>
      <c r="AC88" s="348">
        <f>_xll.qlInterpolationInterpolate(B6Minterpolation,Z88,TRUE)</f>
        <v>2.0804586653109906E-3</v>
      </c>
      <c r="AD88" s="184">
        <f>_xll.qlYieldTSDiscount(Discounting,Z88,,AllTriggers)</f>
        <v>1.000390882005058</v>
      </c>
      <c r="AE88" s="184">
        <f>_xll.qlYieldTSDiscount(Discounting,AA88,,AllTriggers)</f>
        <v>1.0011782388833481</v>
      </c>
      <c r="AF88" s="181">
        <f t="shared" si="17"/>
        <v>-1.5303508064960459E-3</v>
      </c>
      <c r="AG88" s="348">
        <f t="shared" si="18"/>
        <v>1.0693940399000164E-3</v>
      </c>
    </row>
    <row r="89" spans="26:33" x14ac:dyDescent="0.2">
      <c r="Z89" s="183">
        <f>_xll.qlCalendarAdvance(Calendar,Z88,"1D","f")</f>
        <v>42233</v>
      </c>
      <c r="AA89" s="390">
        <f>_xll.qlCalendarAdvance(Calendar,Z89,$F$1,"mf",,Trigger)</f>
        <v>42417</v>
      </c>
      <c r="AB89" s="391">
        <f>_xll.qlDayCounterYearFraction(DayCounter,Z89,AA89,,,Trigger)</f>
        <v>0.51111111111111107</v>
      </c>
      <c r="AC89" s="348">
        <f>_xll.qlInterpolationInterpolate(B6Minterpolation,Z89,TRUE)</f>
        <v>2.0807928026418819E-3</v>
      </c>
      <c r="AD89" s="184">
        <f>_xll.qlYieldTSDiscount(Discounting,Z89,,AllTriggers)</f>
        <v>1.0004030503323569</v>
      </c>
      <c r="AE89" s="184">
        <f>_xll.qlYieldTSDiscount(Discounting,AA89,,AllTriggers)</f>
        <v>1.0011877531172111</v>
      </c>
      <c r="AF89" s="181">
        <f t="shared" si="17"/>
        <v>-1.5334666774971409E-3</v>
      </c>
      <c r="AG89" s="348">
        <f t="shared" si="18"/>
        <v>1.0637845099099705E-3</v>
      </c>
    </row>
    <row r="90" spans="26:33" x14ac:dyDescent="0.2">
      <c r="Z90" s="183">
        <f>_xll.qlCalendarAdvance(Calendar,Z89,"1D","f")</f>
        <v>42234</v>
      </c>
      <c r="AA90" s="390">
        <f>_xll.qlCalendarAdvance(Calendar,Z90,$F$1,"mf",,Trigger)</f>
        <v>42418</v>
      </c>
      <c r="AB90" s="391">
        <f>_xll.qlDayCounterYearFraction(DayCounter,Z90,AA90,,,Trigger)</f>
        <v>0.51111111111111107</v>
      </c>
      <c r="AC90" s="348">
        <f>_xll.qlInterpolationInterpolate(B6Minterpolation,Z90,TRUE)</f>
        <v>2.0809488129320697E-3</v>
      </c>
      <c r="AD90" s="184">
        <f>_xll.qlYieldTSDiscount(Discounting,Z90,,AllTriggers)</f>
        <v>1.0004071096466791</v>
      </c>
      <c r="AE90" s="184">
        <f>_xll.qlYieldTSDiscount(Discounting,AA90,,AllTriggers)</f>
        <v>1.00119250837715</v>
      </c>
      <c r="AF90" s="181">
        <f t="shared" si="17"/>
        <v>-1.5348194050538494E-3</v>
      </c>
      <c r="AG90" s="348">
        <f t="shared" si="18"/>
        <v>1.0638649619347854E-3</v>
      </c>
    </row>
    <row r="91" spans="26:33" x14ac:dyDescent="0.2">
      <c r="Z91" s="183">
        <f>_xll.qlCalendarAdvance(Calendar,Z90,"1D","f")</f>
        <v>42235</v>
      </c>
      <c r="AA91" s="390">
        <f>_xll.qlCalendarAdvance(Calendar,Z91,$F$1,"mf",,Trigger)</f>
        <v>42419</v>
      </c>
      <c r="AB91" s="391">
        <f>_xll.qlDayCounterYearFraction(DayCounter,Z91,AA91,,,Trigger)</f>
        <v>0.51111111111111107</v>
      </c>
      <c r="AC91" s="348">
        <f>_xll.qlInterpolationInterpolate(B6Minterpolation,Z91,TRUE)</f>
        <v>2.0811264779848184E-3</v>
      </c>
      <c r="AD91" s="184">
        <f>_xll.qlYieldTSDiscount(Discounting,Z91,,AllTriggers)</f>
        <v>1.0004111705880525</v>
      </c>
      <c r="AE91" s="184">
        <f>_xll.qlYieldTSDiscount(Discounting,AA91,,AllTriggers)</f>
        <v>1.0011972624491865</v>
      </c>
      <c r="AF91" s="181">
        <f t="shared" si="17"/>
        <v>-1.536166620651625E-3</v>
      </c>
      <c r="AG91" s="348">
        <f t="shared" si="18"/>
        <v>1.0639564759741854E-3</v>
      </c>
    </row>
    <row r="92" spans="26:33" x14ac:dyDescent="0.2">
      <c r="Z92" s="183">
        <f>_xll.qlCalendarAdvance(Calendar,Z91,"1D","f")</f>
        <v>42236</v>
      </c>
      <c r="AA92" s="390">
        <f>_xll.qlCalendarAdvance(Calendar,Z92,$F$1,"mf",,Trigger)</f>
        <v>42422</v>
      </c>
      <c r="AB92" s="391">
        <f>_xll.qlDayCounterYearFraction(DayCounter,Z92,AA92,,,Trigger)</f>
        <v>0.51666666666666672</v>
      </c>
      <c r="AC92" s="348">
        <f>_xll.qlInterpolationInterpolate(B6Minterpolation,Z92,TRUE)</f>
        <v>2.0813254013036971E-3</v>
      </c>
      <c r="AD92" s="184">
        <f>_xll.qlYieldTSDiscount(Discounting,Z92,,AllTriggers)</f>
        <v>1.0004152331711411</v>
      </c>
      <c r="AE92" s="184">
        <f>_xll.qlYieldTSDiscount(Discounting,AA92,,AllTriggers)</f>
        <v>1.001211517913585</v>
      </c>
      <c r="AF92" s="181">
        <f t="shared" si="17"/>
        <v>-1.5393313481946239E-3</v>
      </c>
      <c r="AG92" s="348">
        <f t="shared" si="18"/>
        <v>1.075628691877689E-3</v>
      </c>
    </row>
    <row r="93" spans="26:33" x14ac:dyDescent="0.2">
      <c r="Z93" s="183">
        <f>_xll.qlCalendarAdvance(Calendar,Z92,"1D","f")</f>
        <v>42237</v>
      </c>
      <c r="AA93" s="390">
        <f>_xll.qlCalendarAdvance(Calendar,Z93,$F$1,"mf",,Trigger)</f>
        <v>42422</v>
      </c>
      <c r="AB93" s="391">
        <f>_xll.qlDayCounterYearFraction(DayCounter,Z93,AA93,,,Trigger)</f>
        <v>0.51388888888888884</v>
      </c>
      <c r="AC93" s="348">
        <f>_xll.qlInterpolationInterpolate(B6Minterpolation,Z93,TRUE)</f>
        <v>2.0815451863922751E-3</v>
      </c>
      <c r="AD93" s="184">
        <f>_xll.qlYieldTSDiscount(Discounting,Z93,,AllTriggers)</f>
        <v>1.0004192974106099</v>
      </c>
      <c r="AE93" s="184">
        <f>_xll.qlYieldTSDiscount(Discounting,AA93,,AllTriggers)</f>
        <v>1.001211517913585</v>
      </c>
      <c r="AF93" s="181">
        <f t="shared" si="17"/>
        <v>-1.53975283791411E-3</v>
      </c>
      <c r="AG93" s="348">
        <f t="shared" si="18"/>
        <v>1.0699574039651659E-3</v>
      </c>
    </row>
    <row r="94" spans="26:33" x14ac:dyDescent="0.2">
      <c r="Z94" s="183">
        <f>_xll.qlCalendarAdvance(Calendar,Z93,"1D","f")</f>
        <v>42240</v>
      </c>
      <c r="AA94" s="390">
        <f>_xll.qlCalendarAdvance(Calendar,Z94,$F$1,"mf",,Trigger)</f>
        <v>42424</v>
      </c>
      <c r="AB94" s="391">
        <f>_xll.qlDayCounterYearFraction(DayCounter,Z94,AA94,,,Trigger)</f>
        <v>0.51111111111111107</v>
      </c>
      <c r="AC94" s="348">
        <f>_xll.qlInterpolationInterpolate(B6Minterpolation,Z94,TRUE)</f>
        <v>2.0823257473118976E-3</v>
      </c>
      <c r="AD94" s="184">
        <f>_xll.qlYieldTSDiscount(Discounting,Z94,,AllTriggers)</f>
        <v>1.0004315002139443</v>
      </c>
      <c r="AE94" s="184">
        <f>_xll.qlYieldTSDiscount(Discounting,AA94,,AllTriggers)</f>
        <v>1.0012210163058095</v>
      </c>
      <c r="AF94" s="181">
        <f t="shared" si="17"/>
        <v>-1.5428215868130315E-3</v>
      </c>
      <c r="AG94" s="348">
        <f t="shared" si="18"/>
        <v>1.0645728869657272E-3</v>
      </c>
    </row>
    <row r="95" spans="26:33" x14ac:dyDescent="0.2">
      <c r="Z95" s="183">
        <f>_xll.qlCalendarAdvance(Calendar,Z94,"1D","f")</f>
        <v>42241</v>
      </c>
      <c r="AA95" s="390">
        <f>_xll.qlCalendarAdvance(Calendar,Z95,$F$1,"mf",,Trigger)</f>
        <v>42425</v>
      </c>
      <c r="AB95" s="391">
        <f>_xll.qlDayCounterYearFraction(DayCounter,Z95,AA95,,,Trigger)</f>
        <v>0.51111111111111107</v>
      </c>
      <c r="AC95" s="348">
        <f>_xll.qlInterpolationInterpolate(B6Minterpolation,Z95,TRUE)</f>
        <v>2.082625014514965E-3</v>
      </c>
      <c r="AD95" s="184">
        <f>_xll.qlYieldTSDiscount(Discounting,Z95,,AllTriggers)</f>
        <v>1.0004355712255828</v>
      </c>
      <c r="AE95" s="184">
        <f>_xll.qlYieldTSDiscount(Discounting,AA95,,AllTriggers)</f>
        <v>1.0012257640394284</v>
      </c>
      <c r="AF95" s="181">
        <f t="shared" si="17"/>
        <v>-1.5441366711900799E-3</v>
      </c>
      <c r="AG95" s="348">
        <f t="shared" si="18"/>
        <v>1.0647265194246105E-3</v>
      </c>
    </row>
    <row r="96" spans="26:33" x14ac:dyDescent="0.2">
      <c r="Z96" s="183">
        <f>_xll.qlCalendarAdvance(Calendar,Z95,"1D","f")</f>
        <v>42242</v>
      </c>
      <c r="AA96" s="390">
        <f>_xll.qlCalendarAdvance(Calendar,Z96,$F$1,"mf",,Trigger)</f>
        <v>42426</v>
      </c>
      <c r="AB96" s="391">
        <f>_xll.qlDayCounterYearFraction(DayCounter,Z96,AA96,,,Trigger)</f>
        <v>0.51111111111111107</v>
      </c>
      <c r="AC96" s="348">
        <f>_xll.qlInterpolationInterpolate(B6Minterpolation,Z96,TRUE)</f>
        <v>2.0829431610055785E-3</v>
      </c>
      <c r="AD96" s="184">
        <f>_xll.qlYieldTSDiscount(Discounting,Z96,,AllTriggers)</f>
        <v>1.0004396439669276</v>
      </c>
      <c r="AE96" s="184">
        <f>_xll.qlYieldTSDiscount(Discounting,AA96,,AllTriggers)</f>
        <v>1.0012305108481507</v>
      </c>
      <c r="AF96" s="181">
        <f t="shared" si="17"/>
        <v>-1.5454465571174138E-3</v>
      </c>
      <c r="AG96" s="348">
        <f t="shared" si="18"/>
        <v>1.0648897960000103E-3</v>
      </c>
    </row>
    <row r="97" spans="26:33" x14ac:dyDescent="0.2">
      <c r="Z97" s="183">
        <f>_xll.qlCalendarAdvance(Calendar,Z96,"1D","f")</f>
        <v>42243</v>
      </c>
      <c r="AA97" s="390">
        <f>_xll.qlCalendarAdvance(Calendar,Z97,$F$1,"mf",,Trigger)</f>
        <v>42429</v>
      </c>
      <c r="AB97" s="391">
        <f>_xll.qlDayCounterYearFraction(DayCounter,Z97,AA97,,,Trigger)</f>
        <v>0.51666666666666672</v>
      </c>
      <c r="AC97" s="348">
        <f>_xll.qlInterpolationInterpolate(B6Minterpolation,Z97,TRUE)</f>
        <v>2.0832797902873065E-3</v>
      </c>
      <c r="AD97" s="184">
        <f>_xll.qlYieldTSDiscount(Discounting,Z97,,AllTriggers)</f>
        <v>1.0004437184526449</v>
      </c>
      <c r="AE97" s="184">
        <f>_xll.qlYieldTSDiscount(Discounting,AA97,,AllTriggers)</f>
        <v>1.0012447461006935</v>
      </c>
      <c r="AF97" s="181">
        <f t="shared" si="17"/>
        <v>-1.548448667556259E-3</v>
      </c>
      <c r="AG97" s="348">
        <f t="shared" si="18"/>
        <v>1.0766432492803459E-3</v>
      </c>
    </row>
    <row r="98" spans="26:33" x14ac:dyDescent="0.2">
      <c r="Z98" s="183">
        <f>_xll.qlCalendarAdvance(Calendar,Z97,"1D","f")</f>
        <v>42244</v>
      </c>
      <c r="AA98" s="390">
        <f>_xll.qlCalendarAdvance(Calendar,Z98,$F$1,"mf",,Trigger)</f>
        <v>42429</v>
      </c>
      <c r="AB98" s="391">
        <f>_xll.qlDayCounterYearFraction(DayCounter,Z98,AA98,,,Trigger)</f>
        <v>0.51388888888888884</v>
      </c>
      <c r="AC98" s="348">
        <f>_xll.qlInterpolationInterpolate(B6Minterpolation,Z98,TRUE)</f>
        <v>2.0836345058637185E-3</v>
      </c>
      <c r="AD98" s="184">
        <f>_xll.qlYieldTSDiscount(Discounting,Z98,,AllTriggers)</f>
        <v>1.0004477946974004</v>
      </c>
      <c r="AE98" s="184">
        <f>_xll.qlYieldTSDiscount(Discounting,AA98,,AllTriggers)</f>
        <v>1.0012447461006935</v>
      </c>
      <c r="AF98" s="181">
        <f t="shared" si="17"/>
        <v>-1.5488963696376594E-3</v>
      </c>
      <c r="AG98" s="348">
        <f t="shared" si="18"/>
        <v>1.0710358164279746E-3</v>
      </c>
    </row>
    <row r="99" spans="26:33" x14ac:dyDescent="0.2">
      <c r="Z99" s="183">
        <f>_xll.qlCalendarAdvance(Calendar,Z98,"1D","f")</f>
        <v>42247</v>
      </c>
      <c r="AA99" s="390">
        <f>_xll.qlCalendarAdvance(Calendar,Z99,$F$1,"mf",,Trigger)</f>
        <v>42429</v>
      </c>
      <c r="AB99" s="391">
        <f>_xll.qlDayCounterYearFraction(DayCounter,Z99,AA99,,,Trigger)</f>
        <v>0.50555555555555554</v>
      </c>
      <c r="AC99" s="348">
        <f>_xll.qlInterpolationInterpolate(B6Minterpolation,Z99,TRUE)</f>
        <v>2.0848032053967518E-3</v>
      </c>
      <c r="AD99" s="184">
        <f>_xll.qlYieldTSDiscount(Discounting,Z99,,AllTriggers)</f>
        <v>1.0004600341325649</v>
      </c>
      <c r="AE99" s="184">
        <f>_xll.qlYieldTSDiscount(Discounting,AA99,,AllTriggers)</f>
        <v>1.0012447461006935</v>
      </c>
      <c r="AF99" s="181">
        <f t="shared" si="17"/>
        <v>-1.5502478544034276E-3</v>
      </c>
      <c r="AG99" s="348">
        <f t="shared" si="18"/>
        <v>1.0542546144168823E-3</v>
      </c>
    </row>
    <row r="100" spans="26:33" x14ac:dyDescent="0.2">
      <c r="Z100" s="183">
        <f>_xll.qlCalendarAdvance(Calendar,Z99,"1D","f")</f>
        <v>42248</v>
      </c>
      <c r="AA100" s="390">
        <f>_xll.qlCalendarAdvance(Calendar,Z100,$F$1,"mf",,Trigger)</f>
        <v>42430</v>
      </c>
      <c r="AB100" s="391">
        <f>_xll.qlDayCounterYearFraction(DayCounter,Z100,AA100,,,Trigger)</f>
        <v>0.50555555555555554</v>
      </c>
      <c r="AC100" s="348">
        <f>_xll.qlInterpolationInterpolate(B6Minterpolation,Z100,TRUE)</f>
        <v>2.0852263011875926E-3</v>
      </c>
      <c r="AD100" s="184">
        <f>_xll.qlYieldTSDiscount(Discounting,Z100,,AllTriggers)</f>
        <v>1.0004641175601421</v>
      </c>
      <c r="AE100" s="184">
        <f>_xll.qlYieldTSDiscount(Discounting,AA100,,AllTriggers)</f>
        <v>1.0012494895855883</v>
      </c>
      <c r="AF100" s="181">
        <f t="shared" si="17"/>
        <v>-1.5515444885762064E-3</v>
      </c>
      <c r="AG100" s="348">
        <f t="shared" si="18"/>
        <v>1.0544691464354412E-3</v>
      </c>
    </row>
    <row r="101" spans="26:33" x14ac:dyDescent="0.2">
      <c r="Z101" s="183">
        <f>_xll.qlCalendarAdvance(Calendar,Z100,"1D","f")</f>
        <v>42249</v>
      </c>
      <c r="AA101" s="390">
        <f>_xll.qlCalendarAdvance(Calendar,Z101,$F$1,"mf",,Trigger)</f>
        <v>42431</v>
      </c>
      <c r="AB101" s="391">
        <f>_xll.qlDayCounterYearFraction(DayCounter,Z101,AA101,,,Trigger)</f>
        <v>0.50555555555555554</v>
      </c>
      <c r="AC101" s="348">
        <f>_xll.qlInterpolationInterpolate(B6Minterpolation,Z101,TRUE)</f>
        <v>2.0856655007909638E-3</v>
      </c>
      <c r="AD101" s="184">
        <f>_xll.qlYieldTSDiscount(Discounting,Z101,,AllTriggers)</f>
        <v>1.0004682028200929</v>
      </c>
      <c r="AE101" s="184">
        <f>_xll.qlYieldTSDiscount(Discounting,AA101,,AllTriggers)</f>
        <v>1.0012542323334697</v>
      </c>
      <c r="AF101" s="181">
        <f t="shared" si="17"/>
        <v>-1.5528360356687775E-3</v>
      </c>
      <c r="AG101" s="348">
        <f t="shared" si="18"/>
        <v>1.0546918151559056E-3</v>
      </c>
    </row>
    <row r="102" spans="26:33" x14ac:dyDescent="0.2">
      <c r="Z102" s="183">
        <f>_xll.qlCalendarAdvance(Calendar,Z101,"1D","f")</f>
        <v>42250</v>
      </c>
      <c r="AA102" s="390">
        <f>_xll.qlCalendarAdvance(Calendar,Z102,$F$1,"mf",,Trigger)</f>
        <v>42432</v>
      </c>
      <c r="AB102" s="391">
        <f>_xll.qlDayCounterYearFraction(DayCounter,Z102,AA102,,,Trigger)</f>
        <v>0.50555555555555554</v>
      </c>
      <c r="AC102" s="348">
        <f>_xll.qlInterpolationInterpolate(B6Minterpolation,Z102,TRUE)</f>
        <v>2.0861204077104343E-3</v>
      </c>
      <c r="AD102" s="184">
        <f>_xll.qlYieldTSDiscount(Discounting,Z102,,AllTriggers)</f>
        <v>1.0004722899270853</v>
      </c>
      <c r="AE102" s="184">
        <f>_xll.qlYieldTSDiscount(Discounting,AA102,,AllTriggers)</f>
        <v>1.001258974381916</v>
      </c>
      <c r="AF102" s="181">
        <f t="shared" si="17"/>
        <v>-1.5541225409581101E-3</v>
      </c>
      <c r="AG102" s="348">
        <f t="shared" si="18"/>
        <v>1.0549224202140877E-3</v>
      </c>
    </row>
    <row r="103" spans="26:33" x14ac:dyDescent="0.2">
      <c r="Z103" s="183">
        <f>_xll.qlCalendarAdvance(Calendar,Z102,"1D","f")</f>
        <v>42251</v>
      </c>
      <c r="AA103" s="390">
        <f>_xll.qlCalendarAdvance(Calendar,Z103,$F$1,"mf",,Trigger)</f>
        <v>42433</v>
      </c>
      <c r="AB103" s="391">
        <f>_xll.qlDayCounterYearFraction(DayCounter,Z103,AA103,,,Trigger)</f>
        <v>0.50555555555555554</v>
      </c>
      <c r="AC103" s="348">
        <f>_xll.qlInterpolationInterpolate(B6Minterpolation,Z103,TRUE)</f>
        <v>2.0865906254495738E-3</v>
      </c>
      <c r="AD103" s="184">
        <f>_xll.qlYieldTSDiscount(Discounting,Z103,,AllTriggers)</f>
        <v>1.0004763788957864</v>
      </c>
      <c r="AE103" s="184">
        <f>_xll.qlYieldTSDiscount(Discounting,AA103,,AllTriggers)</f>
        <v>1.0012637157685069</v>
      </c>
      <c r="AF103" s="181">
        <f t="shared" si="17"/>
        <v>-1.5554040497242475E-3</v>
      </c>
      <c r="AG103" s="348">
        <f t="shared" si="18"/>
        <v>1.0551607612449044E-3</v>
      </c>
    </row>
    <row r="104" spans="26:33" x14ac:dyDescent="0.2">
      <c r="Z104" s="183">
        <f>_xll.qlCalendarAdvance(Calendar,Z103,"1D","f")</f>
        <v>42254</v>
      </c>
      <c r="AA104" s="390">
        <f>_xll.qlCalendarAdvance(Calendar,Z104,$F$1,"mf",,Trigger)</f>
        <v>42436</v>
      </c>
      <c r="AB104" s="391">
        <f>_xll.qlDayCounterYearFraction(DayCounter,Z104,AA104,,,Trigger)</f>
        <v>0.50555555555555554</v>
      </c>
      <c r="AC104" s="348">
        <f>_xll.qlInterpolationInterpolate(B6Minterpolation,Z104,TRUE)</f>
        <v>2.0880891786206972E-3</v>
      </c>
      <c r="AD104" s="184">
        <f>_xll.qlYieldTSDiscount(Discounting,Z104,,AllTriggers)</f>
        <v>1.0004886571188303</v>
      </c>
      <c r="AE104" s="184">
        <f>_xll.qlYieldTSDiscount(Discounting,AA104,,AllTriggers)</f>
        <v>1.0012779363329525</v>
      </c>
      <c r="AF104" s="181">
        <f t="shared" si="17"/>
        <v>-1.5592190496549353E-3</v>
      </c>
      <c r="AG104" s="348">
        <f t="shared" si="18"/>
        <v>1.0559201965185626E-3</v>
      </c>
    </row>
    <row r="105" spans="26:33" x14ac:dyDescent="0.2">
      <c r="Z105" s="183">
        <f>_xll.qlCalendarAdvance(Calendar,Z104,"1D","f")</f>
        <v>42255</v>
      </c>
      <c r="AA105" s="390">
        <f>_xll.qlCalendarAdvance(Calendar,Z105,$F$1,"mf",,Trigger)</f>
        <v>42437</v>
      </c>
      <c r="AB105" s="391">
        <f>_xll.qlDayCounterYearFraction(DayCounter,Z105,AA105,,,Trigger)</f>
        <v>0.50555555555555554</v>
      </c>
      <c r="AC105" s="348">
        <f>_xll.qlInterpolationInterpolate(B6Minterpolation,Z105,TRUE)</f>
        <v>2.0886166746742043E-3</v>
      </c>
      <c r="AD105" s="184">
        <f>_xll.qlYieldTSDiscount(Discounting,Z105,,AllTriggers)</f>
        <v>1.0004927536810537</v>
      </c>
      <c r="AE105" s="184">
        <f>_xll.qlYieldTSDiscount(Discounting,AA105,,AllTriggers)</f>
        <v>1.0012826754479305</v>
      </c>
      <c r="AF105" s="181">
        <f t="shared" si="17"/>
        <v>-1.5604810251023738E-3</v>
      </c>
      <c r="AG105" s="348">
        <f t="shared" si="18"/>
        <v>1.0561874777812801E-3</v>
      </c>
    </row>
    <row r="106" spans="26:33" x14ac:dyDescent="0.2">
      <c r="Z106" s="183">
        <f>_xll.qlCalendarAdvance(Calendar,Z105,"1D","f")</f>
        <v>42256</v>
      </c>
      <c r="AA106" s="390">
        <f>_xll.qlCalendarAdvance(Calendar,Z106,$F$1,"mf",,Trigger)</f>
        <v>42438</v>
      </c>
      <c r="AB106" s="391">
        <f>_xll.qlDayCounterYearFraction(DayCounter,Z106,AA106,,,Trigger)</f>
        <v>0.50555555555555554</v>
      </c>
      <c r="AC106" s="348">
        <f>_xll.qlInterpolationInterpolate(B6Minterpolation,Z106,TRUE)</f>
        <v>2.0891574990652266E-3</v>
      </c>
      <c r="AD106" s="184">
        <f>_xll.qlYieldTSDiscount(Discounting,Z106,,AllTriggers)</f>
        <v>1.0004968521783304</v>
      </c>
      <c r="AE106" s="184">
        <f>_xll.qlYieldTSDiscount(Discounting,AA106,,AllTriggers)</f>
        <v>1.0012874140889609</v>
      </c>
      <c r="AF106" s="181">
        <f t="shared" si="17"/>
        <v>-1.5617382304132191E-3</v>
      </c>
      <c r="AG106" s="348">
        <f t="shared" si="18"/>
        <v>1.0564614931847687E-3</v>
      </c>
    </row>
    <row r="107" spans="26:33" x14ac:dyDescent="0.2">
      <c r="Z107" s="183">
        <f>_xll.qlCalendarAdvance(Calendar,Z106,"1D","f")</f>
        <v>42257</v>
      </c>
      <c r="AA107" s="390">
        <f>_xll.qlCalendarAdvance(Calendar,Z107,$F$1,"mf",,Trigger)</f>
        <v>42439</v>
      </c>
      <c r="AB107" s="391">
        <f>_xll.qlDayCounterYearFraction(DayCounter,Z107,AA107,,,Trigger)</f>
        <v>0.50555555555555554</v>
      </c>
      <c r="AC107" s="348">
        <f>_xll.qlInterpolationInterpolate(B6Minterpolation,Z107,TRUE)</f>
        <v>2.0897112552973329E-3</v>
      </c>
      <c r="AD107" s="184">
        <f>_xll.qlYieldTSDiscount(Discounting,Z107,,AllTriggers)</f>
        <v>1.0005009526215993</v>
      </c>
      <c r="AE107" s="184">
        <f>_xll.qlYieldTSDiscount(Discounting,AA107,,AllTriggers)</f>
        <v>1.0012921522936276</v>
      </c>
      <c r="AF107" s="181">
        <f t="shared" si="17"/>
        <v>-1.562990718234149E-3</v>
      </c>
      <c r="AG107" s="348">
        <f t="shared" si="18"/>
        <v>1.0567420423644391E-3</v>
      </c>
    </row>
    <row r="108" spans="26:33" x14ac:dyDescent="0.2">
      <c r="Z108" s="183">
        <f>_xll.qlCalendarAdvance(Calendar,Z107,"1D","f")</f>
        <v>42258</v>
      </c>
      <c r="AA108" s="390">
        <f>_xll.qlCalendarAdvance(Calendar,Z108,$F$1,"mf",,Trigger)</f>
        <v>42440</v>
      </c>
      <c r="AB108" s="391">
        <f>_xll.qlDayCounterYearFraction(DayCounter,Z108,AA108,,,Trigger)</f>
        <v>0.50555555555555554</v>
      </c>
      <c r="AC108" s="348">
        <f>_xll.qlInterpolationInterpolate(B6Minterpolation,Z108,TRUE)</f>
        <v>2.0902775468740926E-3</v>
      </c>
      <c r="AD108" s="184">
        <f>_xll.qlYieldTSDiscount(Discounting,Z108,,AllTriggers)</f>
        <v>1.0005050550068788</v>
      </c>
      <c r="AE108" s="184">
        <f>_xll.qlYieldTSDiscount(Discounting,AA108,,AllTriggers)</f>
        <v>1.0012968900995149</v>
      </c>
      <c r="AF108" s="181">
        <f t="shared" si="17"/>
        <v>-1.5642385706878242E-3</v>
      </c>
      <c r="AG108" s="348">
        <f t="shared" si="18"/>
        <v>1.0570289249717663E-3</v>
      </c>
    </row>
    <row r="109" spans="26:33" x14ac:dyDescent="0.2">
      <c r="Z109" s="183">
        <f>_xll.qlCalendarAdvance(Calendar,Z108,"1D","f")</f>
        <v>42261</v>
      </c>
      <c r="AA109" s="390">
        <f>_xll.qlCalendarAdvance(Calendar,Z109,$F$1,"mf",,Trigger)</f>
        <v>42443</v>
      </c>
      <c r="AB109" s="391">
        <f>_xll.qlDayCounterYearFraction(DayCounter,Z109,AA109,,,Trigger)</f>
        <v>0.50555555555555554</v>
      </c>
      <c r="AC109" s="348">
        <f>_xll.qlInterpolationInterpolate(B6Minterpolation,Z109,TRUE)</f>
        <v>2.0920476687079858E-3</v>
      </c>
      <c r="AD109" s="184">
        <f>_xll.qlYieldTSDiscount(Discounting,Z109,,AllTriggers)</f>
        <v>1.0005173737376618</v>
      </c>
      <c r="AE109" s="184">
        <f>_xll.qlYieldTSDiscount(Discounting,AA109,,AllTriggers)</f>
        <v>1.0013111015003562</v>
      </c>
      <c r="AF109" s="181">
        <f t="shared" si="17"/>
        <v>-1.5679552107463967E-3</v>
      </c>
      <c r="AG109" s="348">
        <f t="shared" si="18"/>
        <v>1.0579255699014068E-3</v>
      </c>
    </row>
    <row r="110" spans="26:33" x14ac:dyDescent="0.2">
      <c r="Z110" s="183">
        <f>_xll.qlCalendarAdvance(Calendar,Z109,"1D","f")</f>
        <v>42262</v>
      </c>
      <c r="AA110" s="390">
        <f>_xll.qlCalendarAdvance(Calendar,Z110,$F$1,"mf",,Trigger)</f>
        <v>42444</v>
      </c>
      <c r="AB110" s="391">
        <f>_xll.qlDayCounterYearFraction(DayCounter,Z110,AA110,,,Trigger)</f>
        <v>0.50555555555555554</v>
      </c>
      <c r="AC110" s="348">
        <f>_xll.qlInterpolationInterpolate(B6Minterpolation,Z110,TRUE)</f>
        <v>2.0926601366990523E-3</v>
      </c>
      <c r="AD110" s="184">
        <f>_xll.qlYieldTSDiscount(Discounting,Z110,,AllTriggers)</f>
        <v>1.0005214838138639</v>
      </c>
      <c r="AE110" s="184">
        <f>_xll.qlYieldTSDiscount(Discounting,AA110,,AllTriggers)</f>
        <v>1.0013158380869844</v>
      </c>
      <c r="AF110" s="181">
        <f t="shared" si="17"/>
        <v>-1.5691854166314696E-3</v>
      </c>
      <c r="AG110" s="348">
        <f t="shared" si="18"/>
        <v>1.0582357827601718E-3</v>
      </c>
    </row>
    <row r="111" spans="26:33" x14ac:dyDescent="0.2">
      <c r="Z111" s="183">
        <f>_xll.qlCalendarAdvance(Calendar,Z110,"1D","f")</f>
        <v>42263</v>
      </c>
      <c r="AA111" s="390">
        <f>_xll.qlCalendarAdvance(Calendar,Z111,$F$1,"mf",,Trigger)</f>
        <v>42445</v>
      </c>
      <c r="AB111" s="391">
        <f>_xll.qlDayCounterYearFraction(DayCounter,Z111,AA111,,,Trigger)</f>
        <v>0.50555555555555554</v>
      </c>
      <c r="AC111" s="348">
        <f>_xll.qlInterpolationInterpolate(B6Minterpolation,Z111,TRUE)</f>
        <v>2.0932831575526186E-3</v>
      </c>
      <c r="AD111" s="184">
        <f>_xll.qlYieldTSDiscount(Discounting,Z111,,AllTriggers)</f>
        <v>1.0005255957935155</v>
      </c>
      <c r="AE111" s="184">
        <f>_xll.qlYieldTSDiscount(Discounting,AA111,,AllTriggers)</f>
        <v>1.0013205744627667</v>
      </c>
      <c r="AF111" s="181">
        <f t="shared" si="17"/>
        <v>-1.5704114346008144E-3</v>
      </c>
      <c r="AG111" s="348">
        <f t="shared" si="18"/>
        <v>1.0585513273155779E-3</v>
      </c>
    </row>
    <row r="112" spans="26:33" x14ac:dyDescent="0.2">
      <c r="Z112" s="183">
        <f>_xll.qlCalendarAdvance(Calendar,Z111,"1D","f")</f>
        <v>42264</v>
      </c>
      <c r="AA112" s="390">
        <f>_xll.qlCalendarAdvance(Calendar,Z112,$F$1,"mf",,Trigger)</f>
        <v>42446</v>
      </c>
      <c r="AB112" s="391">
        <f>_xll.qlDayCounterYearFraction(DayCounter,Z112,AA112,,,Trigger)</f>
        <v>0.50555555555555554</v>
      </c>
      <c r="AC112" s="348">
        <f>_xll.qlInterpolationInterpolate(B6Minterpolation,Z112,TRUE)</f>
        <v>2.0939163347722537E-3</v>
      </c>
      <c r="AD112" s="184">
        <f>_xll.qlYieldTSDiscount(Discounting,Z112,,AllTriggers)</f>
        <v>1.0005297096689045</v>
      </c>
      <c r="AE112" s="184">
        <f>_xll.qlYieldTSDiscount(Discounting,AA112,,AllTriggers)</f>
        <v>1.0013253106571849</v>
      </c>
      <c r="AF112" s="181">
        <f t="shared" si="17"/>
        <v>-1.5716333381422397E-3</v>
      </c>
      <c r="AG112" s="348">
        <f t="shared" si="18"/>
        <v>1.0588720032114925E-3</v>
      </c>
    </row>
    <row r="113" spans="26:33" x14ac:dyDescent="0.2">
      <c r="Z113" s="183">
        <f>_xll.qlCalendarAdvance(Calendar,Z112,"1D","f")</f>
        <v>42265</v>
      </c>
      <c r="AA113" s="390">
        <f>_xll.qlCalendarAdvance(Calendar,Z113,$F$1,"mf",,Trigger)</f>
        <v>42447</v>
      </c>
      <c r="AB113" s="391">
        <f>_xll.qlDayCounterYearFraction(DayCounter,Z113,AA113,,,Trigger)</f>
        <v>0.50555555555555554</v>
      </c>
      <c r="AC113" s="348">
        <f>_xll.qlInterpolationInterpolate(B6Minterpolation,Z113,TRUE)</f>
        <v>2.094559271861527E-3</v>
      </c>
      <c r="AD113" s="184">
        <f>_xll.qlYieldTSDiscount(Discounting,Z113,,AllTriggers)</f>
        <v>1.0005338254323188</v>
      </c>
      <c r="AE113" s="184">
        <f>_xll.qlYieldTSDiscount(Discounting,AA113,,AllTriggers)</f>
        <v>1.0013300466672992</v>
      </c>
      <c r="AF113" s="181">
        <f t="shared" si="17"/>
        <v>-1.572851136746396E-3</v>
      </c>
      <c r="AG113" s="348">
        <f t="shared" si="18"/>
        <v>1.0591976100580223E-3</v>
      </c>
    </row>
    <row r="114" spans="26:33" x14ac:dyDescent="0.2">
      <c r="Z114" s="183">
        <f>_xll.qlCalendarAdvance(Calendar,Z113,"1D","f")</f>
        <v>42268</v>
      </c>
      <c r="AA114" s="390">
        <f>_xll.qlCalendarAdvance(Calendar,Z114,$F$1,"mf",,Trigger)</f>
        <v>42450</v>
      </c>
      <c r="AB114" s="391">
        <f>_xll.qlDayCounterYearFraction(DayCounter,Z114,AA114,,,Trigger)</f>
        <v>0.50555555555555554</v>
      </c>
      <c r="AC114" s="348">
        <f>_xll.qlInterpolationInterpolate(B6Minterpolation,Z114,TRUE)</f>
        <v>2.0965426773828693E-3</v>
      </c>
      <c r="AD114" s="184">
        <f>_xll.qlYieldTSDiscount(Discounting,Z114,,AllTriggers)</f>
        <v>1.0005461839735812</v>
      </c>
      <c r="AE114" s="184">
        <f>_xll.qlYieldTSDiscount(Discounting,AA114,,AllTriggers)</f>
        <v>1.0013442534813521</v>
      </c>
      <c r="AF114" s="181">
        <f t="shared" si="17"/>
        <v>-1.5764798378497299E-3</v>
      </c>
      <c r="AG114" s="348">
        <f t="shared" si="18"/>
        <v>1.0602020123027429E-3</v>
      </c>
    </row>
    <row r="115" spans="26:33" x14ac:dyDescent="0.2">
      <c r="Z115" s="183">
        <f>_xll.qlCalendarAdvance(Calendar,Z114,"1D","f")</f>
        <v>42269</v>
      </c>
      <c r="AA115" s="390">
        <f>_xll.qlCalendarAdvance(Calendar,Z115,$F$1,"mf",,Trigger)</f>
        <v>42451</v>
      </c>
      <c r="AB115" s="391">
        <f>_xll.qlDayCounterYearFraction(DayCounter,Z115,AA115,,,Trigger)</f>
        <v>0.50555555555555554</v>
      </c>
      <c r="AC115" s="348">
        <f>_xll.qlInterpolationInterpolate(B6Minterpolation,Z115,TRUE)</f>
        <v>2.0972206889863882E-3</v>
      </c>
      <c r="AD115" s="184">
        <f>_xll.qlYieldTSDiscount(Discounting,Z115,,AllTriggers)</f>
        <v>1.0005503072119659</v>
      </c>
      <c r="AE115" s="184">
        <f>_xll.qlYieldTSDiscount(Discounting,AA115,,AllTriggers)</f>
        <v>1.0013489886437834</v>
      </c>
      <c r="AF115" s="181">
        <f t="shared" si="17"/>
        <v>-1.5776811516159956E-3</v>
      </c>
      <c r="AG115" s="348">
        <f t="shared" si="18"/>
        <v>1.0605453389524139E-3</v>
      </c>
    </row>
    <row r="116" spans="26:33" x14ac:dyDescent="0.2">
      <c r="Z116" s="183">
        <f>_xll.qlCalendarAdvance(Calendar,Z115,"1D","f")</f>
        <v>42270</v>
      </c>
      <c r="AA116" s="390">
        <f>_xll.qlCalendarAdvance(Calendar,Z116,$F$1,"mf",,Trigger)</f>
        <v>42452</v>
      </c>
      <c r="AB116" s="391">
        <f>_xll.qlDayCounterYearFraction(DayCounter,Z116,AA116,,,Trigger)</f>
        <v>0.50555555555555554</v>
      </c>
      <c r="AC116" s="348">
        <f>_xll.qlInterpolationInterpolate(B6Minterpolation,Z116,TRUE)</f>
        <v>2.0979064779773917E-3</v>
      </c>
      <c r="AD116" s="184">
        <f>_xll.qlYieldTSDiscount(Discounting,Z116,,AllTriggers)</f>
        <v>1.0005544322998103</v>
      </c>
      <c r="AE116" s="184">
        <f>_xll.qlYieldTSDiscount(Discounting,AA116,,AllTriggers)</f>
        <v>1.0013537235666761</v>
      </c>
      <c r="AF116" s="181">
        <f t="shared" si="17"/>
        <v>-1.5788783279000365E-3</v>
      </c>
      <c r="AG116" s="348">
        <f t="shared" si="18"/>
        <v>1.0608925945520902E-3</v>
      </c>
    </row>
    <row r="117" spans="26:33" x14ac:dyDescent="0.2">
      <c r="Z117" s="183">
        <f>_xll.qlCalendarAdvance(Calendar,Z116,"1D","f")</f>
        <v>42271</v>
      </c>
      <c r="AA117" s="390">
        <f>_xll.qlCalendarAdvance(Calendar,Z117,$F$1,"mf",,Trigger)</f>
        <v>42453</v>
      </c>
      <c r="AB117" s="391">
        <f>_xll.qlDayCounterYearFraction(DayCounter,Z117,AA117,,,Trigger)</f>
        <v>0.50555555555555554</v>
      </c>
      <c r="AC117" s="348">
        <f>_xll.qlInterpolationInterpolate(B6Minterpolation,Z117,TRUE)</f>
        <v>2.0985996478594489E-3</v>
      </c>
      <c r="AD117" s="184">
        <f>_xll.qlYieldTSDiscount(Discounting,Z117,,AllTriggers)</f>
        <v>1.0005585592294011</v>
      </c>
      <c r="AE117" s="184">
        <f>_xll.qlYieldTSDiscount(Discounting,AA117,,AllTriggers)</f>
        <v>1.001358458238983</v>
      </c>
      <c r="AF117" s="181">
        <f t="shared" si="17"/>
        <v>-1.580071360193652E-3</v>
      </c>
      <c r="AG117" s="348">
        <f t="shared" si="18"/>
        <v>1.0612435787004887E-3</v>
      </c>
    </row>
    <row r="118" spans="26:33" x14ac:dyDescent="0.2">
      <c r="Z118" s="183">
        <f>_xll.qlCalendarAdvance(Calendar,Z117,"1D","f")</f>
        <v>42272</v>
      </c>
      <c r="AA118" s="390">
        <f>_xll.qlCalendarAdvance(Calendar,Z118,$F$1,"mf",,Trigger)</f>
        <v>42458</v>
      </c>
      <c r="AB118" s="391">
        <f>_xll.qlDayCounterYearFraction(DayCounter,Z118,AA118,,,Trigger)</f>
        <v>0.51666666666666672</v>
      </c>
      <c r="AC118" s="348">
        <f>_xll.qlInterpolationInterpolate(B6Minterpolation,Z118,TRUE)</f>
        <v>2.099299802136129E-3</v>
      </c>
      <c r="AD118" s="184">
        <f>_xll.qlYieldTSDiscount(Discounting,Z118,,AllTriggers)</f>
        <v>1.0005626879930254</v>
      </c>
      <c r="AE118" s="184">
        <f>_xll.qlYieldTSDiscount(Discounting,AA118,,AllTriggers)</f>
        <v>1.0013821274550512</v>
      </c>
      <c r="AF118" s="181">
        <f t="shared" si="17"/>
        <v>-1.5838228169861416E-3</v>
      </c>
      <c r="AG118" s="348">
        <f t="shared" si="18"/>
        <v>1.0849377687555076E-3</v>
      </c>
    </row>
    <row r="119" spans="26:33" x14ac:dyDescent="0.2">
      <c r="Z119" s="183">
        <f>_xll.qlCalendarAdvance(Calendar,Z118,"1D","f")</f>
        <v>42275</v>
      </c>
      <c r="AA119" s="390">
        <f>_xll.qlCalendarAdvance(Calendar,Z119,$F$1,"mf",,Trigger)</f>
        <v>42458</v>
      </c>
      <c r="AB119" s="391">
        <f>_xll.qlDayCounterYearFraction(DayCounter,Z119,AA119,,,Trigger)</f>
        <v>0.5083333333333333</v>
      </c>
      <c r="AC119" s="348">
        <f>_xll.qlInterpolationInterpolate(B6Minterpolation,Z119,TRUE)</f>
        <v>2.1014382063695995E-3</v>
      </c>
      <c r="AD119" s="184">
        <f>_xll.qlYieldTSDiscount(Discounting,Z119,,AllTriggers)</f>
        <v>1.0005750852109603</v>
      </c>
      <c r="AE119" s="184">
        <f>_xll.qlYieldTSDiscount(Discounting,AA119,,AllTriggers)</f>
        <v>1.0013821274550512</v>
      </c>
      <c r="AF119" s="181">
        <f t="shared" si="17"/>
        <v>-1.5854328165123338E-3</v>
      </c>
      <c r="AG119" s="348">
        <f t="shared" si="18"/>
        <v>1.0685216277345449E-3</v>
      </c>
    </row>
    <row r="120" spans="26:33" x14ac:dyDescent="0.2">
      <c r="Z120" s="183">
        <f>_xll.qlCalendarAdvance(Calendar,Z119,"1D","f")</f>
        <v>42276</v>
      </c>
      <c r="AA120" s="390">
        <f>_xll.qlCalendarAdvance(Calendar,Z120,$F$1,"mf",,Trigger)</f>
        <v>42458</v>
      </c>
      <c r="AB120" s="391">
        <f>_xll.qlDayCounterYearFraction(DayCounter,Z120,AA120,,,Trigger)</f>
        <v>0.50555555555555554</v>
      </c>
      <c r="AC120" s="348">
        <f>_xll.qlInterpolationInterpolate(B6Minterpolation,Z120,TRUE)</f>
        <v>2.1021623332604642E-3</v>
      </c>
      <c r="AD120" s="184">
        <f>_xll.qlYieldTSDiscount(Discounting,Z120,,AllTriggers)</f>
        <v>1.0005792212335805</v>
      </c>
      <c r="AE120" s="184">
        <f>_xll.qlYieldTSDiscount(Discounting,AA120,,AllTriggers)</f>
        <v>1.0013821274550512</v>
      </c>
      <c r="AF120" s="181">
        <f t="shared" si="17"/>
        <v>-1.5859741339660596E-3</v>
      </c>
      <c r="AG120" s="348">
        <f t="shared" si="18"/>
        <v>1.0630474136159736E-3</v>
      </c>
    </row>
    <row r="121" spans="26:33" x14ac:dyDescent="0.2">
      <c r="Z121" s="183">
        <f>_xll.qlCalendarAdvance(Calendar,Z120,"1D","f")</f>
        <v>42277</v>
      </c>
      <c r="AA121" s="390">
        <f>_xll.qlCalendarAdvance(Calendar,Z121,$F$1,"mf",,Trigger)</f>
        <v>42459</v>
      </c>
      <c r="AB121" s="391">
        <f>_xll.qlDayCounterYearFraction(DayCounter,Z121,AA121,,,Trigger)</f>
        <v>0.50555555555555554</v>
      </c>
      <c r="AC121" s="348">
        <f>_xll.qlInterpolationInterpolate(B6Minterpolation,Z121,TRUE)</f>
        <v>2.1028914620637982E-3</v>
      </c>
      <c r="AD121" s="184">
        <f>_xll.qlYieldTSDiscount(Discounting,Z121,,AllTriggers)</f>
        <v>1.0005833590516644</v>
      </c>
      <c r="AE121" s="184">
        <f>_xll.qlYieldTSDiscount(Discounting,AA121,,AllTriggers)</f>
        <v>1.0013868603918334</v>
      </c>
      <c r="AF121" s="181">
        <f t="shared" si="17"/>
        <v>-1.5871421656187769E-3</v>
      </c>
      <c r="AG121" s="348">
        <f t="shared" si="18"/>
        <v>1.0634165606185188E-3</v>
      </c>
    </row>
    <row r="122" spans="26:33" x14ac:dyDescent="0.2">
      <c r="Z122" s="183">
        <f>_xll.qlCalendarAdvance(Calendar,Z121,"1D","f")</f>
        <v>42278</v>
      </c>
      <c r="AA122" s="390">
        <f>_xll.qlCalendarAdvance(Calendar,Z122,$F$1,"mf",,Trigger)</f>
        <v>42461</v>
      </c>
      <c r="AB122" s="391">
        <f>_xll.qlDayCounterYearFraction(DayCounter,Z122,AA122,,,Trigger)</f>
        <v>0.5083333333333333</v>
      </c>
      <c r="AC122" s="348">
        <f>_xll.qlInterpolationInterpolate(B6Minterpolation,Z122,TRUE)</f>
        <v>2.1036251962831703E-3</v>
      </c>
      <c r="AD122" s="184">
        <f>_xll.qlYieldTSDiscount(Discounting,Z122,,AllTriggers)</f>
        <v>1.0005832961900043</v>
      </c>
      <c r="AE122" s="184">
        <f>_xll.qlYieldTSDiscount(Discounting,AA122,,AllTriggers)</f>
        <v>1.001396325270576</v>
      </c>
      <c r="AF122" s="181">
        <f t="shared" si="17"/>
        <v>-1.5971712993304522E-3</v>
      </c>
      <c r="AG122" s="348">
        <f t="shared" si="18"/>
        <v>1.0696394397968839E-3</v>
      </c>
    </row>
    <row r="123" spans="26:33" x14ac:dyDescent="0.2">
      <c r="Z123" s="183">
        <f>_xll.qlCalendarAdvance(Calendar,Z122,"1D","f")</f>
        <v>42279</v>
      </c>
      <c r="AA123" s="390">
        <f>_xll.qlCalendarAdvance(Calendar,Z123,$F$1,"mf",,Trigger)</f>
        <v>42464</v>
      </c>
      <c r="AB123" s="391">
        <f>_xll.qlDayCounterYearFraction(DayCounter,Z123,AA123,,,Trigger)</f>
        <v>0.51388888888888884</v>
      </c>
      <c r="AC123" s="348">
        <f>_xll.qlInterpolationInterpolate(B6Minterpolation,Z123,TRUE)</f>
        <v>2.1043631394221502E-3</v>
      </c>
      <c r="AD123" s="184">
        <f>_xll.qlYieldTSDiscount(Discounting,Z123,,AllTriggers)</f>
        <v>1.0005874375584805</v>
      </c>
      <c r="AE123" s="184">
        <f>_xll.qlYieldTSDiscount(Discounting,AA123,,AllTriggers)</f>
        <v>1.0014105199358942</v>
      </c>
      <c r="AF123" s="181">
        <f t="shared" si="17"/>
        <v>-1.5994178048083802E-3</v>
      </c>
      <c r="AG123" s="348">
        <f t="shared" si="18"/>
        <v>1.0817131388599316E-3</v>
      </c>
    </row>
    <row r="124" spans="26:33" x14ac:dyDescent="0.2">
      <c r="Z124" s="183">
        <f>_xll.qlCalendarAdvance(Calendar,Z123,"1D","f")</f>
        <v>42282</v>
      </c>
      <c r="AA124" s="390">
        <f>_xll.qlCalendarAdvance(Calendar,Z124,$F$1,"mf",,Trigger)</f>
        <v>42465</v>
      </c>
      <c r="AB124" s="391">
        <f>_xll.qlDayCounterYearFraction(DayCounter,Z124,AA124,,,Trigger)</f>
        <v>0.5083333333333333</v>
      </c>
      <c r="AC124" s="348">
        <f>_xll.qlInterpolationInterpolate(B6Minterpolation,Z124,TRUE)</f>
        <v>2.1065982573924293E-3</v>
      </c>
      <c r="AD124" s="184">
        <f>_xll.qlYieldTSDiscount(Discounting,Z124,,AllTriggers)</f>
        <v>1.000599872266934</v>
      </c>
      <c r="AE124" s="184">
        <f>_xll.qlYieldTSDiscount(Discounting,AA124,,AllTriggers)</f>
        <v>1.0014152507393896</v>
      </c>
      <c r="AF124" s="181">
        <f t="shared" si="17"/>
        <v>-1.6017563376615352E-3</v>
      </c>
      <c r="AG124" s="348">
        <f t="shared" si="18"/>
        <v>1.0711528529943886E-3</v>
      </c>
    </row>
    <row r="125" spans="26:33" x14ac:dyDescent="0.2">
      <c r="Z125" s="183">
        <f>_xll.qlCalendarAdvance(Calendar,Z124,"1D","f")</f>
        <v>42283</v>
      </c>
      <c r="AA125" s="390">
        <f>_xll.qlCalendarAdvance(Calendar,Z125,$F$1,"mf",,Trigger)</f>
        <v>42466</v>
      </c>
      <c r="AB125" s="391">
        <f>_xll.qlDayCounterYearFraction(DayCounter,Z125,AA125,,,Trigger)</f>
        <v>0.5083333333333333</v>
      </c>
      <c r="AC125" s="348">
        <f>_xll.qlInterpolationInterpolate(B6Minterpolation,Z125,TRUE)</f>
        <v>2.1073490712455326E-3</v>
      </c>
      <c r="AD125" s="184">
        <f>_xll.qlYieldTSDiscount(Discounting,Z125,,AllTriggers)</f>
        <v>1.0006040206783784</v>
      </c>
      <c r="AE125" s="184">
        <f>_xll.qlYieldTSDiscount(Discounting,AA125,,AllTriggers)</f>
        <v>1.0014199811486624</v>
      </c>
      <c r="AF125" s="181">
        <f t="shared" si="17"/>
        <v>-1.6028920617524828E-3</v>
      </c>
      <c r="AG125" s="348">
        <f t="shared" si="18"/>
        <v>1.0715350375078039E-3</v>
      </c>
    </row>
    <row r="126" spans="26:33" x14ac:dyDescent="0.2">
      <c r="Z126" s="183">
        <f>_xll.qlCalendarAdvance(Calendar,Z125,"1D","f")</f>
        <v>42284</v>
      </c>
      <c r="AA126" s="390">
        <f>_xll.qlCalendarAdvance(Calendar,Z126,$F$1,"mf",,Trigger)</f>
        <v>42467</v>
      </c>
      <c r="AB126" s="391">
        <f>_xll.qlDayCounterYearFraction(DayCounter,Z126,AA126,,,Trigger)</f>
        <v>0.5083333333333333</v>
      </c>
      <c r="AC126" s="348">
        <f>_xll.qlInterpolationInterpolate(B6Minterpolation,Z126,TRUE)</f>
        <v>2.10810211153609E-3</v>
      </c>
      <c r="AD126" s="184">
        <f>_xll.qlYieldTSDiscount(Discounting,Z126,,AllTriggers)</f>
        <v>1.0006081708312782</v>
      </c>
      <c r="AE126" s="184">
        <f>_xll.qlYieldTSDiscount(Discounting,AA126,,AllTriggers)</f>
        <v>1.0014247111526622</v>
      </c>
      <c r="AF126" s="181">
        <f t="shared" si="17"/>
        <v>-1.6040235586988942E-3</v>
      </c>
      <c r="AG126" s="348">
        <f t="shared" si="18"/>
        <v>1.071918351495296E-3</v>
      </c>
    </row>
    <row r="127" spans="26:33" x14ac:dyDescent="0.2">
      <c r="Z127" s="183">
        <f>_xll.qlCalendarAdvance(Calendar,Z126,"1D","f")</f>
        <v>42285</v>
      </c>
      <c r="AA127" s="390">
        <f>_xll.qlCalendarAdvance(Calendar,Z127,$F$1,"mf",,Trigger)</f>
        <v>42468</v>
      </c>
      <c r="AB127" s="391">
        <f>_xll.qlDayCounterYearFraction(DayCounter,Z127,AA127,,,Trigger)</f>
        <v>0.5083333333333333</v>
      </c>
      <c r="AC127" s="348">
        <f>_xll.qlInterpolationInterpolate(B6Minterpolation,Z127,TRUE)</f>
        <v>2.1088569817676703E-3</v>
      </c>
      <c r="AD127" s="184">
        <f>_xll.qlYieldTSDiscount(Discounting,Z127,,AllTriggers)</f>
        <v>1.0006123227179184</v>
      </c>
      <c r="AE127" s="184">
        <f>_xll.qlYieldTSDiscount(Discounting,AA127,,AllTriggers)</f>
        <v>1.0014294407403388</v>
      </c>
      <c r="AF127" s="181">
        <f t="shared" si="17"/>
        <v>-1.6051508220279146E-3</v>
      </c>
      <c r="AG127" s="348">
        <f t="shared" si="18"/>
        <v>1.0723025934506714E-3</v>
      </c>
    </row>
    <row r="128" spans="26:33" x14ac:dyDescent="0.2">
      <c r="Z128" s="183">
        <f>_xll.qlCalendarAdvance(Calendar,Z127,"1D","f")</f>
        <v>42286</v>
      </c>
      <c r="AA128" s="390">
        <f>_xll.qlCalendarAdvance(Calendar,Z128,$F$1,"mf",,Trigger)</f>
        <v>42471</v>
      </c>
      <c r="AB128" s="391">
        <f>_xll.qlDayCounterYearFraction(DayCounter,Z128,AA128,,,Trigger)</f>
        <v>0.51388888888888884</v>
      </c>
      <c r="AC128" s="348">
        <f>_xll.qlInterpolationInterpolate(B6Minterpolation,Z128,TRUE)</f>
        <v>2.1096132854438437E-3</v>
      </c>
      <c r="AD128" s="184">
        <f>_xll.qlYieldTSDiscount(Discounting,Z128,,AllTriggers)</f>
        <v>1.0006164763305838</v>
      </c>
      <c r="AE128" s="184">
        <f>_xll.qlYieldTSDiscount(Discounting,AA128,,AllTriggers)</f>
        <v>1.0014436268949194</v>
      </c>
      <c r="AF128" s="181">
        <f t="shared" si="17"/>
        <v>-1.6072699891718585E-3</v>
      </c>
      <c r="AG128" s="348">
        <f t="shared" si="18"/>
        <v>1.084414804021628E-3</v>
      </c>
    </row>
    <row r="129" spans="26:33" x14ac:dyDescent="0.2">
      <c r="Z129" s="183">
        <f>_xll.qlCalendarAdvance(Calendar,Z128,"1D","f")</f>
        <v>42289</v>
      </c>
      <c r="AA129" s="390">
        <f>_xll.qlCalendarAdvance(Calendar,Z129,$F$1,"mf",,Trigger)</f>
        <v>42472</v>
      </c>
      <c r="AB129" s="391">
        <f>_xll.qlDayCounterYearFraction(DayCounter,Z129,AA129,,,Trigger)</f>
        <v>0.5083333333333333</v>
      </c>
      <c r="AC129" s="348">
        <f>_xll.qlInterpolationInterpolate(B6Minterpolation,Z129,TRUE)</f>
        <v>2.11188683217561E-3</v>
      </c>
      <c r="AD129" s="184">
        <f>_xll.qlYieldTSDiscount(Discounting,Z129,,AllTriggers)</f>
        <v>1.0006289474475796</v>
      </c>
      <c r="AE129" s="184">
        <f>_xll.qlYieldTSDiscount(Discounting,AA129,,AllTriggers)</f>
        <v>1.0014483547067921</v>
      </c>
      <c r="AF129" s="181">
        <f t="shared" si="17"/>
        <v>-1.6096174096959489E-3</v>
      </c>
      <c r="AG129" s="348">
        <f t="shared" si="18"/>
        <v>1.0738448108234965E-3</v>
      </c>
    </row>
    <row r="130" spans="26:33" x14ac:dyDescent="0.2">
      <c r="Z130" s="183">
        <f>_xll.qlCalendarAdvance(Calendar,Z129,"1D","f")</f>
        <v>42290</v>
      </c>
      <c r="AA130" s="390">
        <f>_xll.qlCalendarAdvance(Calendar,Z130,$F$1,"mf",,Trigger)</f>
        <v>42473</v>
      </c>
      <c r="AB130" s="391">
        <f>_xll.qlDayCounterYearFraction(DayCounter,Z130,AA130,,,Trigger)</f>
        <v>0.5083333333333333</v>
      </c>
      <c r="AC130" s="348">
        <f>_xll.qlInterpolationInterpolate(B6Minterpolation,Z130,TRUE)</f>
        <v>2.1126449046658452E-3</v>
      </c>
      <c r="AD130" s="184">
        <f>_xll.qlYieldTSDiscount(Discounting,Z130,,AllTriggers)</f>
        <v>1.0006331078871931</v>
      </c>
      <c r="AE130" s="184">
        <f>_xll.qlYieldTSDiscount(Discounting,AA130,,AllTriggers)</f>
        <v>1.0014530820470853</v>
      </c>
      <c r="AF130" s="181">
        <f t="shared" si="17"/>
        <v>-1.610723407832739E-3</v>
      </c>
      <c r="AG130" s="348">
        <f t="shared" si="18"/>
        <v>1.0742306700210953E-3</v>
      </c>
    </row>
    <row r="131" spans="26:33" x14ac:dyDescent="0.2">
      <c r="Z131" s="183">
        <f>_xll.qlCalendarAdvance(Calendar,Z130,"1D","f")</f>
        <v>42291</v>
      </c>
      <c r="AA131" s="390">
        <f>_xll.qlCalendarAdvance(Calendar,Z131,$F$1,"mf",,Trigger)</f>
        <v>42474</v>
      </c>
      <c r="AB131" s="391">
        <f>_xll.qlDayCounterYearFraction(DayCounter,Z131,AA131,,,Trigger)</f>
        <v>0.5083333333333333</v>
      </c>
      <c r="AC131" s="348">
        <f>_xll.qlInterpolationInterpolate(B6Minterpolation,Z131,TRUE)</f>
        <v>2.1134024281185193E-3</v>
      </c>
      <c r="AD131" s="184">
        <f>_xll.qlYieldTSDiscount(Discounting,Z131,,AllTriggers)</f>
        <v>1.000637270014255</v>
      </c>
      <c r="AE131" s="184">
        <f>_xll.qlYieldTSDiscount(Discounting,AA131,,AllTriggers)</f>
        <v>1.001457808904747</v>
      </c>
      <c r="AF131" s="181">
        <f t="shared" si="17"/>
        <v>-1.6118251335091112E-3</v>
      </c>
      <c r="AG131" s="348">
        <f t="shared" si="18"/>
        <v>1.0746162481465886E-3</v>
      </c>
    </row>
    <row r="132" spans="26:33" x14ac:dyDescent="0.2">
      <c r="Z132" s="183">
        <f>_xll.qlCalendarAdvance(Calendar,Z131,"1D","f")</f>
        <v>42292</v>
      </c>
      <c r="AA132" s="390">
        <f>_xll.qlCalendarAdvance(Calendar,Z132,$F$1,"mf",,Trigger)</f>
        <v>42475</v>
      </c>
      <c r="AB132" s="391">
        <f>_xll.qlDayCounterYearFraction(DayCounter,Z132,AA132,,,Trigger)</f>
        <v>0.5083333333333333</v>
      </c>
      <c r="AC132" s="348">
        <f>_xll.qlInterpolationInterpolate(B6Minterpolation,Z132,TRUE)</f>
        <v>2.1141590060372011E-3</v>
      </c>
      <c r="AD132" s="184">
        <f>_xll.qlYieldTSDiscount(Discounting,Z132,,AllTriggers)</f>
        <v>1.000641433821049</v>
      </c>
      <c r="AE132" s="184">
        <f>_xll.qlYieldTSDiscount(Discounting,AA132,,AllTriggers)</f>
        <v>1.001462535268725</v>
      </c>
      <c r="AF132" s="181">
        <f t="shared" ref="AF132:AF195" si="19">(AD132/AE132-1)/AB132</f>
        <v>-1.6129225802524285E-3</v>
      </c>
      <c r="AG132" s="348">
        <f t="shared" ref="AG132:AG195" si="20">LN((1+(AC132+AF132)*AB132)/(1+AF132*AB132))</f>
        <v>1.0750013436928458E-3</v>
      </c>
    </row>
    <row r="133" spans="26:33" x14ac:dyDescent="0.2">
      <c r="Z133" s="183">
        <f>_xll.qlCalendarAdvance(Calendar,Z132,"1D","f")</f>
        <v>42293</v>
      </c>
      <c r="AA133" s="390">
        <f>_xll.qlCalendarAdvance(Calendar,Z133,$F$1,"mf",,Trigger)</f>
        <v>42478</v>
      </c>
      <c r="AB133" s="391">
        <f>_xll.qlDayCounterYearFraction(DayCounter,Z133,AA133,,,Trigger)</f>
        <v>0.51388888888888884</v>
      </c>
      <c r="AC133" s="348">
        <f>_xll.qlInterpolationInterpolate(B6Minterpolation,Z133,TRUE)</f>
        <v>2.1149142419254604E-3</v>
      </c>
      <c r="AD133" s="184">
        <f>_xll.qlYieldTSDiscount(Discounting,Z133,,AllTriggers)</f>
        <v>1.0006455992998595</v>
      </c>
      <c r="AE133" s="184">
        <f>_xll.qlYieldTSDiscount(Discounting,AA133,,AllTriggers)</f>
        <v>1.0014767112880343</v>
      </c>
      <c r="AF133" s="181">
        <f t="shared" si="19"/>
        <v>-1.6149142419254606E-3</v>
      </c>
      <c r="AG133" s="348">
        <f t="shared" si="20"/>
        <v>1.0871424717334335E-3</v>
      </c>
    </row>
    <row r="134" spans="26:33" x14ac:dyDescent="0.2">
      <c r="Z134" s="183">
        <f>_xll.qlCalendarAdvance(Calendar,Z133,"1D","f")</f>
        <v>42296</v>
      </c>
      <c r="AA134" s="390">
        <f>_xll.qlCalendarAdvance(Calendar,Z134,$F$1,"mf",,Trigger)</f>
        <v>42479</v>
      </c>
      <c r="AB134" s="391">
        <f>_xll.qlDayCounterYearFraction(DayCounter,Z134,AA134,,,Trigger)</f>
        <v>0.5083333333333333</v>
      </c>
      <c r="AC134" s="348">
        <f>_xll.qlInterpolationInterpolate(B6Minterpolation,Z134,TRUE)</f>
        <v>2.1171694460091948E-3</v>
      </c>
      <c r="AD134" s="184">
        <f>_xll.qlYieldTSDiscount(Discounting,Z134,,AllTriggers)</f>
        <v>1.0006581056912296</v>
      </c>
      <c r="AE134" s="184">
        <f>_xll.qlYieldTSDiscount(Discounting,AA134,,AllTriggers)</f>
        <v>1.0014814355667532</v>
      </c>
      <c r="AF134" s="181">
        <f t="shared" si="19"/>
        <v>-1.6172694484168624E-3</v>
      </c>
      <c r="AG134" s="348">
        <f t="shared" si="20"/>
        <v>1.0765336391346139E-3</v>
      </c>
    </row>
    <row r="135" spans="26:33" x14ac:dyDescent="0.2">
      <c r="Z135" s="183">
        <f>_xll.qlCalendarAdvance(Calendar,Z134,"1D","f")</f>
        <v>42297</v>
      </c>
      <c r="AA135" s="390">
        <f>_xll.qlCalendarAdvance(Calendar,Z135,$F$1,"mf",,Trigger)</f>
        <v>42480</v>
      </c>
      <c r="AB135" s="391">
        <f>_xll.qlDayCounterYearFraction(DayCounter,Z135,AA135,,,Trigger)</f>
        <v>0.5083333333333333</v>
      </c>
      <c r="AC135" s="348">
        <f>_xll.qlInterpolationInterpolate(B6Minterpolation,Z135,TRUE)</f>
        <v>2.1179174229571823E-3</v>
      </c>
      <c r="AD135" s="184">
        <f>_xll.qlYieldTSDiscount(Discounting,Z135,,AllTriggers)</f>
        <v>1.0006622777809444</v>
      </c>
      <c r="AE135" s="184">
        <f>_xll.qlYieldTSDiscount(Discounting,AA135,,AllTriggers)</f>
        <v>1.0014861592965252</v>
      </c>
      <c r="AF135" s="181">
        <f t="shared" si="19"/>
        <v>-1.6183454033876651E-3</v>
      </c>
      <c r="AG135" s="348">
        <f t="shared" si="20"/>
        <v>1.0769143532608433E-3</v>
      </c>
    </row>
    <row r="136" spans="26:33" x14ac:dyDescent="0.2">
      <c r="Z136" s="183">
        <f>_xll.qlCalendarAdvance(Calendar,Z135,"1D","f")</f>
        <v>42298</v>
      </c>
      <c r="AA136" s="390">
        <f>_xll.qlCalendarAdvance(Calendar,Z136,$F$1,"mf",,Trigger)</f>
        <v>42481</v>
      </c>
      <c r="AB136" s="391">
        <f>_xll.qlDayCounterYearFraction(DayCounter,Z136,AA136,,,Trigger)</f>
        <v>0.5083333333333333</v>
      </c>
      <c r="AC136" s="348">
        <f>_xll.qlInterpolationInterpolate(B6Minterpolation,Z136,TRUE)</f>
        <v>2.1186634207844167E-3</v>
      </c>
      <c r="AD136" s="184">
        <f>_xll.qlYieldTSDiscount(Discounting,Z136,,AllTriggers)</f>
        <v>1.0006664515040946</v>
      </c>
      <c r="AE136" s="184">
        <f>_xll.qlYieldTSDiscount(Discounting,AA136,,AllTriggers)</f>
        <v>1.0014908824662967</v>
      </c>
      <c r="AF136" s="181">
        <f t="shared" si="19"/>
        <v>-1.6194170405819488E-3</v>
      </c>
      <c r="AG136" s="348">
        <f t="shared" si="20"/>
        <v>1.0772940594960031E-3</v>
      </c>
    </row>
    <row r="137" spans="26:33" x14ac:dyDescent="0.2">
      <c r="Z137" s="183">
        <f>_xll.qlCalendarAdvance(Calendar,Z136,"1D","f")</f>
        <v>42299</v>
      </c>
      <c r="AA137" s="390">
        <f>_xll.qlCalendarAdvance(Calendar,Z137,$F$1,"mf",,Trigger)</f>
        <v>42482</v>
      </c>
      <c r="AB137" s="391">
        <f>_xll.qlDayCounterYearFraction(DayCounter,Z137,AA137,,,Trigger)</f>
        <v>0.5083333333333333</v>
      </c>
      <c r="AC137" s="348">
        <f>_xll.qlInterpolationInterpolate(B6Minterpolation,Z137,TRUE)</f>
        <v>2.1194073793424223E-3</v>
      </c>
      <c r="AD137" s="184">
        <f>_xll.qlYieldTSDiscount(Discounting,Z137,,AllTriggers)</f>
        <v>1.0006706268529633</v>
      </c>
      <c r="AE137" s="184">
        <f>_xll.qlYieldTSDiscount(Discounting,AA137,,AllTriggers)</f>
        <v>1.0014956050650146</v>
      </c>
      <c r="AF137" s="181">
        <f t="shared" si="19"/>
        <v>-1.6204843535268586E-3</v>
      </c>
      <c r="AG137" s="348">
        <f t="shared" si="20"/>
        <v>1.0776727272653608E-3</v>
      </c>
    </row>
    <row r="138" spans="26:33" x14ac:dyDescent="0.2">
      <c r="Z138" s="183">
        <f>_xll.qlCalendarAdvance(Calendar,Z137,"1D","f")</f>
        <v>42300</v>
      </c>
      <c r="AA138" s="390">
        <f>_xll.qlCalendarAdvance(Calendar,Z138,$F$1,"mf",,Trigger)</f>
        <v>42485</v>
      </c>
      <c r="AB138" s="391">
        <f>_xll.qlDayCounterYearFraction(DayCounter,Z138,AA138,,,Trigger)</f>
        <v>0.51388888888888884</v>
      </c>
      <c r="AC138" s="348">
        <f>_xll.qlInterpolationInterpolate(B6Minterpolation,Z138,TRUE)</f>
        <v>2.1201492384827244E-3</v>
      </c>
      <c r="AD138" s="184">
        <f>_xll.qlYieldTSDiscount(Discounting,Z138,,AllTriggers)</f>
        <v>1.0006748038198339</v>
      </c>
      <c r="AE138" s="184">
        <f>_xll.qlYieldTSDiscount(Discounting,AA138,,AllTriggers)</f>
        <v>1.0015097693243056</v>
      </c>
      <c r="AF138" s="181">
        <f t="shared" si="19"/>
        <v>-1.6223483666341527E-3</v>
      </c>
      <c r="AG138" s="348">
        <f t="shared" si="20"/>
        <v>1.0898361483295958E-3</v>
      </c>
    </row>
    <row r="139" spans="26:33" x14ac:dyDescent="0.2">
      <c r="Z139" s="183">
        <f>_xll.qlCalendarAdvance(Calendar,Z138,"1D","f")</f>
        <v>42303</v>
      </c>
      <c r="AA139" s="390">
        <f>_xll.qlCalendarAdvance(Calendar,Z139,$F$1,"mf",,Trigger)</f>
        <v>42486</v>
      </c>
      <c r="AB139" s="391">
        <f>_xll.qlDayCounterYearFraction(DayCounter,Z139,AA139,,,Trigger)</f>
        <v>0.5083333333333333</v>
      </c>
      <c r="AC139" s="348">
        <f>_xll.qlInterpolationInterpolate(B6Minterpolation,Z139,TRUE)</f>
        <v>2.1223616179126608E-3</v>
      </c>
      <c r="AD139" s="184">
        <f>_xll.qlYieldTSDiscount(Discounting,Z139,,AllTriggers)</f>
        <v>1.0006873443512865</v>
      </c>
      <c r="AE139" s="184">
        <f>_xll.qlYieldTSDiscount(Discounting,AA139,,AllTriggers)</f>
        <v>1.0015144895282682</v>
      </c>
      <c r="AF139" s="181">
        <f t="shared" si="19"/>
        <v>-1.6247102333290129E-3</v>
      </c>
      <c r="AG139" s="348">
        <f t="shared" si="20"/>
        <v>1.0791764022038311E-3</v>
      </c>
    </row>
    <row r="140" spans="26:33" x14ac:dyDescent="0.2">
      <c r="Z140" s="183">
        <f>_xll.qlCalendarAdvance(Calendar,Z139,"1D","f")</f>
        <v>42304</v>
      </c>
      <c r="AA140" s="390">
        <f>_xll.qlCalendarAdvance(Calendar,Z140,$F$1,"mf",,Trigger)</f>
        <v>42487</v>
      </c>
      <c r="AB140" s="391">
        <f>_xll.qlDayCounterYearFraction(DayCounter,Z140,AA140,,,Trigger)</f>
        <v>0.5083333333333333</v>
      </c>
      <c r="AC140" s="348">
        <f>_xll.qlInterpolationInterpolate(B6Minterpolation,Z140,TRUE)</f>
        <v>2.1230944778973995E-3</v>
      </c>
      <c r="AD140" s="184">
        <f>_xll.qlYieldTSDiscount(Discounting,Z140,,AllTriggers)</f>
        <v>1.0006915277129937</v>
      </c>
      <c r="AE140" s="184">
        <f>_xll.qlYieldTSDiscount(Discounting,AA140,,AllTriggers)</f>
        <v>1.0015192091059062</v>
      </c>
      <c r="AF140" s="181">
        <f t="shared" si="19"/>
        <v>-1.625755827917629E-3</v>
      </c>
      <c r="AG140" s="348">
        <f t="shared" si="20"/>
        <v>1.0795494190317925E-3</v>
      </c>
    </row>
    <row r="141" spans="26:33" x14ac:dyDescent="0.2">
      <c r="Z141" s="183">
        <f>_xll.qlCalendarAdvance(Calendar,Z140,"1D","f")</f>
        <v>42305</v>
      </c>
      <c r="AA141" s="390">
        <f>_xll.qlCalendarAdvance(Calendar,Z141,$F$1,"mf",,Trigger)</f>
        <v>42488</v>
      </c>
      <c r="AB141" s="391">
        <f>_xll.qlDayCounterYearFraction(DayCounter,Z141,AA141,,,Trigger)</f>
        <v>0.5083333333333333</v>
      </c>
      <c r="AC141" s="348">
        <f>_xll.qlInterpolationInterpolate(B6Minterpolation,Z141,TRUE)</f>
        <v>2.1238249377220596E-3</v>
      </c>
      <c r="AD141" s="184">
        <f>_xll.qlYieldTSDiscount(Discounting,Z141,,AllTriggers)</f>
        <v>1.0006957126541174</v>
      </c>
      <c r="AE141" s="184">
        <f>_xll.qlYieldTSDiscount(Discounting,AA141,,AllTriggers)</f>
        <v>1.001523928077644</v>
      </c>
      <c r="AF141" s="181">
        <f t="shared" si="19"/>
        <v>-1.6267971211934966E-3</v>
      </c>
      <c r="AG141" s="348">
        <f t="shared" si="20"/>
        <v>1.0799212139821638E-3</v>
      </c>
    </row>
    <row r="142" spans="26:33" x14ac:dyDescent="0.2">
      <c r="Z142" s="183">
        <f>_xll.qlCalendarAdvance(Calendar,Z141,"1D","f")</f>
        <v>42306</v>
      </c>
      <c r="AA142" s="390">
        <f>_xll.qlCalendarAdvance(Calendar,Z142,$F$1,"mf",,Trigger)</f>
        <v>42489</v>
      </c>
      <c r="AB142" s="391">
        <f>_xll.qlDayCounterYearFraction(DayCounter,Z142,AA142,,,Trigger)</f>
        <v>0.5083333333333333</v>
      </c>
      <c r="AC142" s="348">
        <f>_xll.qlInterpolationInterpolate(B6Minterpolation,Z142,TRUE)</f>
        <v>2.1245529372381665E-3</v>
      </c>
      <c r="AD142" s="184">
        <f>_xll.qlYieldTSDiscount(Discounting,Z142,,AllTriggers)</f>
        <v>1.0006998992168656</v>
      </c>
      <c r="AE142" s="184">
        <f>_xll.qlYieldTSDiscount(Discounting,AA142,,AllTriggers)</f>
        <v>1.0015286465898252</v>
      </c>
      <c r="AF142" s="181">
        <f t="shared" si="19"/>
        <v>-1.6278343175258145E-3</v>
      </c>
      <c r="AG142" s="348">
        <f t="shared" si="20"/>
        <v>1.0802917565971768E-3</v>
      </c>
    </row>
    <row r="143" spans="26:33" x14ac:dyDescent="0.2">
      <c r="Z143" s="183">
        <f>_xll.qlCalendarAdvance(Calendar,Z142,"1D","f")</f>
        <v>42307</v>
      </c>
      <c r="AA143" s="390">
        <f>_xll.qlCalendarAdvance(Calendar,Z143,$F$1,"mf",,Trigger)</f>
        <v>42489</v>
      </c>
      <c r="AB143" s="391">
        <f>_xll.qlDayCounterYearFraction(DayCounter,Z143,AA143,,,Trigger)</f>
        <v>0.50555555555555554</v>
      </c>
      <c r="AC143" s="348">
        <f>_xll.qlInterpolationInterpolate(B6Minterpolation,Z143,TRUE)</f>
        <v>2.1252784162972449E-3</v>
      </c>
      <c r="AD143" s="184">
        <f>_xll.qlYieldTSDiscount(Discounting,Z143,,AllTriggers)</f>
        <v>1.0007040876431523</v>
      </c>
      <c r="AE143" s="184">
        <f>_xll.qlYieldTSDiscount(Discounting,AA143,,AllTriggers)</f>
        <v>1.0015286465898252</v>
      </c>
      <c r="AF143" s="181">
        <f t="shared" si="19"/>
        <v>-1.6285063080792614E-3</v>
      </c>
      <c r="AG143" s="348">
        <f t="shared" si="20"/>
        <v>1.0747538765253481E-3</v>
      </c>
    </row>
    <row r="144" spans="26:33" x14ac:dyDescent="0.2">
      <c r="Z144" s="183">
        <f>_xll.qlCalendarAdvance(Calendar,Z143,"1D","f")</f>
        <v>42310</v>
      </c>
      <c r="AA144" s="390">
        <f>_xll.qlCalendarAdvance(Calendar,Z144,$F$1,"mf",,Trigger)</f>
        <v>42492</v>
      </c>
      <c r="AB144" s="391">
        <f>_xll.qlDayCounterYearFraction(DayCounter,Z144,AA144,,,Trigger)</f>
        <v>0.50555555555555554</v>
      </c>
      <c r="AC144" s="348">
        <f>_xll.qlInterpolationInterpolate(B6Minterpolation,Z144,TRUE)</f>
        <v>2.1274391292475606E-3</v>
      </c>
      <c r="AD144" s="184">
        <f>_xll.qlYieldTSDiscount(Discounting,Z144,,AllTriggers)</f>
        <v>1.0007141652300406</v>
      </c>
      <c r="AE144" s="184">
        <f>_xll.qlYieldTSDiscount(Discounting,AA144,,AllTriggers)</f>
        <v>1.0015428011473027</v>
      </c>
      <c r="AF144" s="181">
        <f t="shared" si="19"/>
        <v>-1.636535207726587E-3</v>
      </c>
      <c r="AG144" s="348">
        <f t="shared" si="20"/>
        <v>1.0758503302754757E-3</v>
      </c>
    </row>
    <row r="145" spans="26:33" x14ac:dyDescent="0.2">
      <c r="Z145" s="183">
        <f>_xll.qlCalendarAdvance(Calendar,Z144,"1D","f")</f>
        <v>42311</v>
      </c>
      <c r="AA145" s="390">
        <f>_xll.qlCalendarAdvance(Calendar,Z145,$F$1,"mf",,Trigger)</f>
        <v>42493</v>
      </c>
      <c r="AB145" s="391">
        <f>_xll.qlDayCounterYearFraction(DayCounter,Z145,AA145,,,Trigger)</f>
        <v>0.50555555555555554</v>
      </c>
      <c r="AC145" s="348">
        <f>_xll.qlInterpolationInterpolate(B6Minterpolation,Z145,TRUE)</f>
        <v>2.1281539249937758E-3</v>
      </c>
      <c r="AD145" s="184">
        <f>_xll.qlYieldTSDiscount(Discounting,Z145,,AllTriggers)</f>
        <v>1.000718364018474</v>
      </c>
      <c r="AE145" s="184">
        <f>_xll.qlYieldTSDiscount(Discounting,AA145,,AllTriggers)</f>
        <v>1.001547519599548</v>
      </c>
      <c r="AF145" s="181">
        <f t="shared" si="19"/>
        <v>-1.6375538159384309E-3</v>
      </c>
      <c r="AG145" s="348">
        <f t="shared" si="20"/>
        <v>1.0762121638791321E-3</v>
      </c>
    </row>
    <row r="146" spans="26:33" x14ac:dyDescent="0.2">
      <c r="Z146" s="183">
        <f>_xll.qlCalendarAdvance(Calendar,Z145,"1D","f")</f>
        <v>42312</v>
      </c>
      <c r="AA146" s="390">
        <f>_xll.qlCalendarAdvance(Calendar,Z146,$F$1,"mf",,Trigger)</f>
        <v>42494</v>
      </c>
      <c r="AB146" s="391">
        <f>_xll.qlDayCounterYearFraction(DayCounter,Z146,AA146,,,Trigger)</f>
        <v>0.50555555555555554</v>
      </c>
      <c r="AC146" s="348">
        <f>_xll.qlInterpolationInterpolate(B6Minterpolation,Z146,TRUE)</f>
        <v>2.128865899540588E-3</v>
      </c>
      <c r="AD146" s="184">
        <f>_xll.qlYieldTSDiscount(Discounting,Z146,,AllTriggers)</f>
        <v>1.0007225661297072</v>
      </c>
      <c r="AE146" s="184">
        <f>_xll.qlYieldTSDiscount(Discounting,AA146,,AllTriggers)</f>
        <v>1.0015522384813991</v>
      </c>
      <c r="AF146" s="181">
        <f t="shared" si="19"/>
        <v>-1.6385666999177582E-3</v>
      </c>
      <c r="AG146" s="348">
        <f t="shared" si="20"/>
        <v>1.076572568688353E-3</v>
      </c>
    </row>
    <row r="147" spans="26:33" x14ac:dyDescent="0.2">
      <c r="Z147" s="183">
        <f>_xll.qlCalendarAdvance(Calendar,Z146,"1D","f")</f>
        <v>42313</v>
      </c>
      <c r="AA147" s="390">
        <f>_xll.qlCalendarAdvance(Calendar,Z147,$F$1,"mf",,Trigger)</f>
        <v>42495</v>
      </c>
      <c r="AB147" s="391">
        <f>_xll.qlDayCounterYearFraction(DayCounter,Z147,AA147,,,Trigger)</f>
        <v>0.50555555555555554</v>
      </c>
      <c r="AC147" s="348">
        <f>_xll.qlInterpolationInterpolate(B6Minterpolation,Z147,TRUE)</f>
        <v>2.1295749927395216E-3</v>
      </c>
      <c r="AD147" s="184">
        <f>_xll.qlYieldTSDiscount(Discounting,Z147,,AllTriggers)</f>
        <v>1.0007267718556083</v>
      </c>
      <c r="AE147" s="184">
        <f>_xll.qlYieldTSDiscount(Discounting,AA147,,AllTriggers)</f>
        <v>1.0015569579706982</v>
      </c>
      <c r="AF147" s="181">
        <f t="shared" si="19"/>
        <v>-1.6395736342580624E-3</v>
      </c>
      <c r="AG147" s="348">
        <f t="shared" si="20"/>
        <v>1.0769315141764689E-3</v>
      </c>
    </row>
    <row r="148" spans="26:33" x14ac:dyDescent="0.2">
      <c r="Z148" s="183">
        <f>_xll.qlCalendarAdvance(Calendar,Z147,"1D","f")</f>
        <v>42314</v>
      </c>
      <c r="AA148" s="390">
        <f>_xll.qlCalendarAdvance(Calendar,Z148,$F$1,"mf",,Trigger)</f>
        <v>42496</v>
      </c>
      <c r="AB148" s="391">
        <f>_xll.qlDayCounterYearFraction(DayCounter,Z148,AA148,,,Trigger)</f>
        <v>0.50555555555555554</v>
      </c>
      <c r="AC148" s="348">
        <f>_xll.qlInterpolationInterpolate(B6Minterpolation,Z148,TRUE)</f>
        <v>2.1302811444421023E-3</v>
      </c>
      <c r="AD148" s="184">
        <f>_xll.qlYieldTSDiscount(Discounting,Z148,,AllTriggers)</f>
        <v>1.0007309814880503</v>
      </c>
      <c r="AE148" s="184">
        <f>_xll.qlYieldTSDiscount(Discounting,AA148,,AllTriggers)</f>
        <v>1.0015616782452912</v>
      </c>
      <c r="AF148" s="181">
        <f t="shared" si="19"/>
        <v>-1.6405743935539346E-3</v>
      </c>
      <c r="AG148" s="348">
        <f t="shared" si="20"/>
        <v>1.0772889698155161E-3</v>
      </c>
    </row>
    <row r="149" spans="26:33" x14ac:dyDescent="0.2">
      <c r="Z149" s="183">
        <f>_xll.qlCalendarAdvance(Calendar,Z148,"1D","f")</f>
        <v>42317</v>
      </c>
      <c r="AA149" s="390">
        <f>_xll.qlCalendarAdvance(Calendar,Z149,$F$1,"mf",,Trigger)</f>
        <v>42499</v>
      </c>
      <c r="AB149" s="391">
        <f>_xll.qlDayCounterYearFraction(DayCounter,Z149,AA149,,,Trigger)</f>
        <v>0.50555555555555554</v>
      </c>
      <c r="AC149" s="348">
        <f>_xll.qlInterpolationInterpolate(B6Minterpolation,Z149,TRUE)</f>
        <v>2.1323813490869751E-3</v>
      </c>
      <c r="AD149" s="184">
        <f>_xll.qlYieldTSDiscount(Discounting,Z149,,AllTriggers)</f>
        <v>1.0007436367434237</v>
      </c>
      <c r="AE149" s="184">
        <f>_xll.qlYieldTSDiscount(Discounting,AA149,,AllTriggers)</f>
        <v>1.0015758455593433</v>
      </c>
      <c r="AF149" s="181">
        <f t="shared" si="19"/>
        <v>-1.643537367130976E-3</v>
      </c>
      <c r="AG149" s="348">
        <f t="shared" si="20"/>
        <v>1.0783520923611655E-3</v>
      </c>
    </row>
    <row r="150" spans="26:33" x14ac:dyDescent="0.2">
      <c r="Z150" s="183">
        <f>_xll.qlCalendarAdvance(Calendar,Z149,"1D","f")</f>
        <v>42318</v>
      </c>
      <c r="AA150" s="390">
        <f>_xll.qlCalendarAdvance(Calendar,Z150,$F$1,"mf",,Trigger)</f>
        <v>42500</v>
      </c>
      <c r="AB150" s="391">
        <f>_xll.qlDayCounterYearFraction(DayCounter,Z150,AA150,,,Trigger)</f>
        <v>0.50555555555555554</v>
      </c>
      <c r="AC150" s="348">
        <f>_xll.qlInterpolationInterpolate(B6Minterpolation,Z150,TRUE)</f>
        <v>2.1330751333193928E-3</v>
      </c>
      <c r="AD150" s="184">
        <f>_xll.qlYieldTSDiscount(Discounting,Z150,,AllTriggers)</f>
        <v>1.0007478649208572</v>
      </c>
      <c r="AE150" s="184">
        <f>_xll.qlYieldTSDiscount(Discounting,AA150,,AllTriggers)</f>
        <v>1.0015805707536383</v>
      </c>
      <c r="AF150" s="181">
        <f t="shared" si="19"/>
        <v>-1.6445111722051366E-3</v>
      </c>
      <c r="AG150" s="348">
        <f t="shared" si="20"/>
        <v>1.0787032833257074E-3</v>
      </c>
    </row>
    <row r="151" spans="26:33" x14ac:dyDescent="0.2">
      <c r="Z151" s="183">
        <f>_xll.qlCalendarAdvance(Calendar,Z150,"1D","f")</f>
        <v>42319</v>
      </c>
      <c r="AA151" s="390">
        <f>_xll.qlCalendarAdvance(Calendar,Z151,$F$1,"mf",,Trigger)</f>
        <v>42501</v>
      </c>
      <c r="AB151" s="391">
        <f>_xll.qlDayCounterYearFraction(DayCounter,Z151,AA151,,,Trigger)</f>
        <v>0.50555555555555554</v>
      </c>
      <c r="AC151" s="348">
        <f>_xll.qlInterpolationInterpolate(B6Minterpolation,Z151,TRUE)</f>
        <v>2.1337656753130825E-3</v>
      </c>
      <c r="AD151" s="184">
        <f>_xll.qlYieldTSDiscount(Discounting,Z151,,AllTriggers)</f>
        <v>1.0007520984642706</v>
      </c>
      <c r="AE151" s="184">
        <f>_xll.qlYieldTSDiscount(Discounting,AA151,,AllTriggers)</f>
        <v>1.0015852976225066</v>
      </c>
      <c r="AF151" s="181">
        <f t="shared" si="19"/>
        <v>-1.6454776752137515E-3</v>
      </c>
      <c r="AG151" s="348">
        <f t="shared" si="20"/>
        <v>1.0790528318010244E-3</v>
      </c>
    </row>
    <row r="152" spans="26:33" x14ac:dyDescent="0.2">
      <c r="Z152" s="183">
        <f>_xll.qlCalendarAdvance(Calendar,Z151,"1D","f")</f>
        <v>42320</v>
      </c>
      <c r="AA152" s="390">
        <f>_xll.qlCalendarAdvance(Calendar,Z152,$F$1,"mf",,Trigger)</f>
        <v>42502</v>
      </c>
      <c r="AB152" s="391">
        <f>_xll.qlDayCounterYearFraction(DayCounter,Z152,AA152,,,Trigger)</f>
        <v>0.50555555555555554</v>
      </c>
      <c r="AC152" s="348">
        <f>_xll.qlInterpolationInterpolate(B6Minterpolation,Z152,TRUE)</f>
        <v>2.1344529149195691E-3</v>
      </c>
      <c r="AD152" s="184">
        <f>_xll.qlYieldTSDiscount(Discounting,Z152,,AllTriggers)</f>
        <v>1.0007563376655668</v>
      </c>
      <c r="AE152" s="184">
        <f>_xll.qlYieldTSDiscount(Discounting,AA152,,AllTriggers)</f>
        <v>1.0015900263438147</v>
      </c>
      <c r="AF152" s="181">
        <f t="shared" si="19"/>
        <v>-1.6464366507542669E-3</v>
      </c>
      <c r="AG152" s="348">
        <f t="shared" si="20"/>
        <v>1.0794007072589251E-3</v>
      </c>
    </row>
    <row r="153" spans="26:33" x14ac:dyDescent="0.2">
      <c r="Z153" s="183">
        <f>_xll.qlCalendarAdvance(Calendar,Z152,"1D","f")</f>
        <v>42321</v>
      </c>
      <c r="AA153" s="390">
        <f>_xll.qlCalendarAdvance(Calendar,Z153,$F$1,"mf",,Trigger)</f>
        <v>42503</v>
      </c>
      <c r="AB153" s="391">
        <f>_xll.qlDayCounterYearFraction(DayCounter,Z153,AA153,,,Trigger)</f>
        <v>0.50555555555555554</v>
      </c>
      <c r="AC153" s="348">
        <f>_xll.qlInterpolationInterpolate(B6Minterpolation,Z153,TRUE)</f>
        <v>2.1351367919903775E-3</v>
      </c>
      <c r="AD153" s="184">
        <f>_xll.qlYieldTSDiscount(Discounting,Z153,,AllTriggers)</f>
        <v>1.0007605828166537</v>
      </c>
      <c r="AE153" s="184">
        <f>_xll.qlYieldTSDiscount(Discounting,AA153,,AllTriggers)</f>
        <v>1.001594757095432</v>
      </c>
      <c r="AF153" s="181">
        <f t="shared" si="19"/>
        <v>-1.6473878734241294E-3</v>
      </c>
      <c r="AG153" s="348">
        <f t="shared" si="20"/>
        <v>1.0797468791703653E-3</v>
      </c>
    </row>
    <row r="154" spans="26:33" x14ac:dyDescent="0.2">
      <c r="Z154" s="183">
        <f>_xll.qlCalendarAdvance(Calendar,Z153,"1D","f")</f>
        <v>42324</v>
      </c>
      <c r="AA154" s="390">
        <f>_xll.qlCalendarAdvance(Calendar,Z154,$F$1,"mf",,Trigger)</f>
        <v>42506</v>
      </c>
      <c r="AB154" s="391">
        <f>_xll.qlDayCounterYearFraction(DayCounter,Z154,AA154,,,Trigger)</f>
        <v>0.50555555555555554</v>
      </c>
      <c r="AC154" s="348">
        <f>_xll.qlInterpolationInterpolate(B6Minterpolation,Z154,TRUE)</f>
        <v>2.1371676465039842E-3</v>
      </c>
      <c r="AD154" s="184">
        <f>_xll.qlYieldTSDiscount(Discounting,Z154,,AllTriggers)</f>
        <v>1.0007733568878137</v>
      </c>
      <c r="AE154" s="184">
        <f>_xll.qlYieldTSDiscount(Discounting,AA154,,AllTriggers)</f>
        <v>1.0016089633108833</v>
      </c>
      <c r="AF154" s="181">
        <f t="shared" si="19"/>
        <v>-1.6501927701851383E-3</v>
      </c>
      <c r="AG154" s="348">
        <f t="shared" si="20"/>
        <v>1.0807748683388633E-3</v>
      </c>
    </row>
    <row r="155" spans="26:33" x14ac:dyDescent="0.2">
      <c r="Z155" s="183">
        <f>_xll.qlCalendarAdvance(Calendar,Z154,"1D","f")</f>
        <v>42325</v>
      </c>
      <c r="AA155" s="390">
        <f>_xll.qlCalendarAdvance(Calendar,Z155,$F$1,"mf",,Trigger)</f>
        <v>42507</v>
      </c>
      <c r="AB155" s="391">
        <f>_xll.qlDayCounterYearFraction(DayCounter,Z155,AA155,,,Trigger)</f>
        <v>0.50555555555555554</v>
      </c>
      <c r="AC155" s="348">
        <f>_xll.qlInterpolationInterpolate(B6Minterpolation,Z155,TRUE)</f>
        <v>2.1378374719473302E-3</v>
      </c>
      <c r="AD155" s="184">
        <f>_xll.qlYieldTSDiscount(Discounting,Z155,,AllTriggers)</f>
        <v>1.0007776287572436</v>
      </c>
      <c r="AE155" s="184">
        <f>_xll.qlYieldTSDiscount(Discounting,AA155,,AllTriggers)</f>
        <v>1.0016137039624984</v>
      </c>
      <c r="AF155" s="181">
        <f t="shared" si="19"/>
        <v>-1.6511107273499248E-3</v>
      </c>
      <c r="AG155" s="348">
        <f t="shared" si="20"/>
        <v>1.0811139207760128E-3</v>
      </c>
    </row>
    <row r="156" spans="26:33" x14ac:dyDescent="0.2">
      <c r="Z156" s="183">
        <f>_xll.qlCalendarAdvance(Calendar,Z155,"1D","f")</f>
        <v>42326</v>
      </c>
      <c r="AA156" s="390">
        <f>_xll.qlCalendarAdvance(Calendar,Z156,$F$1,"mf",,Trigger)</f>
        <v>42508</v>
      </c>
      <c r="AB156" s="391">
        <f>_xll.qlDayCounterYearFraction(DayCounter,Z156,AA156,,,Trigger)</f>
        <v>0.50555555555555554</v>
      </c>
      <c r="AC156" s="348">
        <f>_xll.qlInterpolationInterpolate(B6Minterpolation,Z156,TRUE)</f>
        <v>2.1385036341126235E-3</v>
      </c>
      <c r="AD156" s="184">
        <f>_xll.qlYieldTSDiscount(Discounting,Z156,,AllTriggers)</f>
        <v>1.00078190803608</v>
      </c>
      <c r="AE156" s="184">
        <f>_xll.qlYieldTSDiscount(Discounting,AA156,,AllTriggers)</f>
        <v>1.0016184475338203</v>
      </c>
      <c r="AF156" s="181">
        <f t="shared" si="19"/>
        <v>-1.6520198046352421E-3</v>
      </c>
      <c r="AG156" s="348">
        <f t="shared" si="20"/>
        <v>1.0814511170215305E-3</v>
      </c>
    </row>
    <row r="157" spans="26:33" x14ac:dyDescent="0.2">
      <c r="Z157" s="183">
        <f>_xll.qlCalendarAdvance(Calendar,Z156,"1D","f")</f>
        <v>42327</v>
      </c>
      <c r="AA157" s="390">
        <f>_xll.qlCalendarAdvance(Calendar,Z157,$F$1,"mf",,Trigger)</f>
        <v>42509</v>
      </c>
      <c r="AB157" s="391">
        <f>_xll.qlDayCounterYearFraction(DayCounter,Z157,AA157,,,Trigger)</f>
        <v>0.50555555555555554</v>
      </c>
      <c r="AC157" s="348">
        <f>_xll.qlInterpolationInterpolate(B6Minterpolation,Z157,TRUE)</f>
        <v>2.1391660728513886E-3</v>
      </c>
      <c r="AD157" s="184">
        <f>_xll.qlYieldTSDiscount(Discounting,Z157,,AllTriggers)</f>
        <v>1.0007861950162613</v>
      </c>
      <c r="AE157" s="184">
        <f>_xll.qlYieldTSDiscount(Discounting,AA157,,AllTriggers)</f>
        <v>1.0016231942027387</v>
      </c>
      <c r="AF157" s="181">
        <f t="shared" si="19"/>
        <v>-1.6529197766398543E-3</v>
      </c>
      <c r="AG157" s="348">
        <f t="shared" si="20"/>
        <v>1.0817864265463438E-3</v>
      </c>
    </row>
    <row r="158" spans="26:33" x14ac:dyDescent="0.2">
      <c r="Z158" s="183">
        <f>_xll.qlCalendarAdvance(Calendar,Z157,"1D","f")</f>
        <v>42328</v>
      </c>
      <c r="AA158" s="390">
        <f>_xll.qlCalendarAdvance(Calendar,Z158,$F$1,"mf",,Trigger)</f>
        <v>42510</v>
      </c>
      <c r="AB158" s="391">
        <f>_xll.qlDayCounterYearFraction(DayCounter,Z158,AA158,,,Trigger)</f>
        <v>0.50555555555555554</v>
      </c>
      <c r="AC158" s="348">
        <f>_xll.qlInterpolationInterpolate(B6Minterpolation,Z158,TRUE)</f>
        <v>2.1398247280151506E-3</v>
      </c>
      <c r="AD158" s="184">
        <f>_xll.qlYieldTSDiscount(Discounting,Z158,,AllTriggers)</f>
        <v>1.0007904899897311</v>
      </c>
      <c r="AE158" s="184">
        <f>_xll.qlYieldTSDiscount(Discounting,AA158,,AllTriggers)</f>
        <v>1.0016279441471465</v>
      </c>
      <c r="AF158" s="181">
        <f t="shared" si="19"/>
        <v>-1.6538104179631839E-3</v>
      </c>
      <c r="AG158" s="348">
        <f t="shared" si="20"/>
        <v>1.0821198188203018E-3</v>
      </c>
    </row>
    <row r="159" spans="26:33" x14ac:dyDescent="0.2">
      <c r="Z159" s="183">
        <f>_xll.qlCalendarAdvance(Calendar,Z158,"1D","f")</f>
        <v>42331</v>
      </c>
      <c r="AA159" s="390">
        <f>_xll.qlCalendarAdvance(Calendar,Z159,$F$1,"mf",,Trigger)</f>
        <v>42513</v>
      </c>
      <c r="AB159" s="391">
        <f>_xll.qlDayCounterYearFraction(DayCounter,Z159,AA159,,,Trigger)</f>
        <v>0.50555555555555554</v>
      </c>
      <c r="AC159" s="348">
        <f>_xll.qlInterpolationInterpolate(B6Minterpolation,Z159,TRUE)</f>
        <v>2.1417773905716693E-3</v>
      </c>
      <c r="AD159" s="184">
        <f>_xll.qlYieldTSDiscount(Discounting,Z159,,AllTriggers)</f>
        <v>1.0008034257893863</v>
      </c>
      <c r="AE159" s="184">
        <f>_xll.qlYieldTSDiscount(Discounting,AA159,,AllTriggers)</f>
        <v>1.001642215412289</v>
      </c>
      <c r="AF159" s="181">
        <f t="shared" si="19"/>
        <v>-1.6564241038458532E-3</v>
      </c>
      <c r="AG159" s="348">
        <f t="shared" si="20"/>
        <v>1.083108186841081E-3</v>
      </c>
    </row>
    <row r="160" spans="26:33" x14ac:dyDescent="0.2">
      <c r="Z160" s="183">
        <f>_xll.qlCalendarAdvance(Calendar,Z159,"1D","f")</f>
        <v>42332</v>
      </c>
      <c r="AA160" s="390">
        <f>_xll.qlCalendarAdvance(Calendar,Z160,$F$1,"mf",,Trigger)</f>
        <v>42514</v>
      </c>
      <c r="AB160" s="391">
        <f>_xll.qlDayCounterYearFraction(DayCounter,Z160,AA160,,,Trigger)</f>
        <v>0.50555555555555554</v>
      </c>
      <c r="AC160" s="348">
        <f>_xll.qlInterpolationInterpolate(B6Minterpolation,Z160,TRUE)</f>
        <v>2.1424203099506696E-3</v>
      </c>
      <c r="AD160" s="184">
        <f>_xll.qlYieldTSDiscount(Discounting,Z160,,AllTriggers)</f>
        <v>1.0008077556555515</v>
      </c>
      <c r="AE160" s="184">
        <f>_xll.qlYieldTSDiscount(Discounting,AA160,,AllTriggers)</f>
        <v>1.001646980237654</v>
      </c>
      <c r="AF160" s="181">
        <f t="shared" si="19"/>
        <v>-1.6572751684442088E-3</v>
      </c>
      <c r="AG160" s="348">
        <f t="shared" si="20"/>
        <v>1.0834336048144669E-3</v>
      </c>
    </row>
    <row r="161" spans="26:33" x14ac:dyDescent="0.2">
      <c r="Z161" s="183">
        <f>_xll.qlCalendarAdvance(Calendar,Z160,"1D","f")</f>
        <v>42333</v>
      </c>
      <c r="AA161" s="390">
        <f>_xll.qlCalendarAdvance(Calendar,Z161,$F$1,"mf",,Trigger)</f>
        <v>42515</v>
      </c>
      <c r="AB161" s="391">
        <f>_xll.qlDayCounterYearFraction(DayCounter,Z161,AA161,,,Trigger)</f>
        <v>0.50555555555555554</v>
      </c>
      <c r="AC161" s="348">
        <f>_xll.qlInterpolationInterpolate(B6Minterpolation,Z161,TRUE)</f>
        <v>2.1430591450122918E-3</v>
      </c>
      <c r="AD161" s="184">
        <f>_xll.qlYieldTSDiscount(Discounting,Z161,,AllTriggers)</f>
        <v>1.0008120949748016</v>
      </c>
      <c r="AE161" s="184">
        <f>_xll.qlYieldTSDiscount(Discounting,AA161,,AllTriggers)</f>
        <v>1.0016517492280248</v>
      </c>
      <c r="AF161" s="181">
        <f t="shared" si="19"/>
        <v>-1.6581157753632265E-3</v>
      </c>
      <c r="AG161" s="348">
        <f t="shared" si="20"/>
        <v>1.0837569528871218E-3</v>
      </c>
    </row>
    <row r="162" spans="26:33" x14ac:dyDescent="0.2">
      <c r="Z162" s="183">
        <f>_xll.qlCalendarAdvance(Calendar,Z161,"1D","f")</f>
        <v>42334</v>
      </c>
      <c r="AA162" s="390">
        <f>_xll.qlCalendarAdvance(Calendar,Z162,$F$1,"mf",,Trigger)</f>
        <v>42516</v>
      </c>
      <c r="AB162" s="391">
        <f>_xll.qlDayCounterYearFraction(DayCounter,Z162,AA162,,,Trigger)</f>
        <v>0.50555555555555554</v>
      </c>
      <c r="AC162" s="348">
        <f>_xll.qlInterpolationInterpolate(B6Minterpolation,Z162,TRUE)</f>
        <v>2.1436938356080614E-3</v>
      </c>
      <c r="AD162" s="184">
        <f>_xll.qlYieldTSDiscount(Discounting,Z162,,AllTriggers)</f>
        <v>1.0008164440391125</v>
      </c>
      <c r="AE162" s="184">
        <f>_xll.qlYieldTSDiscount(Discounting,AA162,,AllTriggers)</f>
        <v>1.0016565225613157</v>
      </c>
      <c r="AF162" s="181">
        <f t="shared" si="19"/>
        <v>-1.6589456992032073E-3</v>
      </c>
      <c r="AG162" s="348">
        <f t="shared" si="20"/>
        <v>1.08407820052973E-3</v>
      </c>
    </row>
    <row r="163" spans="26:33" x14ac:dyDescent="0.2">
      <c r="Z163" s="183">
        <f>_xll.qlCalendarAdvance(Calendar,Z162,"1D","f")</f>
        <v>42335</v>
      </c>
      <c r="AA163" s="390">
        <f>_xll.qlCalendarAdvance(Calendar,Z163,$F$1,"mf",,Trigger)</f>
        <v>42517</v>
      </c>
      <c r="AB163" s="391">
        <f>_xll.qlDayCounterYearFraction(DayCounter,Z163,AA163,,,Trigger)</f>
        <v>0.50555555555555554</v>
      </c>
      <c r="AC163" s="348">
        <f>_xll.qlInterpolationInterpolate(B6Minterpolation,Z163,TRUE)</f>
        <v>2.1443243215895028E-3</v>
      </c>
      <c r="AD163" s="184">
        <f>_xll.qlYieldTSDiscount(Discounting,Z163,,AllTriggers)</f>
        <v>1.0008208031404644</v>
      </c>
      <c r="AE163" s="184">
        <f>_xll.qlYieldTSDiscount(Discounting,AA163,,AllTriggers)</f>
        <v>1.0016613004154433</v>
      </c>
      <c r="AF163" s="181">
        <f t="shared" si="19"/>
        <v>-1.6597647145659895E-3</v>
      </c>
      <c r="AG163" s="348">
        <f t="shared" si="20"/>
        <v>1.0843973172110055E-3</v>
      </c>
    </row>
    <row r="164" spans="26:33" x14ac:dyDescent="0.2">
      <c r="Z164" s="183">
        <f>_xll.qlCalendarAdvance(Calendar,Z163,"1D","f")</f>
        <v>42338</v>
      </c>
      <c r="AA164" s="390">
        <f>_xll.qlCalendarAdvance(Calendar,Z164,$F$1,"mf",,Trigger)</f>
        <v>42520</v>
      </c>
      <c r="AB164" s="391">
        <f>_xll.qlDayCounterYearFraction(DayCounter,Z164,AA164,,,Trigger)</f>
        <v>0.50555555555555554</v>
      </c>
      <c r="AC164" s="348">
        <f>_xll.qlInterpolationInterpolate(B6Minterpolation,Z164,TRUE)</f>
        <v>2.1461899503631104E-3</v>
      </c>
      <c r="AD164" s="184">
        <f>_xll.qlYieldTSDiscount(Discounting,Z164,,AllTriggers)</f>
        <v>1.0008339435866538</v>
      </c>
      <c r="AE164" s="184">
        <f>_xll.qlYieldTSDiscount(Discounting,AA164,,AllTriggers)</f>
        <v>1.0016756628820693</v>
      </c>
      <c r="AF164" s="181">
        <f t="shared" si="19"/>
        <v>-1.6621540558016234E-3</v>
      </c>
      <c r="AG164" s="348">
        <f t="shared" si="20"/>
        <v>1.0853415761836723E-3</v>
      </c>
    </row>
    <row r="165" spans="26:33" x14ac:dyDescent="0.2">
      <c r="Z165" s="183">
        <f>_xll.qlCalendarAdvance(Calendar,Z164,"1D","f")</f>
        <v>42339</v>
      </c>
      <c r="AA165" s="390">
        <f>_xll.qlCalendarAdvance(Calendar,Z165,$F$1,"mf",,Trigger)</f>
        <v>42522</v>
      </c>
      <c r="AB165" s="391">
        <f>_xll.qlDayCounterYearFraction(DayCounter,Z165,AA165,,,Trigger)</f>
        <v>0.5083333333333333</v>
      </c>
      <c r="AC165" s="348">
        <f>_xll.qlInterpolationInterpolate(B6Minterpolation,Z165,TRUE)</f>
        <v>2.146803016402491E-3</v>
      </c>
      <c r="AD165" s="184">
        <f>_xll.qlYieldTSDiscount(Discounting,Z165,,AllTriggers)</f>
        <v>1.0008375450854075</v>
      </c>
      <c r="AE165" s="184">
        <f>_xll.qlYieldTSDiscount(Discounting,AA165,,AllTriggers)</f>
        <v>1.0016852637259721</v>
      </c>
      <c r="AF165" s="181">
        <f t="shared" si="19"/>
        <v>-1.6648375370294029E-3</v>
      </c>
      <c r="AG165" s="348">
        <f t="shared" si="20"/>
        <v>1.0916198335501118E-3</v>
      </c>
    </row>
    <row r="166" spans="26:33" x14ac:dyDescent="0.2">
      <c r="Z166" s="183">
        <f>_xll.qlCalendarAdvance(Calendar,Z165,"1D","f")</f>
        <v>42340</v>
      </c>
      <c r="AA166" s="390">
        <f>_xll.qlCalendarAdvance(Calendar,Z166,$F$1,"mf",,Trigger)</f>
        <v>42523</v>
      </c>
      <c r="AB166" s="391">
        <f>_xll.qlDayCounterYearFraction(DayCounter,Z166,AA166,,,Trigger)</f>
        <v>0.5083333333333333</v>
      </c>
      <c r="AC166" s="348">
        <f>_xll.qlInterpolationInterpolate(B6Minterpolation,Z166,TRUE)</f>
        <v>2.1474115770851684E-3</v>
      </c>
      <c r="AD166" s="184">
        <f>_xll.qlYieldTSDiscount(Discounting,Z166,,AllTriggers)</f>
        <v>1.0008419587483324</v>
      </c>
      <c r="AE166" s="184">
        <f>_xll.qlYieldTSDiscount(Discounting,AA166,,AllTriggers)</f>
        <v>1.0016900724415727</v>
      </c>
      <c r="AF166" s="181">
        <f t="shared" si="19"/>
        <v>-1.6656053863829019E-3</v>
      </c>
      <c r="AG166" s="348">
        <f t="shared" si="20"/>
        <v>1.091929535744166E-3</v>
      </c>
    </row>
    <row r="167" spans="26:33" x14ac:dyDescent="0.2">
      <c r="Z167" s="183">
        <f>_xll.qlCalendarAdvance(Calendar,Z166,"1D","f")</f>
        <v>42341</v>
      </c>
      <c r="AA167" s="390">
        <f>_xll.qlCalendarAdvance(Calendar,Z167,$F$1,"mf",,Trigger)</f>
        <v>42524</v>
      </c>
      <c r="AB167" s="391">
        <f>_xll.qlDayCounterYearFraction(DayCounter,Z167,AA167,,,Trigger)</f>
        <v>0.5083333333333333</v>
      </c>
      <c r="AC167" s="348">
        <f>_xll.qlInterpolationInterpolate(B6Minterpolation,Z167,TRUE)</f>
        <v>2.1480155722626679E-3</v>
      </c>
      <c r="AD167" s="184">
        <f>_xll.qlYieldTSDiscount(Discounting,Z167,,AllTriggers)</f>
        <v>1.0008463842002866</v>
      </c>
      <c r="AE167" s="184">
        <f>_xll.qlYieldTSDiscount(Discounting,AA167,,AllTriggers)</f>
        <v>1.0016948869235263</v>
      </c>
      <c r="AF167" s="181">
        <f t="shared" si="19"/>
        <v>-1.6663613909301722E-3</v>
      </c>
      <c r="AG167" s="348">
        <f t="shared" si="20"/>
        <v>1.0922369112755081E-3</v>
      </c>
    </row>
    <row r="168" spans="26:33" x14ac:dyDescent="0.2">
      <c r="Z168" s="183">
        <f>_xll.qlCalendarAdvance(Calendar,Z167,"1D","f")</f>
        <v>42342</v>
      </c>
      <c r="AA168" s="390">
        <f>_xll.qlCalendarAdvance(Calendar,Z168,$F$1,"mf",,Trigger)</f>
        <v>42527</v>
      </c>
      <c r="AB168" s="391">
        <f>_xll.qlDayCounterYearFraction(DayCounter,Z168,AA168,,,Trigger)</f>
        <v>0.51388888888888884</v>
      </c>
      <c r="AC168" s="348">
        <f>_xll.qlInterpolationInterpolate(B6Minterpolation,Z168,TRUE)</f>
        <v>2.1486149417865147E-3</v>
      </c>
      <c r="AD168" s="184">
        <f>_xll.qlYieldTSDiscount(Discounting,Z168,,AllTriggers)</f>
        <v>1.0008508217332883</v>
      </c>
      <c r="AE168" s="184">
        <f>_xll.qlYieldTSDiscount(Discounting,AA168,,AllTriggers)</f>
        <v>1.0017093667469747</v>
      </c>
      <c r="AF168" s="181">
        <f t="shared" si="19"/>
        <v>-1.6678312535108246E-3</v>
      </c>
      <c r="AG168" s="348">
        <f t="shared" si="20"/>
        <v>1.1044863314894336E-3</v>
      </c>
    </row>
    <row r="169" spans="26:33" x14ac:dyDescent="0.2">
      <c r="Z169" s="183">
        <f>_xll.qlCalendarAdvance(Calendar,Z168,"1D","f")</f>
        <v>42345</v>
      </c>
      <c r="AA169" s="390">
        <f>_xll.qlCalendarAdvance(Calendar,Z169,$F$1,"mf",,Trigger)</f>
        <v>42528</v>
      </c>
      <c r="AB169" s="391">
        <f>_xll.qlDayCounterYearFraction(DayCounter,Z169,AA169,,,Trigger)</f>
        <v>0.5083333333333333</v>
      </c>
      <c r="AC169" s="348">
        <f>_xll.qlInterpolationInterpolate(B6Minterpolation,Z169,TRUE)</f>
        <v>2.1503846949513889E-3</v>
      </c>
      <c r="AD169" s="184">
        <f>_xll.qlYieldTSDiscount(Discounting,Z169,,AllTriggers)</f>
        <v>1.0008642097388532</v>
      </c>
      <c r="AE169" s="184">
        <f>_xll.qlYieldTSDiscount(Discounting,AA169,,AllTriggers)</f>
        <v>1.0017142060738264</v>
      </c>
      <c r="AF169" s="181">
        <f t="shared" si="19"/>
        <v>-1.6692624777741502E-3</v>
      </c>
      <c r="AG169" s="348">
        <f t="shared" si="20"/>
        <v>1.0934425327989925E-3</v>
      </c>
    </row>
    <row r="170" spans="26:33" x14ac:dyDescent="0.2">
      <c r="Z170" s="183">
        <f>_xll.qlCalendarAdvance(Calendar,Z169,"1D","f")</f>
        <v>42346</v>
      </c>
      <c r="AA170" s="390">
        <f>_xll.qlCalendarAdvance(Calendar,Z170,$F$1,"mf",,Trigger)</f>
        <v>42529</v>
      </c>
      <c r="AB170" s="391">
        <f>_xll.qlDayCounterYearFraction(DayCounter,Z170,AA170,,,Trigger)</f>
        <v>0.5083333333333333</v>
      </c>
      <c r="AC170" s="348">
        <f>_xll.qlInterpolationInterpolate(B6Minterpolation,Z170,TRUE)</f>
        <v>2.1509649603758747E-3</v>
      </c>
      <c r="AD170" s="184">
        <f>_xll.qlYieldTSDiscount(Discounting,Z170,,AllTriggers)</f>
        <v>1.0008686985163462</v>
      </c>
      <c r="AE170" s="184">
        <f>_xll.qlYieldTSDiscount(Discounting,AA170,,AllTriggers)</f>
        <v>1.0017190520567916</v>
      </c>
      <c r="AF170" s="181">
        <f t="shared" si="19"/>
        <v>-1.6699558958243428E-3</v>
      </c>
      <c r="AG170" s="348">
        <f t="shared" si="20"/>
        <v>1.0937378145355445E-3</v>
      </c>
    </row>
    <row r="171" spans="26:33" x14ac:dyDescent="0.2">
      <c r="Z171" s="183">
        <f>_xll.qlCalendarAdvance(Calendar,Z170,"1D","f")</f>
        <v>42347</v>
      </c>
      <c r="AA171" s="390">
        <f>_xll.qlCalendarAdvance(Calendar,Z171,$F$1,"mf",,Trigger)</f>
        <v>42530</v>
      </c>
      <c r="AB171" s="391">
        <f>_xll.qlDayCounterYearFraction(DayCounter,Z171,AA171,,,Trigger)</f>
        <v>0.5083333333333333</v>
      </c>
      <c r="AC171" s="348">
        <f>_xll.qlInterpolationInterpolate(B6Minterpolation,Z171,TRUE)</f>
        <v>2.1515402994043333E-3</v>
      </c>
      <c r="AD171" s="184">
        <f>_xll.qlYieldTSDiscount(Discounting,Z171,,AllTriggers)</f>
        <v>1.0008732008350654</v>
      </c>
      <c r="AE171" s="184">
        <f>_xll.qlYieldTSDiscount(Discounting,AA171,,AllTriggers)</f>
        <v>1.0017239047977096</v>
      </c>
      <c r="AF171" s="181">
        <f t="shared" si="19"/>
        <v>-1.6706359747148132E-3</v>
      </c>
      <c r="AG171" s="348">
        <f t="shared" si="20"/>
        <v>1.0940305853333651E-3</v>
      </c>
    </row>
    <row r="172" spans="26:33" x14ac:dyDescent="0.2">
      <c r="Z172" s="183">
        <f>_xll.qlCalendarAdvance(Calendar,Z171,"1D","f")</f>
        <v>42348</v>
      </c>
      <c r="AA172" s="390">
        <f>_xll.qlCalendarAdvance(Calendar,Z172,$F$1,"mf",,Trigger)</f>
        <v>42531</v>
      </c>
      <c r="AB172" s="391">
        <f>_xll.qlDayCounterYearFraction(DayCounter,Z172,AA172,,,Trigger)</f>
        <v>0.5083333333333333</v>
      </c>
      <c r="AC172" s="348">
        <f>_xll.qlInterpolationInterpolate(B6Minterpolation,Z172,TRUE)</f>
        <v>2.1521106518882886E-3</v>
      </c>
      <c r="AD172" s="184">
        <f>_xll.qlYieldTSDiscount(Discounting,Z172,,AllTriggers)</f>
        <v>1.0008777168832541</v>
      </c>
      <c r="AE172" s="184">
        <f>_xll.qlYieldTSDiscount(Discounting,AA172,,AllTriggers)</f>
        <v>1.0017287640939287</v>
      </c>
      <c r="AF172" s="181">
        <f t="shared" si="19"/>
        <v>-1.6713019473173424E-3</v>
      </c>
      <c r="AG172" s="348">
        <f t="shared" si="20"/>
        <v>1.094320814191211E-3</v>
      </c>
    </row>
    <row r="173" spans="26:33" x14ac:dyDescent="0.2">
      <c r="Z173" s="183">
        <f>_xll.qlCalendarAdvance(Calendar,Z172,"1D","f")</f>
        <v>42349</v>
      </c>
      <c r="AA173" s="390">
        <f>_xll.qlCalendarAdvance(Calendar,Z173,$F$1,"mf",,Trigger)</f>
        <v>42534</v>
      </c>
      <c r="AB173" s="391">
        <f>_xll.qlDayCounterYearFraction(DayCounter,Z173,AA173,,,Trigger)</f>
        <v>0.51388888888888884</v>
      </c>
      <c r="AC173" s="348">
        <f>_xll.qlInterpolationInterpolate(B6Minterpolation,Z173,TRUE)</f>
        <v>2.1526759576792668E-3</v>
      </c>
      <c r="AD173" s="184">
        <f>_xll.qlYieldTSDiscount(Discounting,Z173,,AllTriggers)</f>
        <v>1.0008822464339198</v>
      </c>
      <c r="AE173" s="184">
        <f>_xll.qlYieldTSDiscount(Discounting,AA173,,AllTriggers)</f>
        <v>1.0017433785265699</v>
      </c>
      <c r="AF173" s="181">
        <f t="shared" si="19"/>
        <v>-1.672800180702261E-3</v>
      </c>
      <c r="AG173" s="348">
        <f t="shared" si="20"/>
        <v>1.1065755512477621E-3</v>
      </c>
    </row>
    <row r="174" spans="26:33" x14ac:dyDescent="0.2">
      <c r="Z174" s="183">
        <f>_xll.qlCalendarAdvance(Calendar,Z173,"1D","f")</f>
        <v>42352</v>
      </c>
      <c r="AA174" s="390">
        <f>_xll.qlCalendarAdvance(Calendar,Z174,$F$1,"mf",,Trigger)</f>
        <v>42535</v>
      </c>
      <c r="AB174" s="391">
        <f>_xll.qlDayCounterYearFraction(DayCounter,Z174,AA174,,,Trigger)</f>
        <v>0.5083333333333333</v>
      </c>
      <c r="AC174" s="348">
        <f>_xll.qlInterpolationInterpolate(B6Minterpolation,Z174,TRUE)</f>
        <v>2.1543409934095849E-3</v>
      </c>
      <c r="AD174" s="184">
        <f>_xll.qlYieldTSDiscount(Discounting,Z174,,AllTriggers)</f>
        <v>1.0008959127926873</v>
      </c>
      <c r="AE174" s="184">
        <f>_xll.qlYieldTSDiscount(Discounting,AA174,,AllTriggers)</f>
        <v>1.0017482612561441</v>
      </c>
      <c r="AF174" s="181">
        <f t="shared" si="19"/>
        <v>-1.6738247926183158E-3</v>
      </c>
      <c r="AG174" s="348">
        <f t="shared" si="20"/>
        <v>1.0954556987414609E-3</v>
      </c>
    </row>
    <row r="175" spans="26:33" x14ac:dyDescent="0.2">
      <c r="Z175" s="183">
        <f>_xll.qlCalendarAdvance(Calendar,Z174,"1D","f")</f>
        <v>42353</v>
      </c>
      <c r="AA175" s="390">
        <f>_xll.qlCalendarAdvance(Calendar,Z175,$F$1,"mf",,Trigger)</f>
        <v>42536</v>
      </c>
      <c r="AB175" s="391">
        <f>_xll.qlDayCounterYearFraction(DayCounter,Z175,AA175,,,Trigger)</f>
        <v>0.5083333333333333</v>
      </c>
      <c r="AC175" s="348">
        <f>_xll.qlInterpolationInterpolate(B6Minterpolation,Z175,TRUE)</f>
        <v>2.1548855109439023E-3</v>
      </c>
      <c r="AD175" s="184">
        <f>_xll.qlYieldTSDiscount(Discounting,Z175,,AllTriggers)</f>
        <v>1.0009004930451417</v>
      </c>
      <c r="AE175" s="184">
        <f>_xll.qlYieldTSDiscount(Discounting,AA175,,AllTriggers)</f>
        <v>1.0017531491470688</v>
      </c>
      <c r="AF175" s="181">
        <f t="shared" si="19"/>
        <v>-1.6744207567645452E-3</v>
      </c>
      <c r="AG175" s="348">
        <f t="shared" si="20"/>
        <v>1.0957327595733132E-3</v>
      </c>
    </row>
    <row r="176" spans="26:33" x14ac:dyDescent="0.2">
      <c r="Z176" s="183">
        <f>_xll.qlCalendarAdvance(Calendar,Z175,"1D","f")</f>
        <v>42354</v>
      </c>
      <c r="AA176" s="390">
        <f>_xll.qlCalendarAdvance(Calendar,Z176,$F$1,"mf",,Trigger)</f>
        <v>42537</v>
      </c>
      <c r="AB176" s="391">
        <f>_xll.qlDayCounterYearFraction(DayCounter,Z176,AA176,,,Trigger)</f>
        <v>0.5083333333333333</v>
      </c>
      <c r="AC176" s="348">
        <f>_xll.qlInterpolationInterpolate(B6Minterpolation,Z176,TRUE)</f>
        <v>2.155424681042867E-3</v>
      </c>
      <c r="AD176" s="184">
        <f>_xll.qlYieldTSDiscount(Discounting,Z176,,AllTriggers)</f>
        <v>1.000905085145986</v>
      </c>
      <c r="AE176" s="184">
        <f>_xll.qlYieldTSDiscount(Discounting,AA176,,AllTriggers)</f>
        <v>1.0017580419205372</v>
      </c>
      <c r="AF176" s="181">
        <f t="shared" si="19"/>
        <v>-1.6750030276758135E-3</v>
      </c>
      <c r="AG176" s="348">
        <f t="shared" si="20"/>
        <v>1.0960070952489784E-3</v>
      </c>
    </row>
    <row r="177" spans="26:33" x14ac:dyDescent="0.2">
      <c r="Z177" s="183">
        <f>_xll.qlCalendarAdvance(Calendar,Z176,"1D","f")</f>
        <v>42355</v>
      </c>
      <c r="AA177" s="390">
        <f>_xll.qlCalendarAdvance(Calendar,Z177,$F$1,"mf",,Trigger)</f>
        <v>42538</v>
      </c>
      <c r="AB177" s="391">
        <f>_xll.qlDayCounterYearFraction(DayCounter,Z177,AA177,,,Trigger)</f>
        <v>0.5083333333333333</v>
      </c>
      <c r="AC177" s="348">
        <f>_xll.qlInterpolationInterpolate(B6Minterpolation,Z177,TRUE)</f>
        <v>2.1559584435580045E-3</v>
      </c>
      <c r="AD177" s="184">
        <f>_xll.qlYieldTSDiscount(Discounting,Z177,,AllTriggers)</f>
        <v>1.0009096887643854</v>
      </c>
      <c r="AE177" s="184">
        <f>_xll.qlYieldTSDiscount(Discounting,AA177,,AllTriggers)</f>
        <v>1.0017629392977379</v>
      </c>
      <c r="AF177" s="181">
        <f t="shared" si="19"/>
        <v>-1.6755717081715128E-3</v>
      </c>
      <c r="AG177" s="348">
        <f t="shared" si="20"/>
        <v>1.0962786752523911E-3</v>
      </c>
    </row>
    <row r="178" spans="26:33" x14ac:dyDescent="0.2">
      <c r="Z178" s="183">
        <f>_xll.qlCalendarAdvance(Calendar,Z177,"1D","f")</f>
        <v>42356</v>
      </c>
      <c r="AA178" s="390">
        <f>_xll.qlCalendarAdvance(Calendar,Z178,$F$1,"mf",,Trigger)</f>
        <v>42541</v>
      </c>
      <c r="AB178" s="391">
        <f>_xll.qlDayCounterYearFraction(DayCounter,Z178,AA178,,,Trigger)</f>
        <v>0.51388888888888884</v>
      </c>
      <c r="AC178" s="348">
        <f>_xll.qlInterpolationInterpolate(B6Minterpolation,Z178,TRUE)</f>
        <v>2.1564867383408394E-3</v>
      </c>
      <c r="AD178" s="184">
        <f>_xll.qlYieldTSDiscount(Discounting,Z178,,AllTriggers)</f>
        <v>1.0009143035695003</v>
      </c>
      <c r="AE178" s="184">
        <f>_xll.qlYieldTSDiscount(Discounting,AA178,,AllTriggers)</f>
        <v>1.0017776562635368</v>
      </c>
      <c r="AF178" s="181">
        <f t="shared" si="19"/>
        <v>-1.6770564449881437E-3</v>
      </c>
      <c r="AG178" s="348">
        <f t="shared" si="20"/>
        <v>1.1085358097465533E-3</v>
      </c>
    </row>
    <row r="179" spans="26:33" x14ac:dyDescent="0.2">
      <c r="Z179" s="183">
        <f>_xll.qlCalendarAdvance(Calendar,Z178,"1D","f")</f>
        <v>42359</v>
      </c>
      <c r="AA179" s="390">
        <f>_xll.qlCalendarAdvance(Calendar,Z179,$F$1,"mf",,Trigger)</f>
        <v>42542</v>
      </c>
      <c r="AB179" s="391">
        <f>_xll.qlDayCounterYearFraction(DayCounter,Z179,AA179,,,Trigger)</f>
        <v>0.5083333333333333</v>
      </c>
      <c r="AC179" s="348">
        <f>_xll.qlInterpolationInterpolate(B6Minterpolation,Z179,TRUE)</f>
        <v>2.1580382148107787E-3</v>
      </c>
      <c r="AD179" s="184">
        <f>_xll.qlYieldTSDiscount(Discounting,Z179,,AllTriggers)</f>
        <v>1.0009282117966527</v>
      </c>
      <c r="AE179" s="184">
        <f>_xll.qlYieldTSDiscount(Discounting,AA179,,AllTriggers)</f>
        <v>1.0017825692674429</v>
      </c>
      <c r="AF179" s="181">
        <f t="shared" si="19"/>
        <v>-1.6777125823377644E-3</v>
      </c>
      <c r="AG179" s="348">
        <f t="shared" si="20"/>
        <v>1.0973368282110214E-3</v>
      </c>
    </row>
    <row r="180" spans="26:33" x14ac:dyDescent="0.2">
      <c r="Z180" s="183">
        <f>_xll.qlCalendarAdvance(Calendar,Z179,"1D","f")</f>
        <v>42360</v>
      </c>
      <c r="AA180" s="390">
        <f>_xll.qlCalendarAdvance(Calendar,Z180,$F$1,"mf",,Trigger)</f>
        <v>42543</v>
      </c>
      <c r="AB180" s="391">
        <f>_xll.qlDayCounterYearFraction(DayCounter,Z180,AA180,,,Trigger)</f>
        <v>0.5083333333333333</v>
      </c>
      <c r="AC180" s="348">
        <f>_xll.qlInterpolationInterpolate(B6Minterpolation,Z180,TRUE)</f>
        <v>2.1585440371796535E-3</v>
      </c>
      <c r="AD180" s="184">
        <f>_xll.qlYieldTSDiscount(Discounting,Z180,,AllTriggers)</f>
        <v>1.0009328680401151</v>
      </c>
      <c r="AE180" s="184">
        <f>_xll.qlYieldTSDiscount(Discounting,AA180,,AllTriggers)</f>
        <v>1.0017874854809423</v>
      </c>
      <c r="AF180" s="181">
        <f t="shared" si="19"/>
        <v>-1.6782148530093757E-3</v>
      </c>
      <c r="AG180" s="348">
        <f t="shared" si="20"/>
        <v>1.0975941721069811E-3</v>
      </c>
    </row>
    <row r="181" spans="26:33" x14ac:dyDescent="0.2">
      <c r="Z181" s="183">
        <f>_xll.qlCalendarAdvance(Calendar,Z180,"1D","f")</f>
        <v>42361</v>
      </c>
      <c r="AA181" s="390">
        <f>_xll.qlCalendarAdvance(Calendar,Z181,$F$1,"mf",,Trigger)</f>
        <v>42544</v>
      </c>
      <c r="AB181" s="391">
        <f>_xll.qlDayCounterYearFraction(DayCounter,Z181,AA181,,,Trigger)</f>
        <v>0.5083333333333333</v>
      </c>
      <c r="AC181" s="348">
        <f>_xll.qlInterpolationInterpolate(B6Minterpolation,Z181,TRUE)</f>
        <v>2.1590440910738513E-3</v>
      </c>
      <c r="AD181" s="184">
        <f>_xll.qlYieldTSDiscount(Discounting,Z181,,AllTriggers)</f>
        <v>1.0009375338160067</v>
      </c>
      <c r="AE181" s="184">
        <f>_xll.qlYieldTSDiscount(Discounting,AA181,,AllTriggers)</f>
        <v>1.0017924046251909</v>
      </c>
      <c r="AF181" s="181">
        <f t="shared" si="19"/>
        <v>-1.6787041501645182E-3</v>
      </c>
      <c r="AG181" s="348">
        <f t="shared" si="20"/>
        <v>1.097848577233377E-3</v>
      </c>
    </row>
    <row r="182" spans="26:33" x14ac:dyDescent="0.2">
      <c r="Z182" s="183">
        <f>_xll.qlCalendarAdvance(Calendar,Z181,"1D","f")</f>
        <v>42362</v>
      </c>
      <c r="AA182" s="390">
        <f>_xll.qlCalendarAdvance(Calendar,Z182,$F$1,"mf",,Trigger)</f>
        <v>42545</v>
      </c>
      <c r="AB182" s="391">
        <f>_xll.qlDayCounterYearFraction(DayCounter,Z182,AA182,,,Trigger)</f>
        <v>0.5083333333333333</v>
      </c>
      <c r="AC182" s="348">
        <f>_xll.qlInterpolationInterpolate(B6Minterpolation,Z182,TRUE)</f>
        <v>2.1595383163448959E-3</v>
      </c>
      <c r="AD182" s="184">
        <f>_xll.qlYieldTSDiscount(Discounting,Z182,,AllTriggers)</f>
        <v>1.000942208793453</v>
      </c>
      <c r="AE182" s="184">
        <f>_xll.qlYieldTSDiscount(Discounting,AA182,,AllTriggers)</f>
        <v>1.0017973264213393</v>
      </c>
      <c r="AF182" s="181">
        <f t="shared" si="19"/>
        <v>-1.6791805766188717E-3</v>
      </c>
      <c r="AG182" s="348">
        <f t="shared" si="20"/>
        <v>1.0981000130753083E-3</v>
      </c>
    </row>
    <row r="183" spans="26:33" x14ac:dyDescent="0.2">
      <c r="Z183" s="183">
        <f>_xll.qlCalendarAdvance(Calendar,Z182,"1D","f")</f>
        <v>42366</v>
      </c>
      <c r="AA183" s="390">
        <f>_xll.qlCalendarAdvance(Calendar,Z183,$F$1,"mf",,Trigger)</f>
        <v>42549</v>
      </c>
      <c r="AB183" s="391">
        <f>_xll.qlDayCounterYearFraction(DayCounter,Z183,AA183,,,Trigger)</f>
        <v>0.5083333333333333</v>
      </c>
      <c r="AC183" s="348">
        <f>_xll.qlInterpolationInterpolate(B6Minterpolation,Z183,TRUE)</f>
        <v>2.1614557282280517E-3</v>
      </c>
      <c r="AD183" s="184">
        <f>_xll.qlYieldTSDiscount(Discounting,Z183,,AllTriggers)</f>
        <v>1.0009609941010782</v>
      </c>
      <c r="AE183" s="184">
        <f>_xll.qlYieldTSDiscount(Discounting,AA183,,AllTriggers)</f>
        <v>1.0018170345477482</v>
      </c>
      <c r="AF183" s="181">
        <f t="shared" si="19"/>
        <v>-1.6809596317249457E-3</v>
      </c>
      <c r="AG183" s="348">
        <f t="shared" si="20"/>
        <v>1.0990754532871946E-3</v>
      </c>
    </row>
    <row r="184" spans="26:33" x14ac:dyDescent="0.2">
      <c r="Z184" s="183">
        <f>_xll.qlCalendarAdvance(Calendar,Z183,"1D","f")</f>
        <v>42367</v>
      </c>
      <c r="AA184" s="390">
        <f>_xll.qlCalendarAdvance(Calendar,Z184,$F$1,"mf",,Trigger)</f>
        <v>42550</v>
      </c>
      <c r="AB184" s="391">
        <f>_xll.qlDayCounterYearFraction(DayCounter,Z184,AA184,,,Trigger)</f>
        <v>0.5083333333333333</v>
      </c>
      <c r="AC184" s="348">
        <f>_xll.qlInterpolationInterpolate(B6Minterpolation,Z184,TRUE)</f>
        <v>2.1619199081562099E-3</v>
      </c>
      <c r="AD184" s="184">
        <f>_xll.qlYieldTSDiscount(Discounting,Z184,,AllTriggers)</f>
        <v>1.0009657101229665</v>
      </c>
      <c r="AE184" s="184">
        <f>_xll.qlYieldTSDiscount(Discounting,AA184,,AllTriggers)</f>
        <v>1.0018219654204608</v>
      </c>
      <c r="AF184" s="181">
        <f t="shared" si="19"/>
        <v>-1.681373246893509E-3</v>
      </c>
      <c r="AG184" s="348">
        <f t="shared" si="20"/>
        <v>1.099311584975648E-3</v>
      </c>
    </row>
    <row r="185" spans="26:33" x14ac:dyDescent="0.2">
      <c r="Z185" s="183">
        <f>_xll.qlCalendarAdvance(Calendar,Z184,"1D","f")</f>
        <v>42368</v>
      </c>
      <c r="AA185" s="390">
        <f>_xll.qlCalendarAdvance(Calendar,Z185,$F$1,"mf",,Trigger)</f>
        <v>42551</v>
      </c>
      <c r="AB185" s="391">
        <f>_xll.qlDayCounterYearFraction(DayCounter,Z185,AA185,,,Trigger)</f>
        <v>0.5083333333333333</v>
      </c>
      <c r="AC185" s="348">
        <f>_xll.qlInterpolationInterpolate(B6Minterpolation,Z185,TRUE)</f>
        <v>2.1623778985703653E-3</v>
      </c>
      <c r="AD185" s="184">
        <f>_xll.qlYieldTSDiscount(Discounting,Z185,,AllTriggers)</f>
        <v>1.0009704333610352</v>
      </c>
      <c r="AE185" s="184">
        <f>_xll.qlYieldTSDiscount(Discounting,AA185,,AllTriggers)</f>
        <v>1.0018268972718614</v>
      </c>
      <c r="AF185" s="181">
        <f t="shared" si="19"/>
        <v>-1.6817746082470604E-3</v>
      </c>
      <c r="AG185" s="348">
        <f t="shared" si="20"/>
        <v>1.0995445642891825E-3</v>
      </c>
    </row>
    <row r="186" spans="26:33" x14ac:dyDescent="0.2">
      <c r="Z186" s="183">
        <f>_xll.qlCalendarAdvance(Calendar,Z185,"1D","f")</f>
        <v>42369</v>
      </c>
      <c r="AA186" s="390">
        <f>_xll.qlCalendarAdvance(Calendar,Z186,$F$1,"mf",,Trigger)</f>
        <v>42551</v>
      </c>
      <c r="AB186" s="391">
        <f>_xll.qlDayCounterYearFraction(DayCounter,Z186,AA186,,,Trigger)</f>
        <v>0.50555555555555554</v>
      </c>
      <c r="AC186" s="348">
        <f>_xll.qlInterpolationInterpolate(B6Minterpolation,Z186,TRUE)</f>
        <v>2.1628296393220439E-3</v>
      </c>
      <c r="AD186" s="184">
        <f>_xll.qlYieldTSDiscount(Discounting,Z186,,AllTriggers)</f>
        <v>1.0009751634843669</v>
      </c>
      <c r="AE186" s="184">
        <f>_xll.qlYieldTSDiscount(Discounting,AA186,,AllTriggers)</f>
        <v>1.0018268972718614</v>
      </c>
      <c r="AF186" s="181">
        <f t="shared" si="19"/>
        <v>-1.6816759019704559E-3</v>
      </c>
      <c r="AG186" s="348">
        <f t="shared" si="20"/>
        <v>1.0937625678999808E-3</v>
      </c>
    </row>
    <row r="187" spans="26:33" x14ac:dyDescent="0.2">
      <c r="Z187" s="183">
        <f>_xll.qlCalendarAdvance(Calendar,Z186,"1D","f")</f>
        <v>42373</v>
      </c>
      <c r="AA187" s="390">
        <f>_xll.qlCalendarAdvance(Calendar,Z187,$F$1,"mf",,Trigger)</f>
        <v>42555</v>
      </c>
      <c r="AB187" s="391">
        <f>_xll.qlDayCounterYearFraction(DayCounter,Z187,AA187,,,Trigger)</f>
        <v>0.50555555555555554</v>
      </c>
      <c r="AC187" s="348">
        <f>_xll.qlInterpolationInterpolate(B6Minterpolation,Z187,TRUE)</f>
        <v>2.164572902734484E-3</v>
      </c>
      <c r="AD187" s="184">
        <f>_xll.qlYieldTSDiscount(Discounting,Z187,,AllTriggers)</f>
        <v>1.0009774296095362</v>
      </c>
      <c r="AE187" s="184">
        <f>_xll.qlYieldTSDiscount(Discounting,AA187,,AllTriggers)</f>
        <v>1.0018466288865009</v>
      </c>
      <c r="AF187" s="181">
        <f t="shared" si="19"/>
        <v>-1.7161262248573865E-3</v>
      </c>
      <c r="AG187" s="348">
        <f t="shared" si="20"/>
        <v>1.0946627407203537E-3</v>
      </c>
    </row>
    <row r="188" spans="26:33" x14ac:dyDescent="0.2">
      <c r="Z188" s="183">
        <f>_xll.qlCalendarAdvance(Calendar,Z187,"1D","f")</f>
        <v>42374</v>
      </c>
      <c r="AA188" s="390">
        <f>_xll.qlCalendarAdvance(Calendar,Z188,$F$1,"mf",,Trigger)</f>
        <v>42556</v>
      </c>
      <c r="AB188" s="391">
        <f>_xll.qlDayCounterYearFraction(DayCounter,Z188,AA188,,,Trigger)</f>
        <v>0.50555555555555554</v>
      </c>
      <c r="AC188" s="348">
        <f>_xll.qlInterpolationInterpolate(B6Minterpolation,Z188,TRUE)</f>
        <v>2.1649924929466511E-3</v>
      </c>
      <c r="AD188" s="184">
        <f>_xll.qlYieldTSDiscount(Discounting,Z188,,AllTriggers)</f>
        <v>1.0009821891157331</v>
      </c>
      <c r="AE188" s="184">
        <f>_xll.qlYieldTSDiscount(Discounting,AA188,,AllTriggers)</f>
        <v>1.0018515614479122</v>
      </c>
      <c r="AF188" s="181">
        <f t="shared" si="19"/>
        <v>-1.7164594499899286E-3</v>
      </c>
      <c r="AG188" s="348">
        <f t="shared" si="20"/>
        <v>1.0948750032853088E-3</v>
      </c>
    </row>
    <row r="189" spans="26:33" x14ac:dyDescent="0.2">
      <c r="Z189" s="183">
        <f>_xll.qlCalendarAdvance(Calendar,Z188,"1D","f")</f>
        <v>42375</v>
      </c>
      <c r="AA189" s="390">
        <f>_xll.qlCalendarAdvance(Calendar,Z189,$F$1,"mf",,Trigger)</f>
        <v>42557</v>
      </c>
      <c r="AB189" s="391">
        <f>_xll.qlDayCounterYearFraction(DayCounter,Z189,AA189,,,Trigger)</f>
        <v>0.50555555555555554</v>
      </c>
      <c r="AC189" s="348">
        <f>_xll.qlInterpolationInterpolate(B6Minterpolation,Z189,TRUE)</f>
        <v>2.1654054726054908E-3</v>
      </c>
      <c r="AD189" s="184">
        <f>_xll.qlYieldTSDiscount(Discounting,Z189,,AllTriggers)</f>
        <v>1.0009869535214815</v>
      </c>
      <c r="AE189" s="184">
        <f>_xll.qlYieldTSDiscount(Discounting,AA189,,AllTriggers)</f>
        <v>1.0018564933146019</v>
      </c>
      <c r="AF189" s="181">
        <f t="shared" si="19"/>
        <v>-1.7167816279419377E-3</v>
      </c>
      <c r="AG189" s="348">
        <f t="shared" si="20"/>
        <v>1.0950839185148301E-3</v>
      </c>
    </row>
    <row r="190" spans="26:33" x14ac:dyDescent="0.2">
      <c r="Z190" s="183">
        <f>_xll.qlCalendarAdvance(Calendar,Z189,"1D","f")</f>
        <v>42376</v>
      </c>
      <c r="AA190" s="390">
        <f>_xll.qlCalendarAdvance(Calendar,Z190,$F$1,"mf",,Trigger)</f>
        <v>42558</v>
      </c>
      <c r="AB190" s="391">
        <f>_xll.qlDayCounterYearFraction(DayCounter,Z190,AA190,,,Trigger)</f>
        <v>0.50555555555555554</v>
      </c>
      <c r="AC190" s="348">
        <f>_xll.qlInterpolationInterpolate(B6Minterpolation,Z190,TRUE)</f>
        <v>2.1658117815625284E-3</v>
      </c>
      <c r="AD190" s="184">
        <f>_xll.qlYieldTSDiscount(Discounting,Z190,,AllTriggers)</f>
        <v>1.0009917224958267</v>
      </c>
      <c r="AE190" s="184">
        <f>_xll.qlYieldTSDiscount(Discounting,AA190,,AllTriggers)</f>
        <v>1.0018614242076489</v>
      </c>
      <c r="AF190" s="181">
        <f t="shared" si="19"/>
        <v>-1.7170928620874265E-3</v>
      </c>
      <c r="AG190" s="348">
        <f t="shared" si="20"/>
        <v>1.0952894560612462E-3</v>
      </c>
    </row>
    <row r="191" spans="26:33" x14ac:dyDescent="0.2">
      <c r="Z191" s="183">
        <f>_xll.qlCalendarAdvance(Calendar,Z190,"1D","f")</f>
        <v>42377</v>
      </c>
      <c r="AA191" s="390">
        <f>_xll.qlCalendarAdvance(Calendar,Z191,$F$1,"mf",,Trigger)</f>
        <v>42559</v>
      </c>
      <c r="AB191" s="391">
        <f>_xll.qlDayCounterYearFraction(DayCounter,Z191,AA191,,,Trigger)</f>
        <v>0.50555555555555554</v>
      </c>
      <c r="AC191" s="348">
        <f>_xll.qlInterpolationInterpolate(B6Minterpolation,Z191,TRUE)</f>
        <v>2.1662113596692886E-3</v>
      </c>
      <c r="AD191" s="184">
        <f>_xll.qlYieldTSDiscount(Discounting,Z191,,AllTriggers)</f>
        <v>1.0009964957078081</v>
      </c>
      <c r="AE191" s="184">
        <f>_xll.qlYieldTSDiscount(Discounting,AA191,,AllTriggers)</f>
        <v>1.0018663538481269</v>
      </c>
      <c r="AF191" s="181">
        <f t="shared" si="19"/>
        <v>-1.7173932558001881E-3</v>
      </c>
      <c r="AG191" s="348">
        <f t="shared" si="20"/>
        <v>1.0954915855779855E-3</v>
      </c>
    </row>
    <row r="192" spans="26:33" x14ac:dyDescent="0.2">
      <c r="Z192" s="183">
        <f>_xll.qlCalendarAdvance(Calendar,Z191,"1D","f")</f>
        <v>42380</v>
      </c>
      <c r="AA192" s="390">
        <f>_xll.qlCalendarAdvance(Calendar,Z192,$F$1,"mf",,Trigger)</f>
        <v>42562</v>
      </c>
      <c r="AB192" s="391">
        <f>_xll.qlDayCounterYearFraction(DayCounter,Z192,AA192,,,Trigger)</f>
        <v>0.50555555555555554</v>
      </c>
      <c r="AC192" s="348">
        <f>_xll.qlInterpolationInterpolate(B6Minterpolation,Z192,TRUE)</f>
        <v>2.1673691074031568E-3</v>
      </c>
      <c r="AD192" s="184">
        <f>_xll.qlYieldTSDiscount(Discounting,Z192,,AllTriggers)</f>
        <v>1.0010108374598683</v>
      </c>
      <c r="AE192" s="184">
        <f>_xll.qlYieldTSDiscount(Discounting,AA192,,AllTriggers)</f>
        <v>1.0018811324648029</v>
      </c>
      <c r="AF192" s="181">
        <f t="shared" si="19"/>
        <v>-1.7182304280831137E-3</v>
      </c>
      <c r="AG192" s="348">
        <f t="shared" si="20"/>
        <v>1.0960772224776151E-3</v>
      </c>
    </row>
    <row r="193" spans="26:33" x14ac:dyDescent="0.2">
      <c r="Z193" s="183">
        <f>_xll.qlCalendarAdvance(Calendar,Z192,"1D","f")</f>
        <v>42381</v>
      </c>
      <c r="AA193" s="390">
        <f>_xll.qlCalendarAdvance(Calendar,Z193,$F$1,"mf",,Trigger)</f>
        <v>42563</v>
      </c>
      <c r="AB193" s="391">
        <f>_xll.qlDayCounterYearFraction(DayCounter,Z193,AA193,,,Trigger)</f>
        <v>0.50555555555555554</v>
      </c>
      <c r="AC193" s="348">
        <f>_xll.qlInterpolationInterpolate(B6Minterpolation,Z193,TRUE)</f>
        <v>2.1677411606240583E-3</v>
      </c>
      <c r="AD193" s="184">
        <f>_xll.qlYieldTSDiscount(Discounting,Z193,,AllTriggers)</f>
        <v>1.0010156243126616</v>
      </c>
      <c r="AE193" s="184">
        <f>_xll.qlYieldTSDiscount(Discounting,AA193,,AllTriggers)</f>
        <v>1.0018860543056329</v>
      </c>
      <c r="AF193" s="181">
        <f t="shared" si="19"/>
        <v>-1.7184884938039944E-3</v>
      </c>
      <c r="AG193" s="348">
        <f t="shared" si="20"/>
        <v>1.0962654164048344E-3</v>
      </c>
    </row>
    <row r="194" spans="26:33" x14ac:dyDescent="0.2">
      <c r="Z194" s="183">
        <f>_xll.qlCalendarAdvance(Calendar,Z193,"1D","f")</f>
        <v>42382</v>
      </c>
      <c r="AA194" s="390">
        <f>_xll.qlCalendarAdvance(Calendar,Z194,$F$1,"mf",,Trigger)</f>
        <v>42564</v>
      </c>
      <c r="AB194" s="391">
        <f>_xll.qlDayCounterYearFraction(DayCounter,Z194,AA194,,,Trigger)</f>
        <v>0.50555555555555554</v>
      </c>
      <c r="AC194" s="348">
        <f>_xll.qlInterpolationInterpolate(B6Minterpolation,Z194,TRUE)</f>
        <v>2.1681061822523078E-3</v>
      </c>
      <c r="AD194" s="184">
        <f>_xll.qlYieldTSDiscount(Discounting,Z194,,AllTriggers)</f>
        <v>1.0010204137481931</v>
      </c>
      <c r="AE194" s="184">
        <f>_xll.qlYieldTSDiscount(Discounting,AA194,,AllTriggers)</f>
        <v>1.0018909734991803</v>
      </c>
      <c r="AF194" s="181">
        <f t="shared" si="19"/>
        <v>-1.7187362359597953E-3</v>
      </c>
      <c r="AG194" s="348">
        <f t="shared" si="20"/>
        <v>1.0964500505680154E-3</v>
      </c>
    </row>
    <row r="195" spans="26:33" x14ac:dyDescent="0.2">
      <c r="Z195" s="183">
        <f>_xll.qlCalendarAdvance(Calendar,Z194,"1D","f")</f>
        <v>42383</v>
      </c>
      <c r="AA195" s="390">
        <f>_xll.qlCalendarAdvance(Calendar,Z195,$F$1,"mf",,Trigger)</f>
        <v>42565</v>
      </c>
      <c r="AB195" s="391">
        <f>_xll.qlDayCounterYearFraction(DayCounter,Z195,AA195,,,Trigger)</f>
        <v>0.50555555555555554</v>
      </c>
      <c r="AC195" s="348">
        <f>_xll.qlInterpolationInterpolate(B6Minterpolation,Z195,TRUE)</f>
        <v>2.1684641121394307E-3</v>
      </c>
      <c r="AD195" s="184">
        <f>_xll.qlYieldTSDiscount(Discounting,Z195,,AllTriggers)</f>
        <v>1.0010252054354645</v>
      </c>
      <c r="AE195" s="184">
        <f>_xll.qlYieldTSDiscount(Discounting,AA195,,AllTriggers)</f>
        <v>1.0018958897664858</v>
      </c>
      <c r="AF195" s="181">
        <f t="shared" si="19"/>
        <v>-1.7189737579229921E-3</v>
      </c>
      <c r="AG195" s="348">
        <f t="shared" si="20"/>
        <v>1.0966310946211762E-3</v>
      </c>
    </row>
    <row r="196" spans="26:33" x14ac:dyDescent="0.2">
      <c r="Z196" s="183">
        <f>_xll.qlCalendarAdvance(Calendar,Z195,"1D","f")</f>
        <v>42384</v>
      </c>
      <c r="AA196" s="390">
        <f>_xll.qlCalendarAdvance(Calendar,Z196,$F$1,"mf",,Trigger)</f>
        <v>42566</v>
      </c>
      <c r="AB196" s="391">
        <f>_xll.qlDayCounterYearFraction(DayCounter,Z196,AA196,,,Trigger)</f>
        <v>0.50555555555555554</v>
      </c>
      <c r="AC196" s="348">
        <f>_xll.qlInterpolationInterpolate(B6Minterpolation,Z196,TRUE)</f>
        <v>2.1688148901369509E-3</v>
      </c>
      <c r="AD196" s="184">
        <f>_xll.qlYieldTSDiscount(Discounting,Z196,,AllTriggers)</f>
        <v>1.0010299990434708</v>
      </c>
      <c r="AE196" s="184">
        <f>_xll.qlYieldTSDiscount(Discounting,AA196,,AllTriggers)</f>
        <v>1.0019008028285854</v>
      </c>
      <c r="AF196" s="181">
        <f t="shared" ref="AF196:AF259" si="21">(AD196/AE196-1)/AB196</f>
        <v>-1.7192011630678169E-3</v>
      </c>
      <c r="AG196" s="348">
        <f t="shared" ref="AG196:AG259" si="22">LN((1+(AC196+AF196)*AB196)/(1+AF196*AB196))</f>
        <v>1.0968085182174302E-3</v>
      </c>
    </row>
    <row r="197" spans="26:33" x14ac:dyDescent="0.2">
      <c r="Z197" s="183">
        <f>_xll.qlCalendarAdvance(Calendar,Z196,"1D","f")</f>
        <v>42387</v>
      </c>
      <c r="AA197" s="390">
        <f>_xll.qlCalendarAdvance(Calendar,Z197,$F$1,"mf",,Trigger)</f>
        <v>42569</v>
      </c>
      <c r="AB197" s="391">
        <f>_xll.qlDayCounterYearFraction(DayCounter,Z197,AA197,,,Trigger)</f>
        <v>0.50555555555555554</v>
      </c>
      <c r="AC197" s="348">
        <f>_xll.qlInterpolationInterpolate(B6Minterpolation,Z197,TRUE)</f>
        <v>2.1698237113071499E-3</v>
      </c>
      <c r="AD197" s="184">
        <f>_xll.qlYieldTSDiscount(Discounting,Z197,,AllTriggers)</f>
        <v>1.0010443880817568</v>
      </c>
      <c r="AE197" s="184">
        <f>_xll.qlYieldTSDiscount(Discounting,AA197,,AllTriggers)</f>
        <v>1.0019155199939185</v>
      </c>
      <c r="AF197" s="181">
        <f t="shared" si="21"/>
        <v>-1.71982371130715E-3</v>
      </c>
      <c r="AG197" s="348">
        <f t="shared" si="22"/>
        <v>1.0973187628051575E-3</v>
      </c>
    </row>
    <row r="198" spans="26:33" x14ac:dyDescent="0.2">
      <c r="Z198" s="183">
        <f>_xll.qlCalendarAdvance(Calendar,Z197,"1D","f")</f>
        <v>42388</v>
      </c>
      <c r="AA198" s="390">
        <f>_xll.qlCalendarAdvance(Calendar,Z198,$F$1,"mf",,Trigger)</f>
        <v>42570</v>
      </c>
      <c r="AB198" s="391">
        <f>_xll.qlDayCounterYearFraction(DayCounter,Z198,AA198,,,Trigger)</f>
        <v>0.50555555555555554</v>
      </c>
      <c r="AC198" s="348">
        <f>_xll.qlInterpolationInterpolate(B6Minterpolation,Z198,TRUE)</f>
        <v>2.1701453148164373E-3</v>
      </c>
      <c r="AD198" s="184">
        <f>_xll.qlYieldTSDiscount(Discounting,Z198,,AllTriggers)</f>
        <v>1.0010491860625286</v>
      </c>
      <c r="AE198" s="184">
        <f>_xll.qlYieldTSDiscount(Discounting,AA198,,AllTriggers)</f>
        <v>1.0019204175098091</v>
      </c>
      <c r="AF198" s="181">
        <f t="shared" si="21"/>
        <v>-1.7200118098680529E-3</v>
      </c>
      <c r="AG198" s="348">
        <f t="shared" si="22"/>
        <v>1.0974814186499049E-3</v>
      </c>
    </row>
    <row r="199" spans="26:33" x14ac:dyDescent="0.2">
      <c r="Z199" s="183">
        <f>_xll.qlCalendarAdvance(Calendar,Z198,"1D","f")</f>
        <v>42389</v>
      </c>
      <c r="AA199" s="390">
        <f>_xll.qlCalendarAdvance(Calendar,Z199,$F$1,"mf",,Trigger)</f>
        <v>42571</v>
      </c>
      <c r="AB199" s="391">
        <f>_xll.qlDayCounterYearFraction(DayCounter,Z199,AA199,,,Trigger)</f>
        <v>0.50555555555555554</v>
      </c>
      <c r="AC199" s="348">
        <f>_xll.qlInterpolationInterpolate(B6Minterpolation,Z199,TRUE)</f>
        <v>2.1704596730232973E-3</v>
      </c>
      <c r="AD199" s="184">
        <f>_xll.qlYieldTSDiscount(Discounting,Z199,,AllTriggers)</f>
        <v>1.0010539843089161</v>
      </c>
      <c r="AE199" s="184">
        <f>_xll.qlYieldTSDiscount(Discounting,AA199,,AllTriggers)</f>
        <v>1.0019253108118169</v>
      </c>
      <c r="AF199" s="181">
        <f t="shared" si="21"/>
        <v>-1.7201910703046575E-3</v>
      </c>
      <c r="AG199" s="348">
        <f t="shared" si="22"/>
        <v>1.097640407524093E-3</v>
      </c>
    </row>
    <row r="200" spans="26:33" x14ac:dyDescent="0.2">
      <c r="Z200" s="183">
        <f>_xll.qlCalendarAdvance(Calendar,Z199,"1D","f")</f>
        <v>42390</v>
      </c>
      <c r="AA200" s="390">
        <f>_xll.qlCalendarAdvance(Calendar,Z200,$F$1,"mf",,Trigger)</f>
        <v>42572</v>
      </c>
      <c r="AB200" s="391">
        <f>_xll.qlDayCounterYearFraction(DayCounter,Z200,AA200,,,Trigger)</f>
        <v>0.50555555555555554</v>
      </c>
      <c r="AC200" s="348">
        <f>_xll.qlInterpolationInterpolate(B6Minterpolation,Z200,TRUE)</f>
        <v>2.1707669331088048E-3</v>
      </c>
      <c r="AD200" s="184">
        <f>_xll.qlYieldTSDiscount(Discounting,Z200,,AllTriggers)</f>
        <v>1.0010587824898765</v>
      </c>
      <c r="AE200" s="184">
        <f>_xll.qlYieldTSDiscount(Discounting,AA200,,AllTriggers)</f>
        <v>1.0019302000071799</v>
      </c>
      <c r="AF200" s="181">
        <f t="shared" si="21"/>
        <v>-1.7203623578242102E-3</v>
      </c>
      <c r="AG200" s="348">
        <f t="shared" si="22"/>
        <v>1.0977958042975044E-3</v>
      </c>
    </row>
    <row r="201" spans="26:33" x14ac:dyDescent="0.2">
      <c r="Z201" s="183">
        <f>_xll.qlCalendarAdvance(Calendar,Z200,"1D","f")</f>
        <v>42391</v>
      </c>
      <c r="AA201" s="390">
        <f>_xll.qlCalendarAdvance(Calendar,Z201,$F$1,"mf",,Trigger)</f>
        <v>42573</v>
      </c>
      <c r="AB201" s="391">
        <f>_xll.qlDayCounterYearFraction(DayCounter,Z201,AA201,,,Trigger)</f>
        <v>0.50555555555555554</v>
      </c>
      <c r="AC201" s="348">
        <f>_xll.qlInterpolationInterpolate(B6Minterpolation,Z201,TRUE)</f>
        <v>2.1710672422540346E-3</v>
      </c>
      <c r="AD201" s="184">
        <f>_xll.qlYieldTSDiscount(Discounting,Z201,,AllTriggers)</f>
        <v>1.001063580274361</v>
      </c>
      <c r="AE201" s="184">
        <f>_xll.qlYieldTSDiscount(Discounting,AA201,,AllTriggers)</f>
        <v>1.0019350852031377</v>
      </c>
      <c r="AF201" s="181">
        <f t="shared" si="21"/>
        <v>-1.7205265376300048E-3</v>
      </c>
      <c r="AG201" s="348">
        <f t="shared" si="22"/>
        <v>1.0979476838409445E-3</v>
      </c>
    </row>
    <row r="202" spans="26:33" x14ac:dyDescent="0.2">
      <c r="Z202" s="183">
        <f>_xll.qlCalendarAdvance(Calendar,Z201,"1D","f")</f>
        <v>42394</v>
      </c>
      <c r="AA202" s="390">
        <f>_xll.qlCalendarAdvance(Calendar,Z202,$F$1,"mf",,Trigger)</f>
        <v>42576</v>
      </c>
      <c r="AB202" s="391">
        <f>_xll.qlDayCounterYearFraction(DayCounter,Z202,AA202,,,Trigger)</f>
        <v>0.50555555555555554</v>
      </c>
      <c r="AC202" s="348">
        <f>_xll.qlInterpolationInterpolate(B6Minterpolation,Z202,TRUE)</f>
        <v>2.171927935858806E-3</v>
      </c>
      <c r="AD202" s="184">
        <f>_xll.qlYieldTSDiscount(Discounting,Z202,,AllTriggers)</f>
        <v>1.0010779679383706</v>
      </c>
      <c r="AE202" s="184">
        <f>_xll.qlYieldTSDiscount(Discounting,AA202,,AllTriggers)</f>
        <v>1.001949717867012</v>
      </c>
      <c r="AF202" s="181">
        <f t="shared" si="21"/>
        <v>-1.7209850828269824E-3</v>
      </c>
      <c r="AG202" s="348">
        <f t="shared" si="22"/>
        <v>1.0983829678007009E-3</v>
      </c>
    </row>
    <row r="203" spans="26:33" x14ac:dyDescent="0.2">
      <c r="Z203" s="183">
        <f>_xll.qlCalendarAdvance(Calendar,Z202,"1D","f")</f>
        <v>42395</v>
      </c>
      <c r="AA203" s="390">
        <f>_xll.qlCalendarAdvance(Calendar,Z203,$F$1,"mf",,Trigger)</f>
        <v>42577</v>
      </c>
      <c r="AB203" s="391">
        <f>_xll.qlDayCounterYearFraction(DayCounter,Z203,AA203,,,Trigger)</f>
        <v>0.50555555555555554</v>
      </c>
      <c r="AC203" s="348">
        <f>_xll.qlInterpolationInterpolate(B6Minterpolation,Z203,TRUE)</f>
        <v>2.1722019130536729E-3</v>
      </c>
      <c r="AD203" s="184">
        <f>_xll.qlYieldTSDiscount(Discounting,Z203,,AllTriggers)</f>
        <v>1.0010827608263317</v>
      </c>
      <c r="AE203" s="184">
        <f>_xll.qlYieldTSDiscount(Discounting,AA203,,AllTriggers)</f>
        <v>1.0019545881377911</v>
      </c>
      <c r="AF203" s="181">
        <f t="shared" si="21"/>
        <v>-1.7211294838337388E-3</v>
      </c>
      <c r="AG203" s="348">
        <f t="shared" si="22"/>
        <v>1.0985215271349011E-3</v>
      </c>
    </row>
    <row r="204" spans="26:33" x14ac:dyDescent="0.2">
      <c r="Z204" s="183">
        <f>_xll.qlCalendarAdvance(Calendar,Z203,"1D","f")</f>
        <v>42396</v>
      </c>
      <c r="AA204" s="390">
        <f>_xll.qlCalendarAdvance(Calendar,Z204,$F$1,"mf",,Trigger)</f>
        <v>42578</v>
      </c>
      <c r="AB204" s="391">
        <f>_xll.qlDayCounterYearFraction(DayCounter,Z204,AA204,,,Trigger)</f>
        <v>0.50555555555555554</v>
      </c>
      <c r="AC204" s="348">
        <f>_xll.qlInterpolationInterpolate(B6Minterpolation,Z204,TRUE)</f>
        <v>2.1724696752136361E-3</v>
      </c>
      <c r="AD204" s="184">
        <f>_xll.qlYieldTSDiscount(Discounting,Z204,,AllTriggers)</f>
        <v>1.0010875517239155</v>
      </c>
      <c r="AE204" s="184">
        <f>_xll.qlYieldTSDiscount(Discounting,AA204,,AllTriggers)</f>
        <v>1.0019594549453967</v>
      </c>
      <c r="AF204" s="181">
        <f t="shared" si="21"/>
        <v>-1.7212709818602214E-3</v>
      </c>
      <c r="AG204" s="348">
        <f t="shared" si="22"/>
        <v>1.0986569435285272E-3</v>
      </c>
    </row>
    <row r="205" spans="26:33" x14ac:dyDescent="0.2">
      <c r="Z205" s="183">
        <f>_xll.qlCalendarAdvance(Calendar,Z204,"1D","f")</f>
        <v>42397</v>
      </c>
      <c r="AA205" s="390">
        <f>_xll.qlCalendarAdvance(Calendar,Z205,$F$1,"mf",,Trigger)</f>
        <v>42579</v>
      </c>
      <c r="AB205" s="391">
        <f>_xll.qlDayCounterYearFraction(DayCounter,Z205,AA205,,,Trigger)</f>
        <v>0.50555555555555554</v>
      </c>
      <c r="AC205" s="348">
        <f>_xll.qlInterpolationInterpolate(B6Minterpolation,Z205,TRUE)</f>
        <v>2.1727313695197705E-3</v>
      </c>
      <c r="AD205" s="184">
        <f>_xll.qlYieldTSDiscount(Discounting,Z205,,AllTriggers)</f>
        <v>1.0010923406072361</v>
      </c>
      <c r="AE205" s="184">
        <f>_xll.qlYieldTSDiscount(Discounting,AA205,,AllTriggers)</f>
        <v>1.0019643183970814</v>
      </c>
      <c r="AF205" s="181">
        <f t="shared" si="21"/>
        <v>-1.7214098356522023E-3</v>
      </c>
      <c r="AG205" s="348">
        <f t="shared" si="22"/>
        <v>1.098789291516117E-3</v>
      </c>
    </row>
    <row r="206" spans="26:33" x14ac:dyDescent="0.2">
      <c r="Z206" s="183">
        <f>_xll.qlCalendarAdvance(Calendar,Z205,"1D","f")</f>
        <v>42398</v>
      </c>
      <c r="AA206" s="390">
        <f>_xll.qlCalendarAdvance(Calendar,Z206,$F$1,"mf",,Trigger)</f>
        <v>42580</v>
      </c>
      <c r="AB206" s="391">
        <f>_xll.qlDayCounterYearFraction(DayCounter,Z206,AA206,,,Trigger)</f>
        <v>0.50555555555555554</v>
      </c>
      <c r="AC206" s="348">
        <f>_xll.qlInterpolationInterpolate(B6Minterpolation,Z206,TRUE)</f>
        <v>2.1729871431531503E-3</v>
      </c>
      <c r="AD206" s="184">
        <f>_xll.qlYieldTSDiscount(Discounting,Z206,,AllTriggers)</f>
        <v>1.0010971275138481</v>
      </c>
      <c r="AE206" s="184">
        <f>_xll.qlYieldTSDiscount(Discounting,AA206,,AllTriggers)</f>
        <v>1.0019691786000999</v>
      </c>
      <c r="AF206" s="181">
        <f t="shared" si="21"/>
        <v>-1.7215461826621484E-3</v>
      </c>
      <c r="AG206" s="348">
        <f t="shared" si="22"/>
        <v>1.0989186455658225E-3</v>
      </c>
    </row>
    <row r="207" spans="26:33" x14ac:dyDescent="0.2">
      <c r="Z207" s="183">
        <f>_xll.qlCalendarAdvance(Calendar,Z206,"1D","f")</f>
        <v>42401</v>
      </c>
      <c r="AA207" s="390">
        <f>_xll.qlCalendarAdvance(Calendar,Z207,$F$1,"mf",,Trigger)</f>
        <v>42583</v>
      </c>
      <c r="AB207" s="391">
        <f>_xll.qlDayCounterYearFraction(DayCounter,Z207,AA207,,,Trigger)</f>
        <v>0.50555555555555554</v>
      </c>
      <c r="AC207" s="348">
        <f>_xll.qlInterpolationInterpolate(B6Minterpolation,Z207,TRUE)</f>
        <v>2.1737204118275127E-3</v>
      </c>
      <c r="AD207" s="184">
        <f>_xll.qlYieldTSDiscount(Discounting,Z207,,AllTriggers)</f>
        <v>1.0011114767489828</v>
      </c>
      <c r="AE207" s="184">
        <f>_xll.qlYieldTSDiscount(Discounting,AA207,,AllTriggers)</f>
        <v>1.0019837407897385</v>
      </c>
      <c r="AF207" s="181">
        <f t="shared" si="21"/>
        <v>-1.721941557547727E-3</v>
      </c>
      <c r="AG207" s="348">
        <f t="shared" si="22"/>
        <v>1.0992894887632966E-3</v>
      </c>
    </row>
    <row r="208" spans="26:33" x14ac:dyDescent="0.2">
      <c r="Z208" s="183">
        <f>_xll.qlCalendarAdvance(Calendar,Z207,"1D","f")</f>
        <v>42402</v>
      </c>
      <c r="AA208" s="390">
        <f>_xll.qlCalendarAdvance(Calendar,Z208,$F$1,"mf",,Trigger)</f>
        <v>42584</v>
      </c>
      <c r="AB208" s="391">
        <f>_xll.qlDayCounterYearFraction(DayCounter,Z208,AA208,,,Trigger)</f>
        <v>0.50555555555555554</v>
      </c>
      <c r="AC208" s="348">
        <f>_xll.qlInterpolationInterpolate(B6Minterpolation,Z208,TRUE)</f>
        <v>2.1739539745806238E-3</v>
      </c>
      <c r="AD208" s="184">
        <f>_xll.qlYieldTSDiscount(Discounting,Z208,,AllTriggers)</f>
        <v>1.0011162561243159</v>
      </c>
      <c r="AE208" s="184">
        <f>_xll.qlYieldTSDiscount(Discounting,AA208,,AllTriggers)</f>
        <v>1.001988589070683</v>
      </c>
      <c r="AF208" s="181">
        <f t="shared" si="21"/>
        <v>-1.72206925197331E-3</v>
      </c>
      <c r="AG208" s="348">
        <f t="shared" si="22"/>
        <v>1.0994076117377054E-3</v>
      </c>
    </row>
    <row r="209" spans="26:33" x14ac:dyDescent="0.2">
      <c r="Z209" s="183">
        <f>_xll.qlCalendarAdvance(Calendar,Z208,"1D","f")</f>
        <v>42403</v>
      </c>
      <c r="AA209" s="390">
        <f>_xll.qlCalendarAdvance(Calendar,Z209,$F$1,"mf",,Trigger)</f>
        <v>42585</v>
      </c>
      <c r="AB209" s="391">
        <f>_xll.qlDayCounterYearFraction(DayCounter,Z209,AA209,,,Trigger)</f>
        <v>0.50555555555555554</v>
      </c>
      <c r="AC209" s="348">
        <f>_xll.qlInterpolationInterpolate(B6Minterpolation,Z209,TRUE)</f>
        <v>2.1741823525663543E-3</v>
      </c>
      <c r="AD209" s="184">
        <f>_xll.qlYieldTSDiscount(Discounting,Z209,,AllTriggers)</f>
        <v>1.0011210337107215</v>
      </c>
      <c r="AE209" s="184">
        <f>_xll.qlYieldTSDiscount(Discounting,AA209,,AllTriggers)</f>
        <v>1.0019934346392669</v>
      </c>
      <c r="AF209" s="181">
        <f t="shared" si="21"/>
        <v>-1.7221951268881969E-3</v>
      </c>
      <c r="AG209" s="348">
        <f t="shared" si="22"/>
        <v>1.0995231131122696E-3</v>
      </c>
    </row>
    <row r="210" spans="26:33" x14ac:dyDescent="0.2">
      <c r="Z210" s="183">
        <f>_xll.qlCalendarAdvance(Calendar,Z209,"1D","f")</f>
        <v>42404</v>
      </c>
      <c r="AA210" s="390">
        <f>_xll.qlCalendarAdvance(Calendar,Z210,$F$1,"mf",,Trigger)</f>
        <v>42586</v>
      </c>
      <c r="AB210" s="391">
        <f>_xll.qlDayCounterYearFraction(DayCounter,Z210,AA210,,,Trigger)</f>
        <v>0.50555555555555554</v>
      </c>
      <c r="AC210" s="348">
        <f>_xll.qlInterpolationInterpolate(B6Minterpolation,Z210,TRUE)</f>
        <v>2.1744056929657797E-3</v>
      </c>
      <c r="AD210" s="184">
        <f>_xll.qlYieldTSDiscount(Discounting,Z210,,AllTriggers)</f>
        <v>1.0011258095457591</v>
      </c>
      <c r="AE210" s="184">
        <f>_xll.qlYieldTSDiscount(Discounting,AA210,,AllTriggers)</f>
        <v>1.0019982776027576</v>
      </c>
      <c r="AF210" s="181">
        <f t="shared" si="21"/>
        <v>-1.7223193197437568E-3</v>
      </c>
      <c r="AG210" s="348">
        <f t="shared" si="22"/>
        <v>1.099636067355221E-3</v>
      </c>
    </row>
    <row r="211" spans="26:33" x14ac:dyDescent="0.2">
      <c r="Z211" s="183">
        <f>_xll.qlCalendarAdvance(Calendar,Z210,"1D","f")</f>
        <v>42405</v>
      </c>
      <c r="AA211" s="390">
        <f>_xll.qlCalendarAdvance(Calendar,Z211,$F$1,"mf",,Trigger)</f>
        <v>42587</v>
      </c>
      <c r="AB211" s="391">
        <f>_xll.qlDayCounterYearFraction(DayCounter,Z211,AA211,,,Trigger)</f>
        <v>0.50555555555555554</v>
      </c>
      <c r="AC211" s="348">
        <f>_xll.qlInterpolationInterpolate(B6Minterpolation,Z211,TRUE)</f>
        <v>2.1746241429599737E-3</v>
      </c>
      <c r="AD211" s="184">
        <f>_xll.qlYieldTSDiscount(Discounting,Z211,,AllTriggers)</f>
        <v>1.0011305836669879</v>
      </c>
      <c r="AE211" s="184">
        <f>_xll.qlYieldTSDiscount(Discounting,AA211,,AllTriggers)</f>
        <v>1.0020031180684248</v>
      </c>
      <c r="AF211" s="181">
        <f t="shared" si="21"/>
        <v>-1.7224419679944332E-3</v>
      </c>
      <c r="AG211" s="348">
        <f t="shared" si="22"/>
        <v>1.0997465489340731E-3</v>
      </c>
    </row>
    <row r="212" spans="26:33" x14ac:dyDescent="0.2">
      <c r="Z212" s="183">
        <f>_xll.qlCalendarAdvance(Calendar,Z211,"1D","f")</f>
        <v>42408</v>
      </c>
      <c r="AA212" s="390">
        <f>_xll.qlCalendarAdvance(Calendar,Z212,$F$1,"mf",,Trigger)</f>
        <v>42590</v>
      </c>
      <c r="AB212" s="391">
        <f>_xll.qlDayCounterYearFraction(DayCounter,Z212,AA212,,,Trigger)</f>
        <v>0.50555555555555554</v>
      </c>
      <c r="AC212" s="348">
        <f>_xll.qlInterpolationInterpolate(B6Minterpolation,Z212,TRUE)</f>
        <v>2.1752516223219201E-3</v>
      </c>
      <c r="AD212" s="184">
        <f>_xll.qlYieldTSDiscount(Discounting,Z212,,AllTriggers)</f>
        <v>1.0011448961234242</v>
      </c>
      <c r="AE212" s="184">
        <f>_xll.qlYieldTSDiscount(Discounting,AA212,,AllTriggers)</f>
        <v>1.0020176255512121</v>
      </c>
      <c r="AF212" s="181">
        <f t="shared" si="21"/>
        <v>-1.7228020196565445E-3</v>
      </c>
      <c r="AG212" s="348">
        <f t="shared" si="22"/>
        <v>1.100063902363727E-3</v>
      </c>
    </row>
    <row r="213" spans="26:33" x14ac:dyDescent="0.2">
      <c r="Z213" s="183">
        <f>_xll.qlCalendarAdvance(Calendar,Z212,"1D","f")</f>
        <v>42409</v>
      </c>
      <c r="AA213" s="390">
        <f>_xll.qlCalendarAdvance(Calendar,Z213,$F$1,"mf",,Trigger)</f>
        <v>42591</v>
      </c>
      <c r="AB213" s="391">
        <f>_xll.qlDayCounterYearFraction(DayCounter,Z213,AA213,,,Trigger)</f>
        <v>0.50555555555555554</v>
      </c>
      <c r="AC213" s="348">
        <f>_xll.qlInterpolationInterpolate(B6Minterpolation,Z213,TRUE)</f>
        <v>2.1754519825059391E-3</v>
      </c>
      <c r="AD213" s="184">
        <f>_xll.qlYieldTSDiscount(Discounting,Z213,,AllTriggers)</f>
        <v>1.0011496637650246</v>
      </c>
      <c r="AE213" s="184">
        <f>_xll.qlYieldTSDiscount(Discounting,AA213,,AllTriggers)</f>
        <v>1.0020224570983221</v>
      </c>
      <c r="AF213" s="181">
        <f t="shared" si="21"/>
        <v>-1.7229198640246544E-3</v>
      </c>
      <c r="AG213" s="348">
        <f t="shared" si="22"/>
        <v>1.100165237963634E-3</v>
      </c>
    </row>
    <row r="214" spans="26:33" x14ac:dyDescent="0.2">
      <c r="Z214" s="183">
        <f>_xll.qlCalendarAdvance(Calendar,Z213,"1D","f")</f>
        <v>42410</v>
      </c>
      <c r="AA214" s="390">
        <f>_xll.qlCalendarAdvance(Calendar,Z214,$F$1,"mf",,Trigger)</f>
        <v>42592</v>
      </c>
      <c r="AB214" s="391">
        <f>_xll.qlDayCounterYearFraction(DayCounter,Z214,AA214,,,Trigger)</f>
        <v>0.50555555555555554</v>
      </c>
      <c r="AC214" s="348">
        <f>_xll.qlInterpolationInterpolate(B6Minterpolation,Z214,TRUE)</f>
        <v>2.1756481881901016E-3</v>
      </c>
      <c r="AD214" s="184">
        <f>_xll.qlYieldTSDiscount(Discounting,Z214,,AllTriggers)</f>
        <v>1.0011544298806232</v>
      </c>
      <c r="AE214" s="184">
        <f>_xll.qlYieldTSDiscount(Discounting,AA214,,AllTriggers)</f>
        <v>1.0020272866839879</v>
      </c>
      <c r="AF214" s="181">
        <f t="shared" si="21"/>
        <v>-1.7230368510572432E-3</v>
      </c>
      <c r="AG214" s="348">
        <f t="shared" si="22"/>
        <v>1.1002644732387081E-3</v>
      </c>
    </row>
    <row r="215" spans="26:33" x14ac:dyDescent="0.2">
      <c r="Z215" s="183">
        <f>_xll.qlCalendarAdvance(Calendar,Z214,"1D","f")</f>
        <v>42411</v>
      </c>
      <c r="AA215" s="390">
        <f>_xll.qlCalendarAdvance(Calendar,Z215,$F$1,"mf",,Trigger)</f>
        <v>42593</v>
      </c>
      <c r="AB215" s="391">
        <f>_xll.qlDayCounterYearFraction(DayCounter,Z215,AA215,,,Trigger)</f>
        <v>0.50555555555555554</v>
      </c>
      <c r="AC215" s="348">
        <f>_xll.qlInterpolationInterpolate(B6Minterpolation,Z215,TRUE)</f>
        <v>2.1758403865554817E-3</v>
      </c>
      <c r="AD215" s="184">
        <f>_xll.qlYieldTSDiscount(Discounting,Z215,,AllTriggers)</f>
        <v>1.0011591945077842</v>
      </c>
      <c r="AE215" s="184">
        <f>_xll.qlYieldTSDiscount(Discounting,AA215,,AllTriggers)</f>
        <v>1.0020321144154911</v>
      </c>
      <c r="AF215" s="181">
        <f t="shared" si="21"/>
        <v>-1.72315311820546E-3</v>
      </c>
      <c r="AG215" s="348">
        <f t="shared" si="22"/>
        <v>1.100361682656179E-3</v>
      </c>
    </row>
    <row r="216" spans="26:33" x14ac:dyDescent="0.2">
      <c r="Z216" s="183">
        <f>_xll.qlCalendarAdvance(Calendar,Z215,"1D","f")</f>
        <v>42412</v>
      </c>
      <c r="AA216" s="390">
        <f>_xll.qlCalendarAdvance(Calendar,Z216,$F$1,"mf",,Trigger)</f>
        <v>42594</v>
      </c>
      <c r="AB216" s="391">
        <f>_xll.qlDayCounterYearFraction(DayCounter,Z216,AA216,,,Trigger)</f>
        <v>0.50555555555555554</v>
      </c>
      <c r="AC216" s="348">
        <f>_xll.qlInterpolationInterpolate(B6Minterpolation,Z216,TRUE)</f>
        <v>2.1760287247831545E-3</v>
      </c>
      <c r="AD216" s="184">
        <f>_xll.qlYieldTSDiscount(Discounting,Z216,,AllTriggers)</f>
        <v>1.0011639576840716</v>
      </c>
      <c r="AE216" s="184">
        <f>_xll.qlYieldTSDiscount(Discounting,AA216,,AllTriggers)</f>
        <v>1.0020369404001157</v>
      </c>
      <c r="AF216" s="181">
        <f t="shared" si="21"/>
        <v>-1.7232688029235287E-3</v>
      </c>
      <c r="AG216" s="348">
        <f t="shared" si="22"/>
        <v>1.1004569406838998E-3</v>
      </c>
    </row>
    <row r="217" spans="26:33" x14ac:dyDescent="0.2">
      <c r="Z217" s="183">
        <f>_xll.qlCalendarAdvance(Calendar,Z216,"1D","f")</f>
        <v>42415</v>
      </c>
      <c r="AA217" s="390">
        <f>_xll.qlCalendarAdvance(Calendar,Z217,$F$1,"mf",,Trigger)</f>
        <v>42597</v>
      </c>
      <c r="AB217" s="391">
        <f>_xll.qlDayCounterYearFraction(DayCounter,Z217,AA217,,,Trigger)</f>
        <v>0.50555555555555554</v>
      </c>
      <c r="AC217" s="348">
        <f>_xll.qlInterpolationInterpolate(B6Minterpolation,Z217,TRUE)</f>
        <v>2.1765720504506774E-3</v>
      </c>
      <c r="AD217" s="184">
        <f>_xll.qlYieldTSDiscount(Discounting,Z217,,AllTriggers)</f>
        <v>1.0011782388833481</v>
      </c>
      <c r="AE217" s="184">
        <f>_xll.qlYieldTSDiscount(Discounting,AA217,,AllTriggers)</f>
        <v>1.0020514089455923</v>
      </c>
      <c r="AF217" s="181">
        <f t="shared" si="21"/>
        <v>-1.7236137370309594E-3</v>
      </c>
      <c r="AG217" s="348">
        <f t="shared" si="22"/>
        <v>1.1007317511082773E-3</v>
      </c>
    </row>
    <row r="218" spans="26:33" x14ac:dyDescent="0.2">
      <c r="Z218" s="183">
        <f>_xll.qlCalendarAdvance(Calendar,Z217,"1D","f")</f>
        <v>42416</v>
      </c>
      <c r="AA218" s="390">
        <f>_xll.qlCalendarAdvance(Calendar,Z218,$F$1,"mf",,Trigger)</f>
        <v>42598</v>
      </c>
      <c r="AB218" s="391">
        <f>_xll.qlDayCounterYearFraction(DayCounter,Z218,AA218,,,Trigger)</f>
        <v>0.50555555555555554</v>
      </c>
      <c r="AC218" s="348">
        <f>_xll.qlInterpolationInterpolate(B6Minterpolation,Z218,TRUE)</f>
        <v>2.1767464199382689E-3</v>
      </c>
      <c r="AD218" s="184">
        <f>_xll.qlYieldTSDiscount(Discounting,Z218,,AllTriggers)</f>
        <v>1.0011829966318</v>
      </c>
      <c r="AE218" s="184">
        <f>_xll.qlYieldTSDiscount(Discounting,AA218,,AllTriggers)</f>
        <v>1.0020562290155866</v>
      </c>
      <c r="AF218" s="181">
        <f t="shared" si="21"/>
        <v>-1.7237284665623292E-3</v>
      </c>
      <c r="AG218" s="348">
        <f t="shared" si="22"/>
        <v>1.10081994825586E-3</v>
      </c>
    </row>
    <row r="219" spans="26:33" x14ac:dyDescent="0.2">
      <c r="Z219" s="183">
        <f>_xll.qlCalendarAdvance(Calendar,Z218,"1D","f")</f>
        <v>42417</v>
      </c>
      <c r="AA219" s="390">
        <f>_xll.qlCalendarAdvance(Calendar,Z219,$F$1,"mf",,Trigger)</f>
        <v>42599</v>
      </c>
      <c r="AB219" s="391">
        <f>_xll.qlDayCounterYearFraction(DayCounter,Z219,AA219,,,Trigger)</f>
        <v>0.50555555555555554</v>
      </c>
      <c r="AC219" s="348">
        <f>_xll.qlInterpolationInterpolate(B6Minterpolation,Z219,TRUE)</f>
        <v>2.176917665193527E-3</v>
      </c>
      <c r="AD219" s="184">
        <f>_xll.qlYieldTSDiscount(Discounting,Z219,,AllTriggers)</f>
        <v>1.0011877531172111</v>
      </c>
      <c r="AE219" s="184">
        <f>_xll.qlYieldTSDiscount(Discounting,AA219,,AllTriggers)</f>
        <v>1.0020610478751539</v>
      </c>
      <c r="AF219" s="181">
        <f t="shared" si="21"/>
        <v>-1.7238433009298386E-3</v>
      </c>
      <c r="AG219" s="348">
        <f t="shared" si="22"/>
        <v>1.100906566352829E-3</v>
      </c>
    </row>
    <row r="220" spans="26:33" x14ac:dyDescent="0.2">
      <c r="Z220" s="183">
        <f>_xll.qlCalendarAdvance(Calendar,Z219,"1D","f")</f>
        <v>42418</v>
      </c>
      <c r="AA220" s="390">
        <f>_xll.qlCalendarAdvance(Calendar,Z220,$F$1,"mf",,Trigger)</f>
        <v>42600</v>
      </c>
      <c r="AB220" s="391">
        <f>_xll.qlDayCounterYearFraction(DayCounter,Z220,AA220,,,Trigger)</f>
        <v>0.50555555555555554</v>
      </c>
      <c r="AC220" s="348">
        <f>_xll.qlInterpolationInterpolate(B6Minterpolation,Z220,TRUE)</f>
        <v>2.1770859333975264E-3</v>
      </c>
      <c r="AD220" s="184">
        <f>_xll.qlYieldTSDiscount(Discounting,Z220,,AllTriggers)</f>
        <v>1.00119250837715</v>
      </c>
      <c r="AE220" s="184">
        <f>_xll.qlYieldTSDiscount(Discounting,AA220,,AllTriggers)</f>
        <v>1.0020658656315915</v>
      </c>
      <c r="AF220" s="181">
        <f t="shared" si="21"/>
        <v>-1.7239583775877118E-3</v>
      </c>
      <c r="AG220" s="348">
        <f t="shared" si="22"/>
        <v>1.100991679867483E-3</v>
      </c>
    </row>
    <row r="221" spans="26:33" x14ac:dyDescent="0.2">
      <c r="Z221" s="183">
        <f>_xll.qlCalendarAdvance(Calendar,Z220,"1D","f")</f>
        <v>42419</v>
      </c>
      <c r="AA221" s="390">
        <f>_xll.qlCalendarAdvance(Calendar,Z221,$F$1,"mf",,Trigger)</f>
        <v>42601</v>
      </c>
      <c r="AB221" s="391">
        <f>_xll.qlDayCounterYearFraction(DayCounter,Z221,AA221,,,Trigger)</f>
        <v>0.50555555555555554</v>
      </c>
      <c r="AC221" s="348">
        <f>_xll.qlInterpolationInterpolate(B6Minterpolation,Z221,TRUE)</f>
        <v>2.1772513717313422E-3</v>
      </c>
      <c r="AD221" s="184">
        <f>_xll.qlYieldTSDiscount(Discounting,Z221,,AllTriggers)</f>
        <v>1.0011972624491865</v>
      </c>
      <c r="AE221" s="184">
        <f>_xll.qlYieldTSDiscount(Discounting,AA221,,AllTriggers)</f>
        <v>1.0020706823921972</v>
      </c>
      <c r="AF221" s="181">
        <f t="shared" si="21"/>
        <v>-1.7240738339870979E-3</v>
      </c>
      <c r="AG221" s="348">
        <f t="shared" si="22"/>
        <v>1.101075363266979E-3</v>
      </c>
    </row>
    <row r="222" spans="26:33" x14ac:dyDescent="0.2">
      <c r="Z222" s="183">
        <f>_xll.qlCalendarAdvance(Calendar,Z221,"1D","f")</f>
        <v>42422</v>
      </c>
      <c r="AA222" s="390">
        <f>_xll.qlCalendarAdvance(Calendar,Z222,$F$1,"mf",,Trigger)</f>
        <v>42604</v>
      </c>
      <c r="AB222" s="391">
        <f>_xll.qlDayCounterYearFraction(DayCounter,Z222,AA222,,,Trigger)</f>
        <v>0.50555555555555554</v>
      </c>
      <c r="AC222" s="348">
        <f>_xll.qlInterpolationInterpolate(B6Minterpolation,Z222,TRUE)</f>
        <v>2.1777321793224336E-3</v>
      </c>
      <c r="AD222" s="184">
        <f>_xll.qlYieldTSDiscount(Discounting,Z222,,AllTriggers)</f>
        <v>1.001211517913585</v>
      </c>
      <c r="AE222" s="184">
        <f>_xll.qlYieldTSDiscount(Discounting,AA222,,AllTriggers)</f>
        <v>1.0020851277720439</v>
      </c>
      <c r="AF222" s="181">
        <f t="shared" si="21"/>
        <v>-1.7244238561752547E-3</v>
      </c>
      <c r="AG222" s="348">
        <f t="shared" si="22"/>
        <v>1.1013185774564956E-3</v>
      </c>
    </row>
    <row r="223" spans="26:33" x14ac:dyDescent="0.2">
      <c r="Z223" s="183">
        <f>_xll.qlCalendarAdvance(Calendar,Z222,"1D","f")</f>
        <v>42423</v>
      </c>
      <c r="AA223" s="390">
        <f>_xll.qlCalendarAdvance(Calendar,Z223,$F$1,"mf",,Trigger)</f>
        <v>42605</v>
      </c>
      <c r="AB223" s="391">
        <f>_xll.qlDayCounterYearFraction(DayCounter,Z223,AA223,,,Trigger)</f>
        <v>0.50555555555555554</v>
      </c>
      <c r="AC223" s="348">
        <f>_xll.qlInterpolationInterpolate(B6Minterpolation,Z223,TRUE)</f>
        <v>2.1778877699862617E-3</v>
      </c>
      <c r="AD223" s="184">
        <f>_xll.qlYieldTSDiscount(Discounting,Z223,,AllTriggers)</f>
        <v>1.0012162676097196</v>
      </c>
      <c r="AE223" s="184">
        <f>_xll.qlYieldTSDiscount(Discounting,AA223,,AllTriggers)</f>
        <v>1.0020899416223519</v>
      </c>
      <c r="AF223" s="181">
        <f t="shared" si="21"/>
        <v>-1.7245422060772212E-3</v>
      </c>
      <c r="AG223" s="348">
        <f t="shared" si="22"/>
        <v>1.1013972850756357E-3</v>
      </c>
    </row>
    <row r="224" spans="26:33" x14ac:dyDescent="0.2">
      <c r="Z224" s="183">
        <f>_xll.qlCalendarAdvance(Calendar,Z223,"1D","f")</f>
        <v>42424</v>
      </c>
      <c r="AA224" s="390">
        <f>_xll.qlCalendarAdvance(Calendar,Z224,$F$1,"mf",,Trigger)</f>
        <v>42606</v>
      </c>
      <c r="AB224" s="391">
        <f>_xll.qlDayCounterYearFraction(DayCounter,Z224,AA224,,,Trigger)</f>
        <v>0.50555555555555554</v>
      </c>
      <c r="AC224" s="348">
        <f>_xll.qlInterpolationInterpolate(B6Minterpolation,Z224,TRUE)</f>
        <v>2.1780412666852801E-3</v>
      </c>
      <c r="AD224" s="184">
        <f>_xll.qlYieldTSDiscount(Discounting,Z224,,AllTriggers)</f>
        <v>1.0012210163058095</v>
      </c>
      <c r="AE224" s="184">
        <f>_xll.qlYieldTSDiscount(Discounting,AA224,,AllTriggers)</f>
        <v>1.0020947550133525</v>
      </c>
      <c r="AF224" s="181">
        <f t="shared" si="21"/>
        <v>-1.7246616229876473E-3</v>
      </c>
      <c r="AG224" s="348">
        <f t="shared" si="22"/>
        <v>1.1014749349198337E-3</v>
      </c>
    </row>
    <row r="225" spans="26:33" x14ac:dyDescent="0.2">
      <c r="Z225" s="183">
        <f>_xll.qlCalendarAdvance(Calendar,Z224,"1D","f")</f>
        <v>42425</v>
      </c>
      <c r="AA225" s="390">
        <f>_xll.qlCalendarAdvance(Calendar,Z225,$F$1,"mf",,Trigger)</f>
        <v>42607</v>
      </c>
      <c r="AB225" s="391">
        <f>_xll.qlDayCounterYearFraction(DayCounter,Z225,AA225,,,Trigger)</f>
        <v>0.50555555555555554</v>
      </c>
      <c r="AC225" s="348">
        <f>_xll.qlInterpolationInterpolate(B6Minterpolation,Z225,TRUE)</f>
        <v>2.178192816600563E-3</v>
      </c>
      <c r="AD225" s="184">
        <f>_xll.qlYieldTSDiscount(Discounting,Z225,,AllTriggers)</f>
        <v>1.0012257640394284</v>
      </c>
      <c r="AE225" s="184">
        <f>_xll.qlYieldTSDiscount(Discounting,AA225,,AllTriggers)</f>
        <v>1.0020995680523566</v>
      </c>
      <c r="AF225" s="181">
        <f t="shared" si="21"/>
        <v>-1.7247822443581214E-3</v>
      </c>
      <c r="AG225" s="348">
        <f t="shared" si="22"/>
        <v>1.101551601456073E-3</v>
      </c>
    </row>
    <row r="226" spans="26:33" x14ac:dyDescent="0.2">
      <c r="Z226" s="183">
        <f>_xll.qlCalendarAdvance(Calendar,Z225,"1D","f")</f>
        <v>42426</v>
      </c>
      <c r="AA226" s="390">
        <f>_xll.qlCalendarAdvance(Calendar,Z226,$F$1,"mf",,Trigger)</f>
        <v>42608</v>
      </c>
      <c r="AB226" s="391">
        <f>_xll.qlDayCounterYearFraction(DayCounter,Z226,AA226,,,Trigger)</f>
        <v>0.50555555555555554</v>
      </c>
      <c r="AC226" s="348">
        <f>_xll.qlInterpolationInterpolate(B6Minterpolation,Z226,TRUE)</f>
        <v>2.1783425669131854E-3</v>
      </c>
      <c r="AD226" s="184">
        <f>_xll.qlYieldTSDiscount(Discounting,Z226,,AllTriggers)</f>
        <v>1.0012305108481507</v>
      </c>
      <c r="AE226" s="184">
        <f>_xll.qlYieldTSDiscount(Discounting,AA226,,AllTriggers)</f>
        <v>1.0021043808466781</v>
      </c>
      <c r="AF226" s="181">
        <f t="shared" si="21"/>
        <v>-1.7249042076441855E-3</v>
      </c>
      <c r="AG226" s="348">
        <f t="shared" si="22"/>
        <v>1.101627359153308E-3</v>
      </c>
    </row>
    <row r="227" spans="26:33" x14ac:dyDescent="0.2">
      <c r="Z227" s="183">
        <f>_xll.qlCalendarAdvance(Calendar,Z226,"1D","f")</f>
        <v>42429</v>
      </c>
      <c r="AA227" s="390">
        <f>_xll.qlCalendarAdvance(Calendar,Z227,$F$1,"mf",,Trigger)</f>
        <v>42611</v>
      </c>
      <c r="AB227" s="391">
        <f>_xll.qlDayCounterYearFraction(DayCounter,Z227,AA227,,,Trigger)</f>
        <v>0.50555555555555554</v>
      </c>
      <c r="AC227" s="348">
        <f>_xll.qlInterpolationInterpolate(B6Minterpolation,Z227,TRUE)</f>
        <v>2.1787824920458387E-3</v>
      </c>
      <c r="AD227" s="184">
        <f>_xll.qlYieldTSDiscount(Discounting,Z227,,AllTriggers)</f>
        <v>1.0012447461006935</v>
      </c>
      <c r="AE227" s="184">
        <f>_xll.qlYieldTSDiscount(Discounting,AA227,,AllTriggers)</f>
        <v>1.0021188188347037</v>
      </c>
      <c r="AF227" s="181">
        <f t="shared" si="21"/>
        <v>-1.7252795235124594E-3</v>
      </c>
      <c r="AG227" s="348">
        <f t="shared" si="22"/>
        <v>1.101849923886625E-3</v>
      </c>
    </row>
    <row r="228" spans="26:33" x14ac:dyDescent="0.2">
      <c r="Z228" s="183">
        <f>_xll.qlCalendarAdvance(Calendar,Z227,"1D","f")</f>
        <v>42430</v>
      </c>
      <c r="AA228" s="390">
        <f>_xll.qlCalendarAdvance(Calendar,Z228,$F$1,"mf",,Trigger)</f>
        <v>42614</v>
      </c>
      <c r="AB228" s="391">
        <f>_xll.qlDayCounterYearFraction(DayCounter,Z228,AA228,,,Trigger)</f>
        <v>0.51111111111111107</v>
      </c>
      <c r="AC228" s="348">
        <f>_xll.qlInterpolationInterpolate(B6Minterpolation,Z228,TRUE)</f>
        <v>2.1789265157585677E-3</v>
      </c>
      <c r="AD228" s="184">
        <f>_xll.qlYieldTSDiscount(Discounting,Z228,,AllTriggers)</f>
        <v>1.0012494895855883</v>
      </c>
      <c r="AE228" s="184">
        <f>_xll.qlYieldTSDiscount(Discounting,AA228,,AllTriggers)</f>
        <v>1.0021332584840494</v>
      </c>
      <c r="AF228" s="181">
        <f t="shared" si="21"/>
        <v>-1.7254322691795871E-3</v>
      </c>
      <c r="AG228" s="348">
        <f t="shared" si="22"/>
        <v>1.1140357859328307E-3</v>
      </c>
    </row>
    <row r="229" spans="26:33" x14ac:dyDescent="0.2">
      <c r="Z229" s="183">
        <f>_xll.qlCalendarAdvance(Calendar,Z228,"1D","f")</f>
        <v>42431</v>
      </c>
      <c r="AA229" s="390">
        <f>_xll.qlCalendarAdvance(Calendar,Z229,$F$1,"mf",,Trigger)</f>
        <v>42615</v>
      </c>
      <c r="AB229" s="391">
        <f>_xll.qlDayCounterYearFraction(DayCounter,Z229,AA229,,,Trigger)</f>
        <v>0.51111111111111107</v>
      </c>
      <c r="AC229" s="348">
        <f>_xll.qlInterpolationInterpolate(B6Minterpolation,Z229,TRUE)</f>
        <v>2.1790694757740101E-3</v>
      </c>
      <c r="AD229" s="184">
        <f>_xll.qlYieldTSDiscount(Discounting,Z229,,AllTriggers)</f>
        <v>1.0012542323334697</v>
      </c>
      <c r="AE229" s="184">
        <f>_xll.qlYieldTSDiscount(Discounting,AA229,,AllTriggers)</f>
        <v>1.0021380725705276</v>
      </c>
      <c r="AF229" s="181">
        <f t="shared" si="21"/>
        <v>-1.7255632582506987E-3</v>
      </c>
      <c r="AG229" s="348">
        <f t="shared" si="22"/>
        <v>1.1141089120640236E-3</v>
      </c>
    </row>
    <row r="230" spans="26:33" x14ac:dyDescent="0.2">
      <c r="Z230" s="183">
        <f>_xll.qlCalendarAdvance(Calendar,Z229,"1D","f")</f>
        <v>42432</v>
      </c>
      <c r="AA230" s="390">
        <f>_xll.qlCalendarAdvance(Calendar,Z230,$F$1,"mf",,Trigger)</f>
        <v>42618</v>
      </c>
      <c r="AB230" s="391">
        <f>_xll.qlDayCounterYearFraction(DayCounter,Z230,AA230,,,Trigger)</f>
        <v>0.51666666666666672</v>
      </c>
      <c r="AC230" s="348">
        <f>_xll.qlInterpolationInterpolate(B6Minterpolation,Z230,TRUE)</f>
        <v>2.1792115192732411E-3</v>
      </c>
      <c r="AD230" s="184">
        <f>_xll.qlYieldTSDiscount(Discounting,Z230,,AllTriggers)</f>
        <v>1.001258974381916</v>
      </c>
      <c r="AE230" s="184">
        <f>_xll.qlYieldTSDiscount(Discounting,AA230,,AllTriggers)</f>
        <v>1.0021525189426643</v>
      </c>
      <c r="AF230" s="181">
        <f t="shared" si="21"/>
        <v>-1.7257264264963945E-3</v>
      </c>
      <c r="AG230" s="348">
        <f t="shared" si="22"/>
        <v>1.1262962418117145E-3</v>
      </c>
    </row>
    <row r="231" spans="26:33" x14ac:dyDescent="0.2">
      <c r="Z231" s="183">
        <f>_xll.qlCalendarAdvance(Calendar,Z230,"1D","f")</f>
        <v>42433</v>
      </c>
      <c r="AA231" s="390">
        <f>_xll.qlCalendarAdvance(Calendar,Z231,$F$1,"mf",,Trigger)</f>
        <v>42618</v>
      </c>
      <c r="AB231" s="391">
        <f>_xll.qlDayCounterYearFraction(DayCounter,Z231,AA231,,,Trigger)</f>
        <v>0.51388888888888884</v>
      </c>
      <c r="AC231" s="348">
        <f>_xll.qlInterpolationInterpolate(B6Minterpolation,Z231,TRUE)</f>
        <v>2.1793527934373348E-3</v>
      </c>
      <c r="AD231" s="184">
        <f>_xll.qlYieldTSDiscount(Discounting,Z231,,AllTriggers)</f>
        <v>1.0012637157685069</v>
      </c>
      <c r="AE231" s="184">
        <f>_xll.qlYieldTSDiscount(Discounting,AA231,,AllTriggers)</f>
        <v>1.0021525189426643</v>
      </c>
      <c r="AF231" s="181">
        <f t="shared" si="21"/>
        <v>-1.7258480129554369E-3</v>
      </c>
      <c r="AG231" s="348">
        <f t="shared" si="22"/>
        <v>1.1203115566158284E-3</v>
      </c>
    </row>
    <row r="232" spans="26:33" x14ac:dyDescent="0.2">
      <c r="Z232" s="183">
        <f>_xll.qlCalendarAdvance(Calendar,Z231,"1D","f")</f>
        <v>42436</v>
      </c>
      <c r="AA232" s="390">
        <f>_xll.qlCalendarAdvance(Calendar,Z232,$F$1,"mf",,Trigger)</f>
        <v>42620</v>
      </c>
      <c r="AB232" s="391">
        <f>_xll.qlDayCounterYearFraction(DayCounter,Z232,AA232,,,Trigger)</f>
        <v>0.51111111111111107</v>
      </c>
      <c r="AC232" s="348">
        <f>_xll.qlInterpolationInterpolate(B6Minterpolation,Z232,TRUE)</f>
        <v>2.1797734717295424E-3</v>
      </c>
      <c r="AD232" s="184">
        <f>_xll.qlYieldTSDiscount(Discounting,Z232,,AllTriggers)</f>
        <v>1.0012779363329525</v>
      </c>
      <c r="AE232" s="184">
        <f>_xll.qlYieldTSDiscount(Discounting,AA232,,AllTriggers)</f>
        <v>1.0021621543580168</v>
      </c>
      <c r="AF232" s="181">
        <f t="shared" si="21"/>
        <v>-1.7262593489948746E-3</v>
      </c>
      <c r="AG232" s="348">
        <f t="shared" si="22"/>
        <v>1.1144690454046083E-3</v>
      </c>
    </row>
    <row r="233" spans="26:33" x14ac:dyDescent="0.2">
      <c r="Z233" s="183">
        <f>_xll.qlCalendarAdvance(Calendar,Z232,"1D","f")</f>
        <v>42437</v>
      </c>
      <c r="AA233" s="390">
        <f>_xll.qlCalendarAdvance(Calendar,Z233,$F$1,"mf",,Trigger)</f>
        <v>42621</v>
      </c>
      <c r="AB233" s="391">
        <f>_xll.qlDayCounterYearFraction(DayCounter,Z233,AA233,,,Trigger)</f>
        <v>0.51111111111111107</v>
      </c>
      <c r="AC233" s="348">
        <f>_xll.qlInterpolationInterpolate(B6Minterpolation,Z233,TRUE)</f>
        <v>2.1799131403638363E-3</v>
      </c>
      <c r="AD233" s="184">
        <f>_xll.qlYieldTSDiscount(Discounting,Z233,,AllTriggers)</f>
        <v>1.0012826754479305</v>
      </c>
      <c r="AE233" s="184">
        <f>_xll.qlYieldTSDiscount(Discounting,AA233,,AllTriggers)</f>
        <v>1.0021669737378844</v>
      </c>
      <c r="AF233" s="181">
        <f t="shared" si="21"/>
        <v>-1.7264077479201968E-3</v>
      </c>
      <c r="AG233" s="348">
        <f t="shared" si="22"/>
        <v>1.1145404996134142E-3</v>
      </c>
    </row>
    <row r="234" spans="26:33" x14ac:dyDescent="0.2">
      <c r="Z234" s="183">
        <f>_xll.qlCalendarAdvance(Calendar,Z233,"1D","f")</f>
        <v>42438</v>
      </c>
      <c r="AA234" s="390">
        <f>_xll.qlCalendarAdvance(Calendar,Z234,$F$1,"mf",,Trigger)</f>
        <v>42622</v>
      </c>
      <c r="AB234" s="391">
        <f>_xll.qlDayCounterYearFraction(DayCounter,Z234,AA234,,,Trigger)</f>
        <v>0.51111111111111107</v>
      </c>
      <c r="AC234" s="348">
        <f>_xll.qlInterpolationInterpolate(B6Minterpolation,Z234,TRUE)</f>
        <v>2.1800527755683674E-3</v>
      </c>
      <c r="AD234" s="184">
        <f>_xll.qlYieldTSDiscount(Discounting,Z234,,AllTriggers)</f>
        <v>1.0012874140889609</v>
      </c>
      <c r="AE234" s="184">
        <f>_xll.qlYieldTSDiscount(Discounting,AA234,,AllTriggers)</f>
        <v>1.0021717943756689</v>
      </c>
      <c r="AF234" s="181">
        <f t="shared" si="21"/>
        <v>-1.7265595243383695E-3</v>
      </c>
      <c r="AG234" s="348">
        <f t="shared" si="22"/>
        <v>1.1146119386701368E-3</v>
      </c>
    </row>
    <row r="235" spans="26:33" x14ac:dyDescent="0.2">
      <c r="Z235" s="183">
        <f>_xll.qlCalendarAdvance(Calendar,Z234,"1D","f")</f>
        <v>42439</v>
      </c>
      <c r="AA235" s="390">
        <f>_xll.qlCalendarAdvance(Calendar,Z235,$F$1,"mf",,Trigger)</f>
        <v>42625</v>
      </c>
      <c r="AB235" s="391">
        <f>_xll.qlDayCounterYearFraction(DayCounter,Z235,AA235,,,Trigger)</f>
        <v>0.51666666666666672</v>
      </c>
      <c r="AC235" s="348">
        <f>_xll.qlInterpolationInterpolate(B6Minterpolation,Z235,TRUE)</f>
        <v>2.1801925245242102E-3</v>
      </c>
      <c r="AD235" s="184">
        <f>_xll.qlYieldTSDiscount(Discounting,Z235,,AllTriggers)</f>
        <v>1.0012921522936276</v>
      </c>
      <c r="AE235" s="184">
        <f>_xll.qlYieldTSDiscount(Discounting,AA235,,AllTriggers)</f>
        <v>1.0021862649099718</v>
      </c>
      <c r="AF235" s="181">
        <f t="shared" si="21"/>
        <v>-1.7267653812023179E-3</v>
      </c>
      <c r="AG235" s="348">
        <f t="shared" si="22"/>
        <v>1.1268035807278142E-3</v>
      </c>
    </row>
    <row r="236" spans="26:33" x14ac:dyDescent="0.2">
      <c r="Z236" s="183">
        <f>_xll.qlCalendarAdvance(Calendar,Z235,"1D","f")</f>
        <v>42440</v>
      </c>
      <c r="AA236" s="390">
        <f>_xll.qlCalendarAdvance(Calendar,Z236,$F$1,"mf",,Trigger)</f>
        <v>42625</v>
      </c>
      <c r="AB236" s="391">
        <f>_xll.qlDayCounterYearFraction(DayCounter,Z236,AA236,,,Trigger)</f>
        <v>0.51388888888888884</v>
      </c>
      <c r="AC236" s="348">
        <f>_xll.qlInterpolationInterpolate(B6Minterpolation,Z236,TRUE)</f>
        <v>2.1803325344124393E-3</v>
      </c>
      <c r="AD236" s="184">
        <f>_xll.qlYieldTSDiscount(Discounting,Z236,,AllTriggers)</f>
        <v>1.0012968900995149</v>
      </c>
      <c r="AE236" s="184">
        <f>_xll.qlYieldTSDiscount(Discounting,AA236,,AllTriggers)</f>
        <v>1.0021862649099718</v>
      </c>
      <c r="AF236" s="181">
        <f t="shared" si="21"/>
        <v>-1.7268998462978077E-3</v>
      </c>
      <c r="AG236" s="348">
        <f t="shared" si="22"/>
        <v>1.1208155232087403E-3</v>
      </c>
    </row>
    <row r="237" spans="26:33" x14ac:dyDescent="0.2">
      <c r="Z237" s="183">
        <f>_xll.qlCalendarAdvance(Calendar,Z236,"1D","f")</f>
        <v>42443</v>
      </c>
      <c r="AA237" s="390">
        <f>_xll.qlCalendarAdvance(Calendar,Z237,$F$1,"mf",,Trigger)</f>
        <v>42627</v>
      </c>
      <c r="AB237" s="391">
        <f>_xll.qlDayCounterYearFraction(DayCounter,Z237,AA237,,,Trigger)</f>
        <v>0.51111111111111107</v>
      </c>
      <c r="AC237" s="348">
        <f>_xll.qlInterpolationInterpolate(B6Minterpolation,Z237,TRUE)</f>
        <v>2.1807556014821938E-3</v>
      </c>
      <c r="AD237" s="184">
        <f>_xll.qlYieldTSDiscount(Discounting,Z237,,AllTriggers)</f>
        <v>1.0013111015003562</v>
      </c>
      <c r="AE237" s="184">
        <f>_xll.qlYieldTSDiscount(Discounting,AA237,,AllTriggers)</f>
        <v>1.0021959201904518</v>
      </c>
      <c r="AF237" s="181">
        <f t="shared" si="21"/>
        <v>-1.7273738272971277E-3</v>
      </c>
      <c r="AG237" s="348">
        <f t="shared" si="22"/>
        <v>1.1149715416975117E-3</v>
      </c>
    </row>
    <row r="238" spans="26:33" x14ac:dyDescent="0.2">
      <c r="Z238" s="183">
        <f>_xll.qlCalendarAdvance(Calendar,Z237,"1D","f")</f>
        <v>42444</v>
      </c>
      <c r="AA238" s="390">
        <f>_xll.qlCalendarAdvance(Calendar,Z238,$F$1,"mf",,Trigger)</f>
        <v>42628</v>
      </c>
      <c r="AB238" s="391">
        <f>_xll.qlDayCounterYearFraction(DayCounter,Z238,AA238,,,Trigger)</f>
        <v>0.51111111111111107</v>
      </c>
      <c r="AC238" s="348">
        <f>_xll.qlInterpolationInterpolate(B6Minterpolation,Z238,TRUE)</f>
        <v>2.1808981269107169E-3</v>
      </c>
      <c r="AD238" s="184">
        <f>_xll.qlYieldTSDiscount(Discounting,Z238,,AllTriggers)</f>
        <v>1.0013158380869844</v>
      </c>
      <c r="AE238" s="184">
        <f>_xll.qlYieldTSDiscount(Discounting,AA238,,AllTriggers)</f>
        <v>1.0022007506300323</v>
      </c>
      <c r="AF238" s="181">
        <f t="shared" si="21"/>
        <v>-1.7275487237600922E-3</v>
      </c>
      <c r="AG238" s="348">
        <f t="shared" si="22"/>
        <v>1.1150444708565264E-3</v>
      </c>
    </row>
    <row r="239" spans="26:33" x14ac:dyDescent="0.2">
      <c r="Z239" s="183">
        <f>_xll.qlCalendarAdvance(Calendar,Z238,"1D","f")</f>
        <v>42445</v>
      </c>
      <c r="AA239" s="390">
        <f>_xll.qlCalendarAdvance(Calendar,Z239,$F$1,"mf",,Trigger)</f>
        <v>42629</v>
      </c>
      <c r="AB239" s="391">
        <f>_xll.qlDayCounterYearFraction(DayCounter,Z239,AA239,,,Trigger)</f>
        <v>0.51111111111111107</v>
      </c>
      <c r="AC239" s="348">
        <f>_xll.qlInterpolationInterpolate(B6Minterpolation,Z239,TRUE)</f>
        <v>2.1810416491770007E-3</v>
      </c>
      <c r="AD239" s="184">
        <f>_xll.qlYieldTSDiscount(Discounting,Z239,,AllTriggers)</f>
        <v>1.0013205744627667</v>
      </c>
      <c r="AE239" s="184">
        <f>_xll.qlYieldTSDiscount(Discounting,AA239,,AllTriggers)</f>
        <v>1.0022055830789811</v>
      </c>
      <c r="AF239" s="181">
        <f t="shared" si="21"/>
        <v>-1.7277279494109343E-3</v>
      </c>
      <c r="AG239" s="348">
        <f t="shared" si="22"/>
        <v>1.1151179118681109E-3</v>
      </c>
    </row>
    <row r="240" spans="26:33" x14ac:dyDescent="0.2">
      <c r="Z240" s="183">
        <f>_xll.qlCalendarAdvance(Calendar,Z239,"1D","f")</f>
        <v>42446</v>
      </c>
      <c r="AA240" s="390">
        <f>_xll.qlCalendarAdvance(Calendar,Z240,$F$1,"mf",,Trigger)</f>
        <v>42632</v>
      </c>
      <c r="AB240" s="391">
        <f>_xll.qlDayCounterYearFraction(DayCounter,Z240,AA240,,,Trigger)</f>
        <v>0.51666666666666672</v>
      </c>
      <c r="AC240" s="348">
        <f>_xll.qlInterpolationInterpolate(B6Minterpolation,Z240,TRUE)</f>
        <v>2.1811863154621194E-3</v>
      </c>
      <c r="AD240" s="184">
        <f>_xll.qlYieldTSDiscount(Discounting,Z240,,AllTriggers)</f>
        <v>1.0013253106571849</v>
      </c>
      <c r="AE240" s="184">
        <f>_xll.qlYieldTSDiscount(Discounting,AA240,,AllTriggers)</f>
        <v>1.0022200935556336</v>
      </c>
      <c r="AF240" s="181">
        <f t="shared" si="21"/>
        <v>-1.7280015428757715E-3</v>
      </c>
      <c r="AG240" s="348">
        <f t="shared" si="22"/>
        <v>1.1273176392232833E-3</v>
      </c>
    </row>
    <row r="241" spans="26:33" x14ac:dyDescent="0.2">
      <c r="Z241" s="183">
        <f>_xll.qlCalendarAdvance(Calendar,Z240,"1D","f")</f>
        <v>42447</v>
      </c>
      <c r="AA241" s="390">
        <f>_xll.qlCalendarAdvance(Calendar,Z241,$F$1,"mf",,Trigger)</f>
        <v>42632</v>
      </c>
      <c r="AB241" s="391">
        <f>_xll.qlDayCounterYearFraction(DayCounter,Z241,AA241,,,Trigger)</f>
        <v>0.51388888888888884</v>
      </c>
      <c r="AC241" s="348">
        <f>_xll.qlInterpolationInterpolate(B6Minterpolation,Z241,TRUE)</f>
        <v>2.1813322729471482E-3</v>
      </c>
      <c r="AD241" s="184">
        <f>_xll.qlYieldTSDiscount(Discounting,Z241,,AllTriggers)</f>
        <v>1.0013300466672992</v>
      </c>
      <c r="AE241" s="184">
        <f>_xll.qlYieldTSDiscount(Discounting,AA241,,AllTriggers)</f>
        <v>1.0022200935556336</v>
      </c>
      <c r="AF241" s="181">
        <f t="shared" si="21"/>
        <v>-1.7281464871767671E-3</v>
      </c>
      <c r="AG241" s="348">
        <f t="shared" si="22"/>
        <v>1.1213298765157149E-3</v>
      </c>
    </row>
    <row r="242" spans="26:33" x14ac:dyDescent="0.2">
      <c r="Z242" s="183">
        <f>_xll.qlCalendarAdvance(Calendar,Z241,"1D","f")</f>
        <v>42450</v>
      </c>
      <c r="AA242" s="390">
        <f>_xll.qlCalendarAdvance(Calendar,Z242,$F$1,"mf",,Trigger)</f>
        <v>42634</v>
      </c>
      <c r="AB242" s="391">
        <f>_xll.qlDayCounterYearFraction(DayCounter,Z242,AA242,,,Trigger)</f>
        <v>0.51111111111111107</v>
      </c>
      <c r="AC242" s="348">
        <f>_xll.qlInterpolationInterpolate(B6Minterpolation,Z242,TRUE)</f>
        <v>2.1817793644124425E-3</v>
      </c>
      <c r="AD242" s="184">
        <f>_xll.qlYieldTSDiscount(Discounting,Z242,,AllTriggers)</f>
        <v>1.0013442534813521</v>
      </c>
      <c r="AE242" s="184">
        <f>_xll.qlYieldTSDiscount(Discounting,AA242,,AllTriggers)</f>
        <v>1.0022297792218728</v>
      </c>
      <c r="AF242" s="181">
        <f t="shared" si="21"/>
        <v>-1.7286957520194226E-3</v>
      </c>
      <c r="AG242" s="348">
        <f t="shared" si="22"/>
        <v>1.1154954308748202E-3</v>
      </c>
    </row>
    <row r="243" spans="26:33" x14ac:dyDescent="0.2">
      <c r="Z243" s="183">
        <f>_xll.qlCalendarAdvance(Calendar,Z242,"1D","f")</f>
        <v>42451</v>
      </c>
      <c r="AA243" s="390">
        <f>_xll.qlCalendarAdvance(Calendar,Z243,$F$1,"mf",,Trigger)</f>
        <v>42635</v>
      </c>
      <c r="AB243" s="391">
        <f>_xll.qlDayCounterYearFraction(DayCounter,Z243,AA243,,,Trigger)</f>
        <v>0.51111111111111107</v>
      </c>
      <c r="AC243" s="348">
        <f>_xll.qlInterpolationInterpolate(B6Minterpolation,Z243,TRUE)</f>
        <v>2.1819319585078588E-3</v>
      </c>
      <c r="AD243" s="184">
        <f>_xll.qlYieldTSDiscount(Discounting,Z243,,AllTriggers)</f>
        <v>1.0013489886437834</v>
      </c>
      <c r="AE243" s="184">
        <f>_xll.qlYieldTSDiscount(Discounting,AA243,,AllTriggers)</f>
        <v>1.0022346259816342</v>
      </c>
      <c r="AF243" s="181">
        <f t="shared" si="21"/>
        <v>-1.7289052479037585E-3</v>
      </c>
      <c r="AG243" s="348">
        <f t="shared" si="22"/>
        <v>1.1155735248421551E-3</v>
      </c>
    </row>
    <row r="244" spans="26:33" x14ac:dyDescent="0.2">
      <c r="Z244" s="183">
        <f>_xll.qlCalendarAdvance(Calendar,Z243,"1D","f")</f>
        <v>42452</v>
      </c>
      <c r="AA244" s="390">
        <f>_xll.qlCalendarAdvance(Calendar,Z244,$F$1,"mf",,Trigger)</f>
        <v>42636</v>
      </c>
      <c r="AB244" s="391">
        <f>_xll.qlDayCounterYearFraction(DayCounter,Z244,AA244,,,Trigger)</f>
        <v>0.51111111111111107</v>
      </c>
      <c r="AC244" s="348">
        <f>_xll.qlInterpolationInterpolate(B6Minterpolation,Z244,TRUE)</f>
        <v>2.1820865797085595E-3</v>
      </c>
      <c r="AD244" s="184">
        <f>_xll.qlYieldTSDiscount(Discounting,Z244,,AllTriggers)</f>
        <v>1.0013537235666761</v>
      </c>
      <c r="AE244" s="184">
        <f>_xll.qlYieldTSDiscount(Discounting,AA244,,AllTriggers)</f>
        <v>1.0022394755023181</v>
      </c>
      <c r="AF244" s="181">
        <f t="shared" si="21"/>
        <v>-1.7291205943487824E-3</v>
      </c>
      <c r="AG244" s="348">
        <f t="shared" si="22"/>
        <v>1.1156526579933982E-3</v>
      </c>
    </row>
    <row r="245" spans="26:33" x14ac:dyDescent="0.2">
      <c r="Z245" s="183">
        <f>_xll.qlCalendarAdvance(Calendar,Z244,"1D","f")</f>
        <v>42453</v>
      </c>
      <c r="AA245" s="390">
        <f>_xll.qlCalendarAdvance(Calendar,Z245,$F$1,"mf",,Trigger)</f>
        <v>42639</v>
      </c>
      <c r="AB245" s="391">
        <f>_xll.qlDayCounterYearFraction(DayCounter,Z245,AA245,,,Trigger)</f>
        <v>0.51666666666666672</v>
      </c>
      <c r="AC245" s="348">
        <f>_xll.qlInterpolationInterpolate(B6Minterpolation,Z245,TRUE)</f>
        <v>2.1822433751956189E-3</v>
      </c>
      <c r="AD245" s="184">
        <f>_xll.qlYieldTSDiscount(Discounting,Z245,,AllTriggers)</f>
        <v>1.001358458238983</v>
      </c>
      <c r="AE245" s="184">
        <f>_xll.qlYieldTSDiscount(Discounting,AA245,,AllTriggers)</f>
        <v>1.0022540417036443</v>
      </c>
      <c r="AF245" s="181">
        <f t="shared" si="21"/>
        <v>-1.7294890106015373E-3</v>
      </c>
      <c r="AG245" s="348">
        <f t="shared" si="22"/>
        <v>1.1278645258327887E-3</v>
      </c>
    </row>
    <row r="246" spans="26:33" x14ac:dyDescent="0.2">
      <c r="Z246" s="183">
        <f>_xll.qlCalendarAdvance(Calendar,Z245,"1D","f")</f>
        <v>42458</v>
      </c>
      <c r="AA246" s="390">
        <f>_xll.qlCalendarAdvance(Calendar,Z246,$F$1,"mf",,Trigger)</f>
        <v>42642</v>
      </c>
      <c r="AB246" s="391">
        <f>_xll.qlDayCounterYearFraction(DayCounter,Z246,AA246,,,Trigger)</f>
        <v>0.51111111111111107</v>
      </c>
      <c r="AC246" s="348">
        <f>_xll.qlInterpolationInterpolate(B6Minterpolation,Z246,TRUE)</f>
        <v>2.1830651182639122E-3</v>
      </c>
      <c r="AD246" s="184">
        <f>_xll.qlYieldTSDiscount(Discounting,Z246,,AllTriggers)</f>
        <v>1.0013821274550512</v>
      </c>
      <c r="AE246" s="184">
        <f>_xll.qlYieldTSDiscount(Discounting,AA246,,AllTriggers)</f>
        <v>1.002268636618832</v>
      </c>
      <c r="AF246" s="181">
        <f t="shared" si="21"/>
        <v>-1.7305484652565975E-3</v>
      </c>
      <c r="AG246" s="348">
        <f t="shared" si="22"/>
        <v>1.1161534988679222E-3</v>
      </c>
    </row>
    <row r="247" spans="26:33" x14ac:dyDescent="0.2">
      <c r="Z247" s="183">
        <f>_xll.qlCalendarAdvance(Calendar,Z246,"1D","f")</f>
        <v>42459</v>
      </c>
      <c r="AA247" s="390">
        <f>_xll.qlCalendarAdvance(Calendar,Z247,$F$1,"mf",,Trigger)</f>
        <v>42643</v>
      </c>
      <c r="AB247" s="391">
        <f>_xll.qlDayCounterYearFraction(DayCounter,Z247,AA247,,,Trigger)</f>
        <v>0.51111111111111107</v>
      </c>
      <c r="AC247" s="348">
        <f>_xll.qlInterpolationInterpolate(B6Minterpolation,Z247,TRUE)</f>
        <v>2.1832380502716936E-3</v>
      </c>
      <c r="AD247" s="184">
        <f>_xll.qlYieldTSDiscount(Discounting,Z247,,AllTriggers)</f>
        <v>1.0013868603918334</v>
      </c>
      <c r="AE247" s="184">
        <f>_xll.qlYieldTSDiscount(Discounting,AA247,,AllTriggers)</f>
        <v>1.0022735084725385</v>
      </c>
      <c r="AF247" s="181">
        <f t="shared" si="21"/>
        <v>-1.7308112308600039E-3</v>
      </c>
      <c r="AG247" s="348">
        <f t="shared" si="22"/>
        <v>1.1162420158596176E-3</v>
      </c>
    </row>
    <row r="248" spans="26:33" x14ac:dyDescent="0.2">
      <c r="Z248" s="183">
        <f>_xll.qlCalendarAdvance(Calendar,Z247,"1D","f")</f>
        <v>42460</v>
      </c>
      <c r="AA248" s="390">
        <f>_xll.qlCalendarAdvance(Calendar,Z248,$F$1,"mf",,Trigger)</f>
        <v>42643</v>
      </c>
      <c r="AB248" s="391">
        <f>_xll.qlDayCounterYearFraction(DayCounter,Z248,AA248,,,Trigger)</f>
        <v>0.5083333333333333</v>
      </c>
      <c r="AC248" s="348">
        <f>_xll.qlInterpolationInterpolate(B6Minterpolation,Z248,TRUE)</f>
        <v>2.1834141868333577E-3</v>
      </c>
      <c r="AD248" s="184">
        <f>_xll.qlYieldTSDiscount(Discounting,Z248,,AllTriggers)</f>
        <v>1.0013915930006914</v>
      </c>
      <c r="AE248" s="184">
        <f>_xll.qlYieldTSDiscount(Discounting,AA248,,AllTriggers)</f>
        <v>1.0022735084725385</v>
      </c>
      <c r="AF248" s="181">
        <f t="shared" si="21"/>
        <v>-1.7309802839808074E-3</v>
      </c>
      <c r="AG248" s="348">
        <f t="shared" si="22"/>
        <v>1.1102631210561167E-3</v>
      </c>
    </row>
    <row r="249" spans="26:33" x14ac:dyDescent="0.2">
      <c r="Z249" s="183">
        <f>_xll.qlCalendarAdvance(Calendar,Z248,"1D","f")</f>
        <v>42461</v>
      </c>
      <c r="AA249" s="390">
        <f>_xll.qlCalendarAdvance(Calendar,Z249,$F$1,"mf",,Trigger)</f>
        <v>42646</v>
      </c>
      <c r="AB249" s="391">
        <f>_xll.qlDayCounterYearFraction(DayCounter,Z249,AA249,,,Trigger)</f>
        <v>0.51388888888888884</v>
      </c>
      <c r="AC249" s="348">
        <f>_xll.qlInterpolationInterpolate(B6Minterpolation,Z249,TRUE)</f>
        <v>2.1835936751299781E-3</v>
      </c>
      <c r="AD249" s="184">
        <f>_xll.qlYieldTSDiscount(Discounting,Z249,,AllTriggers)</f>
        <v>1.001396325270576</v>
      </c>
      <c r="AE249" s="184">
        <f>_xll.qlYieldTSDiscount(Discounting,AA249,,AllTriggers)</f>
        <v>1.0022881461830222</v>
      </c>
      <c r="AF249" s="181">
        <f t="shared" si="21"/>
        <v>-1.7314734247765578E-3</v>
      </c>
      <c r="AG249" s="348">
        <f t="shared" si="22"/>
        <v>1.1224936344474813E-3</v>
      </c>
    </row>
    <row r="250" spans="26:33" x14ac:dyDescent="0.2">
      <c r="Z250" s="183">
        <f>_xll.qlCalendarAdvance(Calendar,Z249,"1D","f")</f>
        <v>42464</v>
      </c>
      <c r="AA250" s="390">
        <f>_xll.qlCalendarAdvance(Calendar,Z250,$F$1,"mf",,Trigger)</f>
        <v>42647</v>
      </c>
      <c r="AB250" s="391">
        <f>_xll.qlDayCounterYearFraction(DayCounter,Z250,AA250,,,Trigger)</f>
        <v>0.5083333333333333</v>
      </c>
      <c r="AC250" s="348">
        <f>_xll.qlInterpolationInterpolate(B6Minterpolation,Z250,TRUE)</f>
        <v>2.1841537222403295E-3</v>
      </c>
      <c r="AD250" s="184">
        <f>_xll.qlYieldTSDiscount(Discounting,Z250,,AllTriggers)</f>
        <v>1.0014105199358942</v>
      </c>
      <c r="AE250" s="184">
        <f>_xll.qlYieldTSDiscount(Discounting,AA250,,AllTriggers)</f>
        <v>1.0022930331609454</v>
      </c>
      <c r="AF250" s="181">
        <f t="shared" si="21"/>
        <v>-1.732119782165361E-3</v>
      </c>
      <c r="AG250" s="348">
        <f t="shared" si="22"/>
        <v>1.1106396085862479E-3</v>
      </c>
    </row>
    <row r="251" spans="26:33" x14ac:dyDescent="0.2">
      <c r="Z251" s="183">
        <f>_xll.qlCalendarAdvance(Calendar,Z250,"1D","f")</f>
        <v>42465</v>
      </c>
      <c r="AA251" s="390">
        <f>_xll.qlCalendarAdvance(Calendar,Z251,$F$1,"mf",,Trigger)</f>
        <v>42648</v>
      </c>
      <c r="AB251" s="391">
        <f>_xll.qlDayCounterYearFraction(DayCounter,Z251,AA251,,,Trigger)</f>
        <v>0.5083333333333333</v>
      </c>
      <c r="AC251" s="348">
        <f>_xll.qlInterpolationInterpolate(B6Minterpolation,Z251,TRUE)</f>
        <v>2.1843480892875257E-3</v>
      </c>
      <c r="AD251" s="184">
        <f>_xll.qlYieldTSDiscount(Discounting,Z251,,AllTriggers)</f>
        <v>1.0014152507393896</v>
      </c>
      <c r="AE251" s="184">
        <f>_xll.qlYieldTSDiscount(Discounting,AA251,,AllTriggers)</f>
        <v>1.0022979241884087</v>
      </c>
      <c r="AF251" s="181">
        <f t="shared" si="21"/>
        <v>-1.7324258018010037E-3</v>
      </c>
      <c r="AG251" s="348">
        <f t="shared" si="22"/>
        <v>1.1107385619747035E-3</v>
      </c>
    </row>
    <row r="252" spans="26:33" x14ac:dyDescent="0.2">
      <c r="Z252" s="183">
        <f>_xll.qlCalendarAdvance(Calendar,Z251,"1D","f")</f>
        <v>42466</v>
      </c>
      <c r="AA252" s="390">
        <f>_xll.qlCalendarAdvance(Calendar,Z252,$F$1,"mf",,Trigger)</f>
        <v>42649</v>
      </c>
      <c r="AB252" s="391">
        <f>_xll.qlDayCounterYearFraction(DayCounter,Z252,AA252,,,Trigger)</f>
        <v>0.5083333333333333</v>
      </c>
      <c r="AC252" s="348">
        <f>_xll.qlInterpolationInterpolate(B6Minterpolation,Z252,TRUE)</f>
        <v>2.1845465439750524E-3</v>
      </c>
      <c r="AD252" s="184">
        <f>_xll.qlYieldTSDiscount(Discounting,Z252,,AllTriggers)</f>
        <v>1.0014199811486624</v>
      </c>
      <c r="AE252" s="184">
        <f>_xll.qlYieldTSDiscount(Discounting,AA252,,AllTriggers)</f>
        <v>1.0023028193728112</v>
      </c>
      <c r="AF252" s="181">
        <f t="shared" si="21"/>
        <v>-1.7327407437989491E-3</v>
      </c>
      <c r="AG252" s="348">
        <f t="shared" si="22"/>
        <v>1.1108395978311244E-3</v>
      </c>
    </row>
    <row r="253" spans="26:33" x14ac:dyDescent="0.2">
      <c r="Z253" s="183">
        <f>_xll.qlCalendarAdvance(Calendar,Z252,"1D","f")</f>
        <v>42467</v>
      </c>
      <c r="AA253" s="390">
        <f>_xll.qlCalendarAdvance(Calendar,Z253,$F$1,"mf",,Trigger)</f>
        <v>42650</v>
      </c>
      <c r="AB253" s="391">
        <f>_xll.qlDayCounterYearFraction(DayCounter,Z253,AA253,,,Trigger)</f>
        <v>0.5083333333333333</v>
      </c>
      <c r="AC253" s="348">
        <f>_xll.qlInterpolationInterpolate(B6Minterpolation,Z253,TRUE)</f>
        <v>2.1847492334839853E-3</v>
      </c>
      <c r="AD253" s="184">
        <f>_xll.qlYieldTSDiscount(Discounting,Z253,,AllTriggers)</f>
        <v>1.0014247111526622</v>
      </c>
      <c r="AE253" s="184">
        <f>_xll.qlYieldTSDiscount(Discounting,AA253,,AllTriggers)</f>
        <v>1.0023077188215532</v>
      </c>
      <c r="AF253" s="181">
        <f t="shared" si="21"/>
        <v>-1.7330648403199357E-3</v>
      </c>
      <c r="AG253" s="348">
        <f t="shared" si="22"/>
        <v>1.110942791087802E-3</v>
      </c>
    </row>
    <row r="254" spans="26:33" x14ac:dyDescent="0.2">
      <c r="Z254" s="183">
        <f>_xll.qlCalendarAdvance(Calendar,Z253,"1D","f")</f>
        <v>42468</v>
      </c>
      <c r="AA254" s="390">
        <f>_xll.qlCalendarAdvance(Calendar,Z254,$F$1,"mf",,Trigger)</f>
        <v>42653</v>
      </c>
      <c r="AB254" s="391">
        <f>_xll.qlDayCounterYearFraction(DayCounter,Z254,AA254,,,Trigger)</f>
        <v>0.51388888888888884</v>
      </c>
      <c r="AC254" s="348">
        <f>_xll.qlInterpolationInterpolate(B6Minterpolation,Z254,TRUE)</f>
        <v>2.1849563049953979E-3</v>
      </c>
      <c r="AD254" s="184">
        <f>_xll.qlYieldTSDiscount(Discounting,Z254,,AllTriggers)</f>
        <v>1.0014294407403388</v>
      </c>
      <c r="AE254" s="184">
        <f>_xll.qlYieldTSDiscount(Discounting,AA254,,AllTriggers)</f>
        <v>1.002322443827858</v>
      </c>
      <c r="AF254" s="181">
        <f t="shared" si="21"/>
        <v>-1.7337092954225911E-3</v>
      </c>
      <c r="AG254" s="348">
        <f t="shared" si="22"/>
        <v>1.1231950028569085E-3</v>
      </c>
    </row>
    <row r="255" spans="26:33" x14ac:dyDescent="0.2">
      <c r="Z255" s="183">
        <f>_xll.qlCalendarAdvance(Calendar,Z254,"1D","f")</f>
        <v>42471</v>
      </c>
      <c r="AA255" s="390">
        <f>_xll.qlCalendarAdvance(Calendar,Z255,$F$1,"mf",,Trigger)</f>
        <v>42654</v>
      </c>
      <c r="AB255" s="391">
        <f>_xll.qlDayCounterYearFraction(DayCounter,Z255,AA255,,,Trigger)</f>
        <v>0.5083333333333333</v>
      </c>
      <c r="AC255" s="348">
        <f>_xll.qlInterpolationInterpolate(B6Minterpolation,Z255,TRUE)</f>
        <v>2.185605283355267E-3</v>
      </c>
      <c r="AD255" s="184">
        <f>_xll.qlYieldTSDiscount(Discounting,Z255,,AllTriggers)</f>
        <v>1.0014436268949194</v>
      </c>
      <c r="AE255" s="184">
        <f>_xll.qlYieldTSDiscount(Discounting,AA255,,AllTriggers)</f>
        <v>1.0023273614080102</v>
      </c>
      <c r="AF255" s="181">
        <f t="shared" si="21"/>
        <v>-1.7344574148617368E-3</v>
      </c>
      <c r="AG255" s="348">
        <f t="shared" si="22"/>
        <v>1.1113786367779573E-3</v>
      </c>
    </row>
    <row r="256" spans="26:33" x14ac:dyDescent="0.2">
      <c r="Z256" s="183">
        <f>_xll.qlCalendarAdvance(Calendar,Z255,"1D","f")</f>
        <v>42472</v>
      </c>
      <c r="AA256" s="390">
        <f>_xll.qlCalendarAdvance(Calendar,Z256,$F$1,"mf",,Trigger)</f>
        <v>42655</v>
      </c>
      <c r="AB256" s="391">
        <f>_xll.qlDayCounterYearFraction(DayCounter,Z256,AA256,,,Trigger)</f>
        <v>0.5083333333333333</v>
      </c>
      <c r="AC256" s="348">
        <f>_xll.qlInterpolationInterpolate(B6Minterpolation,Z256,TRUE)</f>
        <v>2.185831354687349E-3</v>
      </c>
      <c r="AD256" s="184">
        <f>_xll.qlYieldTSDiscount(Discounting,Z256,,AllTriggers)</f>
        <v>1.0014483547067921</v>
      </c>
      <c r="AE256" s="184">
        <f>_xll.qlYieldTSDiscount(Discounting,AA256,,AllTriggers)</f>
        <v>1.0023322837895385</v>
      </c>
      <c r="AF256" s="181">
        <f t="shared" si="21"/>
        <v>-1.73483076641731E-3</v>
      </c>
      <c r="AG256" s="348">
        <f t="shared" si="22"/>
        <v>1.1114937410324291E-3</v>
      </c>
    </row>
    <row r="257" spans="26:33" x14ac:dyDescent="0.2">
      <c r="Z257" s="183">
        <f>_xll.qlCalendarAdvance(Calendar,Z256,"1D","f")</f>
        <v>42473</v>
      </c>
      <c r="AA257" s="390">
        <f>_xll.qlCalendarAdvance(Calendar,Z257,$F$1,"mf",,Trigger)</f>
        <v>42656</v>
      </c>
      <c r="AB257" s="391">
        <f>_xll.qlDayCounterYearFraction(DayCounter,Z257,AA257,,,Trigger)</f>
        <v>0.5083333333333333</v>
      </c>
      <c r="AC257" s="348">
        <f>_xll.qlInterpolationInterpolate(B6Minterpolation,Z257,TRUE)</f>
        <v>2.1860625439272855E-3</v>
      </c>
      <c r="AD257" s="184">
        <f>_xll.qlYieldTSDiscount(Discounting,Z257,,AllTriggers)</f>
        <v>1.0014530820470853</v>
      </c>
      <c r="AE257" s="184">
        <f>_xll.qlYieldTSDiscount(Discounting,AA257,,AllTriggers)</f>
        <v>1.0023372110798567</v>
      </c>
      <c r="AF257" s="181">
        <f t="shared" si="21"/>
        <v>-1.7352146654607936E-3</v>
      </c>
      <c r="AG257" s="348">
        <f t="shared" si="22"/>
        <v>1.1116114522861232E-3</v>
      </c>
    </row>
    <row r="258" spans="26:33" x14ac:dyDescent="0.2">
      <c r="Z258" s="183">
        <f>_xll.qlCalendarAdvance(Calendar,Z257,"1D","f")</f>
        <v>42474</v>
      </c>
      <c r="AA258" s="390">
        <f>_xll.qlCalendarAdvance(Calendar,Z258,$F$1,"mf",,Trigger)</f>
        <v>42657</v>
      </c>
      <c r="AB258" s="391">
        <f>_xll.qlDayCounterYearFraction(DayCounter,Z258,AA258,,,Trigger)</f>
        <v>0.5083333333333333</v>
      </c>
      <c r="AC258" s="348">
        <f>_xll.qlInterpolationInterpolate(B6Minterpolation,Z258,TRUE)</f>
        <v>2.1862989982561511E-3</v>
      </c>
      <c r="AD258" s="184">
        <f>_xll.qlYieldTSDiscount(Discounting,Z258,,AllTriggers)</f>
        <v>1.001457808904747</v>
      </c>
      <c r="AE258" s="184">
        <f>_xll.qlYieldTSDiscount(Discounting,AA258,,AllTriggers)</f>
        <v>1.0023421433863811</v>
      </c>
      <c r="AF258" s="181">
        <f t="shared" si="21"/>
        <v>-1.7356093441529261E-3</v>
      </c>
      <c r="AG258" s="348">
        <f t="shared" si="22"/>
        <v>1.1117318454732011E-3</v>
      </c>
    </row>
    <row r="259" spans="26:33" x14ac:dyDescent="0.2">
      <c r="Z259" s="183">
        <f>_xll.qlCalendarAdvance(Calendar,Z258,"1D","f")</f>
        <v>42475</v>
      </c>
      <c r="AA259" s="390">
        <f>_xll.qlCalendarAdvance(Calendar,Z259,$F$1,"mf",,Trigger)</f>
        <v>42660</v>
      </c>
      <c r="AB259" s="391">
        <f>_xll.qlDayCounterYearFraction(DayCounter,Z259,AA259,,,Trigger)</f>
        <v>0.51388888888888884</v>
      </c>
      <c r="AC259" s="348">
        <f>_xll.qlInterpolationInterpolate(B6Minterpolation,Z259,TRUE)</f>
        <v>2.1865408648550208E-3</v>
      </c>
      <c r="AD259" s="184">
        <f>_xll.qlYieldTSDiscount(Discounting,Z259,,AllTriggers)</f>
        <v>1.001462535268725</v>
      </c>
      <c r="AE259" s="184">
        <f>_xll.qlYieldTSDiscount(Discounting,AA259,,AllTriggers)</f>
        <v>1.0023569714773823</v>
      </c>
      <c r="AF259" s="181">
        <f t="shared" si="21"/>
        <v>-1.7364317939333315E-3</v>
      </c>
      <c r="AG259" s="348">
        <f t="shared" si="22"/>
        <v>1.1240106745277244E-3</v>
      </c>
    </row>
    <row r="260" spans="26:33" x14ac:dyDescent="0.2">
      <c r="Z260" s="183">
        <f>_xll.qlCalendarAdvance(Calendar,Z259,"1D","f")</f>
        <v>42478</v>
      </c>
      <c r="AA260" s="390">
        <f>_xll.qlCalendarAdvance(Calendar,Z260,$F$1,"mf",,Trigger)</f>
        <v>42661</v>
      </c>
      <c r="AB260" s="391">
        <f>_xll.qlDayCounterYearFraction(DayCounter,Z260,AA260,,,Trigger)</f>
        <v>0.5083333333333333</v>
      </c>
      <c r="AC260" s="348">
        <f>_xll.qlInterpolationInterpolate(B6Minterpolation,Z260,TRUE)</f>
        <v>2.1873004100823996E-3</v>
      </c>
      <c r="AD260" s="184">
        <f>_xll.qlYieldTSDiscount(Discounting,Z260,,AllTriggers)</f>
        <v>1.0014767112880343</v>
      </c>
      <c r="AE260" s="184">
        <f>_xll.qlYieldTSDiscount(Discounting,AA260,,AllTriggers)</f>
        <v>1.0023619248777977</v>
      </c>
      <c r="AF260" s="181">
        <f t="shared" ref="AF260:AF262" si="23">(AD260/AE260-1)/AB260</f>
        <v>-1.7373004100823997E-3</v>
      </c>
      <c r="AG260" s="348">
        <f t="shared" ref="AG260:AG262" si="24">LN((1+(AC260+AF260)*AB260)/(1+AF260*AB260))</f>
        <v>1.1122417361815206E-3</v>
      </c>
    </row>
    <row r="261" spans="26:33" x14ac:dyDescent="0.2">
      <c r="Z261" s="183">
        <f>_xll.qlCalendarAdvance(Calendar,Z260,"1D","f")</f>
        <v>42479</v>
      </c>
      <c r="AA261" s="390">
        <f>_xll.qlCalendarAdvance(Calendar,Z261,$F$1,"mf",,Trigger)</f>
        <v>42662</v>
      </c>
      <c r="AB261" s="391">
        <f>_xll.qlDayCounterYearFraction(DayCounter,Z261,AA261,,,Trigger)</f>
        <v>0.5083333333333333</v>
      </c>
      <c r="AC261" s="348">
        <f>_xll.qlInterpolationInterpolate(B6Minterpolation,Z261,TRUE)</f>
        <v>2.1875653675464371E-3</v>
      </c>
      <c r="AD261" s="184">
        <f>_xll.qlYieldTSDiscount(Discounting,Z261,,AllTriggers)</f>
        <v>1.0014814355667532</v>
      </c>
      <c r="AE261" s="184">
        <f>_xll.qlYieldTSDiscount(Discounting,AA261,,AllTriggers)</f>
        <v>1.0023668835607116</v>
      </c>
      <c r="AF261" s="181">
        <f t="shared" si="23"/>
        <v>-1.737751849861729E-3</v>
      </c>
      <c r="AG261" s="348">
        <f t="shared" si="24"/>
        <v>1.1123766474346243E-3</v>
      </c>
    </row>
    <row r="262" spans="26:33" x14ac:dyDescent="0.2">
      <c r="Z262" s="187">
        <f>_xll.qlCalendarAdvance(Calendar,Z261,"1D","f")</f>
        <v>42480</v>
      </c>
      <c r="AA262" s="392">
        <f>_xll.qlCalendarAdvance(Calendar,Z262,$F$1,"mf",,Trigger)</f>
        <v>42663</v>
      </c>
      <c r="AB262" s="393">
        <f>_xll.qlDayCounterYearFraction(DayCounter,Z262,AA262,,,Trigger)</f>
        <v>0.5083333333333333</v>
      </c>
      <c r="AC262" s="350">
        <f>_xll.qlInterpolationInterpolate(B6Minterpolation,Z262,TRUE)</f>
        <v>2.187836293032281E-3</v>
      </c>
      <c r="AD262" s="188">
        <f>_xll.qlYieldTSDiscount(Discounting,Z262,,AllTriggers)</f>
        <v>1.0014861592965252</v>
      </c>
      <c r="AE262" s="188">
        <f>_xll.qlYieldTSDiscount(Discounting,AA262,,AllTriggers)</f>
        <v>1.0023718473627274</v>
      </c>
      <c r="AF262" s="190">
        <f t="shared" si="23"/>
        <v>-1.7382144001734431E-3</v>
      </c>
      <c r="AG262" s="350">
        <f t="shared" si="24"/>
        <v>1.112514598068079E-3</v>
      </c>
    </row>
    <row r="263" spans="26:33" x14ac:dyDescent="0.2">
      <c r="Z263" s="342"/>
      <c r="AA263" s="342"/>
      <c r="AB263" s="342"/>
      <c r="AC263" s="385"/>
      <c r="AD263" s="385"/>
      <c r="AE263" s="385"/>
      <c r="AF263" s="154"/>
      <c r="AG263" s="154"/>
    </row>
    <row r="264" spans="26:33" x14ac:dyDescent="0.2">
      <c r="Z264" s="342"/>
      <c r="AA264" s="342"/>
      <c r="AB264" s="342"/>
      <c r="AC264" s="385"/>
      <c r="AD264" s="385"/>
      <c r="AE264" s="385"/>
      <c r="AF264" s="154"/>
      <c r="AG264" s="154"/>
    </row>
    <row r="265" spans="26:33" x14ac:dyDescent="0.2">
      <c r="Z265" s="342"/>
      <c r="AA265" s="342"/>
      <c r="AB265" s="342"/>
      <c r="AC265" s="385"/>
      <c r="AD265" s="385"/>
      <c r="AE265" s="385"/>
      <c r="AF265" s="154"/>
      <c r="AG265" s="154"/>
    </row>
    <row r="266" spans="26:33" x14ac:dyDescent="0.2">
      <c r="Z266" s="342"/>
      <c r="AA266" s="342"/>
      <c r="AB266" s="342"/>
      <c r="AC266" s="385"/>
      <c r="AD266" s="385"/>
      <c r="AE266" s="385"/>
      <c r="AF266" s="154"/>
      <c r="AG266" s="154"/>
    </row>
    <row r="267" spans="26:33" x14ac:dyDescent="0.2">
      <c r="Z267" s="342"/>
      <c r="AA267" s="342"/>
      <c r="AB267" s="342"/>
      <c r="AC267" s="385"/>
      <c r="AD267" s="385"/>
      <c r="AE267" s="385"/>
      <c r="AF267" s="154"/>
      <c r="AG267" s="154"/>
    </row>
    <row r="268" spans="26:33" x14ac:dyDescent="0.2">
      <c r="Z268" s="342"/>
      <c r="AA268" s="342"/>
      <c r="AB268" s="342"/>
      <c r="AC268" s="385"/>
      <c r="AD268" s="385"/>
      <c r="AE268" s="385"/>
      <c r="AF268" s="154"/>
      <c r="AG268" s="154"/>
    </row>
    <row r="269" spans="26:33" x14ac:dyDescent="0.2">
      <c r="Z269" s="342"/>
      <c r="AA269" s="342"/>
      <c r="AB269" s="342"/>
      <c r="AC269" s="385"/>
      <c r="AD269" s="385"/>
      <c r="AE269" s="385"/>
      <c r="AF269" s="154"/>
      <c r="AG269" s="154"/>
    </row>
    <row r="270" spans="26:33" x14ac:dyDescent="0.2">
      <c r="Z270" s="342"/>
      <c r="AA270" s="342"/>
      <c r="AB270" s="342"/>
      <c r="AC270" s="385"/>
      <c r="AD270" s="385"/>
      <c r="AE270" s="385"/>
      <c r="AF270" s="154"/>
      <c r="AG270" s="154"/>
    </row>
    <row r="271" spans="26:33" x14ac:dyDescent="0.2">
      <c r="Z271" s="342"/>
      <c r="AA271" s="342"/>
      <c r="AB271" s="342"/>
      <c r="AC271" s="385"/>
      <c r="AD271" s="385"/>
      <c r="AE271" s="385"/>
      <c r="AF271" s="154"/>
      <c r="AG271" s="154"/>
    </row>
    <row r="272" spans="26:33" x14ac:dyDescent="0.2">
      <c r="Z272" s="342"/>
      <c r="AA272" s="342"/>
      <c r="AB272" s="342"/>
      <c r="AC272" s="385"/>
      <c r="AD272" s="385"/>
      <c r="AE272" s="385"/>
      <c r="AF272" s="154"/>
      <c r="AG272" s="154"/>
    </row>
    <row r="273" spans="26:33" x14ac:dyDescent="0.2">
      <c r="Z273" s="342"/>
      <c r="AA273" s="342"/>
      <c r="AB273" s="342"/>
      <c r="AC273" s="385"/>
      <c r="AD273" s="385"/>
      <c r="AE273" s="385"/>
      <c r="AF273" s="154"/>
      <c r="AG273" s="154"/>
    </row>
    <row r="274" spans="26:33" x14ac:dyDescent="0.2">
      <c r="Z274" s="342"/>
      <c r="AA274" s="342"/>
      <c r="AB274" s="342"/>
      <c r="AC274" s="385"/>
      <c r="AD274" s="385"/>
      <c r="AE274" s="385"/>
      <c r="AF274" s="154"/>
      <c r="AG274" s="154"/>
    </row>
    <row r="275" spans="26:33" x14ac:dyDescent="0.2">
      <c r="Z275" s="342"/>
      <c r="AA275" s="342"/>
      <c r="AB275" s="342"/>
      <c r="AC275" s="385"/>
      <c r="AD275" s="385"/>
      <c r="AE275" s="385"/>
      <c r="AF275" s="154"/>
      <c r="AG275" s="154"/>
    </row>
    <row r="276" spans="26:33" x14ac:dyDescent="0.2">
      <c r="Z276" s="342"/>
      <c r="AA276" s="342"/>
      <c r="AB276" s="342"/>
      <c r="AC276" s="385"/>
      <c r="AD276" s="385"/>
      <c r="AE276" s="385"/>
      <c r="AF276" s="154"/>
      <c r="AG276" s="154"/>
    </row>
    <row r="277" spans="26:33" x14ac:dyDescent="0.2">
      <c r="Z277" s="342"/>
      <c r="AA277" s="342"/>
      <c r="AB277" s="342"/>
      <c r="AC277" s="385"/>
      <c r="AD277" s="385"/>
      <c r="AE277" s="385"/>
      <c r="AF277" s="154"/>
      <c r="AG277" s="154"/>
    </row>
    <row r="278" spans="26:33" x14ac:dyDescent="0.2">
      <c r="Z278" s="342"/>
      <c r="AA278" s="342"/>
      <c r="AB278" s="342"/>
      <c r="AC278" s="385"/>
      <c r="AD278" s="385"/>
      <c r="AE278" s="385"/>
      <c r="AF278" s="154"/>
      <c r="AG278" s="154"/>
    </row>
    <row r="279" spans="26:33" x14ac:dyDescent="0.2">
      <c r="Z279" s="342"/>
      <c r="AA279" s="342"/>
      <c r="AB279" s="342"/>
      <c r="AC279" s="385"/>
      <c r="AD279" s="385"/>
      <c r="AE279" s="385"/>
      <c r="AF279" s="154"/>
      <c r="AG279" s="154"/>
    </row>
    <row r="280" spans="26:33" x14ac:dyDescent="0.2">
      <c r="Z280" s="342"/>
      <c r="AA280" s="342"/>
      <c r="AB280" s="342"/>
      <c r="AC280" s="385"/>
      <c r="AD280" s="385"/>
      <c r="AE280" s="385"/>
      <c r="AF280" s="154"/>
      <c r="AG280" s="154"/>
    </row>
    <row r="281" spans="26:33" x14ac:dyDescent="0.2">
      <c r="Z281" s="342"/>
      <c r="AA281" s="342"/>
      <c r="AB281" s="342"/>
      <c r="AC281" s="385"/>
      <c r="AD281" s="385"/>
      <c r="AE281" s="385"/>
      <c r="AF281" s="154"/>
      <c r="AG281" s="154"/>
    </row>
    <row r="282" spans="26:33" x14ac:dyDescent="0.2">
      <c r="Z282" s="342"/>
      <c r="AA282" s="342"/>
      <c r="AB282" s="342"/>
      <c r="AC282" s="385"/>
      <c r="AD282" s="385"/>
      <c r="AE282" s="385"/>
      <c r="AF282" s="154"/>
      <c r="AG282" s="154"/>
    </row>
    <row r="283" spans="26:33" x14ac:dyDescent="0.2">
      <c r="Z283" s="342"/>
      <c r="AA283" s="342"/>
      <c r="AB283" s="342"/>
      <c r="AC283" s="385"/>
      <c r="AD283" s="385"/>
      <c r="AE283" s="385"/>
      <c r="AF283" s="154"/>
      <c r="AG283" s="154"/>
    </row>
    <row r="284" spans="26:33" x14ac:dyDescent="0.2">
      <c r="Z284" s="342"/>
      <c r="AA284" s="342"/>
      <c r="AB284" s="342"/>
      <c r="AC284" s="385"/>
      <c r="AD284" s="385"/>
      <c r="AE284" s="385"/>
      <c r="AF284" s="154"/>
      <c r="AG284" s="154"/>
    </row>
    <row r="285" spans="26:33" x14ac:dyDescent="0.2">
      <c r="Z285" s="342"/>
      <c r="AA285" s="342"/>
      <c r="AB285" s="342"/>
      <c r="AC285" s="385"/>
      <c r="AD285" s="385"/>
      <c r="AE285" s="385"/>
      <c r="AF285" s="154"/>
      <c r="AG285" s="154"/>
    </row>
    <row r="286" spans="26:33" x14ac:dyDescent="0.2">
      <c r="Z286" s="342"/>
      <c r="AA286" s="342"/>
      <c r="AB286" s="342"/>
      <c r="AC286" s="385"/>
      <c r="AD286" s="385"/>
      <c r="AE286" s="385"/>
      <c r="AF286" s="154"/>
      <c r="AG286" s="154"/>
    </row>
    <row r="287" spans="26:33" x14ac:dyDescent="0.2">
      <c r="Z287" s="342"/>
      <c r="AA287" s="342"/>
      <c r="AB287" s="342"/>
      <c r="AC287" s="385"/>
      <c r="AD287" s="385"/>
      <c r="AE287" s="385"/>
      <c r="AF287" s="154"/>
      <c r="AG287" s="154"/>
    </row>
    <row r="288" spans="26:33" x14ac:dyDescent="0.2">
      <c r="Z288" s="342"/>
      <c r="AA288" s="342"/>
      <c r="AB288" s="342"/>
      <c r="AC288" s="385"/>
      <c r="AD288" s="385"/>
      <c r="AE288" s="385"/>
      <c r="AF288" s="154"/>
      <c r="AG288" s="154"/>
    </row>
    <row r="289" spans="26:33" x14ac:dyDescent="0.2">
      <c r="Z289" s="342"/>
      <c r="AA289" s="342"/>
      <c r="AB289" s="342"/>
      <c r="AC289" s="385"/>
      <c r="AD289" s="385"/>
      <c r="AE289" s="385"/>
      <c r="AF289" s="154"/>
      <c r="AG289" s="154"/>
    </row>
    <row r="290" spans="26:33" x14ac:dyDescent="0.2">
      <c r="Z290" s="342"/>
      <c r="AA290" s="342"/>
      <c r="AB290" s="342"/>
      <c r="AC290" s="385"/>
      <c r="AD290" s="385"/>
      <c r="AE290" s="385"/>
      <c r="AF290" s="154"/>
      <c r="AG290" s="154"/>
    </row>
    <row r="291" spans="26:33" x14ac:dyDescent="0.2">
      <c r="Z291" s="342"/>
      <c r="AA291" s="342"/>
      <c r="AB291" s="342"/>
      <c r="AC291" s="385"/>
      <c r="AD291" s="385"/>
      <c r="AE291" s="385"/>
      <c r="AF291" s="154"/>
      <c r="AG291" s="154"/>
    </row>
    <row r="292" spans="26:33" x14ac:dyDescent="0.2">
      <c r="Z292" s="342"/>
      <c r="AA292" s="342"/>
      <c r="AB292" s="342"/>
      <c r="AC292" s="385"/>
      <c r="AD292" s="385"/>
      <c r="AE292" s="385"/>
      <c r="AF292" s="154"/>
      <c r="AG292" s="154"/>
    </row>
    <row r="293" spans="26:33" x14ac:dyDescent="0.2">
      <c r="Z293" s="342"/>
      <c r="AA293" s="342"/>
      <c r="AB293" s="342"/>
      <c r="AC293" s="385"/>
      <c r="AD293" s="385"/>
      <c r="AE293" s="385"/>
      <c r="AF293" s="154"/>
      <c r="AG293" s="154"/>
    </row>
    <row r="294" spans="26:33" x14ac:dyDescent="0.2">
      <c r="Z294" s="342"/>
      <c r="AA294" s="342"/>
      <c r="AB294" s="342"/>
      <c r="AC294" s="385"/>
      <c r="AD294" s="385"/>
      <c r="AE294" s="385"/>
      <c r="AF294" s="154"/>
      <c r="AG294" s="154"/>
    </row>
    <row r="295" spans="26:33" x14ac:dyDescent="0.2">
      <c r="Z295" s="342"/>
      <c r="AA295" s="342"/>
      <c r="AB295" s="342"/>
      <c r="AC295" s="385"/>
      <c r="AD295" s="385"/>
      <c r="AE295" s="385"/>
      <c r="AF295" s="154"/>
      <c r="AG295" s="154"/>
    </row>
    <row r="296" spans="26:33" x14ac:dyDescent="0.2">
      <c r="Z296" s="342"/>
      <c r="AA296" s="342"/>
      <c r="AB296" s="342"/>
      <c r="AC296" s="385"/>
      <c r="AD296" s="385"/>
      <c r="AE296" s="385"/>
      <c r="AF296" s="154"/>
      <c r="AG296" s="154"/>
    </row>
    <row r="297" spans="26:33" x14ac:dyDescent="0.2">
      <c r="Z297" s="342"/>
      <c r="AA297" s="342"/>
      <c r="AB297" s="342"/>
      <c r="AC297" s="385"/>
      <c r="AD297" s="385"/>
      <c r="AE297" s="385"/>
      <c r="AF297" s="154"/>
      <c r="AG297" s="154"/>
    </row>
    <row r="298" spans="26:33" x14ac:dyDescent="0.2">
      <c r="Z298" s="342"/>
      <c r="AA298" s="342"/>
      <c r="AB298" s="342"/>
      <c r="AC298" s="385"/>
      <c r="AD298" s="385"/>
      <c r="AE298" s="385"/>
      <c r="AF298" s="154"/>
      <c r="AG298" s="154"/>
    </row>
    <row r="299" spans="26:33" x14ac:dyDescent="0.2">
      <c r="Z299" s="342"/>
      <c r="AA299" s="342"/>
      <c r="AB299" s="342"/>
      <c r="AC299" s="385"/>
      <c r="AD299" s="385"/>
      <c r="AE299" s="385"/>
      <c r="AF299" s="154"/>
      <c r="AG299" s="154"/>
    </row>
    <row r="300" spans="26:33" x14ac:dyDescent="0.2">
      <c r="Z300" s="342"/>
      <c r="AA300" s="342"/>
      <c r="AB300" s="342"/>
      <c r="AC300" s="385"/>
      <c r="AD300" s="385"/>
      <c r="AE300" s="385"/>
      <c r="AF300" s="154"/>
      <c r="AG300" s="154"/>
    </row>
    <row r="301" spans="26:33" x14ac:dyDescent="0.2">
      <c r="Z301" s="342"/>
      <c r="AA301" s="342"/>
      <c r="AB301" s="342"/>
      <c r="AC301" s="385"/>
      <c r="AD301" s="385"/>
      <c r="AE301" s="385"/>
      <c r="AF301" s="154"/>
      <c r="AG301" s="154"/>
    </row>
    <row r="302" spans="26:33" x14ac:dyDescent="0.2">
      <c r="Z302" s="342"/>
      <c r="AA302" s="342"/>
      <c r="AB302" s="342"/>
      <c r="AC302" s="385"/>
      <c r="AD302" s="385"/>
      <c r="AE302" s="385"/>
      <c r="AF302" s="154"/>
      <c r="AG302" s="154"/>
    </row>
    <row r="303" spans="26:33" x14ac:dyDescent="0.2">
      <c r="Z303" s="342"/>
      <c r="AA303" s="342"/>
      <c r="AB303" s="342"/>
      <c r="AC303" s="385"/>
      <c r="AD303" s="385"/>
      <c r="AE303" s="385"/>
      <c r="AF303" s="154"/>
      <c r="AG303" s="154"/>
    </row>
    <row r="304" spans="26:33" x14ac:dyDescent="0.2">
      <c r="Z304" s="342"/>
      <c r="AA304" s="342"/>
      <c r="AB304" s="342"/>
      <c r="AC304" s="385"/>
      <c r="AD304" s="385"/>
      <c r="AE304" s="385"/>
      <c r="AF304" s="154"/>
      <c r="AG304" s="154"/>
    </row>
    <row r="305" spans="26:33" x14ac:dyDescent="0.2">
      <c r="Z305" s="342"/>
      <c r="AA305" s="342"/>
      <c r="AB305" s="342"/>
      <c r="AC305" s="385"/>
      <c r="AD305" s="385"/>
      <c r="AE305" s="385"/>
      <c r="AF305" s="154"/>
      <c r="AG305" s="154"/>
    </row>
    <row r="306" spans="26:33" x14ac:dyDescent="0.2">
      <c r="Z306" s="342"/>
      <c r="AA306" s="342"/>
      <c r="AB306" s="342"/>
      <c r="AC306" s="385"/>
      <c r="AD306" s="385"/>
      <c r="AE306" s="385"/>
      <c r="AF306" s="154"/>
      <c r="AG306" s="154"/>
    </row>
    <row r="307" spans="26:33" x14ac:dyDescent="0.2">
      <c r="Z307" s="342"/>
      <c r="AA307" s="342"/>
      <c r="AB307" s="342"/>
      <c r="AC307" s="385"/>
      <c r="AD307" s="385"/>
      <c r="AE307" s="385"/>
      <c r="AF307" s="154"/>
      <c r="AG307" s="154"/>
    </row>
    <row r="308" spans="26:33" x14ac:dyDescent="0.2">
      <c r="Z308" s="342"/>
      <c r="AA308" s="342"/>
      <c r="AB308" s="342"/>
      <c r="AC308" s="385"/>
      <c r="AD308" s="385"/>
      <c r="AE308" s="385"/>
      <c r="AF308" s="154"/>
      <c r="AG308" s="154"/>
    </row>
    <row r="309" spans="26:33" x14ac:dyDescent="0.2">
      <c r="Z309" s="342"/>
      <c r="AA309" s="342"/>
      <c r="AB309" s="342"/>
      <c r="AC309" s="385"/>
      <c r="AD309" s="385"/>
      <c r="AE309" s="385"/>
      <c r="AF309" s="154"/>
      <c r="AG309" s="154"/>
    </row>
    <row r="310" spans="26:33" x14ac:dyDescent="0.2">
      <c r="Z310" s="342"/>
      <c r="AA310" s="342"/>
      <c r="AB310" s="342"/>
      <c r="AC310" s="385"/>
      <c r="AD310" s="385"/>
      <c r="AE310" s="385"/>
      <c r="AF310" s="154"/>
      <c r="AG310" s="154"/>
    </row>
    <row r="311" spans="26:33" x14ac:dyDescent="0.2">
      <c r="Z311" s="342"/>
      <c r="AA311" s="342"/>
      <c r="AB311" s="342"/>
      <c r="AC311" s="385"/>
      <c r="AD311" s="385"/>
      <c r="AE311" s="385"/>
      <c r="AF311" s="154"/>
      <c r="AG311" s="154"/>
    </row>
    <row r="312" spans="26:33" x14ac:dyDescent="0.2">
      <c r="Z312" s="342"/>
      <c r="AA312" s="342"/>
      <c r="AB312" s="342"/>
      <c r="AC312" s="385"/>
      <c r="AD312" s="385"/>
      <c r="AE312" s="385"/>
      <c r="AF312" s="154"/>
      <c r="AG312" s="154"/>
    </row>
    <row r="313" spans="26:33" x14ac:dyDescent="0.2">
      <c r="Z313" s="342"/>
      <c r="AA313" s="342"/>
      <c r="AB313" s="342"/>
      <c r="AC313" s="385"/>
      <c r="AD313" s="385"/>
      <c r="AE313" s="385"/>
      <c r="AF313" s="154"/>
      <c r="AG313" s="154"/>
    </row>
    <row r="314" spans="26:33" x14ac:dyDescent="0.2">
      <c r="Z314" s="342"/>
      <c r="AA314" s="342"/>
      <c r="AB314" s="342"/>
      <c r="AC314" s="385"/>
      <c r="AD314" s="385"/>
      <c r="AE314" s="385"/>
      <c r="AF314" s="154"/>
      <c r="AG314" s="154"/>
    </row>
    <row r="315" spans="26:33" x14ac:dyDescent="0.2">
      <c r="Z315" s="342"/>
      <c r="AA315" s="342"/>
      <c r="AB315" s="342"/>
      <c r="AC315" s="385"/>
      <c r="AD315" s="385"/>
      <c r="AE315" s="385"/>
      <c r="AF315" s="154"/>
      <c r="AG315" s="154"/>
    </row>
    <row r="316" spans="26:33" x14ac:dyDescent="0.2">
      <c r="Z316" s="342"/>
      <c r="AA316" s="342"/>
      <c r="AB316" s="342"/>
      <c r="AC316" s="385"/>
      <c r="AD316" s="385"/>
      <c r="AE316" s="385"/>
      <c r="AF316" s="154"/>
      <c r="AG316" s="154"/>
    </row>
    <row r="317" spans="26:33" x14ac:dyDescent="0.2">
      <c r="Z317" s="342"/>
      <c r="AA317" s="342"/>
      <c r="AB317" s="342"/>
      <c r="AC317" s="385"/>
      <c r="AD317" s="385"/>
      <c r="AE317" s="385"/>
      <c r="AF317" s="154"/>
      <c r="AG317" s="154"/>
    </row>
    <row r="318" spans="26:33" x14ac:dyDescent="0.2">
      <c r="Z318" s="342"/>
      <c r="AA318" s="342"/>
      <c r="AB318" s="342"/>
      <c r="AC318" s="385"/>
      <c r="AD318" s="385"/>
      <c r="AE318" s="385"/>
      <c r="AF318" s="154"/>
      <c r="AG318" s="154"/>
    </row>
    <row r="319" spans="26:33" x14ac:dyDescent="0.2">
      <c r="Z319" s="342"/>
      <c r="AA319" s="342"/>
      <c r="AB319" s="342"/>
      <c r="AC319" s="385"/>
      <c r="AD319" s="385"/>
      <c r="AE319" s="385"/>
      <c r="AF319" s="154"/>
      <c r="AG319" s="154"/>
    </row>
    <row r="320" spans="26:33" x14ac:dyDescent="0.2">
      <c r="Z320" s="342"/>
      <c r="AA320" s="342"/>
      <c r="AB320" s="342"/>
      <c r="AC320" s="385"/>
      <c r="AD320" s="385"/>
      <c r="AE320" s="385"/>
      <c r="AF320" s="154"/>
      <c r="AG320" s="154"/>
    </row>
    <row r="321" spans="26:33" x14ac:dyDescent="0.2">
      <c r="Z321" s="342"/>
      <c r="AA321" s="342"/>
      <c r="AB321" s="342"/>
      <c r="AC321" s="385"/>
      <c r="AD321" s="385"/>
      <c r="AE321" s="385"/>
      <c r="AF321" s="154"/>
      <c r="AG321" s="154"/>
    </row>
    <row r="322" spans="26:33" x14ac:dyDescent="0.2">
      <c r="Z322" s="342"/>
      <c r="AA322" s="342"/>
      <c r="AB322" s="342"/>
      <c r="AC322" s="385"/>
      <c r="AD322" s="385"/>
      <c r="AE322" s="385"/>
      <c r="AF322" s="154"/>
      <c r="AG322" s="154"/>
    </row>
    <row r="323" spans="26:33" x14ac:dyDescent="0.2">
      <c r="Z323" s="342"/>
      <c r="AA323" s="342"/>
      <c r="AB323" s="342"/>
      <c r="AC323" s="385"/>
      <c r="AD323" s="385"/>
      <c r="AE323" s="385"/>
      <c r="AF323" s="154"/>
      <c r="AG323" s="154"/>
    </row>
    <row r="324" spans="26:33" x14ac:dyDescent="0.2">
      <c r="Z324" s="342"/>
      <c r="AA324" s="342"/>
      <c r="AB324" s="342"/>
      <c r="AC324" s="385"/>
      <c r="AD324" s="385"/>
      <c r="AE324" s="385"/>
      <c r="AF324" s="154"/>
      <c r="AG324" s="154"/>
    </row>
    <row r="325" spans="26:33" x14ac:dyDescent="0.2">
      <c r="Z325" s="342"/>
      <c r="AA325" s="342"/>
      <c r="AB325" s="342"/>
      <c r="AC325" s="385"/>
      <c r="AD325" s="385"/>
      <c r="AE325" s="385"/>
      <c r="AF325" s="154"/>
      <c r="AG325" s="154"/>
    </row>
    <row r="326" spans="26:33" x14ac:dyDescent="0.2">
      <c r="Z326" s="342"/>
      <c r="AA326" s="342"/>
      <c r="AB326" s="342"/>
      <c r="AC326" s="385"/>
      <c r="AD326" s="385"/>
      <c r="AE326" s="385"/>
      <c r="AF326" s="154"/>
      <c r="AG326" s="154"/>
    </row>
    <row r="327" spans="26:33" x14ac:dyDescent="0.2">
      <c r="Z327" s="342"/>
      <c r="AA327" s="342"/>
      <c r="AB327" s="342"/>
      <c r="AC327" s="385"/>
      <c r="AD327" s="385"/>
      <c r="AE327" s="385"/>
      <c r="AF327" s="154"/>
      <c r="AG327" s="154"/>
    </row>
    <row r="328" spans="26:33" x14ac:dyDescent="0.2">
      <c r="Z328" s="342"/>
      <c r="AA328" s="342"/>
      <c r="AB328" s="342"/>
      <c r="AC328" s="385"/>
      <c r="AD328" s="385"/>
      <c r="AE328" s="385"/>
      <c r="AF328" s="154"/>
      <c r="AG328" s="154"/>
    </row>
    <row r="329" spans="26:33" x14ac:dyDescent="0.2">
      <c r="Z329" s="342"/>
      <c r="AA329" s="342"/>
      <c r="AB329" s="342"/>
      <c r="AC329" s="385"/>
      <c r="AD329" s="385"/>
      <c r="AE329" s="385"/>
      <c r="AF329" s="154"/>
      <c r="AG329" s="154"/>
    </row>
    <row r="330" spans="26:33" x14ac:dyDescent="0.2">
      <c r="Z330" s="342"/>
      <c r="AA330" s="342"/>
      <c r="AB330" s="342"/>
      <c r="AC330" s="385"/>
      <c r="AD330" s="385"/>
      <c r="AE330" s="385"/>
      <c r="AF330" s="154"/>
      <c r="AG330" s="154"/>
    </row>
    <row r="331" spans="26:33" x14ac:dyDescent="0.2">
      <c r="Z331" s="342"/>
      <c r="AA331" s="342"/>
      <c r="AB331" s="342"/>
      <c r="AC331" s="385"/>
      <c r="AD331" s="385"/>
      <c r="AE331" s="385"/>
      <c r="AF331" s="154"/>
      <c r="AG331" s="154"/>
    </row>
    <row r="332" spans="26:33" x14ac:dyDescent="0.2">
      <c r="Z332" s="342"/>
      <c r="AA332" s="342"/>
      <c r="AB332" s="342"/>
      <c r="AC332" s="385"/>
      <c r="AD332" s="385"/>
      <c r="AE332" s="385"/>
      <c r="AF332" s="154"/>
      <c r="AG332" s="154"/>
    </row>
    <row r="333" spans="26:33" x14ac:dyDescent="0.2">
      <c r="Z333" s="342"/>
      <c r="AA333" s="342"/>
      <c r="AB333" s="342"/>
      <c r="AC333" s="385"/>
      <c r="AD333" s="385"/>
      <c r="AE333" s="385"/>
      <c r="AF333" s="154"/>
      <c r="AG333" s="154"/>
    </row>
    <row r="334" spans="26:33" x14ac:dyDescent="0.2">
      <c r="Z334" s="342"/>
      <c r="AA334" s="342"/>
      <c r="AB334" s="342"/>
      <c r="AC334" s="385"/>
      <c r="AD334" s="385"/>
      <c r="AE334" s="385"/>
      <c r="AF334" s="154"/>
      <c r="AG334" s="154"/>
    </row>
    <row r="335" spans="26:33" x14ac:dyDescent="0.2">
      <c r="Z335" s="342"/>
      <c r="AA335" s="342"/>
      <c r="AB335" s="342"/>
      <c r="AC335" s="385"/>
      <c r="AD335" s="385"/>
      <c r="AE335" s="385"/>
      <c r="AF335" s="154"/>
      <c r="AG335" s="154"/>
    </row>
    <row r="336" spans="26:33" x14ac:dyDescent="0.2">
      <c r="Z336" s="342"/>
      <c r="AA336" s="342"/>
      <c r="AB336" s="342"/>
      <c r="AC336" s="385"/>
      <c r="AD336" s="385"/>
      <c r="AE336" s="385"/>
      <c r="AF336" s="154"/>
      <c r="AG336" s="154"/>
    </row>
    <row r="337" spans="26:33" x14ac:dyDescent="0.2">
      <c r="Z337" s="342"/>
      <c r="AA337" s="342"/>
      <c r="AB337" s="342"/>
      <c r="AC337" s="385"/>
      <c r="AD337" s="385"/>
      <c r="AE337" s="385"/>
      <c r="AF337" s="154"/>
      <c r="AG337" s="154"/>
    </row>
    <row r="338" spans="26:33" x14ac:dyDescent="0.2">
      <c r="Z338" s="342"/>
      <c r="AA338" s="342"/>
      <c r="AB338" s="342"/>
      <c r="AC338" s="385"/>
      <c r="AD338" s="385"/>
      <c r="AE338" s="385"/>
      <c r="AF338" s="154"/>
      <c r="AG338" s="154"/>
    </row>
    <row r="339" spans="26:33" x14ac:dyDescent="0.2">
      <c r="Z339" s="342"/>
      <c r="AA339" s="342"/>
      <c r="AB339" s="342"/>
      <c r="AC339" s="385"/>
      <c r="AD339" s="385"/>
      <c r="AE339" s="385"/>
      <c r="AF339" s="154"/>
      <c r="AG339" s="154"/>
    </row>
    <row r="340" spans="26:33" x14ac:dyDescent="0.2">
      <c r="Z340" s="342"/>
      <c r="AA340" s="342"/>
      <c r="AB340" s="342"/>
      <c r="AC340" s="385"/>
      <c r="AD340" s="385"/>
      <c r="AE340" s="385"/>
      <c r="AF340" s="154"/>
      <c r="AG340" s="154"/>
    </row>
    <row r="341" spans="26:33" x14ac:dyDescent="0.2">
      <c r="Z341" s="342"/>
      <c r="AA341" s="342"/>
      <c r="AB341" s="342"/>
      <c r="AC341" s="385"/>
      <c r="AD341" s="385"/>
      <c r="AE341" s="385"/>
      <c r="AF341" s="154"/>
      <c r="AG341" s="154"/>
    </row>
    <row r="342" spans="26:33" x14ac:dyDescent="0.2">
      <c r="Z342" s="342"/>
      <c r="AA342" s="342"/>
      <c r="AB342" s="342"/>
      <c r="AC342" s="385"/>
      <c r="AD342" s="385"/>
      <c r="AE342" s="385"/>
      <c r="AF342" s="154"/>
      <c r="AG342" s="154"/>
    </row>
    <row r="343" spans="26:33" x14ac:dyDescent="0.2">
      <c r="Z343" s="342"/>
      <c r="AA343" s="342"/>
      <c r="AB343" s="342"/>
      <c r="AC343" s="385"/>
      <c r="AD343" s="385"/>
      <c r="AE343" s="385"/>
      <c r="AF343" s="154"/>
      <c r="AG343" s="154"/>
    </row>
    <row r="344" spans="26:33" x14ac:dyDescent="0.2">
      <c r="Z344" s="342"/>
      <c r="AA344" s="342"/>
      <c r="AB344" s="342"/>
      <c r="AC344" s="385"/>
      <c r="AD344" s="385"/>
      <c r="AE344" s="385"/>
      <c r="AF344" s="154"/>
      <c r="AG344" s="154"/>
    </row>
    <row r="345" spans="26:33" x14ac:dyDescent="0.2">
      <c r="Z345" s="342"/>
      <c r="AA345" s="342"/>
      <c r="AB345" s="342"/>
      <c r="AC345" s="385"/>
      <c r="AD345" s="385"/>
      <c r="AE345" s="385"/>
      <c r="AF345" s="154"/>
      <c r="AG345" s="154"/>
    </row>
    <row r="346" spans="26:33" x14ac:dyDescent="0.2">
      <c r="Z346" s="342"/>
      <c r="AA346" s="342"/>
      <c r="AB346" s="342"/>
      <c r="AC346" s="385"/>
      <c r="AD346" s="385"/>
      <c r="AE346" s="385"/>
      <c r="AF346" s="154"/>
      <c r="AG346" s="154"/>
    </row>
    <row r="347" spans="26:33" x14ac:dyDescent="0.2">
      <c r="Z347" s="342"/>
      <c r="AA347" s="342"/>
      <c r="AB347" s="342"/>
      <c r="AC347" s="385"/>
      <c r="AD347" s="385"/>
      <c r="AE347" s="385"/>
      <c r="AF347" s="154"/>
      <c r="AG347" s="154"/>
    </row>
    <row r="348" spans="26:33" x14ac:dyDescent="0.2">
      <c r="Z348" s="342"/>
      <c r="AA348" s="342"/>
      <c r="AB348" s="342"/>
      <c r="AC348" s="385"/>
      <c r="AD348" s="385"/>
      <c r="AE348" s="385"/>
      <c r="AF348" s="154"/>
      <c r="AG348" s="154"/>
    </row>
    <row r="349" spans="26:33" x14ac:dyDescent="0.2">
      <c r="Z349" s="342"/>
      <c r="AA349" s="342"/>
      <c r="AB349" s="342"/>
      <c r="AC349" s="385"/>
      <c r="AD349" s="385"/>
      <c r="AE349" s="385"/>
      <c r="AF349" s="154"/>
      <c r="AG349" s="154"/>
    </row>
    <row r="350" spans="26:33" x14ac:dyDescent="0.2">
      <c r="Z350" s="342"/>
      <c r="AA350" s="342"/>
      <c r="AB350" s="342"/>
      <c r="AC350" s="385"/>
      <c r="AD350" s="385"/>
      <c r="AE350" s="385"/>
      <c r="AF350" s="154"/>
      <c r="AG350" s="154"/>
    </row>
    <row r="351" spans="26:33" x14ac:dyDescent="0.2">
      <c r="Z351" s="342"/>
      <c r="AA351" s="342"/>
      <c r="AB351" s="342"/>
      <c r="AC351" s="385"/>
      <c r="AD351" s="385"/>
      <c r="AE351" s="385"/>
      <c r="AF351" s="154"/>
      <c r="AG351" s="154"/>
    </row>
    <row r="352" spans="26:33" x14ac:dyDescent="0.2">
      <c r="Z352" s="342"/>
      <c r="AA352" s="342"/>
      <c r="AB352" s="342"/>
      <c r="AC352" s="385"/>
      <c r="AD352" s="385"/>
      <c r="AE352" s="385"/>
      <c r="AF352" s="154"/>
      <c r="AG352" s="154"/>
    </row>
    <row r="353" spans="26:33" x14ac:dyDescent="0.2">
      <c r="Z353" s="342"/>
      <c r="AA353" s="342"/>
      <c r="AB353" s="342"/>
      <c r="AC353" s="385"/>
      <c r="AD353" s="385"/>
      <c r="AE353" s="385"/>
      <c r="AF353" s="154"/>
      <c r="AG353" s="154"/>
    </row>
    <row r="354" spans="26:33" x14ac:dyDescent="0.2">
      <c r="Z354" s="342"/>
      <c r="AA354" s="342"/>
      <c r="AB354" s="342"/>
      <c r="AC354" s="385"/>
      <c r="AD354" s="385"/>
      <c r="AE354" s="385"/>
      <c r="AF354" s="154"/>
      <c r="AG354" s="154"/>
    </row>
    <row r="355" spans="26:33" x14ac:dyDescent="0.2">
      <c r="Z355" s="342"/>
      <c r="AA355" s="342"/>
      <c r="AB355" s="342"/>
      <c r="AC355" s="385"/>
      <c r="AD355" s="385"/>
      <c r="AE355" s="385"/>
      <c r="AF355" s="154"/>
      <c r="AG355" s="154"/>
    </row>
    <row r="356" spans="26:33" x14ac:dyDescent="0.2">
      <c r="Z356" s="342"/>
      <c r="AA356" s="342"/>
      <c r="AB356" s="342"/>
      <c r="AC356" s="385"/>
      <c r="AD356" s="385"/>
      <c r="AE356" s="385"/>
      <c r="AF356" s="154"/>
      <c r="AG356" s="154"/>
    </row>
    <row r="357" spans="26:33" x14ac:dyDescent="0.2">
      <c r="Z357" s="342"/>
      <c r="AA357" s="342"/>
      <c r="AB357" s="342"/>
      <c r="AC357" s="385"/>
      <c r="AD357" s="385"/>
      <c r="AE357" s="385"/>
      <c r="AF357" s="154"/>
      <c r="AG357" s="154"/>
    </row>
    <row r="358" spans="26:33" x14ac:dyDescent="0.2">
      <c r="Z358" s="342"/>
      <c r="AA358" s="342"/>
      <c r="AB358" s="342"/>
      <c r="AC358" s="385"/>
      <c r="AD358" s="385"/>
      <c r="AE358" s="385"/>
      <c r="AF358" s="154"/>
      <c r="AG358" s="154"/>
    </row>
    <row r="359" spans="26:33" x14ac:dyDescent="0.2">
      <c r="Z359" s="342"/>
      <c r="AA359" s="342"/>
      <c r="AB359" s="342"/>
      <c r="AC359" s="385"/>
      <c r="AD359" s="385"/>
      <c r="AE359" s="385"/>
      <c r="AF359" s="154"/>
      <c r="AG359" s="154"/>
    </row>
    <row r="360" spans="26:33" x14ac:dyDescent="0.2">
      <c r="Z360" s="342"/>
      <c r="AA360" s="342"/>
      <c r="AB360" s="342"/>
      <c r="AC360" s="385"/>
      <c r="AD360" s="385"/>
      <c r="AE360" s="385"/>
      <c r="AF360" s="154"/>
      <c r="AG360" s="154"/>
    </row>
    <row r="361" spans="26:33" x14ac:dyDescent="0.2">
      <c r="Z361" s="342"/>
      <c r="AA361" s="342"/>
      <c r="AB361" s="342"/>
      <c r="AC361" s="385"/>
      <c r="AD361" s="385"/>
      <c r="AE361" s="385"/>
      <c r="AF361" s="154"/>
      <c r="AG361" s="154"/>
    </row>
    <row r="362" spans="26:33" x14ac:dyDescent="0.2">
      <c r="Z362" s="342"/>
      <c r="AA362" s="342"/>
      <c r="AB362" s="342"/>
      <c r="AC362" s="385"/>
      <c r="AD362" s="385"/>
      <c r="AE362" s="385"/>
      <c r="AF362" s="154"/>
      <c r="AG362" s="154"/>
    </row>
    <row r="363" spans="26:33" x14ac:dyDescent="0.2">
      <c r="Z363" s="342"/>
      <c r="AA363" s="342"/>
      <c r="AB363" s="342"/>
      <c r="AC363" s="385"/>
      <c r="AD363" s="385"/>
      <c r="AE363" s="385"/>
      <c r="AF363" s="154"/>
      <c r="AG363" s="154"/>
    </row>
    <row r="364" spans="26:33" x14ac:dyDescent="0.2">
      <c r="Z364" s="342"/>
      <c r="AA364" s="342"/>
      <c r="AB364" s="342"/>
      <c r="AC364" s="385"/>
      <c r="AD364" s="385"/>
      <c r="AE364" s="385"/>
      <c r="AF364" s="154"/>
      <c r="AG364" s="154"/>
    </row>
    <row r="365" spans="26:33" x14ac:dyDescent="0.2">
      <c r="Z365" s="342"/>
      <c r="AA365" s="342"/>
      <c r="AB365" s="342"/>
      <c r="AC365" s="385"/>
      <c r="AD365" s="385"/>
      <c r="AE365" s="385"/>
      <c r="AF365" s="154"/>
      <c r="AG365" s="154"/>
    </row>
    <row r="366" spans="26:33" x14ac:dyDescent="0.2">
      <c r="Z366" s="342"/>
      <c r="AA366" s="342"/>
      <c r="AB366" s="342"/>
      <c r="AC366" s="385"/>
      <c r="AD366" s="385"/>
      <c r="AE366" s="385"/>
      <c r="AF366" s="154"/>
      <c r="AG366" s="154"/>
    </row>
    <row r="367" spans="26:33" x14ac:dyDescent="0.2">
      <c r="Z367" s="342"/>
      <c r="AA367" s="342"/>
      <c r="AB367" s="342"/>
      <c r="AC367" s="385"/>
      <c r="AD367" s="385"/>
      <c r="AE367" s="385"/>
      <c r="AF367" s="154"/>
      <c r="AG367" s="154"/>
    </row>
    <row r="368" spans="26:33" x14ac:dyDescent="0.2">
      <c r="Z368" s="342"/>
      <c r="AA368" s="342"/>
      <c r="AB368" s="342"/>
      <c r="AC368" s="385"/>
      <c r="AD368" s="385"/>
      <c r="AE368" s="385"/>
      <c r="AF368" s="154"/>
      <c r="AG368" s="154"/>
    </row>
    <row r="369" spans="26:33" x14ac:dyDescent="0.2">
      <c r="Z369" s="342"/>
      <c r="AA369" s="342"/>
      <c r="AB369" s="342"/>
      <c r="AC369" s="385"/>
      <c r="AD369" s="385"/>
      <c r="AE369" s="385"/>
      <c r="AF369" s="154"/>
      <c r="AG369" s="154"/>
    </row>
    <row r="370" spans="26:33" x14ac:dyDescent="0.2">
      <c r="Z370" s="342"/>
      <c r="AA370" s="342"/>
      <c r="AB370" s="342"/>
      <c r="AC370" s="385"/>
      <c r="AD370" s="385"/>
      <c r="AE370" s="385"/>
      <c r="AF370" s="154"/>
      <c r="AG370" s="154"/>
    </row>
    <row r="371" spans="26:33" x14ac:dyDescent="0.2">
      <c r="Z371" s="342"/>
      <c r="AA371" s="342"/>
      <c r="AB371" s="342"/>
      <c r="AC371" s="385"/>
      <c r="AD371" s="385"/>
      <c r="AE371" s="385"/>
      <c r="AF371" s="154"/>
      <c r="AG371" s="154"/>
    </row>
    <row r="372" spans="26:33" x14ac:dyDescent="0.2">
      <c r="Z372" s="342"/>
      <c r="AA372" s="342"/>
      <c r="AB372" s="342"/>
      <c r="AC372" s="385"/>
      <c r="AD372" s="385"/>
      <c r="AE372" s="385"/>
      <c r="AF372" s="154"/>
      <c r="AG372" s="154"/>
    </row>
    <row r="373" spans="26:33" x14ac:dyDescent="0.2">
      <c r="Z373" s="342"/>
      <c r="AA373" s="342"/>
      <c r="AB373" s="342"/>
      <c r="AC373" s="385"/>
      <c r="AD373" s="385"/>
      <c r="AE373" s="385"/>
      <c r="AF373" s="154"/>
      <c r="AG373" s="154"/>
    </row>
    <row r="374" spans="26:33" x14ac:dyDescent="0.2">
      <c r="Z374" s="342"/>
      <c r="AA374" s="342"/>
      <c r="AB374" s="342"/>
      <c r="AC374" s="385"/>
      <c r="AD374" s="385"/>
      <c r="AE374" s="385"/>
      <c r="AF374" s="154"/>
      <c r="AG374" s="154"/>
    </row>
    <row r="375" spans="26:33" x14ac:dyDescent="0.2">
      <c r="Z375" s="342"/>
      <c r="AA375" s="342"/>
      <c r="AB375" s="342"/>
      <c r="AC375" s="385"/>
      <c r="AD375" s="385"/>
      <c r="AE375" s="385"/>
      <c r="AF375" s="154"/>
      <c r="AG375" s="154"/>
    </row>
    <row r="376" spans="26:33" x14ac:dyDescent="0.2">
      <c r="Z376" s="342"/>
      <c r="AA376" s="342"/>
      <c r="AB376" s="342"/>
      <c r="AC376" s="385"/>
      <c r="AD376" s="385"/>
      <c r="AE376" s="385"/>
      <c r="AF376" s="154"/>
      <c r="AG376" s="154"/>
    </row>
    <row r="377" spans="26:33" x14ac:dyDescent="0.2">
      <c r="Z377" s="342"/>
      <c r="AA377" s="342"/>
      <c r="AB377" s="342"/>
      <c r="AC377" s="385"/>
      <c r="AD377" s="385"/>
      <c r="AE377" s="385"/>
      <c r="AF377" s="154"/>
      <c r="AG377" s="154"/>
    </row>
    <row r="378" spans="26:33" x14ac:dyDescent="0.2">
      <c r="Z378" s="342"/>
      <c r="AA378" s="342"/>
      <c r="AB378" s="342"/>
      <c r="AC378" s="385"/>
      <c r="AD378" s="385"/>
      <c r="AE378" s="385"/>
      <c r="AF378" s="154"/>
      <c r="AG378" s="154"/>
    </row>
    <row r="379" spans="26:33" x14ac:dyDescent="0.2">
      <c r="Z379" s="342"/>
      <c r="AA379" s="342"/>
      <c r="AB379" s="342"/>
      <c r="AC379" s="385"/>
      <c r="AD379" s="385"/>
      <c r="AE379" s="385"/>
      <c r="AF379" s="154"/>
      <c r="AG379" s="154"/>
    </row>
    <row r="380" spans="26:33" x14ac:dyDescent="0.2">
      <c r="Z380" s="342"/>
      <c r="AA380" s="342"/>
      <c r="AB380" s="342"/>
      <c r="AC380" s="385"/>
      <c r="AD380" s="385"/>
      <c r="AE380" s="385"/>
      <c r="AF380" s="154"/>
      <c r="AG380" s="154"/>
    </row>
    <row r="381" spans="26:33" x14ac:dyDescent="0.2">
      <c r="Z381" s="342"/>
      <c r="AA381" s="342"/>
      <c r="AB381" s="342"/>
      <c r="AC381" s="385"/>
      <c r="AD381" s="385"/>
      <c r="AE381" s="385"/>
      <c r="AF381" s="154"/>
      <c r="AG381" s="154"/>
    </row>
    <row r="382" spans="26:33" x14ac:dyDescent="0.2">
      <c r="Z382" s="342"/>
      <c r="AA382" s="342"/>
      <c r="AB382" s="342"/>
      <c r="AC382" s="385"/>
      <c r="AD382" s="385"/>
      <c r="AE382" s="385"/>
      <c r="AF382" s="154"/>
      <c r="AG382" s="154"/>
    </row>
    <row r="383" spans="26:33" x14ac:dyDescent="0.2">
      <c r="Z383" s="342"/>
      <c r="AA383" s="342"/>
      <c r="AB383" s="342"/>
      <c r="AC383" s="385"/>
      <c r="AD383" s="385"/>
      <c r="AE383" s="385"/>
      <c r="AF383" s="154"/>
      <c r="AG383" s="154"/>
    </row>
    <row r="384" spans="26:33" x14ac:dyDescent="0.2">
      <c r="Z384" s="342"/>
      <c r="AA384" s="342"/>
      <c r="AB384" s="342"/>
      <c r="AC384" s="385"/>
      <c r="AD384" s="385"/>
      <c r="AE384" s="385"/>
      <c r="AF384" s="154"/>
      <c r="AG384" s="154"/>
    </row>
  </sheetData>
  <dataValidations count="1">
    <dataValidation type="list" allowBlank="1" showInputMessage="1" showErrorMessage="1" sqref="M4:M22 X3 X5:X22 U3 U5:U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4" workbookViewId="0">
      <selection activeCell="W30" sqref="W30"/>
    </sheetView>
  </sheetViews>
  <sheetFormatPr defaultRowHeight="11.25" outlineLevelCol="1" x14ac:dyDescent="0.2"/>
  <cols>
    <col min="1" max="1" width="3.1640625" style="319" hidden="1" customWidth="1" outlineLevel="1"/>
    <col min="2" max="3" width="7" style="319" hidden="1" customWidth="1" outlineLevel="1"/>
    <col min="4" max="4" width="7" style="336" hidden="1" customWidth="1" outlineLevel="1"/>
    <col min="5" max="5" width="3.5" style="336" hidden="1" customWidth="1" outlineLevel="1"/>
    <col min="6" max="6" width="8.1640625" style="319" hidden="1" customWidth="1" outlineLevel="1"/>
    <col min="7" max="7" width="22.6640625" style="319" hidden="1" customWidth="1" outlineLevel="1"/>
    <col min="8" max="8" width="23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bestFit="1" customWidth="1" collapsed="1"/>
    <col min="14" max="14" width="3.5" style="319" bestFit="1" customWidth="1"/>
    <col min="15" max="15" width="31.1640625" style="319" bestFit="1" customWidth="1"/>
    <col min="16" max="20" width="20.1640625" style="319" bestFit="1" customWidth="1"/>
    <col min="21" max="21" width="17.832031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11.6640625" style="319" bestFit="1" customWidth="1"/>
    <col min="25" max="26" width="20.1640625" style="319" bestFit="1" customWidth="1"/>
    <col min="27" max="27" width="9.33203125" style="319" bestFit="1" customWidth="1"/>
    <col min="28" max="28" width="17.83203125" style="319" customWidth="1"/>
    <col min="29" max="30" width="10.5" style="319" bestFit="1" customWidth="1"/>
    <col min="31" max="31" width="11.6640625" style="319" bestFit="1" customWidth="1"/>
    <col min="32" max="32" width="17.83203125" style="319" bestFit="1" customWidth="1"/>
    <col min="33" max="33" width="10.5" style="319" bestFit="1" customWidth="1"/>
    <col min="34" max="16384" width="9.33203125" style="319"/>
  </cols>
  <sheetData>
    <row r="1" spans="1:22" ht="11.25" customHeight="1" x14ac:dyDescent="0.2">
      <c r="D1" s="319"/>
      <c r="E1" s="319"/>
      <c r="J1" s="319" t="s">
        <v>27</v>
      </c>
      <c r="K1" s="319" t="str">
        <f>_xll.qlEuribor(,J1,,,Trigger)</f>
        <v>obj_0056d#0001</v>
      </c>
      <c r="L1" s="319" t="str">
        <f>_xll.ohRangeRetrieveError(K1)</f>
        <v/>
      </c>
    </row>
    <row r="2" spans="1:22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  <c r="U2" s="13"/>
      <c r="V2" s="13"/>
    </row>
    <row r="3" spans="1:22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Euribor1YLastFixing_Quote</v>
      </c>
      <c r="K3" s="70" t="str">
        <f>_xll.qlDepositRateHelper(,J3,K1,,Trigger)</f>
        <v>obj_005cf#0001</v>
      </c>
      <c r="L3" s="81" t="str">
        <f>_xll.ohRangeRetrieveError(K3)</f>
        <v/>
      </c>
      <c r="M3" s="334"/>
      <c r="N3" s="334"/>
      <c r="O3" s="49" t="str">
        <f>_xll.qlRateHelperQuoteName(K3,Trigger)</f>
        <v>Euribor1YLastFixing_Quote</v>
      </c>
      <c r="P3" s="50">
        <f>_xll.qlQuoteValue(J3,AllTriggers)</f>
        <v>1.83E-3</v>
      </c>
      <c r="Q3" s="87" t="str">
        <f>IF(ISBLANK(I3),"--",_xll.qlSwapRateHelperSpread(K3,AllTriggers))</f>
        <v>--</v>
      </c>
      <c r="R3" s="49" t="b">
        <v>1</v>
      </c>
      <c r="S3" s="51">
        <f>_xll.qlRateHelperEarliestDate(K3,Trigger)</f>
        <v>42110</v>
      </c>
      <c r="T3" s="51">
        <f>_xll.qlRateHelperLatestDate(K3,Trigger)</f>
        <v>42478</v>
      </c>
      <c r="U3" s="13"/>
      <c r="V3" s="13"/>
    </row>
    <row r="4" spans="1:22" ht="11.25" customHeight="1" x14ac:dyDescent="0.2">
      <c r="A4" s="333"/>
      <c r="B4" s="84" t="s">
        <v>55</v>
      </c>
      <c r="C4" s="86">
        <v>12</v>
      </c>
      <c r="D4" s="85" t="s">
        <v>37</v>
      </c>
      <c r="E4" s="85">
        <v>24</v>
      </c>
      <c r="F4" s="69"/>
      <c r="G4" s="69"/>
      <c r="H4" s="69"/>
      <c r="I4" s="73"/>
      <c r="J4" s="63" t="str">
        <f>Currency&amp;C4&amp;D4&amp;E4&amp;"F"&amp;QuoteSuffix</f>
        <v>EUR12x24F_Quote</v>
      </c>
      <c r="K4" s="70" t="str">
        <f>_xll.qlFraRateHelper(,J4,B4,K1)</f>
        <v>obj_0056e#0001</v>
      </c>
      <c r="L4" s="81" t="str">
        <f>_xll.ohRangeRetrieveError(K4)</f>
        <v/>
      </c>
      <c r="M4" s="334"/>
      <c r="N4" s="334"/>
      <c r="O4" s="49" t="str">
        <f>_xll.qlRateHelperQuoteName(K4,Trigger)</f>
        <v>EUR12x24F_Quote</v>
      </c>
      <c r="P4" s="50">
        <f>_xll.qlQuoteValue(J4,AllTriggers)</f>
        <v>1.5199999999999999E-3</v>
      </c>
      <c r="Q4" s="87" t="str">
        <f>IF(ISBLANK(I4),"--",_xll.qlSwapRateHelperSpread(K4,AllTriggers))</f>
        <v>--</v>
      </c>
      <c r="R4" s="49" t="b">
        <v>1</v>
      </c>
      <c r="S4" s="51">
        <f>_xll.qlRateHelperEarliestDate(K4,Trigger)</f>
        <v>42478</v>
      </c>
      <c r="T4" s="51">
        <f>_xll.qlRateHelperLatestDate(K4,Trigger)</f>
        <v>42843</v>
      </c>
      <c r="U4" s="13"/>
      <c r="V4" s="13"/>
    </row>
    <row r="5" spans="1:22" ht="11.25" customHeight="1" x14ac:dyDescent="0.2">
      <c r="A5" s="333"/>
      <c r="B5" s="74" t="s">
        <v>132</v>
      </c>
      <c r="C5" s="75" t="s">
        <v>83</v>
      </c>
      <c r="D5" s="76" t="s">
        <v>84</v>
      </c>
      <c r="E5" s="76" t="s">
        <v>85</v>
      </c>
      <c r="F5" s="74" t="s">
        <v>134</v>
      </c>
      <c r="G5" s="77" t="s">
        <v>130</v>
      </c>
      <c r="H5" s="77" t="s">
        <v>140</v>
      </c>
      <c r="I5" s="78">
        <v>0</v>
      </c>
      <c r="J5" s="79" t="str">
        <f t="shared" ref="J5:J10" si="0">Currency&amp;C5&amp;$D5&amp;$E5&amp;"_Quote"</f>
        <v>EURAB12EBASIS3Y_Quote</v>
      </c>
      <c r="K5" s="80" t="str">
        <f>_xll.qlSwapRateHelper2(,J5,E5,Calendar,F5,G5,H5,$K$1,I5,B5,Discounting,,Trigger)</f>
        <v>obj_00570#0001</v>
      </c>
      <c r="L5" s="81" t="str">
        <f>_xll.ohRangeRetrieveError(K5)</f>
        <v/>
      </c>
      <c r="M5" s="334"/>
      <c r="N5" s="334"/>
      <c r="O5" s="49" t="str">
        <f>_xll.qlRateHelperQuoteName(K5,Trigger)</f>
        <v>EURAB12EBASIS3Y_Quote</v>
      </c>
      <c r="P5" s="50">
        <f>_xll.qlQuoteValue(J5,AllTriggers)</f>
        <v>1.99E-3</v>
      </c>
      <c r="Q5" s="87">
        <f>IF(ISBLANK(I5),"--",_xll.qlSwapRateHelperSpread(K5,AllTriggers))</f>
        <v>0</v>
      </c>
      <c r="R5" s="49" t="b">
        <v>1</v>
      </c>
      <c r="S5" s="51">
        <f>_xll.qlRateHelperEarliestDate(K5,Trigger)</f>
        <v>42110</v>
      </c>
      <c r="T5" s="51">
        <f>_xll.qlRateHelperLatestDate(K5,Trigger)</f>
        <v>43206</v>
      </c>
      <c r="U5" s="13"/>
      <c r="V5" s="13"/>
    </row>
    <row r="6" spans="1:22" ht="11.25" customHeight="1" x14ac:dyDescent="0.2">
      <c r="A6" s="333"/>
      <c r="B6" s="42" t="s">
        <v>132</v>
      </c>
      <c r="C6" s="43" t="s">
        <v>83</v>
      </c>
      <c r="D6" s="44" t="s">
        <v>84</v>
      </c>
      <c r="E6" s="44" t="s">
        <v>86</v>
      </c>
      <c r="F6" s="42" t="s">
        <v>134</v>
      </c>
      <c r="G6" s="45" t="s">
        <v>130</v>
      </c>
      <c r="H6" s="45" t="s">
        <v>140</v>
      </c>
      <c r="I6" s="46">
        <v>0</v>
      </c>
      <c r="J6" s="47" t="str">
        <f t="shared" si="0"/>
        <v>EURAB12EBASIS4Y_Quote</v>
      </c>
      <c r="K6" s="48" t="str">
        <f>_xll.qlSwapRateHelper2(,J6,E6,Calendar,F6,G6,H6,$K$1,I6,B6,Discounting,,Trigger)</f>
        <v>obj_00577#0001</v>
      </c>
      <c r="L6" s="49" t="str">
        <f>_xll.ohRangeRetrieveError(K6)</f>
        <v/>
      </c>
      <c r="M6" s="334"/>
      <c r="N6" s="334"/>
      <c r="O6" s="49" t="str">
        <f>_xll.qlRateHelperQuoteName(K6,Trigger)</f>
        <v>EURAB12EBASIS4Y_Quote</v>
      </c>
      <c r="P6" s="50">
        <f>_xll.qlQuoteValue(J6,AllTriggers)</f>
        <v>2.49E-3</v>
      </c>
      <c r="Q6" s="87">
        <f>IF(ISBLANK(I6),"--",_xll.qlSwapRateHelperSpread(K6,AllTriggers))</f>
        <v>0</v>
      </c>
      <c r="R6" s="49" t="b">
        <v>1</v>
      </c>
      <c r="S6" s="51">
        <f>_xll.qlRateHelperEarliestDate(K6,Trigger)</f>
        <v>42110</v>
      </c>
      <c r="T6" s="51">
        <f>_xll.qlRateHelperLatestDate(K6,Trigger)</f>
        <v>43571</v>
      </c>
      <c r="U6" s="13"/>
      <c r="V6" s="13"/>
    </row>
    <row r="7" spans="1:22" ht="11.25" customHeight="1" x14ac:dyDescent="0.2">
      <c r="A7" s="332"/>
      <c r="B7" s="42" t="s">
        <v>132</v>
      </c>
      <c r="C7" s="43" t="s">
        <v>83</v>
      </c>
      <c r="D7" s="44" t="s">
        <v>84</v>
      </c>
      <c r="E7" s="44" t="s">
        <v>87</v>
      </c>
      <c r="F7" s="42" t="s">
        <v>134</v>
      </c>
      <c r="G7" s="45" t="s">
        <v>130</v>
      </c>
      <c r="H7" s="45" t="s">
        <v>140</v>
      </c>
      <c r="I7" s="46">
        <v>0</v>
      </c>
      <c r="J7" s="47" t="str">
        <f t="shared" si="0"/>
        <v>EURAB12EBASIS5Y_Quote</v>
      </c>
      <c r="K7" s="48" t="str">
        <f>_xll.qlSwapRateHelper2(,J7,E7,Calendar,F7,G7,H7,$K$1,I7,B7,Discounting,,Trigger)</f>
        <v>obj_0057a#0001</v>
      </c>
      <c r="L7" s="49" t="str">
        <f>_xll.ohRangeRetrieveError(K7)</f>
        <v/>
      </c>
      <c r="M7" s="334"/>
      <c r="N7" s="334"/>
      <c r="O7" s="49" t="str">
        <f>_xll.qlRateHelperQuoteName(K7,Trigger)</f>
        <v>EURAB12EBASIS5Y_Quote</v>
      </c>
      <c r="P7" s="50">
        <f>_xll.qlQuoteValue(J7,AllTriggers)</f>
        <v>3.0699999999999998E-3</v>
      </c>
      <c r="Q7" s="87">
        <f>IF(ISBLANK(I7),"--",_xll.qlSwapRateHelperSpread(K7,AllTriggers))</f>
        <v>0</v>
      </c>
      <c r="R7" s="49" t="b">
        <v>1</v>
      </c>
      <c r="S7" s="51">
        <f>_xll.qlRateHelperEarliestDate(K7,Trigger)</f>
        <v>42110</v>
      </c>
      <c r="T7" s="51">
        <f>_xll.qlRateHelperLatestDate(K7,Trigger)</f>
        <v>43937</v>
      </c>
      <c r="U7" s="13"/>
      <c r="V7" s="13"/>
    </row>
    <row r="8" spans="1:22" ht="11.25" customHeight="1" x14ac:dyDescent="0.2">
      <c r="A8" s="332"/>
      <c r="B8" s="42" t="s">
        <v>132</v>
      </c>
      <c r="C8" s="43" t="s">
        <v>83</v>
      </c>
      <c r="D8" s="44" t="s">
        <v>84</v>
      </c>
      <c r="E8" s="44" t="s">
        <v>137</v>
      </c>
      <c r="F8" s="42" t="s">
        <v>134</v>
      </c>
      <c r="G8" s="45" t="s">
        <v>130</v>
      </c>
      <c r="H8" s="45" t="s">
        <v>140</v>
      </c>
      <c r="I8" s="46">
        <v>0</v>
      </c>
      <c r="J8" s="47" t="str">
        <f t="shared" si="0"/>
        <v>EURAB12EBASIS6Y_Quote</v>
      </c>
      <c r="K8" s="48" t="str">
        <f>_xll.qlSwapRateHelper2(,J8,E8,Calendar,F8,G8,H8,$K$1,I8,B8,Discounting,,Trigger)</f>
        <v>obj_0056f#0001</v>
      </c>
      <c r="L8" s="49" t="str">
        <f>_xll.ohRangeRetrieveError(K8)</f>
        <v/>
      </c>
      <c r="M8" s="334"/>
      <c r="N8" s="334"/>
      <c r="O8" s="49" t="str">
        <f>_xll.qlRateHelperQuoteName(K8,Trigger)</f>
        <v>EURAB12EBASIS6Y_Quote</v>
      </c>
      <c r="P8" s="50">
        <f>_xll.qlQuoteValue(J8,AllTriggers)</f>
        <v>3.7099999999999998E-3</v>
      </c>
      <c r="Q8" s="87">
        <f>IF(ISBLANK(I8),"--",_xll.qlSwapRateHelperSpread(K8,AllTriggers))</f>
        <v>0</v>
      </c>
      <c r="R8" s="49" t="b">
        <v>1</v>
      </c>
      <c r="S8" s="51">
        <f>_xll.qlRateHelperEarliestDate(K8,Trigger)</f>
        <v>42110</v>
      </c>
      <c r="T8" s="51">
        <f>_xll.qlRateHelperLatestDate(K8,Trigger)</f>
        <v>44302</v>
      </c>
      <c r="U8" s="13"/>
      <c r="V8" s="13"/>
    </row>
    <row r="9" spans="1:22" ht="11.25" customHeight="1" x14ac:dyDescent="0.2">
      <c r="A9" s="332"/>
      <c r="B9" s="42" t="s">
        <v>132</v>
      </c>
      <c r="C9" s="43" t="s">
        <v>83</v>
      </c>
      <c r="D9" s="44" t="s">
        <v>84</v>
      </c>
      <c r="E9" s="44" t="s">
        <v>138</v>
      </c>
      <c r="F9" s="42" t="s">
        <v>134</v>
      </c>
      <c r="G9" s="45" t="s">
        <v>130</v>
      </c>
      <c r="H9" s="45" t="s">
        <v>140</v>
      </c>
      <c r="I9" s="46">
        <v>0</v>
      </c>
      <c r="J9" s="47" t="str">
        <f t="shared" si="0"/>
        <v>EURAB12EBASIS7Y_Quote</v>
      </c>
      <c r="K9" s="48" t="str">
        <f>_xll.qlSwapRateHelper2(,J9,E9,Calendar,F9,G9,H9,$K$1,I9,B9,Discounting,,Trigger)</f>
        <v>obj_00571#0001</v>
      </c>
      <c r="L9" s="49" t="str">
        <f>_xll.ohRangeRetrieveError(K9)</f>
        <v/>
      </c>
      <c r="O9" s="49" t="str">
        <f>_xll.qlRateHelperQuoteName(K9,Trigger)</f>
        <v>EURAB12EBASIS7Y_Quote</v>
      </c>
      <c r="P9" s="50">
        <f>_xll.qlQuoteValue(J9,AllTriggers)</f>
        <v>4.3799999999999993E-3</v>
      </c>
      <c r="Q9" s="87">
        <f>IF(ISBLANK(I9),"--",_xll.qlSwapRateHelperSpread(K9,AllTriggers))</f>
        <v>0</v>
      </c>
      <c r="R9" s="49" t="b">
        <v>1</v>
      </c>
      <c r="S9" s="51">
        <f>_xll.qlRateHelperEarliestDate(K9,Trigger)</f>
        <v>42110</v>
      </c>
      <c r="T9" s="51">
        <f>_xll.qlRateHelperLatestDate(K9,Trigger)</f>
        <v>44670</v>
      </c>
      <c r="U9" s="13"/>
      <c r="V9" s="13"/>
    </row>
    <row r="10" spans="1:22" x14ac:dyDescent="0.2">
      <c r="B10" s="52" t="s">
        <v>132</v>
      </c>
      <c r="C10" s="53" t="s">
        <v>83</v>
      </c>
      <c r="D10" s="54" t="s">
        <v>84</v>
      </c>
      <c r="E10" s="54" t="s">
        <v>139</v>
      </c>
      <c r="F10" s="52" t="s">
        <v>134</v>
      </c>
      <c r="G10" s="55" t="s">
        <v>130</v>
      </c>
      <c r="H10" s="55" t="s">
        <v>140</v>
      </c>
      <c r="I10" s="56">
        <v>0</v>
      </c>
      <c r="J10" s="67" t="str">
        <f t="shared" si="0"/>
        <v>EURAB12EBASIS8Y_Quote</v>
      </c>
      <c r="K10" s="68" t="str">
        <f>_xll.qlSwapRateHelper2(,J10,E10,Calendar,F10,G10,H10,$K$1,I10,B10,Discounting,,Trigger)</f>
        <v>obj_00578#0001</v>
      </c>
      <c r="L10" s="57" t="str">
        <f>_xll.ohRangeRetrieveError(K10)</f>
        <v/>
      </c>
      <c r="O10" s="57" t="str">
        <f>_xll.qlRateHelperQuoteName(K10,Trigger)</f>
        <v>EURAB12EBASIS8Y_Quote</v>
      </c>
      <c r="P10" s="58">
        <f>_xll.qlQuoteValue(J10,AllTriggers)</f>
        <v>5.0200000000000002E-3</v>
      </c>
      <c r="Q10" s="88">
        <f>IF(ISBLANK(I10),"--",_xll.qlSwapRateHelperSpread(K10,AllTriggers))</f>
        <v>0</v>
      </c>
      <c r="R10" s="57" t="b">
        <v>0</v>
      </c>
      <c r="S10" s="59">
        <f>_xll.qlRateHelperEarliestDate(K10,Trigger)</f>
        <v>42110</v>
      </c>
      <c r="T10" s="59">
        <f>_xll.qlRateHelperLatestDate(K10,Trigger)</f>
        <v>45033</v>
      </c>
      <c r="U10" s="13"/>
      <c r="V10" s="13"/>
    </row>
    <row r="11" spans="1:22" x14ac:dyDescent="0.2">
      <c r="D11" s="319"/>
      <c r="E11" s="319"/>
      <c r="K11" s="319"/>
      <c r="L11" s="334"/>
    </row>
    <row r="12" spans="1:22" x14ac:dyDescent="0.2">
      <c r="I12" s="337"/>
      <c r="J12" s="337"/>
      <c r="O12" s="324" t="str">
        <f>J1&amp;" "&amp;PROPER(Currency)&amp;IborType&amp;" Curve"</f>
        <v>1Y Euribor Curve</v>
      </c>
      <c r="P12" s="325"/>
      <c r="Q12" s="325"/>
      <c r="R12" s="325"/>
      <c r="S12" s="325"/>
      <c r="T12" s="326" t="s">
        <v>141</v>
      </c>
      <c r="U12" s="13"/>
      <c r="V12" s="13"/>
    </row>
    <row r="13" spans="1:22" x14ac:dyDescent="0.2">
      <c r="L13" s="323" t="s">
        <v>131</v>
      </c>
      <c r="O13" s="394" t="s">
        <v>88</v>
      </c>
      <c r="P13" s="394" t="s">
        <v>89</v>
      </c>
      <c r="Q13" s="394" t="s">
        <v>128</v>
      </c>
      <c r="R13" s="394" t="s">
        <v>81</v>
      </c>
      <c r="S13" s="394" t="s">
        <v>82</v>
      </c>
      <c r="T13" s="60">
        <f t="array" ref="T13:T27">_xll.qlPiecewiseYieldCurveData('General Settings'!D34,InterestRatesTrigger)</f>
        <v>1</v>
      </c>
      <c r="U13" s="13"/>
      <c r="V13" s="13"/>
    </row>
    <row r="14" spans="1:22" x14ac:dyDescent="0.2">
      <c r="I14" s="337"/>
      <c r="J14" s="337"/>
      <c r="L14" s="63" t="str">
        <f t="array" ref="L14:L27">_xll.ohFilter(K3:K10,R3:R10)</f>
        <v>obj_005cf#0001</v>
      </c>
      <c r="O14" s="81" t="str">
        <f t="array" ref="O14:O27">_xll.ohFilter(O3:O10,R3:R10)</f>
        <v>Euribor1YLastFixing_Quote</v>
      </c>
      <c r="P14" s="89">
        <f t="array" ref="P14:P27">_xll.ohFilter(P3:P10,R3:R10)</f>
        <v>1.83E-3</v>
      </c>
      <c r="Q14" s="90" t="str">
        <f t="array" ref="Q14:Q27">_xll.ohFilter(Q3:Q10,R3:R10)</f>
        <v>--</v>
      </c>
      <c r="R14" s="91">
        <f t="array" ref="R14:R27">_xll.ohFilter(S3:S10,R3:R10)</f>
        <v>42110</v>
      </c>
      <c r="S14" s="91">
        <f t="array" ref="S14:S27">_xll.ohFilter(T3:T10,R3:R10)</f>
        <v>42478</v>
      </c>
      <c r="T14" s="61">
        <v>0.99813282619313459</v>
      </c>
      <c r="U14" s="13"/>
      <c r="V14" s="13"/>
    </row>
    <row r="15" spans="1:22" x14ac:dyDescent="0.2">
      <c r="L15" s="64" t="str">
        <v>obj_0056e#0001</v>
      </c>
      <c r="O15" s="49" t="str">
        <v>EUR12x24F_Quote</v>
      </c>
      <c r="P15" s="50">
        <v>1.5199999999999999E-3</v>
      </c>
      <c r="Q15" s="87" t="str">
        <v>--</v>
      </c>
      <c r="R15" s="51">
        <v>42478</v>
      </c>
      <c r="S15" s="51">
        <v>42843</v>
      </c>
      <c r="T15" s="61">
        <v>0.99659695954547944</v>
      </c>
      <c r="U15" s="13"/>
      <c r="V15" s="13"/>
    </row>
    <row r="16" spans="1:22" x14ac:dyDescent="0.2">
      <c r="I16" s="337"/>
      <c r="J16" s="337"/>
      <c r="L16" s="64" t="str">
        <v>obj_00570#0001</v>
      </c>
      <c r="O16" s="49" t="str">
        <v>EURAB12EBASIS3Y_Quote</v>
      </c>
      <c r="P16" s="50">
        <v>1.99E-3</v>
      </c>
      <c r="Q16" s="87">
        <v>0</v>
      </c>
      <c r="R16" s="51">
        <v>42110</v>
      </c>
      <c r="S16" s="51">
        <v>43206</v>
      </c>
      <c r="T16" s="61">
        <v>0.99405473102798014</v>
      </c>
      <c r="U16" s="13"/>
      <c r="V16" s="13"/>
    </row>
    <row r="17" spans="9:34" x14ac:dyDescent="0.2">
      <c r="L17" s="64" t="str">
        <v>obj_00577#0001</v>
      </c>
      <c r="O17" s="49" t="str">
        <v>EURAB12EBASIS4Y_Quote</v>
      </c>
      <c r="P17" s="50">
        <v>2.49E-3</v>
      </c>
      <c r="Q17" s="87">
        <v>0</v>
      </c>
      <c r="R17" s="51">
        <v>42110</v>
      </c>
      <c r="S17" s="51">
        <v>43571</v>
      </c>
      <c r="T17" s="61">
        <v>0.9901058078886289</v>
      </c>
      <c r="U17" s="13"/>
      <c r="V17" s="13"/>
    </row>
    <row r="18" spans="9:34" x14ac:dyDescent="0.2">
      <c r="I18" s="337"/>
      <c r="J18" s="337"/>
      <c r="L18" s="64" t="str">
        <v>obj_0057a#0001</v>
      </c>
      <c r="O18" s="49" t="str">
        <v>EURAB12EBASIS5Y_Quote</v>
      </c>
      <c r="P18" s="50">
        <v>3.0699999999999998E-3</v>
      </c>
      <c r="Q18" s="87">
        <v>0</v>
      </c>
      <c r="R18" s="51">
        <v>42110</v>
      </c>
      <c r="S18" s="51">
        <v>43937</v>
      </c>
      <c r="T18" s="61">
        <v>0.98479633443690739</v>
      </c>
      <c r="U18" s="13"/>
      <c r="V18" s="13"/>
    </row>
    <row r="19" spans="9:34" x14ac:dyDescent="0.2">
      <c r="L19" s="64" t="str">
        <v>obj_0056f#0001</v>
      </c>
      <c r="O19" s="49" t="str">
        <v>EURAB12EBASIS6Y_Quote</v>
      </c>
      <c r="P19" s="50">
        <v>3.7099999999999998E-3</v>
      </c>
      <c r="Q19" s="87">
        <v>0</v>
      </c>
      <c r="R19" s="51">
        <v>42110</v>
      </c>
      <c r="S19" s="51">
        <v>44302</v>
      </c>
      <c r="T19" s="61">
        <v>0.97802675697662567</v>
      </c>
      <c r="U19" s="13"/>
      <c r="V19" s="13"/>
    </row>
    <row r="20" spans="9:34" x14ac:dyDescent="0.2">
      <c r="I20" s="337"/>
      <c r="J20" s="337"/>
      <c r="L20" s="64" t="str">
        <v>obj_00571#0001</v>
      </c>
      <c r="O20" s="49" t="str">
        <v>EURAB12EBASIS7Y_Quote</v>
      </c>
      <c r="P20" s="50">
        <v>4.3799999999999993E-3</v>
      </c>
      <c r="Q20" s="87">
        <v>0</v>
      </c>
      <c r="R20" s="51">
        <v>42110</v>
      </c>
      <c r="S20" s="51">
        <v>44670</v>
      </c>
      <c r="T20" s="61">
        <v>0.9698145139552754</v>
      </c>
      <c r="U20" s="13"/>
      <c r="V20" s="13"/>
      <c r="AH20" s="334"/>
    </row>
    <row r="21" spans="9:34" x14ac:dyDescent="0.2">
      <c r="L21" s="64" t="e">
        <v>#N/A</v>
      </c>
      <c r="O21" s="49" t="e">
        <v>#N/A</v>
      </c>
      <c r="P21" s="50" t="e">
        <v>#N/A</v>
      </c>
      <c r="Q21" s="87" t="e">
        <v>#N/A</v>
      </c>
      <c r="R21" s="51" t="e">
        <v>#N/A</v>
      </c>
      <c r="S21" s="51" t="e">
        <v>#N/A</v>
      </c>
      <c r="T21" s="61" t="e">
        <v>#N/A</v>
      </c>
      <c r="U21" s="13"/>
      <c r="V21" s="13"/>
      <c r="AH21" s="334"/>
    </row>
    <row r="22" spans="9:34" x14ac:dyDescent="0.2">
      <c r="I22" s="337"/>
      <c r="J22" s="337"/>
      <c r="L22" s="64" t="e">
        <v>#N/A</v>
      </c>
      <c r="O22" s="49" t="e">
        <v>#N/A</v>
      </c>
      <c r="P22" s="50" t="e">
        <v>#N/A</v>
      </c>
      <c r="Q22" s="87" t="e">
        <v>#N/A</v>
      </c>
      <c r="R22" s="51" t="e">
        <v>#N/A</v>
      </c>
      <c r="S22" s="51" t="e">
        <v>#N/A</v>
      </c>
      <c r="T22" s="61" t="e">
        <v>#N/A</v>
      </c>
      <c r="U22" s="13"/>
      <c r="V22" s="13"/>
    </row>
    <row r="23" spans="9:34" x14ac:dyDescent="0.2">
      <c r="L23" s="64" t="e">
        <v>#N/A</v>
      </c>
      <c r="O23" s="49" t="e">
        <v>#N/A</v>
      </c>
      <c r="P23" s="50" t="e">
        <v>#N/A</v>
      </c>
      <c r="Q23" s="87" t="e">
        <v>#N/A</v>
      </c>
      <c r="R23" s="51" t="e">
        <v>#N/A</v>
      </c>
      <c r="S23" s="51" t="e">
        <v>#N/A</v>
      </c>
      <c r="T23" s="61" t="e">
        <v>#N/A</v>
      </c>
      <c r="U23" s="13"/>
      <c r="V23" s="13"/>
    </row>
    <row r="24" spans="9:34" x14ac:dyDescent="0.2">
      <c r="I24" s="337"/>
      <c r="J24" s="337"/>
      <c r="L24" s="64" t="e">
        <v>#N/A</v>
      </c>
      <c r="O24" s="49" t="e">
        <v>#N/A</v>
      </c>
      <c r="P24" s="50" t="e">
        <v>#N/A</v>
      </c>
      <c r="Q24" s="87" t="e">
        <v>#N/A</v>
      </c>
      <c r="R24" s="51" t="e">
        <v>#N/A</v>
      </c>
      <c r="S24" s="51" t="e">
        <v>#N/A</v>
      </c>
      <c r="T24" s="61" t="e">
        <v>#N/A</v>
      </c>
      <c r="U24" s="13"/>
      <c r="V24" s="13"/>
    </row>
    <row r="25" spans="9:34" x14ac:dyDescent="0.2">
      <c r="L25" s="64" t="e">
        <v>#N/A</v>
      </c>
      <c r="O25" s="49" t="e">
        <v>#N/A</v>
      </c>
      <c r="P25" s="50" t="e">
        <v>#N/A</v>
      </c>
      <c r="Q25" s="87" t="e">
        <v>#N/A</v>
      </c>
      <c r="R25" s="51" t="e">
        <v>#N/A</v>
      </c>
      <c r="S25" s="51" t="e">
        <v>#N/A</v>
      </c>
      <c r="T25" s="61" t="e">
        <v>#N/A</v>
      </c>
      <c r="U25" s="13"/>
      <c r="V25" s="13"/>
    </row>
    <row r="26" spans="9:34" x14ac:dyDescent="0.2">
      <c r="I26" s="337"/>
      <c r="J26" s="337"/>
      <c r="L26" s="64" t="e">
        <v>#N/A</v>
      </c>
      <c r="O26" s="49" t="e">
        <v>#N/A</v>
      </c>
      <c r="P26" s="50" t="e">
        <v>#N/A</v>
      </c>
      <c r="Q26" s="87" t="e">
        <v>#N/A</v>
      </c>
      <c r="R26" s="51" t="e">
        <v>#N/A</v>
      </c>
      <c r="S26" s="51" t="e">
        <v>#N/A</v>
      </c>
      <c r="T26" s="61" t="e">
        <v>#N/A</v>
      </c>
      <c r="U26" s="13"/>
      <c r="V26" s="13"/>
    </row>
    <row r="27" spans="9:34" x14ac:dyDescent="0.2">
      <c r="L27" s="65" t="e">
        <v>#N/A</v>
      </c>
      <c r="O27" s="57" t="e">
        <v>#N/A</v>
      </c>
      <c r="P27" s="58" t="e">
        <v>#N/A</v>
      </c>
      <c r="Q27" s="88" t="e">
        <v>#N/A</v>
      </c>
      <c r="R27" s="59" t="e">
        <v>#N/A</v>
      </c>
      <c r="S27" s="59" t="e">
        <v>#N/A</v>
      </c>
      <c r="T27" s="62" t="e">
        <v>#N/A</v>
      </c>
      <c r="U27" s="13"/>
      <c r="V27" s="13"/>
    </row>
    <row r="28" spans="9:34" x14ac:dyDescent="0.2">
      <c r="I28" s="337"/>
      <c r="J28" s="337"/>
    </row>
    <row r="29" spans="9:34" x14ac:dyDescent="0.2">
      <c r="O29" s="324" t="str">
        <f>"Delta "&amp;$J$1</f>
        <v>Delta 1Y</v>
      </c>
      <c r="P29" s="395"/>
      <c r="Q29" s="325"/>
      <c r="R29" s="325"/>
      <c r="S29" s="396"/>
      <c r="T29" s="396"/>
      <c r="U29" s="396"/>
      <c r="V29" s="396"/>
      <c r="W29" s="326"/>
    </row>
    <row r="30" spans="9:34" x14ac:dyDescent="0.2">
      <c r="I30" s="337"/>
      <c r="J30" s="337"/>
      <c r="O30" s="397" t="str">
        <f>J1&amp;" Instruments"</f>
        <v>1Y Instruments</v>
      </c>
      <c r="P30" s="397" t="s">
        <v>117</v>
      </c>
      <c r="Q30" s="397" t="s">
        <v>118</v>
      </c>
      <c r="R30" s="397" t="s">
        <v>143</v>
      </c>
      <c r="S30" s="397" t="str">
        <f>"F "&amp;J1</f>
        <v>F 1Y</v>
      </c>
      <c r="T30" s="397" t="s">
        <v>146</v>
      </c>
      <c r="U30" s="397" t="s">
        <v>144</v>
      </c>
      <c r="V30" s="397" t="s">
        <v>145</v>
      </c>
      <c r="W30" s="398" t="s">
        <v>147</v>
      </c>
      <c r="X30" s="156" t="s">
        <v>157</v>
      </c>
    </row>
    <row r="31" spans="9:34" x14ac:dyDescent="0.2">
      <c r="M31" s="399">
        <v>0</v>
      </c>
      <c r="N31" s="399">
        <f>M31+12</f>
        <v>12</v>
      </c>
      <c r="O31" s="92" t="str">
        <f>M31&amp;"x"&amp;N31</f>
        <v>0x12</v>
      </c>
      <c r="P31" s="93">
        <f>_xll.qlCalendarAdvance(Calendar,SettlementDate,M31&amp;"M","mf")</f>
        <v>42110</v>
      </c>
      <c r="Q31" s="93">
        <f>_xll.qlInterestRateIndexMaturity(IborIndex1Y,P31)</f>
        <v>42478</v>
      </c>
      <c r="R31" s="104">
        <f>_xll.qlDayCounterYearFraction(DayCounter,P31,Q31,,,Trigger)</f>
        <v>1.0222222222222221</v>
      </c>
      <c r="S31" s="105">
        <f>_xll.qlIndexFixing(IborIndex1Y,_xll.qlInterestRateIndexFixingDate(IborIndex1Y,P31,Trigger),TRUE,AllTriggers)</f>
        <v>1.8300000000001288E-3</v>
      </c>
      <c r="T31" s="105">
        <f>(U31/V31-1)/R31</f>
        <v>-1.4424787440850166E-3</v>
      </c>
      <c r="U31" s="106">
        <f>_xll.qlYieldTSDiscount(Discounting,P31,,AllTriggers)</f>
        <v>1</v>
      </c>
      <c r="V31" s="106">
        <f>_xll.qlYieldTSDiscount(Discounting,Q31,,AllTriggers)</f>
        <v>1.0014767112880343</v>
      </c>
      <c r="W31" s="115">
        <f>LN((1+S31*R31)/(1+T31*R31))</f>
        <v>3.3445411709299962E-3</v>
      </c>
      <c r="X31" s="105">
        <f>S31-T31</f>
        <v>3.2724787440851456E-3</v>
      </c>
    </row>
    <row r="32" spans="9:34" x14ac:dyDescent="0.2">
      <c r="I32" s="337"/>
      <c r="J32" s="337"/>
      <c r="M32" s="399">
        <f>M31+12</f>
        <v>12</v>
      </c>
      <c r="N32" s="399">
        <f t="shared" ref="N32:N36" si="1">M32+12</f>
        <v>24</v>
      </c>
      <c r="O32" s="94" t="str">
        <f t="shared" ref="O32:O36" si="2">M32&amp;"x"&amp;N32</f>
        <v>12x24</v>
      </c>
      <c r="P32" s="95">
        <f>_xll.qlCalendarAdvance(Calendar,SettlementDate,M32&amp;"M","mf")</f>
        <v>42478</v>
      </c>
      <c r="Q32" s="95">
        <f>_xll.qlInterestRateIndexMaturity(IborIndex1Y,P32)</f>
        <v>42843</v>
      </c>
      <c r="R32" s="100">
        <f>_xll.qlDayCounterYearFraction(DayCounter,P32,Q32,,,Trigger)</f>
        <v>1.0138888888888888</v>
      </c>
      <c r="S32" s="11">
        <f>_xll.qlIndexFixing(IborIndex1Y,_xll.qlInterestRateIndexFixingDate(IborIndex1Y,P32,Trigger),TRUE,AllTriggers)</f>
        <v>1.5200000000001029E-3</v>
      </c>
      <c r="T32" s="11">
        <f t="shared" ref="T32:T36" si="3">(U32/V32-1)/R32</f>
        <v>-1.6983228208736479E-3</v>
      </c>
      <c r="U32" s="101">
        <f>_xll.qlYieldTSDiscount(Discounting,P32,,AllTriggers)</f>
        <v>1.0014767112880343</v>
      </c>
      <c r="V32" s="101">
        <f>_xll.qlYieldTSDiscount(Discounting,Q32,,AllTriggers)</f>
        <v>1.0032041391671815</v>
      </c>
      <c r="W32" s="116">
        <f t="shared" ref="W32:W36" si="4">LN((1+S32*R32)/(1+T32*R32))</f>
        <v>3.2633196479941811E-3</v>
      </c>
      <c r="X32" s="11">
        <f t="shared" ref="X32:X36" si="5">S32-T32</f>
        <v>3.2183228208737509E-3</v>
      </c>
    </row>
    <row r="33" spans="9:24" x14ac:dyDescent="0.2">
      <c r="M33" s="399">
        <f t="shared" ref="M33:M36" si="6">M32+12</f>
        <v>24</v>
      </c>
      <c r="N33" s="399">
        <f t="shared" si="1"/>
        <v>36</v>
      </c>
      <c r="O33" s="94" t="str">
        <f t="shared" si="2"/>
        <v>24x36</v>
      </c>
      <c r="P33" s="95">
        <f>_xll.qlCalendarAdvance(Calendar,SettlementDate,M33&amp;"M","mf")</f>
        <v>42843</v>
      </c>
      <c r="Q33" s="95">
        <f>_xll.qlInterestRateIndexMaturity(IborIndex1Y,P33)</f>
        <v>43208</v>
      </c>
      <c r="R33" s="100">
        <f>_xll.qlDayCounterYearFraction(DayCounter,P33,Q33,,,Trigger)</f>
        <v>1.0138888888888888</v>
      </c>
      <c r="S33" s="11">
        <f>_xll.qlIndexFixing(IborIndex1Y,_xll.qlInterestRateIndexFixingDate(IborIndex1Y,P33,Trigger),TRUE,AllTriggers)</f>
        <v>2.5439669869089339E-3</v>
      </c>
      <c r="T33" s="11">
        <f t="shared" si="3"/>
        <v>-9.6395702733237008E-4</v>
      </c>
      <c r="U33" s="101">
        <f>_xll.qlYieldTSDiscount(Discounting,P33,,AllTriggers)</f>
        <v>1.0032041391671815</v>
      </c>
      <c r="V33" s="101">
        <f>_xll.qlYieldTSDiscount(Discounting,Q33,,AllTriggers)</f>
        <v>1.0041855752389288</v>
      </c>
      <c r="W33" s="116">
        <f t="shared" si="4"/>
        <v>3.5538024093730034E-3</v>
      </c>
      <c r="X33" s="11">
        <f t="shared" si="5"/>
        <v>3.5079240142413038E-3</v>
      </c>
    </row>
    <row r="34" spans="9:24" x14ac:dyDescent="0.2">
      <c r="I34" s="337"/>
      <c r="J34" s="337"/>
      <c r="M34" s="399">
        <f t="shared" si="6"/>
        <v>36</v>
      </c>
      <c r="N34" s="399">
        <f t="shared" si="1"/>
        <v>48</v>
      </c>
      <c r="O34" s="94" t="str">
        <f t="shared" si="2"/>
        <v>36x48</v>
      </c>
      <c r="P34" s="95">
        <f>_xll.qlCalendarAdvance(Calendar,SettlementDate,M34&amp;"M","mf")</f>
        <v>43206</v>
      </c>
      <c r="Q34" s="95">
        <f>_xll.qlInterestRateIndexMaturity(IborIndex1Y,P34)</f>
        <v>43571</v>
      </c>
      <c r="R34" s="100">
        <f>_xll.qlDayCounterYearFraction(DayCounter,P34,Q34,,,Trigger)</f>
        <v>1.0138888888888888</v>
      </c>
      <c r="S34" s="11">
        <f>_xll.qlIndexFixing(IborIndex1Y,_xll.qlInterestRateIndexFixingDate(IborIndex1Y,P34,Trigger),TRUE,AllTriggers)</f>
        <v>3.9337495758472495E-3</v>
      </c>
      <c r="T34" s="11">
        <f t="shared" si="3"/>
        <v>1.4981111454055938E-4</v>
      </c>
      <c r="U34" s="101">
        <f>_xll.qlYieldTSDiscount(Discounting,P34,,AllTriggers)</f>
        <v>1.0041831863023396</v>
      </c>
      <c r="V34" s="101">
        <f>_xll.qlYieldTSDiscount(Discounting,Q34,,AllTriggers)</f>
        <v>1.0040306822501941</v>
      </c>
      <c r="W34" s="116">
        <f t="shared" si="4"/>
        <v>3.8285721741260501E-3</v>
      </c>
      <c r="X34" s="11">
        <f t="shared" si="5"/>
        <v>3.78393846130669E-3</v>
      </c>
    </row>
    <row r="35" spans="9:24" x14ac:dyDescent="0.2">
      <c r="M35" s="399">
        <f t="shared" si="6"/>
        <v>48</v>
      </c>
      <c r="N35" s="399">
        <f t="shared" si="1"/>
        <v>60</v>
      </c>
      <c r="O35" s="94" t="str">
        <f t="shared" si="2"/>
        <v>48x60</v>
      </c>
      <c r="P35" s="95">
        <f>_xll.qlCalendarAdvance(Calendar,SettlementDate,M35&amp;"M","mf")</f>
        <v>43571</v>
      </c>
      <c r="Q35" s="95">
        <f>_xll.qlInterestRateIndexMaturity(IborIndex1Y,P35)</f>
        <v>43937</v>
      </c>
      <c r="R35" s="102">
        <f>_xll.qlDayCounterYearFraction(DayCounter,P35,Q35,,,Trigger)</f>
        <v>1.0166666666666666</v>
      </c>
      <c r="S35" s="103">
        <f>_xll.qlIndexFixing(IborIndex1Y,_xll.qlInterestRateIndexFixingDate(IborIndex1Y,P35,Trigger),TRUE,AllTriggers)</f>
        <v>5.3030588363418094E-3</v>
      </c>
      <c r="T35" s="11">
        <f t="shared" si="3"/>
        <v>1.4072552761291695E-3</v>
      </c>
      <c r="U35" s="101">
        <f>_xll.qlYieldTSDiscount(Discounting,P35,,AllTriggers)</f>
        <v>1.0040306822501941</v>
      </c>
      <c r="V35" s="101">
        <f>_xll.qlYieldTSDiscount(Discounting,Q35,,AllTriggers)</f>
        <v>1.0025962582280716</v>
      </c>
      <c r="W35" s="116">
        <f t="shared" si="4"/>
        <v>3.9472743082201167E-3</v>
      </c>
      <c r="X35" s="11">
        <f t="shared" si="5"/>
        <v>3.8958035602126399E-3</v>
      </c>
    </row>
    <row r="36" spans="9:24" x14ac:dyDescent="0.2">
      <c r="I36" s="337"/>
      <c r="J36" s="337"/>
      <c r="M36" s="399">
        <f t="shared" si="6"/>
        <v>60</v>
      </c>
      <c r="N36" s="399">
        <f t="shared" si="1"/>
        <v>72</v>
      </c>
      <c r="O36" s="96" t="str">
        <f t="shared" si="2"/>
        <v>60x72</v>
      </c>
      <c r="P36" s="97">
        <f>_xll.qlCalendarAdvance(Calendar,SettlementDate,M36&amp;"M","mf")</f>
        <v>43937</v>
      </c>
      <c r="Q36" s="97">
        <f>_xll.qlInterestRateIndexMaturity(IborIndex1Y,P36)</f>
        <v>44302</v>
      </c>
      <c r="R36" s="107">
        <f>_xll.qlDayCounterYearFraction(DayCounter,P36,Q36,,,Trigger)</f>
        <v>1.0138888888888888</v>
      </c>
      <c r="S36" s="108">
        <f>_xll.qlIndexFixing(IborIndex1Y,_xll.qlInterestRateIndexFixingDate(IborIndex1Y,P36,Trigger),TRUE,AllTriggers)</f>
        <v>6.8268515915758526E-3</v>
      </c>
      <c r="T36" s="109">
        <f t="shared" si="3"/>
        <v>3.1042359651177911E-3</v>
      </c>
      <c r="U36" s="110">
        <f>_xll.qlYieldTSDiscount(Discounting,P36,,AllTriggers)</f>
        <v>1.0025962582280716</v>
      </c>
      <c r="V36" s="110">
        <f>_xll.qlYieldTSDiscount(Discounting,Q36,,AllTriggers)</f>
        <v>0.99945063691265656</v>
      </c>
      <c r="W36" s="117">
        <f t="shared" si="4"/>
        <v>3.7554163770417018E-3</v>
      </c>
      <c r="X36" s="109">
        <f t="shared" si="5"/>
        <v>3.7226156264580615E-3</v>
      </c>
    </row>
    <row r="37" spans="9:24" x14ac:dyDescent="0.2">
      <c r="O37" s="399"/>
      <c r="P37" s="399"/>
      <c r="Q37" s="400"/>
      <c r="R37" s="400"/>
      <c r="S37" s="400"/>
      <c r="T37" s="401"/>
      <c r="U37" s="399"/>
      <c r="V37" s="401"/>
      <c r="W37" s="402"/>
      <c r="X37" s="401"/>
    </row>
    <row r="38" spans="9:24" x14ac:dyDescent="0.2">
      <c r="I38" s="337"/>
      <c r="J38" s="337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68</vt:i4>
      </vt:variant>
    </vt:vector>
  </HeadingPairs>
  <TitlesOfParts>
    <vt:vector size="79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a_lin_6M</vt:lpstr>
      <vt:lpstr>a_quad_6M</vt:lpstr>
      <vt:lpstr>Accuracy</vt:lpstr>
      <vt:lpstr>AllTriggers</vt:lpstr>
      <vt:lpstr>b_lin_6M</vt:lpstr>
      <vt:lpstr>b_quad_6M</vt:lpstr>
      <vt:lpstr>B3Minterpolation</vt:lpstr>
      <vt:lpstr>B6Minterpolation</vt:lpstr>
      <vt:lpstr>basis3Minterpolation</vt:lpstr>
      <vt:lpstr>BasisInterpolation</vt:lpstr>
      <vt:lpstr>BasisInterpolator</vt:lpstr>
      <vt:lpstr>c_quad_6M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2015-04-14T18:15:15Z</dcterms:modified>
</cp:coreProperties>
</file>