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20" windowWidth="20835" windowHeight="10005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4" i="6" l="1"/>
  <c r="L2" i="11" s="1"/>
  <c r="M15" i="6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C4" i="7"/>
  <c r="D4" i="7"/>
  <c r="C5" i="7"/>
  <c r="D5" i="7"/>
  <c r="C6" i="7"/>
  <c r="D6" i="7"/>
  <c r="C7" i="7"/>
  <c r="D7" i="7"/>
  <c r="J3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5" i="7"/>
  <c r="E7" i="7"/>
  <c r="E4" i="7"/>
  <c r="E6" i="7"/>
  <c r="E3" i="7"/>
  <c r="F6" i="7"/>
  <c r="L4" i="11"/>
  <c r="F7" i="7"/>
  <c r="L6" i="11"/>
  <c r="F5" i="7"/>
  <c r="F3" i="7"/>
  <c r="F4" i="7"/>
  <c r="L4" i="9"/>
  <c r="L15" i="9"/>
  <c r="L9" i="9"/>
  <c r="L11" i="9"/>
  <c r="L10" i="9"/>
  <c r="L8" i="9"/>
  <c r="L12" i="9"/>
  <c r="L13" i="9"/>
  <c r="L6" i="9"/>
  <c r="L16" i="9"/>
  <c r="L7" i="9"/>
  <c r="L14" i="9"/>
  <c r="E84" i="4" l="1"/>
  <c r="E77" i="4"/>
  <c r="E86" i="4"/>
  <c r="E76" i="4"/>
  <c r="E83" i="4"/>
  <c r="E82" i="4"/>
  <c r="E78" i="4"/>
  <c r="E80" i="4"/>
  <c r="E81" i="4"/>
  <c r="E79" i="4"/>
  <c r="E85" i="4"/>
  <c r="E3" i="4"/>
  <c r="E2" i="4"/>
  <c r="E4" i="4"/>
  <c r="E131" i="4"/>
  <c r="E6" i="4"/>
  <c r="E5" i="4"/>
  <c r="E8" i="11"/>
  <c r="K8" i="11" s="1"/>
  <c r="I7" i="11"/>
  <c r="D9" i="11"/>
  <c r="J8" i="11"/>
  <c r="F8" i="11"/>
  <c r="H8" i="11"/>
  <c r="M4" i="9"/>
  <c r="G4" i="7"/>
  <c r="M15" i="9"/>
  <c r="M9" i="9"/>
  <c r="M14" i="9"/>
  <c r="L7" i="11"/>
  <c r="G7" i="7"/>
  <c r="M6" i="11"/>
  <c r="M11" i="9"/>
  <c r="M12" i="9"/>
  <c r="M16" i="9"/>
  <c r="M8" i="9"/>
  <c r="G6" i="7"/>
  <c r="M7" i="9"/>
  <c r="M10" i="9"/>
  <c r="M4" i="11"/>
  <c r="G3" i="7"/>
  <c r="G5" i="7"/>
  <c r="M13" i="9"/>
  <c r="M6" i="9"/>
  <c r="E132" i="4" l="1"/>
  <c r="E9" i="11"/>
  <c r="K9" i="11" s="1"/>
  <c r="I8" i="11"/>
  <c r="D10" i="11"/>
  <c r="H9" i="11"/>
  <c r="J9" i="11"/>
  <c r="F9" i="11"/>
  <c r="M7" i="11"/>
  <c r="L8" i="11"/>
  <c r="E133" i="4" l="1"/>
  <c r="E10" i="11"/>
  <c r="I9" i="11"/>
  <c r="J10" i="11"/>
  <c r="F10" i="11"/>
  <c r="H10" i="11"/>
  <c r="D11" i="11"/>
  <c r="L9" i="11"/>
  <c r="M8" i="11"/>
  <c r="E134" i="4" l="1"/>
  <c r="E11" i="11"/>
  <c r="I10" i="11"/>
  <c r="K10" i="11"/>
  <c r="F11" i="11"/>
  <c r="D12" i="11"/>
  <c r="H11" i="11"/>
  <c r="J11" i="11"/>
  <c r="L10" i="11"/>
  <c r="M9" i="11"/>
  <c r="E135" i="4" l="1"/>
  <c r="E12" i="11"/>
  <c r="I11" i="11"/>
  <c r="K11" i="11"/>
  <c r="F12" i="11"/>
  <c r="D13" i="11"/>
  <c r="H12" i="11"/>
  <c r="J12" i="11"/>
  <c r="L11" i="11"/>
  <c r="M10" i="11"/>
  <c r="E136" i="4" l="1"/>
  <c r="I12" i="11"/>
  <c r="E13" i="11"/>
  <c r="K13" i="11" s="1"/>
  <c r="K12" i="11"/>
  <c r="F13" i="11"/>
  <c r="D14" i="11"/>
  <c r="H13" i="11"/>
  <c r="J13" i="11"/>
  <c r="L12" i="11"/>
  <c r="M11" i="11"/>
  <c r="E137" i="4" l="1"/>
  <c r="E14" i="11"/>
  <c r="I13" i="11"/>
  <c r="J14" i="11"/>
  <c r="H14" i="11"/>
  <c r="D15" i="11"/>
  <c r="F14" i="11"/>
  <c r="M12" i="11"/>
  <c r="L13" i="11"/>
  <c r="E138" i="4" l="1"/>
  <c r="I14" i="11"/>
  <c r="E15" i="11"/>
  <c r="K15" i="11" s="1"/>
  <c r="K14" i="11"/>
  <c r="F15" i="11"/>
  <c r="D16" i="11"/>
  <c r="H15" i="11"/>
  <c r="J15" i="11"/>
  <c r="L14" i="11"/>
  <c r="M13" i="11"/>
  <c r="E139" i="4" l="1"/>
  <c r="I15" i="11"/>
  <c r="E16" i="11"/>
  <c r="K16" i="11" s="1"/>
  <c r="F16" i="11"/>
  <c r="J16" i="11"/>
  <c r="D17" i="11"/>
  <c r="H16" i="11"/>
  <c r="L15" i="11"/>
  <c r="M14" i="11"/>
  <c r="E140" i="4" l="1"/>
  <c r="E17" i="11"/>
  <c r="I16" i="11"/>
  <c r="J17" i="11"/>
  <c r="F17" i="11"/>
  <c r="H17" i="11"/>
  <c r="D18" i="11"/>
  <c r="L16" i="11"/>
  <c r="M15" i="11"/>
  <c r="E141" i="4" l="1"/>
  <c r="I17" i="11"/>
  <c r="E18" i="11"/>
  <c r="K18" i="11" s="1"/>
  <c r="K17" i="11"/>
  <c r="J18" i="11"/>
  <c r="F18" i="11"/>
  <c r="D19" i="11"/>
  <c r="H18" i="11"/>
  <c r="M16" i="11"/>
  <c r="L17" i="11"/>
  <c r="E142" i="4" l="1"/>
  <c r="I18" i="11"/>
  <c r="E19" i="11"/>
  <c r="K19" i="11" s="1"/>
  <c r="F19" i="11"/>
  <c r="D20" i="11"/>
  <c r="H19" i="11"/>
  <c r="J19" i="11"/>
  <c r="L18" i="11"/>
  <c r="M17" i="11"/>
  <c r="E143" i="4" l="1"/>
  <c r="E20" i="11"/>
  <c r="I19" i="11"/>
  <c r="H20" i="11"/>
  <c r="D21" i="11"/>
  <c r="J20" i="11"/>
  <c r="F20" i="11"/>
  <c r="M18" i="11"/>
  <c r="L19" i="11"/>
  <c r="E144" i="4" l="1"/>
  <c r="E21" i="11"/>
  <c r="K21" i="11" s="1"/>
  <c r="I20" i="11"/>
  <c r="K20" i="11"/>
  <c r="H21" i="11"/>
  <c r="D22" i="11"/>
  <c r="F21" i="11"/>
  <c r="J21" i="11"/>
  <c r="L20" i="11"/>
  <c r="M19" i="11"/>
  <c r="E145" i="4" l="1"/>
  <c r="I21" i="11"/>
  <c r="E22" i="11"/>
  <c r="K22" i="11" s="1"/>
  <c r="J22" i="11"/>
  <c r="D23" i="11"/>
  <c r="F22" i="11"/>
  <c r="H22" i="11"/>
  <c r="L21" i="11"/>
  <c r="M20" i="11"/>
  <c r="E146" i="4" l="1"/>
  <c r="I22" i="11"/>
  <c r="E23" i="11"/>
  <c r="K23" i="11" s="1"/>
  <c r="F23" i="11"/>
  <c r="D24" i="11"/>
  <c r="H23" i="11"/>
  <c r="J23" i="11"/>
  <c r="L22" i="11"/>
  <c r="M21" i="11"/>
  <c r="E147" i="4" l="1"/>
  <c r="E24" i="11"/>
  <c r="K24" i="11" s="1"/>
  <c r="I23" i="11"/>
  <c r="D25" i="11"/>
  <c r="J24" i="11"/>
  <c r="F24" i="11"/>
  <c r="H24" i="11"/>
  <c r="L23" i="11"/>
  <c r="M22" i="11"/>
  <c r="E148" i="4" l="1"/>
  <c r="E25" i="11"/>
  <c r="K25" i="11" s="1"/>
  <c r="I24" i="11"/>
  <c r="J25" i="11"/>
  <c r="F25" i="11"/>
  <c r="H25" i="11"/>
  <c r="D26" i="11"/>
  <c r="L24" i="11"/>
  <c r="M23" i="11"/>
  <c r="E149" i="4" l="1"/>
  <c r="E26" i="11"/>
  <c r="I25" i="11"/>
  <c r="J26" i="11"/>
  <c r="D27" i="11"/>
  <c r="F26" i="11"/>
  <c r="H26" i="11"/>
  <c r="M24" i="11"/>
  <c r="L25" i="11"/>
  <c r="E150" i="4" l="1"/>
  <c r="I26" i="11"/>
  <c r="E27" i="11"/>
  <c r="K26" i="11"/>
  <c r="F27" i="11"/>
  <c r="D28" i="11"/>
  <c r="H27" i="11"/>
  <c r="J27" i="11"/>
  <c r="L26" i="11"/>
  <c r="M25" i="11"/>
  <c r="E151" i="4" l="1"/>
  <c r="E28" i="11"/>
  <c r="K28" i="11" s="1"/>
  <c r="I27" i="11"/>
  <c r="K27" i="11"/>
  <c r="H28" i="11"/>
  <c r="F28" i="11"/>
  <c r="J28" i="11"/>
  <c r="D29" i="11"/>
  <c r="L27" i="11"/>
  <c r="M26" i="11"/>
  <c r="E152" i="4" l="1"/>
  <c r="I28" i="11"/>
  <c r="E29" i="11"/>
  <c r="K29" i="11" s="1"/>
  <c r="F29" i="11"/>
  <c r="D30" i="11"/>
  <c r="H29" i="11"/>
  <c r="J29" i="11"/>
  <c r="M27" i="11"/>
  <c r="L28" i="11"/>
  <c r="E153" i="4" l="1"/>
  <c r="I29" i="11"/>
  <c r="E30" i="11"/>
  <c r="J30" i="11"/>
  <c r="H30" i="11"/>
  <c r="D31" i="11"/>
  <c r="F30" i="11"/>
  <c r="L29" i="11"/>
  <c r="M28" i="11"/>
  <c r="E154" i="4" l="1"/>
  <c r="I30" i="11"/>
  <c r="E31" i="11"/>
  <c r="K30" i="11"/>
  <c r="F31" i="11"/>
  <c r="D32" i="11"/>
  <c r="H31" i="11"/>
  <c r="J31" i="11"/>
  <c r="L30" i="11"/>
  <c r="M29" i="11"/>
  <c r="E155" i="4" l="1"/>
  <c r="E32" i="11"/>
  <c r="K32" i="11" s="1"/>
  <c r="I31" i="11"/>
  <c r="K31" i="11"/>
  <c r="J32" i="11"/>
  <c r="D33" i="11"/>
  <c r="H32" i="11"/>
  <c r="F32" i="11"/>
  <c r="L31" i="11"/>
  <c r="M30" i="11"/>
  <c r="E156" i="4" l="1"/>
  <c r="I32" i="11"/>
  <c r="E33" i="11"/>
  <c r="K33" i="11" s="1"/>
  <c r="J33" i="11"/>
  <c r="F33" i="11"/>
  <c r="H33" i="11"/>
  <c r="D34" i="11"/>
  <c r="L32" i="11"/>
  <c r="M31" i="11"/>
  <c r="E157" i="4" l="1"/>
  <c r="E34" i="11"/>
  <c r="K34" i="11" s="1"/>
  <c r="I33" i="11"/>
  <c r="J34" i="11"/>
  <c r="F34" i="11"/>
  <c r="D35" i="11"/>
  <c r="H34" i="11"/>
  <c r="L33" i="11"/>
  <c r="M32" i="11"/>
  <c r="E158" i="4" l="1"/>
  <c r="I34" i="11"/>
  <c r="E35" i="11"/>
  <c r="F35" i="11"/>
  <c r="D36" i="11"/>
  <c r="H35" i="11"/>
  <c r="J35" i="11"/>
  <c r="L34" i="11"/>
  <c r="M33" i="11"/>
  <c r="E159" i="4" l="1"/>
  <c r="E36" i="11"/>
  <c r="K36" i="11" s="1"/>
  <c r="I35" i="11"/>
  <c r="K35" i="11"/>
  <c r="D37" i="11"/>
  <c r="F36" i="11"/>
  <c r="H36" i="11"/>
  <c r="J36" i="11"/>
  <c r="L35" i="11"/>
  <c r="M34" i="11"/>
  <c r="E160" i="4" l="1"/>
  <c r="E37" i="11"/>
  <c r="I36" i="11"/>
  <c r="K37" i="11"/>
  <c r="D38" i="11"/>
  <c r="H37" i="11"/>
  <c r="J37" i="11"/>
  <c r="F37" i="11"/>
  <c r="L36" i="11"/>
  <c r="M35" i="11"/>
  <c r="E161" i="4" l="1"/>
  <c r="E38" i="11"/>
  <c r="K38" i="11" s="1"/>
  <c r="I37" i="11"/>
  <c r="J38" i="11"/>
  <c r="H38" i="11"/>
  <c r="F38" i="11"/>
  <c r="D39" i="11"/>
  <c r="M36" i="11"/>
  <c r="L37" i="11"/>
  <c r="E162" i="4" l="1"/>
  <c r="I38" i="11"/>
  <c r="E39" i="11"/>
  <c r="K39" i="11" s="1"/>
  <c r="F39" i="11"/>
  <c r="D40" i="11"/>
  <c r="H39" i="11"/>
  <c r="J39" i="11"/>
  <c r="M37" i="11"/>
  <c r="L38" i="11"/>
  <c r="E163" i="4" l="1"/>
  <c r="E40" i="11"/>
  <c r="K40" i="11" s="1"/>
  <c r="I39" i="11"/>
  <c r="F40" i="11"/>
  <c r="D41" i="11"/>
  <c r="H40" i="11"/>
  <c r="J40" i="11"/>
  <c r="M38" i="11"/>
  <c r="L39" i="11"/>
  <c r="E164" i="4" l="1"/>
  <c r="E41" i="11"/>
  <c r="K41" i="11" s="1"/>
  <c r="I40" i="11"/>
  <c r="H41" i="11"/>
  <c r="D42" i="11"/>
  <c r="F41" i="11"/>
  <c r="J41" i="11"/>
  <c r="M39" i="11"/>
  <c r="L40" i="11"/>
  <c r="E165" i="4" l="1"/>
  <c r="E42" i="11"/>
  <c r="I42" i="11" s="1"/>
  <c r="I41" i="11"/>
  <c r="F42" i="11"/>
  <c r="H42" i="11"/>
  <c r="J42" i="11"/>
  <c r="M40" i="11"/>
  <c r="L41" i="11"/>
  <c r="F2" i="7"/>
  <c r="L3" i="9"/>
  <c r="E166" i="4" l="1"/>
  <c r="K42" i="11"/>
  <c r="D7" i="6"/>
  <c r="D8" i="6"/>
  <c r="D6" i="6"/>
  <c r="B1" i="6"/>
  <c r="L42" i="11"/>
  <c r="M42" i="11"/>
  <c r="M41" i="11"/>
  <c r="M3" i="9"/>
  <c r="L3" i="11"/>
  <c r="G2" i="7"/>
  <c r="E167" i="4" l="1"/>
  <c r="D9" i="6"/>
  <c r="D16" i="6"/>
  <c r="D20" i="6"/>
  <c r="E20" i="6"/>
  <c r="E22" i="6"/>
  <c r="D22" i="6"/>
  <c r="D21" i="6"/>
  <c r="M3" i="11"/>
  <c r="E21" i="6" l="1"/>
  <c r="E7" i="4"/>
  <c r="E8" i="4"/>
  <c r="E9" i="4"/>
  <c r="E10" i="4"/>
  <c r="E11" i="4"/>
  <c r="E12" i="4"/>
  <c r="E13" i="4"/>
  <c r="C14" i="4"/>
  <c r="E14" i="4" s="1"/>
  <c r="C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E87" i="4"/>
  <c r="E88" i="4"/>
  <c r="E89" i="4"/>
  <c r="E90" i="4"/>
  <c r="E91" i="4"/>
  <c r="E92" i="4"/>
  <c r="E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L12" i="4"/>
  <c r="L91" i="4"/>
  <c r="G79" i="4"/>
  <c r="F31" i="4"/>
  <c r="L22" i="4"/>
  <c r="G77" i="4"/>
  <c r="L88" i="4"/>
  <c r="L23" i="4"/>
  <c r="F76" i="4"/>
  <c r="L76" i="4"/>
  <c r="L31" i="4"/>
  <c r="F90" i="4"/>
  <c r="K22" i="4"/>
  <c r="F14" i="4"/>
  <c r="G84" i="4"/>
  <c r="L80" i="4"/>
  <c r="K12" i="4"/>
  <c r="K28" i="4"/>
  <c r="F92" i="4"/>
  <c r="L6" i="4"/>
  <c r="L32" i="4"/>
  <c r="K76" i="4"/>
  <c r="K80" i="4"/>
  <c r="L25" i="4"/>
  <c r="G86" i="4"/>
  <c r="L16" i="4"/>
  <c r="F77" i="4"/>
  <c r="F89" i="4"/>
  <c r="K82" i="4"/>
  <c r="K27" i="4"/>
  <c r="L77" i="4"/>
  <c r="L26" i="4"/>
  <c r="K20" i="4"/>
  <c r="K11" i="4"/>
  <c r="K85" i="4"/>
  <c r="F19" i="4"/>
  <c r="F5" i="4"/>
  <c r="L21" i="4"/>
  <c r="L83" i="4"/>
  <c r="K93" i="4"/>
  <c r="L4" i="4"/>
  <c r="L85" i="4"/>
  <c r="F32" i="4"/>
  <c r="G89" i="4"/>
  <c r="G91" i="4"/>
  <c r="F80" i="4"/>
  <c r="G78" i="4"/>
  <c r="K19" i="4"/>
  <c r="L82" i="4"/>
  <c r="K32" i="4"/>
  <c r="L79" i="4"/>
  <c r="G85" i="4"/>
  <c r="K8" i="4"/>
  <c r="K89" i="4"/>
  <c r="F9" i="4"/>
  <c r="K26" i="4"/>
  <c r="L11" i="4"/>
  <c r="F93" i="4"/>
  <c r="L20" i="4"/>
  <c r="K78" i="4"/>
  <c r="G88" i="4"/>
  <c r="L17" i="4"/>
  <c r="F13" i="4"/>
  <c r="D34" i="4" a="1"/>
  <c r="L15" i="4"/>
  <c r="F17" i="4"/>
  <c r="L28" i="4"/>
  <c r="K77" i="4"/>
  <c r="G90" i="4"/>
  <c r="L87" i="4"/>
  <c r="G80" i="4"/>
  <c r="K90" i="4"/>
  <c r="G92" i="4"/>
  <c r="K81" i="4"/>
  <c r="F79" i="4"/>
  <c r="F30" i="4"/>
  <c r="K87" i="4"/>
  <c r="G76" i="4"/>
  <c r="F33" i="4"/>
  <c r="F82" i="4"/>
  <c r="K21" i="4"/>
  <c r="K16" i="4"/>
  <c r="G83" i="4"/>
  <c r="F23" i="4"/>
  <c r="K30" i="4"/>
  <c r="L5" i="4"/>
  <c r="L29" i="4"/>
  <c r="F11" i="4"/>
  <c r="K29" i="4"/>
  <c r="K31" i="4"/>
  <c r="F85" i="4"/>
  <c r="G93" i="4"/>
  <c r="L92" i="4"/>
  <c r="L3" i="4"/>
  <c r="L19" i="4"/>
  <c r="K92" i="4"/>
  <c r="G87" i="4"/>
  <c r="F10" i="4"/>
  <c r="K3" i="4"/>
  <c r="L27" i="4"/>
  <c r="K14" i="4"/>
  <c r="K18" i="4"/>
  <c r="F8" i="4"/>
  <c r="F18" i="4"/>
  <c r="K23" i="4"/>
  <c r="K88" i="4"/>
  <c r="F86" i="4"/>
  <c r="L18" i="4"/>
  <c r="L8" i="4"/>
  <c r="F7" i="4"/>
  <c r="F20" i="4"/>
  <c r="K33" i="4"/>
  <c r="F21" i="4"/>
  <c r="L84" i="4"/>
  <c r="F87" i="4"/>
  <c r="F27" i="4"/>
  <c r="G81" i="4"/>
  <c r="K2" i="4"/>
  <c r="K79" i="4"/>
  <c r="L78" i="4"/>
  <c r="F81" i="4"/>
  <c r="F15" i="4"/>
  <c r="K25" i="4"/>
  <c r="F3" i="4"/>
  <c r="F22" i="4"/>
  <c r="F83" i="4"/>
  <c r="K91" i="4"/>
  <c r="F88" i="4"/>
  <c r="F12" i="4"/>
  <c r="F84" i="4"/>
  <c r="K5" i="4"/>
  <c r="K86" i="4"/>
  <c r="K24" i="4"/>
  <c r="K17" i="4"/>
  <c r="K6" i="4"/>
  <c r="L9" i="4"/>
  <c r="K9" i="4"/>
  <c r="L2" i="4"/>
  <c r="F28" i="4"/>
  <c r="L93" i="4"/>
  <c r="K83" i="4"/>
  <c r="K15" i="4"/>
  <c r="F29" i="4"/>
  <c r="F26" i="4"/>
  <c r="L90" i="4"/>
  <c r="F91" i="4"/>
  <c r="K7" i="4"/>
  <c r="L24" i="4"/>
  <c r="L7" i="4"/>
  <c r="L86" i="4"/>
  <c r="F4" i="4"/>
  <c r="F78" i="4"/>
  <c r="K84" i="4"/>
  <c r="F6" i="4"/>
  <c r="L33" i="4"/>
  <c r="L89" i="4"/>
  <c r="F16" i="4"/>
  <c r="L10" i="4"/>
  <c r="F24" i="4"/>
  <c r="K4" i="4"/>
  <c r="L81" i="4"/>
  <c r="K13" i="4"/>
  <c r="F25" i="4"/>
  <c r="G82" i="4"/>
  <c r="F2" i="4"/>
  <c r="L13" i="4"/>
  <c r="L30" i="4"/>
  <c r="K10" i="4"/>
  <c r="L14" i="4"/>
  <c r="E121" i="4" l="1"/>
  <c r="E105" i="4"/>
  <c r="E113" i="4"/>
  <c r="E129" i="4"/>
  <c r="E125" i="4"/>
  <c r="E97" i="4"/>
  <c r="E108" i="4"/>
  <c r="E123" i="4"/>
  <c r="E115" i="4"/>
  <c r="E107" i="4"/>
  <c r="E99" i="4"/>
  <c r="D40" i="4"/>
  <c r="E40" i="4" s="1"/>
  <c r="D48" i="4"/>
  <c r="E48" i="4" s="1"/>
  <c r="D56" i="4"/>
  <c r="E56" i="4" s="1"/>
  <c r="D64" i="4"/>
  <c r="E64" i="4" s="1"/>
  <c r="D39" i="4"/>
  <c r="E39" i="4" s="1"/>
  <c r="D47" i="4"/>
  <c r="E47" i="4" s="1"/>
  <c r="D55" i="4"/>
  <c r="E55" i="4" s="1"/>
  <c r="D63" i="4"/>
  <c r="E63" i="4" s="1"/>
  <c r="D71" i="4"/>
  <c r="E71" i="4" s="1"/>
  <c r="D38" i="4"/>
  <c r="E38" i="4" s="1"/>
  <c r="D46" i="4"/>
  <c r="E46" i="4" s="1"/>
  <c r="D54" i="4"/>
  <c r="E54" i="4" s="1"/>
  <c r="D62" i="4"/>
  <c r="E62" i="4" s="1"/>
  <c r="D70" i="4"/>
  <c r="E70" i="4" s="1"/>
  <c r="D41" i="4"/>
  <c r="E41" i="4" s="1"/>
  <c r="D49" i="4"/>
  <c r="E49" i="4" s="1"/>
  <c r="D57" i="4"/>
  <c r="E57" i="4" s="1"/>
  <c r="D65" i="4"/>
  <c r="E65" i="4" s="1"/>
  <c r="D73" i="4"/>
  <c r="E73" i="4" s="1"/>
  <c r="D37" i="4"/>
  <c r="E37" i="4" s="1"/>
  <c r="D45" i="4"/>
  <c r="E45" i="4" s="1"/>
  <c r="D53" i="4"/>
  <c r="E53" i="4" s="1"/>
  <c r="D61" i="4"/>
  <c r="E61" i="4" s="1"/>
  <c r="D72" i="4"/>
  <c r="E72" i="4" s="1"/>
  <c r="D44" i="4"/>
  <c r="E44" i="4" s="1"/>
  <c r="D52" i="4"/>
  <c r="E52" i="4" s="1"/>
  <c r="D35" i="4"/>
  <c r="E35" i="4" s="1"/>
  <c r="D43" i="4"/>
  <c r="E43" i="4" s="1"/>
  <c r="D51" i="4"/>
  <c r="E51" i="4" s="1"/>
  <c r="D59" i="4"/>
  <c r="E59" i="4" s="1"/>
  <c r="D67" i="4"/>
  <c r="E67" i="4" s="1"/>
  <c r="D74" i="4"/>
  <c r="E74" i="4" s="1"/>
  <c r="D36" i="4"/>
  <c r="E36" i="4" s="1"/>
  <c r="D69" i="4"/>
  <c r="E69" i="4" s="1"/>
  <c r="D60" i="4"/>
  <c r="E60" i="4" s="1"/>
  <c r="D68" i="4"/>
  <c r="E68" i="4" s="1"/>
  <c r="D75" i="4"/>
  <c r="E75" i="4" s="1"/>
  <c r="D50" i="4"/>
  <c r="E50" i="4" s="1"/>
  <c r="D34" i="4"/>
  <c r="E34" i="4" s="1"/>
  <c r="D66" i="4"/>
  <c r="E66" i="4" s="1"/>
  <c r="D58" i="4"/>
  <c r="E58" i="4" s="1"/>
  <c r="D42" i="4"/>
  <c r="E42" i="4" s="1"/>
  <c r="E101" i="4"/>
  <c r="E109" i="4"/>
  <c r="E117" i="4"/>
  <c r="E100" i="4"/>
  <c r="E116" i="4"/>
  <c r="E124" i="4"/>
  <c r="E126" i="4"/>
  <c r="E110" i="4"/>
  <c r="E130" i="4"/>
  <c r="E122" i="4"/>
  <c r="E114" i="4"/>
  <c r="E106" i="4"/>
  <c r="E98" i="4"/>
  <c r="E127" i="4"/>
  <c r="E119" i="4"/>
  <c r="E111" i="4"/>
  <c r="E103" i="4"/>
  <c r="E95" i="4"/>
  <c r="E94" i="4"/>
  <c r="E128" i="4"/>
  <c r="E120" i="4"/>
  <c r="E112" i="4"/>
  <c r="E104" i="4"/>
  <c r="E96" i="4"/>
  <c r="E118" i="4"/>
  <c r="E102" i="4"/>
  <c r="G44" i="4"/>
  <c r="L129" i="4"/>
  <c r="G110" i="4"/>
  <c r="L119" i="4"/>
  <c r="G152" i="4"/>
  <c r="L123" i="4"/>
  <c r="L49" i="4"/>
  <c r="L141" i="4"/>
  <c r="F61" i="4"/>
  <c r="F154" i="4"/>
  <c r="F123" i="4"/>
  <c r="L71" i="4"/>
  <c r="K73" i="4"/>
  <c r="L106" i="4"/>
  <c r="K105" i="4"/>
  <c r="F54" i="4"/>
  <c r="L40" i="4"/>
  <c r="K166" i="4"/>
  <c r="K65" i="4"/>
  <c r="F48" i="4"/>
  <c r="G61" i="4"/>
  <c r="G57" i="4"/>
  <c r="L116" i="4"/>
  <c r="G37" i="4"/>
  <c r="K48" i="4"/>
  <c r="L125" i="4"/>
  <c r="G60" i="4"/>
  <c r="F142" i="4"/>
  <c r="F132" i="4"/>
  <c r="G144" i="4"/>
  <c r="K106" i="4"/>
  <c r="F150" i="4"/>
  <c r="G100" i="4"/>
  <c r="K66" i="4"/>
  <c r="G95" i="4"/>
  <c r="K152" i="4"/>
  <c r="L61" i="4"/>
  <c r="F156" i="4"/>
  <c r="G101" i="4"/>
  <c r="L56" i="4"/>
  <c r="G136" i="4"/>
  <c r="F98" i="4"/>
  <c r="G158" i="4"/>
  <c r="G70" i="4"/>
  <c r="K71" i="4"/>
  <c r="L144" i="4"/>
  <c r="G117" i="4"/>
  <c r="L96" i="4"/>
  <c r="K153" i="4"/>
  <c r="G156" i="4"/>
  <c r="F167" i="4"/>
  <c r="G66" i="4"/>
  <c r="L62" i="4"/>
  <c r="F74" i="4"/>
  <c r="F97" i="4"/>
  <c r="F121" i="4"/>
  <c r="F66" i="4"/>
  <c r="F139" i="4"/>
  <c r="G154" i="4"/>
  <c r="K147" i="4"/>
  <c r="L67" i="4"/>
  <c r="F62" i="4"/>
  <c r="F45" i="4"/>
  <c r="L147" i="4"/>
  <c r="G55" i="4"/>
  <c r="G52" i="4"/>
  <c r="L155" i="4"/>
  <c r="L164" i="4"/>
  <c r="L97" i="4"/>
  <c r="L124" i="4"/>
  <c r="L101" i="4"/>
  <c r="K57" i="4"/>
  <c r="F114" i="4"/>
  <c r="G146" i="4"/>
  <c r="G119" i="4"/>
  <c r="K112" i="4"/>
  <c r="L60" i="4"/>
  <c r="G124" i="4"/>
  <c r="K121" i="4"/>
  <c r="G155" i="4"/>
  <c r="G123" i="4"/>
  <c r="K103" i="4"/>
  <c r="L156" i="4"/>
  <c r="G115" i="4"/>
  <c r="G121" i="4"/>
  <c r="L46" i="4"/>
  <c r="F162" i="4"/>
  <c r="K37" i="4"/>
  <c r="D2" i="5" a="1"/>
  <c r="L44" i="4"/>
  <c r="F63" i="4"/>
  <c r="F38" i="4"/>
  <c r="F41" i="4"/>
  <c r="F36" i="4"/>
  <c r="F100" i="4"/>
  <c r="F52" i="4"/>
  <c r="G125" i="4"/>
  <c r="L64" i="4"/>
  <c r="F37" i="4"/>
  <c r="G43" i="4"/>
  <c r="L99" i="4"/>
  <c r="F148" i="4"/>
  <c r="G41" i="4"/>
  <c r="G54" i="4"/>
  <c r="L73" i="4"/>
  <c r="K117" i="4"/>
  <c r="F105" i="4"/>
  <c r="G35" i="4"/>
  <c r="F141" i="4"/>
  <c r="K101" i="4"/>
  <c r="F149" i="4"/>
  <c r="K68" i="4"/>
  <c r="L74" i="4"/>
  <c r="K67" i="4"/>
  <c r="L143" i="4"/>
  <c r="L115" i="4"/>
  <c r="G65" i="4"/>
  <c r="G71" i="4"/>
  <c r="K109" i="4"/>
  <c r="K155" i="4"/>
  <c r="G118" i="4"/>
  <c r="F75" i="4"/>
  <c r="L149" i="4"/>
  <c r="F158" i="4"/>
  <c r="K137" i="4"/>
  <c r="K100" i="4"/>
  <c r="K134" i="4"/>
  <c r="G160" i="4"/>
  <c r="K125" i="4"/>
  <c r="K119" i="4"/>
  <c r="G62" i="4"/>
  <c r="F120" i="4"/>
  <c r="L50" i="4"/>
  <c r="L39" i="4"/>
  <c r="F118" i="4"/>
  <c r="L166" i="4"/>
  <c r="L58" i="4"/>
  <c r="F40" i="4"/>
  <c r="F94" i="4"/>
  <c r="G107" i="4"/>
  <c r="K110" i="4"/>
  <c r="K40" i="4"/>
  <c r="G39" i="4"/>
  <c r="K44" i="4"/>
  <c r="L158" i="4"/>
  <c r="F67" i="4"/>
  <c r="F43" i="4"/>
  <c r="G58" i="4"/>
  <c r="F57" i="4"/>
  <c r="L162" i="4"/>
  <c r="F55" i="4"/>
  <c r="L138" i="4"/>
  <c r="G147" i="4"/>
  <c r="K146" i="4"/>
  <c r="K42" i="4"/>
  <c r="K98" i="4"/>
  <c r="K70" i="4"/>
  <c r="G96" i="4"/>
  <c r="G149" i="4"/>
  <c r="F111" i="4"/>
  <c r="K41" i="4"/>
  <c r="G99" i="4"/>
  <c r="G138" i="4"/>
  <c r="K131" i="4"/>
  <c r="L132" i="4"/>
  <c r="L153" i="4"/>
  <c r="F145" i="4"/>
  <c r="K64" i="4"/>
  <c r="G111" i="4"/>
  <c r="L120" i="4"/>
  <c r="G134" i="4"/>
  <c r="F39" i="4"/>
  <c r="F124" i="4"/>
  <c r="F164" i="4"/>
  <c r="F65" i="4"/>
  <c r="K128" i="4"/>
  <c r="F68" i="4"/>
  <c r="L131" i="4"/>
  <c r="K59" i="4"/>
  <c r="G120" i="4"/>
  <c r="K102" i="4"/>
  <c r="F138" i="4"/>
  <c r="G34" i="4"/>
  <c r="G131" i="4"/>
  <c r="G145" i="4"/>
  <c r="F70" i="4"/>
  <c r="G163" i="4"/>
  <c r="G127" i="4"/>
  <c r="G148" i="4"/>
  <c r="K123" i="4"/>
  <c r="K135" i="4"/>
  <c r="G114" i="4"/>
  <c r="L163" i="4"/>
  <c r="K34" i="4"/>
  <c r="G98" i="4"/>
  <c r="K151" i="4"/>
  <c r="L151" i="4"/>
  <c r="L154" i="4"/>
  <c r="L160" i="4"/>
  <c r="K141" i="4"/>
  <c r="K158" i="4"/>
  <c r="L157" i="4"/>
  <c r="G50" i="4"/>
  <c r="K97" i="4"/>
  <c r="L100" i="4"/>
  <c r="K118" i="4"/>
  <c r="K51" i="4"/>
  <c r="L142" i="4"/>
  <c r="F136" i="4"/>
  <c r="F108" i="4"/>
  <c r="L57" i="4"/>
  <c r="K145" i="4"/>
  <c r="K115" i="4"/>
  <c r="F101" i="4"/>
  <c r="L47" i="4"/>
  <c r="F126" i="4"/>
  <c r="G103" i="4"/>
  <c r="F140" i="4"/>
  <c r="K130" i="4"/>
  <c r="F102" i="4"/>
  <c r="L152" i="4"/>
  <c r="K60" i="4"/>
  <c r="G51" i="4"/>
  <c r="G135" i="4"/>
  <c r="K144" i="4"/>
  <c r="L133" i="4"/>
  <c r="F119" i="4"/>
  <c r="F50" i="4"/>
  <c r="L134" i="4"/>
  <c r="K94" i="4"/>
  <c r="L53" i="4"/>
  <c r="K156" i="4"/>
  <c r="F46" i="4"/>
  <c r="K54" i="4"/>
  <c r="G49" i="4"/>
  <c r="F129" i="4"/>
  <c r="G45" i="4"/>
  <c r="L68" i="4"/>
  <c r="K62" i="4"/>
  <c r="L145" i="4"/>
  <c r="F133" i="4"/>
  <c r="F73" i="4"/>
  <c r="L109" i="4"/>
  <c r="G38" i="4"/>
  <c r="L127" i="4"/>
  <c r="F53" i="4"/>
  <c r="F157" i="4"/>
  <c r="L105" i="4"/>
  <c r="L114" i="4"/>
  <c r="G167" i="4"/>
  <c r="G159" i="4"/>
  <c r="K52" i="4"/>
  <c r="L38" i="4"/>
  <c r="L34" i="4"/>
  <c r="K61" i="4"/>
  <c r="K53" i="4"/>
  <c r="G94" i="4"/>
  <c r="L35" i="4"/>
  <c r="L95" i="4"/>
  <c r="L159" i="4"/>
  <c r="K74" i="4"/>
  <c r="F165" i="4"/>
  <c r="L112" i="4"/>
  <c r="L130" i="4"/>
  <c r="F107" i="4"/>
  <c r="G104" i="4"/>
  <c r="K165" i="4"/>
  <c r="G73" i="4"/>
  <c r="F159" i="4"/>
  <c r="F163" i="4"/>
  <c r="L43" i="4"/>
  <c r="K99" i="4"/>
  <c r="F110" i="4"/>
  <c r="F71" i="4"/>
  <c r="K142" i="4"/>
  <c r="K50" i="4"/>
  <c r="G74" i="4"/>
  <c r="K104" i="4"/>
  <c r="F47" i="4"/>
  <c r="L45" i="4"/>
  <c r="L137" i="4"/>
  <c r="L140" i="4"/>
  <c r="F161" i="4"/>
  <c r="K108" i="4"/>
  <c r="F72" i="4"/>
  <c r="K49" i="4"/>
  <c r="L66" i="4"/>
  <c r="G165" i="4"/>
  <c r="L94" i="4"/>
  <c r="K63" i="4"/>
  <c r="L70" i="4"/>
  <c r="K149" i="4"/>
  <c r="G122" i="4"/>
  <c r="F58" i="4"/>
  <c r="G150" i="4"/>
  <c r="L148" i="4"/>
  <c r="G47" i="4"/>
  <c r="L121" i="4"/>
  <c r="K157" i="4"/>
  <c r="G46" i="4"/>
  <c r="F112" i="4"/>
  <c r="F35" i="4"/>
  <c r="K95" i="4"/>
  <c r="K75" i="4"/>
  <c r="L48" i="4"/>
  <c r="K133" i="4"/>
  <c r="F96" i="4"/>
  <c r="L113" i="4"/>
  <c r="L69" i="4"/>
  <c r="F49" i="4"/>
  <c r="K43" i="4"/>
  <c r="G105" i="4"/>
  <c r="L128" i="4"/>
  <c r="F59" i="4"/>
  <c r="F109" i="4"/>
  <c r="F95" i="4"/>
  <c r="L111" i="4"/>
  <c r="K96" i="4"/>
  <c r="K58" i="4"/>
  <c r="G53" i="4"/>
  <c r="G151" i="4"/>
  <c r="L72" i="4"/>
  <c r="G153" i="4"/>
  <c r="F144" i="4"/>
  <c r="K159" i="4"/>
  <c r="K114" i="4"/>
  <c r="L165" i="4"/>
  <c r="K116" i="4"/>
  <c r="K154" i="4"/>
  <c r="K35" i="4"/>
  <c r="K162" i="4"/>
  <c r="F69" i="4"/>
  <c r="F155" i="4"/>
  <c r="K69" i="4"/>
  <c r="K140" i="4"/>
  <c r="K111" i="4"/>
  <c r="G132" i="4"/>
  <c r="L102" i="4"/>
  <c r="G112" i="4"/>
  <c r="L139" i="4"/>
  <c r="L135" i="4"/>
  <c r="K138" i="4"/>
  <c r="L126" i="4"/>
  <c r="G56" i="4"/>
  <c r="G42" i="4"/>
  <c r="G68" i="4"/>
  <c r="K148" i="4"/>
  <c r="L63" i="4"/>
  <c r="G164" i="4"/>
  <c r="L51" i="4"/>
  <c r="K136" i="4"/>
  <c r="G64" i="4"/>
  <c r="K132" i="4"/>
  <c r="K120" i="4"/>
  <c r="G108" i="4"/>
  <c r="F64" i="4"/>
  <c r="F103" i="4"/>
  <c r="K56" i="4"/>
  <c r="F122" i="4"/>
  <c r="G36" i="4"/>
  <c r="G109" i="4"/>
  <c r="G162" i="4"/>
  <c r="F99" i="4"/>
  <c r="K122" i="4"/>
  <c r="G126" i="4"/>
  <c r="G139" i="4"/>
  <c r="L136" i="4"/>
  <c r="L161" i="4"/>
  <c r="G157" i="4"/>
  <c r="G129" i="4"/>
  <c r="K167" i="4"/>
  <c r="G75" i="4"/>
  <c r="F135" i="4"/>
  <c r="G161" i="4"/>
  <c r="G142" i="4"/>
  <c r="F127" i="4"/>
  <c r="F160" i="4"/>
  <c r="K107" i="4"/>
  <c r="G141" i="4"/>
  <c r="G67" i="4"/>
  <c r="G143" i="4"/>
  <c r="L104" i="4"/>
  <c r="F137" i="4"/>
  <c r="F113" i="4"/>
  <c r="L36" i="4"/>
  <c r="G113" i="4"/>
  <c r="L37" i="4"/>
  <c r="K161" i="4"/>
  <c r="F104" i="4"/>
  <c r="K126" i="4"/>
  <c r="G102" i="4"/>
  <c r="K36" i="4"/>
  <c r="L55" i="4"/>
  <c r="F128" i="4"/>
  <c r="L122" i="4"/>
  <c r="F152" i="4"/>
  <c r="G72" i="4"/>
  <c r="G48" i="4"/>
  <c r="G137" i="4"/>
  <c r="K47" i="4"/>
  <c r="K39" i="4"/>
  <c r="F51" i="4"/>
  <c r="G116" i="4"/>
  <c r="K164" i="4"/>
  <c r="L41" i="4"/>
  <c r="L117" i="4"/>
  <c r="L65" i="4"/>
  <c r="K113" i="4"/>
  <c r="F56" i="4"/>
  <c r="F151" i="4"/>
  <c r="L52" i="4"/>
  <c r="F44" i="4"/>
  <c r="L118" i="4"/>
  <c r="L98" i="4"/>
  <c r="F153" i="4"/>
  <c r="F116" i="4"/>
  <c r="L108" i="4"/>
  <c r="F34" i="4"/>
  <c r="K45" i="4"/>
  <c r="F146" i="4"/>
  <c r="G63" i="4"/>
  <c r="G140" i="4"/>
  <c r="K163" i="4"/>
  <c r="G133" i="4"/>
  <c r="L54" i="4"/>
  <c r="L146" i="4"/>
  <c r="F42" i="4"/>
  <c r="F166" i="4"/>
  <c r="G97" i="4"/>
  <c r="L42" i="4"/>
  <c r="L103" i="4"/>
  <c r="L150" i="4"/>
  <c r="K129" i="4"/>
  <c r="G40" i="4"/>
  <c r="F134" i="4"/>
  <c r="F115" i="4"/>
  <c r="G69" i="4"/>
  <c r="L107" i="4"/>
  <c r="L75" i="4"/>
  <c r="L59" i="4"/>
  <c r="K46" i="4"/>
  <c r="F143" i="4"/>
  <c r="K160" i="4"/>
  <c r="F131" i="4"/>
  <c r="F117" i="4"/>
  <c r="K150" i="4"/>
  <c r="G166" i="4"/>
  <c r="K127" i="4"/>
  <c r="K139" i="4"/>
  <c r="G128" i="4"/>
  <c r="G59" i="4"/>
  <c r="G106" i="4"/>
  <c r="K124" i="4"/>
  <c r="K55" i="4"/>
  <c r="F125" i="4"/>
  <c r="L167" i="4"/>
  <c r="F147" i="4"/>
  <c r="G130" i="4"/>
  <c r="F130" i="4"/>
  <c r="L110" i="4"/>
  <c r="K38" i="4"/>
  <c r="F60" i="4"/>
  <c r="K72" i="4"/>
  <c r="F106" i="4"/>
  <c r="K143" i="4"/>
  <c r="D5" i="5" l="1"/>
  <c r="D8" i="5"/>
  <c r="D16" i="5"/>
  <c r="D24" i="5"/>
  <c r="D2" i="5"/>
  <c r="D13" i="5"/>
  <c r="D21" i="5"/>
  <c r="D29" i="5"/>
  <c r="D37" i="5"/>
  <c r="D45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4" i="5"/>
  <c r="D7" i="5"/>
  <c r="D15" i="5"/>
  <c r="D23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3" i="5"/>
  <c r="D6" i="5"/>
  <c r="D14" i="5"/>
  <c r="D22" i="5"/>
  <c r="D27" i="5"/>
  <c r="D46" i="5"/>
  <c r="D51" i="5"/>
  <c r="D53" i="5"/>
  <c r="D68" i="5"/>
  <c r="D83" i="5"/>
  <c r="D85" i="5"/>
  <c r="D100" i="5"/>
  <c r="D115" i="5"/>
  <c r="D117" i="5"/>
  <c r="D84" i="5"/>
  <c r="D31" i="5"/>
  <c r="D36" i="5"/>
  <c r="D62" i="5"/>
  <c r="D64" i="5"/>
  <c r="D79" i="5"/>
  <c r="D94" i="5"/>
  <c r="D96" i="5"/>
  <c r="D111" i="5"/>
  <c r="D126" i="5"/>
  <c r="D99" i="5"/>
  <c r="D101" i="5"/>
  <c r="D28" i="5"/>
  <c r="D39" i="5"/>
  <c r="D44" i="5"/>
  <c r="D60" i="5"/>
  <c r="D75" i="5"/>
  <c r="D77" i="5"/>
  <c r="D92" i="5"/>
  <c r="D107" i="5"/>
  <c r="D109" i="5"/>
  <c r="D124" i="5"/>
  <c r="D11" i="5"/>
  <c r="D47" i="5"/>
  <c r="D54" i="5"/>
  <c r="D56" i="5"/>
  <c r="D71" i="5"/>
  <c r="D86" i="5"/>
  <c r="D88" i="5"/>
  <c r="D103" i="5"/>
  <c r="D118" i="5"/>
  <c r="D120" i="5"/>
  <c r="D12" i="5"/>
  <c r="D52" i="5"/>
  <c r="D67" i="5"/>
  <c r="D69" i="5"/>
  <c r="D116" i="5"/>
  <c r="D19" i="5"/>
  <c r="D32" i="5"/>
  <c r="D63" i="5"/>
  <c r="D78" i="5"/>
  <c r="D80" i="5"/>
  <c r="D95" i="5"/>
  <c r="D110" i="5"/>
  <c r="D112" i="5"/>
  <c r="D20" i="5"/>
  <c r="D30" i="5"/>
  <c r="D35" i="5"/>
  <c r="D40" i="5"/>
  <c r="D59" i="5"/>
  <c r="D61" i="5"/>
  <c r="D76" i="5"/>
  <c r="D91" i="5"/>
  <c r="D93" i="5"/>
  <c r="D108" i="5"/>
  <c r="D123" i="5"/>
  <c r="D125" i="5"/>
  <c r="D38" i="5"/>
  <c r="D43" i="5"/>
  <c r="D48" i="5"/>
  <c r="D55" i="5"/>
  <c r="D70" i="5"/>
  <c r="D72" i="5"/>
  <c r="D87" i="5"/>
  <c r="D102" i="5"/>
  <c r="D104" i="5"/>
  <c r="D119" i="5"/>
  <c r="N124" i="4"/>
  <c r="N118" i="4"/>
  <c r="N109" i="4"/>
  <c r="N117" i="4"/>
  <c r="N95" i="4"/>
  <c r="N101" i="4"/>
  <c r="N128" i="4"/>
  <c r="N115" i="4"/>
  <c r="N123" i="4"/>
  <c r="N97" i="4"/>
  <c r="N129" i="4"/>
  <c r="N98" i="4"/>
  <c r="N112" i="4"/>
  <c r="N119" i="4"/>
  <c r="N103" i="4"/>
  <c r="N96" i="4"/>
  <c r="N114" i="4"/>
  <c r="N102" i="4"/>
  <c r="N100" i="4"/>
  <c r="N116" i="4"/>
  <c r="N107" i="4"/>
  <c r="N113" i="4"/>
  <c r="N105" i="4"/>
  <c r="N120" i="4"/>
  <c r="N106" i="4"/>
  <c r="N130" i="4"/>
  <c r="N111" i="4"/>
  <c r="N99" i="4"/>
  <c r="N125" i="4"/>
  <c r="N121" i="4"/>
  <c r="N104" i="4"/>
  <c r="N110" i="4"/>
  <c r="N126" i="4"/>
  <c r="N127" i="4"/>
  <c r="N122" i="4"/>
  <c r="N94" i="4"/>
  <c r="N108" i="4"/>
  <c r="G76" i="5" l="1"/>
  <c r="E22" i="5"/>
  <c r="G46" i="5"/>
  <c r="F101" i="5"/>
  <c r="E26" i="5"/>
  <c r="G23" i="5"/>
  <c r="F77" i="5"/>
  <c r="E75" i="5"/>
  <c r="G104" i="5"/>
  <c r="H47" i="5"/>
  <c r="E44" i="5"/>
  <c r="F82" i="5"/>
  <c r="H113" i="5"/>
  <c r="F18" i="5"/>
  <c r="G82" i="5"/>
  <c r="F13" i="5"/>
  <c r="G98" i="5"/>
  <c r="G8" i="5"/>
  <c r="F97" i="5"/>
  <c r="H100" i="5"/>
  <c r="F75" i="5"/>
  <c r="E121" i="5"/>
  <c r="F57" i="5"/>
  <c r="E98" i="5"/>
  <c r="E73" i="5"/>
  <c r="H32" i="5"/>
  <c r="H19" i="5"/>
  <c r="H25" i="5"/>
  <c r="H30" i="5"/>
  <c r="E33" i="5"/>
  <c r="G9" i="5"/>
  <c r="G101" i="5"/>
  <c r="E102" i="5"/>
  <c r="G42" i="5"/>
  <c r="E92" i="5"/>
  <c r="H22" i="5"/>
  <c r="H14" i="5"/>
  <c r="F123" i="5"/>
  <c r="H94" i="5"/>
  <c r="G99" i="5"/>
  <c r="G52" i="5"/>
  <c r="G49" i="5"/>
  <c r="F100" i="5"/>
  <c r="H108" i="5"/>
  <c r="H95" i="5"/>
  <c r="H45" i="5"/>
  <c r="E10" i="5"/>
  <c r="G125" i="5"/>
  <c r="F119" i="5"/>
  <c r="G100" i="5"/>
  <c r="E41" i="5"/>
  <c r="E69" i="5"/>
  <c r="H124" i="5"/>
  <c r="H64" i="5"/>
  <c r="E109" i="5"/>
  <c r="F28" i="5"/>
  <c r="G53" i="5"/>
  <c r="E126" i="5"/>
  <c r="F20" i="5"/>
  <c r="F49" i="5"/>
  <c r="G85" i="5"/>
  <c r="G94" i="5"/>
  <c r="E51" i="5"/>
  <c r="E118" i="5"/>
  <c r="E65" i="5"/>
  <c r="E30" i="5"/>
  <c r="E108" i="5"/>
  <c r="H97" i="5"/>
  <c r="H29" i="5"/>
  <c r="H96" i="5"/>
  <c r="G123" i="5"/>
  <c r="G71" i="5"/>
  <c r="G107" i="5"/>
  <c r="F64" i="5"/>
  <c r="E123" i="5"/>
  <c r="F17" i="5"/>
  <c r="G69" i="5"/>
  <c r="H101" i="5"/>
  <c r="G22" i="5"/>
  <c r="H119" i="5"/>
  <c r="G6" i="5"/>
  <c r="F11" i="5"/>
  <c r="E81" i="5"/>
  <c r="H40" i="5"/>
  <c r="F39" i="5"/>
  <c r="E18" i="5"/>
  <c r="H49" i="5"/>
  <c r="F3" i="5"/>
  <c r="H122" i="5"/>
  <c r="E116" i="5"/>
  <c r="E36" i="5"/>
  <c r="G93" i="5"/>
  <c r="E82" i="5"/>
  <c r="E70" i="5"/>
  <c r="G106" i="5"/>
  <c r="G29" i="5"/>
  <c r="G32" i="5"/>
  <c r="H33" i="5"/>
  <c r="H76" i="5"/>
  <c r="G86" i="5"/>
  <c r="E95" i="5"/>
  <c r="E125" i="5"/>
  <c r="E91" i="5"/>
  <c r="H26" i="5"/>
  <c r="F46" i="5"/>
  <c r="E25" i="5"/>
  <c r="E20" i="5"/>
  <c r="H70" i="5"/>
  <c r="G44" i="5"/>
  <c r="G30" i="5"/>
  <c r="G60" i="5"/>
  <c r="F74" i="5"/>
  <c r="G54" i="5"/>
  <c r="E24" i="5"/>
  <c r="F42" i="5"/>
  <c r="E13" i="5"/>
  <c r="G62" i="5"/>
  <c r="H91" i="5"/>
  <c r="F117" i="5"/>
  <c r="G27" i="5"/>
  <c r="E63" i="5"/>
  <c r="F81" i="5"/>
  <c r="E88" i="5"/>
  <c r="H13" i="5"/>
  <c r="E90" i="5"/>
  <c r="F124" i="5"/>
  <c r="E15" i="5"/>
  <c r="E21" i="5"/>
  <c r="H114" i="5"/>
  <c r="H112" i="5"/>
  <c r="F83" i="5"/>
  <c r="F122" i="5"/>
  <c r="G115" i="5"/>
  <c r="G56" i="5"/>
  <c r="H63" i="5"/>
  <c r="G25" i="5"/>
  <c r="F114" i="5"/>
  <c r="H21" i="5"/>
  <c r="H48" i="5"/>
  <c r="H75" i="5"/>
  <c r="G78" i="5"/>
  <c r="E103" i="5"/>
  <c r="E61" i="5"/>
  <c r="F95" i="5"/>
  <c r="E35" i="5"/>
  <c r="E43" i="5"/>
  <c r="E107" i="5"/>
  <c r="H109" i="5"/>
  <c r="E8" i="5"/>
  <c r="H35" i="5"/>
  <c r="E68" i="5"/>
  <c r="F44" i="5"/>
  <c r="F56" i="5"/>
  <c r="E54" i="5"/>
  <c r="H69" i="5"/>
  <c r="E104" i="5"/>
  <c r="F45" i="5"/>
  <c r="E80" i="5"/>
  <c r="G64" i="5"/>
  <c r="G87" i="5"/>
  <c r="G47" i="5"/>
  <c r="G117" i="5"/>
  <c r="E28" i="5"/>
  <c r="F43" i="5"/>
  <c r="F2" i="5"/>
  <c r="F48" i="5"/>
  <c r="E124" i="5"/>
  <c r="G103" i="5"/>
  <c r="H24" i="5"/>
  <c r="G67" i="5"/>
  <c r="F54" i="5"/>
  <c r="F9" i="5"/>
  <c r="H77" i="5"/>
  <c r="F106" i="5"/>
  <c r="H93" i="5"/>
  <c r="F102" i="5"/>
  <c r="H98" i="5"/>
  <c r="F84" i="5"/>
  <c r="G91" i="5"/>
  <c r="H121" i="5"/>
  <c r="E42" i="5"/>
  <c r="G89" i="5"/>
  <c r="H37" i="5"/>
  <c r="G34" i="5"/>
  <c r="H83" i="5"/>
  <c r="E12" i="5"/>
  <c r="H102" i="5"/>
  <c r="G65" i="5"/>
  <c r="H55" i="5"/>
  <c r="G51" i="5"/>
  <c r="F89" i="5"/>
  <c r="H53" i="5"/>
  <c r="E40" i="5"/>
  <c r="F25" i="5"/>
  <c r="F27" i="5"/>
  <c r="E11" i="5"/>
  <c r="G31" i="5"/>
  <c r="G96" i="5"/>
  <c r="F41" i="5"/>
  <c r="F99" i="5"/>
  <c r="F126" i="5"/>
  <c r="E83" i="5"/>
  <c r="E3" i="5"/>
  <c r="E2" i="5"/>
  <c r="E111" i="5"/>
  <c r="F72" i="5"/>
  <c r="G102" i="5"/>
  <c r="E79" i="5"/>
  <c r="F103" i="5"/>
  <c r="H67" i="5"/>
  <c r="G95" i="5"/>
  <c r="F38" i="5"/>
  <c r="H38" i="5"/>
  <c r="E85" i="5"/>
  <c r="H11" i="5"/>
  <c r="E105" i="5"/>
  <c r="E117" i="5"/>
  <c r="G79" i="5"/>
  <c r="E74" i="5"/>
  <c r="F115" i="5"/>
  <c r="H86" i="5"/>
  <c r="H88" i="5"/>
  <c r="G59" i="5"/>
  <c r="F79" i="5"/>
  <c r="H6" i="5"/>
  <c r="F19" i="5"/>
  <c r="G84" i="5"/>
  <c r="G13" i="5"/>
  <c r="G7" i="5"/>
  <c r="E84" i="5"/>
  <c r="H56" i="5"/>
  <c r="H72" i="5"/>
  <c r="G111" i="5"/>
  <c r="F23" i="5"/>
  <c r="H44" i="5"/>
  <c r="G17" i="5"/>
  <c r="E56" i="5"/>
  <c r="E96" i="5"/>
  <c r="G50" i="5"/>
  <c r="H115" i="5"/>
  <c r="F116" i="5"/>
  <c r="G58" i="5"/>
  <c r="G88" i="5"/>
  <c r="F92" i="5"/>
  <c r="E14" i="5"/>
  <c r="E47" i="5"/>
  <c r="E5" i="5"/>
  <c r="G118" i="5"/>
  <c r="F91" i="5"/>
  <c r="E29" i="5"/>
  <c r="F93" i="5"/>
  <c r="H84" i="5"/>
  <c r="G68" i="5"/>
  <c r="F55" i="5"/>
  <c r="G35" i="5"/>
  <c r="E16" i="5"/>
  <c r="F61" i="5"/>
  <c r="H126" i="5"/>
  <c r="E99" i="5"/>
  <c r="H99" i="5"/>
  <c r="H80" i="5"/>
  <c r="G4" i="5"/>
  <c r="E6" i="5"/>
  <c r="H31" i="5"/>
  <c r="F70" i="5"/>
  <c r="E64" i="5"/>
  <c r="F52" i="5"/>
  <c r="E76" i="5"/>
  <c r="G19" i="5"/>
  <c r="H89" i="5"/>
  <c r="H62" i="5"/>
  <c r="E113" i="5"/>
  <c r="F120" i="5"/>
  <c r="G57" i="5"/>
  <c r="E27" i="5"/>
  <c r="H9" i="5"/>
  <c r="E31" i="5"/>
  <c r="H92" i="5"/>
  <c r="F16" i="5"/>
  <c r="E100" i="5"/>
  <c r="H39" i="5"/>
  <c r="H41" i="5"/>
  <c r="G16" i="5"/>
  <c r="F8" i="5"/>
  <c r="G74" i="5"/>
  <c r="F29" i="5"/>
  <c r="G109" i="5"/>
  <c r="F88" i="5"/>
  <c r="H73" i="5"/>
  <c r="E19" i="5"/>
  <c r="H52" i="5"/>
  <c r="G18" i="5"/>
  <c r="F15" i="5"/>
  <c r="F60" i="5"/>
  <c r="G37" i="5"/>
  <c r="H50" i="5"/>
  <c r="F94" i="5"/>
  <c r="G39" i="5"/>
  <c r="F30" i="5"/>
  <c r="E50" i="5"/>
  <c r="H103" i="5"/>
  <c r="F96" i="5"/>
  <c r="E110" i="5"/>
  <c r="E23" i="5"/>
  <c r="F37" i="5"/>
  <c r="E57" i="5"/>
  <c r="G33" i="5"/>
  <c r="F5" i="5"/>
  <c r="G70" i="5"/>
  <c r="F47" i="5"/>
  <c r="G48" i="5"/>
  <c r="H3" i="5"/>
  <c r="H36" i="5"/>
  <c r="F62" i="5"/>
  <c r="G114" i="5"/>
  <c r="G41" i="5"/>
  <c r="E55" i="5"/>
  <c r="F86" i="5"/>
  <c r="F68" i="5"/>
  <c r="E115" i="5"/>
  <c r="H118" i="5"/>
  <c r="G105" i="5"/>
  <c r="G2" i="5"/>
  <c r="H87" i="5"/>
  <c r="E94" i="5"/>
  <c r="F6" i="5"/>
  <c r="H51" i="5"/>
  <c r="E67" i="5"/>
  <c r="F32" i="5"/>
  <c r="H81" i="5"/>
  <c r="H65" i="5"/>
  <c r="F80" i="5"/>
  <c r="E86" i="5"/>
  <c r="H110" i="5"/>
  <c r="E112" i="5"/>
  <c r="G120" i="5"/>
  <c r="F26" i="5"/>
  <c r="E39" i="5"/>
  <c r="H10" i="5"/>
  <c r="G43" i="5"/>
  <c r="G10" i="5"/>
  <c r="F7" i="5"/>
  <c r="H57" i="5"/>
  <c r="H107" i="5"/>
  <c r="F66" i="5"/>
  <c r="F113" i="5"/>
  <c r="E45" i="5"/>
  <c r="F125" i="5"/>
  <c r="E46" i="5"/>
  <c r="E38" i="5"/>
  <c r="H12" i="5"/>
  <c r="H105" i="5"/>
  <c r="F108" i="5"/>
  <c r="G24" i="5"/>
  <c r="G126" i="5"/>
  <c r="F118" i="5"/>
  <c r="E66" i="5"/>
  <c r="G14" i="5"/>
  <c r="F51" i="5"/>
  <c r="F87" i="5"/>
  <c r="H20" i="5"/>
  <c r="F69" i="5"/>
  <c r="H71" i="5"/>
  <c r="H54" i="5"/>
  <c r="G63" i="5"/>
  <c r="H42" i="5"/>
  <c r="E32" i="5"/>
  <c r="H58" i="5"/>
  <c r="F105" i="5"/>
  <c r="H43" i="5"/>
  <c r="H125" i="5"/>
  <c r="F85" i="5"/>
  <c r="F78" i="5"/>
  <c r="H46" i="5"/>
  <c r="B6" i="5"/>
  <c r="E52" i="5"/>
  <c r="H116" i="5"/>
  <c r="G81" i="5"/>
  <c r="G75" i="5"/>
  <c r="E58" i="5"/>
  <c r="H123" i="5"/>
  <c r="G12" i="5"/>
  <c r="E77" i="5"/>
  <c r="H8" i="5"/>
  <c r="F53" i="5"/>
  <c r="H15" i="5"/>
  <c r="H74" i="5"/>
  <c r="G73" i="5"/>
  <c r="G72" i="5"/>
  <c r="H17" i="5"/>
  <c r="F24" i="5"/>
  <c r="E17" i="5"/>
  <c r="F90" i="5"/>
  <c r="F121" i="5"/>
  <c r="H4" i="5"/>
  <c r="G36" i="5"/>
  <c r="G112" i="5"/>
  <c r="E37" i="5"/>
  <c r="H23" i="5"/>
  <c r="G77" i="5"/>
  <c r="G113" i="5"/>
  <c r="G124" i="5"/>
  <c r="E72" i="5"/>
  <c r="G61" i="5"/>
  <c r="H85" i="5"/>
  <c r="E48" i="5"/>
  <c r="H61" i="5"/>
  <c r="E9" i="5"/>
  <c r="H117" i="5"/>
  <c r="E71" i="5"/>
  <c r="E106" i="5"/>
  <c r="H120" i="5"/>
  <c r="H111" i="5"/>
  <c r="F63" i="5"/>
  <c r="F50" i="5"/>
  <c r="F10" i="5"/>
  <c r="F109" i="5"/>
  <c r="F104" i="5"/>
  <c r="H16" i="5"/>
  <c r="H34" i="5"/>
  <c r="G80" i="5"/>
  <c r="E60" i="5"/>
  <c r="G45" i="5"/>
  <c r="F76" i="5"/>
  <c r="G90" i="5"/>
  <c r="G21" i="5"/>
  <c r="E53" i="5"/>
  <c r="F58" i="5"/>
  <c r="H79" i="5"/>
  <c r="H60" i="5"/>
  <c r="E119" i="5"/>
  <c r="F71" i="5"/>
  <c r="E89" i="5"/>
  <c r="A7" i="5"/>
  <c r="G11" i="5"/>
  <c r="G28" i="5"/>
  <c r="G116" i="5"/>
  <c r="F34" i="5"/>
  <c r="F22" i="5"/>
  <c r="G38" i="5"/>
  <c r="H90" i="5"/>
  <c r="G122" i="5"/>
  <c r="G15" i="5"/>
  <c r="F65" i="5"/>
  <c r="F35" i="5"/>
  <c r="E97" i="5"/>
  <c r="F36" i="5"/>
  <c r="F21" i="5"/>
  <c r="E78" i="5"/>
  <c r="F98" i="5"/>
  <c r="G5" i="5"/>
  <c r="F12" i="5"/>
  <c r="H66" i="5"/>
  <c r="F14" i="5"/>
  <c r="H2" i="5"/>
  <c r="G40" i="5"/>
  <c r="G3" i="5"/>
  <c r="H7" i="5"/>
  <c r="F31" i="5"/>
  <c r="F40" i="5"/>
  <c r="G83" i="5"/>
  <c r="E114" i="5"/>
  <c r="E62" i="5"/>
  <c r="E7" i="5"/>
  <c r="F33" i="5"/>
  <c r="G110" i="5"/>
  <c r="H68" i="5"/>
  <c r="H5" i="5"/>
  <c r="H28" i="5"/>
  <c r="G97" i="5"/>
  <c r="G26" i="5"/>
  <c r="F112" i="5"/>
  <c r="H59" i="5"/>
  <c r="H27" i="5"/>
  <c r="G92" i="5"/>
  <c r="E59" i="5"/>
  <c r="F107" i="5"/>
  <c r="F59" i="5"/>
  <c r="E87" i="5"/>
  <c r="G119" i="5"/>
  <c r="F67" i="5"/>
  <c r="G20" i="5"/>
  <c r="G108" i="5"/>
  <c r="E4" i="5"/>
  <c r="E93" i="5"/>
  <c r="F110" i="5"/>
  <c r="E120" i="5"/>
  <c r="H82" i="5"/>
  <c r="E122" i="5"/>
  <c r="G55" i="5"/>
  <c r="E101" i="5"/>
  <c r="G66" i="5"/>
  <c r="H78" i="5"/>
  <c r="F4" i="5"/>
  <c r="H104" i="5"/>
  <c r="E34" i="5"/>
  <c r="G121" i="5"/>
  <c r="F73" i="5"/>
  <c r="H18" i="5"/>
  <c r="F111" i="5"/>
  <c r="H106" i="5"/>
  <c r="C28" i="6" s="1"/>
  <c r="E49" i="5"/>
  <c r="D14" i="6"/>
  <c r="D15" i="6"/>
  <c r="I1" i="5" a="1"/>
  <c r="C27" i="6"/>
  <c r="I71" i="5" l="1"/>
  <c r="I9" i="5"/>
  <c r="I116" i="5"/>
  <c r="I48" i="5"/>
  <c r="I55" i="5"/>
  <c r="I40" i="5"/>
  <c r="I23" i="5"/>
  <c r="I14" i="5"/>
  <c r="I44" i="5"/>
  <c r="I93" i="5"/>
  <c r="I83" i="5"/>
  <c r="I82" i="5"/>
  <c r="I115" i="5"/>
  <c r="I66" i="5"/>
  <c r="I102" i="5"/>
  <c r="I13" i="5"/>
  <c r="I3" i="5"/>
  <c r="I119" i="5"/>
  <c r="I6" i="5"/>
  <c r="I110" i="5"/>
  <c r="I57" i="5"/>
  <c r="I103" i="5"/>
  <c r="I2" i="5"/>
  <c r="I74" i="5"/>
  <c r="I105" i="5"/>
  <c r="I20" i="5"/>
  <c r="I8" i="5"/>
  <c r="I65" i="5"/>
  <c r="I107" i="5"/>
  <c r="I61" i="5"/>
  <c r="I31" i="5"/>
  <c r="I64" i="5"/>
  <c r="I24" i="5"/>
  <c r="I89" i="5"/>
  <c r="I54" i="5"/>
  <c r="I117" i="5"/>
  <c r="I95" i="5"/>
  <c r="I11" i="5"/>
  <c r="I96" i="5"/>
  <c r="I25" i="5"/>
  <c r="I43" i="5"/>
  <c r="I33" i="5"/>
  <c r="I18" i="5"/>
  <c r="I76" i="5"/>
  <c r="I100" i="5"/>
  <c r="I5" i="5"/>
  <c r="I68" i="5"/>
  <c r="I53" i="5"/>
  <c r="I75" i="5"/>
  <c r="I4" i="5"/>
  <c r="I104" i="5"/>
  <c r="I86" i="5"/>
  <c r="I121" i="5"/>
  <c r="I62" i="5"/>
  <c r="I32" i="5"/>
  <c r="I16" i="5"/>
  <c r="I91" i="5"/>
  <c r="I79" i="5"/>
  <c r="I120" i="5"/>
  <c r="I124" i="5"/>
  <c r="I56" i="5"/>
  <c r="I28" i="5"/>
  <c r="I36" i="5"/>
  <c r="I88" i="5"/>
  <c r="I58" i="5"/>
  <c r="I27" i="5"/>
  <c r="I51" i="5"/>
  <c r="I26" i="5"/>
  <c r="I87" i="5"/>
  <c r="I59" i="5"/>
  <c r="I67" i="5"/>
  <c r="I1" i="5"/>
  <c r="I7" i="5"/>
  <c r="I72" i="5"/>
  <c r="I30" i="5"/>
  <c r="I113" i="5"/>
  <c r="I60" i="5"/>
  <c r="I81" i="5"/>
  <c r="I39" i="5"/>
  <c r="I97" i="5"/>
  <c r="I49" i="5"/>
  <c r="I122" i="5"/>
  <c r="I77" i="5"/>
  <c r="I15" i="5"/>
  <c r="I111" i="5"/>
  <c r="I34" i="5"/>
  <c r="I118" i="5"/>
  <c r="I80" i="5"/>
  <c r="I99" i="5"/>
  <c r="I73" i="5"/>
  <c r="I42" i="5"/>
  <c r="I90" i="5"/>
  <c r="I108" i="5"/>
  <c r="I41" i="5"/>
  <c r="I126" i="5"/>
  <c r="I29" i="5"/>
  <c r="I98" i="5"/>
  <c r="I69" i="5"/>
  <c r="I47" i="5"/>
  <c r="I50" i="5"/>
  <c r="I92" i="5"/>
  <c r="I85" i="5"/>
  <c r="I106" i="5"/>
  <c r="I112" i="5"/>
  <c r="I21" i="5"/>
  <c r="I19" i="5"/>
  <c r="I109" i="5"/>
  <c r="I10" i="5"/>
  <c r="I22" i="5"/>
  <c r="I12" i="5"/>
  <c r="I101" i="5"/>
  <c r="I125" i="5"/>
  <c r="I63" i="5"/>
  <c r="I17" i="5"/>
  <c r="I84" i="5"/>
  <c r="I37" i="5"/>
  <c r="I38" i="5"/>
  <c r="I78" i="5"/>
  <c r="I114" i="5"/>
  <c r="I46" i="5"/>
  <c r="I45" i="5"/>
  <c r="I70" i="5"/>
  <c r="I94" i="5"/>
  <c r="I35" i="5"/>
  <c r="I123" i="5"/>
  <c r="I52" i="5"/>
  <c r="D29" i="6"/>
  <c r="B7" i="5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<sst xmlns="http://schemas.openxmlformats.org/spreadsheetml/2006/main" count="403" uniqueCount="191">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</sst>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8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0" fillId="7" borderId="27" xfId="3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64" customWidth="1"/>
    <col min="3" max="3" width="18" style="164" bestFit="1" customWidth="1"/>
    <col min="4" max="4" width="23.85546875" style="164" bestFit="1" customWidth="1"/>
    <col min="5" max="5" width="22" style="164" bestFit="1" customWidth="1"/>
    <col min="6" max="7" width="2.7109375" style="164" customWidth="1"/>
    <col min="8" max="8" width="4" style="164" bestFit="1" customWidth="1"/>
    <col min="9" max="9" width="3.28515625" style="164" bestFit="1" customWidth="1"/>
    <col min="10" max="11" width="2.7109375" style="164" customWidth="1"/>
    <col min="12" max="12" width="18.5703125" style="164" bestFit="1" customWidth="1"/>
    <col min="13" max="13" width="53.7109375" style="164" bestFit="1" customWidth="1"/>
    <col min="14" max="14" width="2.7109375" style="164" customWidth="1"/>
    <col min="15" max="16384" width="8" style="164"/>
  </cols>
  <sheetData>
    <row r="1" spans="2:14" ht="12" thickBot="1" x14ac:dyDescent="0.25">
      <c r="B1" s="164" t="str">
        <f>_xll.qlxlVersion(TRUE,Trigger)</f>
        <v>QuantLibXL 1.4.0 - MS VC++ 9.0 - Multithreaded Dynamic Runtime library - Release Configuration - Feb  7 2014 15:33:58</v>
      </c>
    </row>
    <row r="2" spans="2:14" ht="18.75" thickBot="1" x14ac:dyDescent="0.3">
      <c r="B2" s="166" t="s">
        <v>112</v>
      </c>
      <c r="C2" s="167"/>
      <c r="D2" s="167"/>
      <c r="E2" s="167"/>
      <c r="F2" s="168"/>
      <c r="K2" s="166" t="s">
        <v>158</v>
      </c>
      <c r="L2" s="167"/>
      <c r="M2" s="167"/>
      <c r="N2" s="180"/>
    </row>
    <row r="3" spans="2:14" ht="12" thickBot="1" x14ac:dyDescent="0.25">
      <c r="B3" s="61"/>
      <c r="C3" s="90"/>
      <c r="D3" s="58"/>
      <c r="E3" s="58"/>
      <c r="F3" s="57"/>
      <c r="K3" s="127"/>
      <c r="L3" s="130"/>
      <c r="M3" s="130"/>
      <c r="N3" s="129"/>
    </row>
    <row r="4" spans="2:14" x14ac:dyDescent="0.2">
      <c r="B4" s="61"/>
      <c r="C4" s="89" t="s">
        <v>111</v>
      </c>
      <c r="D4" s="76" t="s">
        <v>100</v>
      </c>
      <c r="E4" s="58"/>
      <c r="F4" s="57"/>
      <c r="H4" s="174" t="s">
        <v>110</v>
      </c>
      <c r="I4" s="175"/>
      <c r="K4" s="127"/>
      <c r="L4" s="126" t="s">
        <v>157</v>
      </c>
      <c r="M4" s="120" t="b">
        <v>1</v>
      </c>
      <c r="N4" s="125"/>
    </row>
    <row r="5" spans="2:14" x14ac:dyDescent="0.2">
      <c r="B5" s="61"/>
      <c r="C5" s="88" t="s">
        <v>109</v>
      </c>
      <c r="D5" s="62">
        <v>1</v>
      </c>
      <c r="E5" s="58"/>
      <c r="F5" s="57"/>
      <c r="H5" s="176" t="s">
        <v>108</v>
      </c>
      <c r="I5" s="177" t="s">
        <v>107</v>
      </c>
      <c r="K5" s="127"/>
      <c r="L5" s="126" t="s">
        <v>156</v>
      </c>
      <c r="M5" s="128" t="str">
        <f ca="1">SUBSTITUTE(LEFT(CELL("filename",A1),FIND("[",CELL("filename",A1),1)-1),"\XLS\","\XML\")</f>
        <v>C:\Users\erik\Documents\repos\quantlib\QuantLibXL\Data2\XML\</v>
      </c>
      <c r="N5" s="125"/>
    </row>
    <row r="6" spans="2:14" x14ac:dyDescent="0.2">
      <c r="B6" s="61"/>
      <c r="C6" s="88" t="s">
        <v>106</v>
      </c>
      <c r="D6" s="62" t="str">
        <f>_xll.qlPeriodEquivalent(D5&amp;"M")</f>
        <v>1M</v>
      </c>
      <c r="E6" s="58"/>
      <c r="F6" s="57"/>
      <c r="H6" s="176" t="s">
        <v>105</v>
      </c>
      <c r="I6" s="177" t="s">
        <v>104</v>
      </c>
      <c r="K6" s="127"/>
      <c r="L6" s="126" t="s">
        <v>155</v>
      </c>
      <c r="M6" s="117" t="b">
        <v>1</v>
      </c>
      <c r="N6" s="125"/>
    </row>
    <row r="7" spans="2:14" ht="12" thickBot="1" x14ac:dyDescent="0.25">
      <c r="B7" s="61"/>
      <c r="C7" s="88" t="s">
        <v>103</v>
      </c>
      <c r="D7" s="62" t="str">
        <f>Months&amp;IF(UPPER(Currency)="EUR","E","L")</f>
        <v>1L</v>
      </c>
      <c r="E7" s="58"/>
      <c r="F7" s="57"/>
      <c r="H7" s="176" t="s">
        <v>102</v>
      </c>
      <c r="I7" s="177"/>
      <c r="K7" s="124"/>
      <c r="L7" s="123"/>
      <c r="M7" s="123"/>
      <c r="N7" s="122"/>
    </row>
    <row r="8" spans="2:14" ht="12" thickBot="1" x14ac:dyDescent="0.25">
      <c r="B8" s="61"/>
      <c r="C8" s="88" t="s">
        <v>101</v>
      </c>
      <c r="D8" s="62" t="str">
        <f>VLOOKUP(Currency,H4:I8,2)</f>
        <v>AM</v>
      </c>
      <c r="E8" s="58"/>
      <c r="F8" s="57"/>
      <c r="H8" s="178" t="s">
        <v>100</v>
      </c>
      <c r="I8" s="179" t="s">
        <v>99</v>
      </c>
      <c r="K8" s="165"/>
      <c r="L8" s="165"/>
      <c r="M8" s="165"/>
      <c r="N8" s="165"/>
    </row>
    <row r="9" spans="2:14" ht="18.75" thickBot="1" x14ac:dyDescent="0.3">
      <c r="B9" s="61"/>
      <c r="C9" s="88" t="s">
        <v>98</v>
      </c>
      <c r="D9" s="62" t="str">
        <f>Currency&amp;"_YC"&amp;IndexTenor&amp;"RH"</f>
        <v>USD_YC1MRH</v>
      </c>
      <c r="E9" s="58"/>
      <c r="F9" s="57"/>
      <c r="K9" s="166" t="s">
        <v>154</v>
      </c>
      <c r="L9" s="167"/>
      <c r="M9" s="167"/>
      <c r="N9" s="180"/>
    </row>
    <row r="10" spans="2:14" ht="12.75" x14ac:dyDescent="0.2">
      <c r="B10" s="61"/>
      <c r="C10" s="87" t="s">
        <v>97</v>
      </c>
      <c r="D10" s="62" t="b">
        <v>1</v>
      </c>
      <c r="E10" s="58"/>
      <c r="F10" s="57"/>
      <c r="K10" s="119"/>
      <c r="L10" s="121"/>
      <c r="M10" s="121"/>
      <c r="N10" s="116"/>
    </row>
    <row r="11" spans="2:14" ht="12.75" x14ac:dyDescent="0.2">
      <c r="B11" s="61"/>
      <c r="C11" s="87" t="s">
        <v>96</v>
      </c>
      <c r="D11" s="86">
        <v>41684.59065972222</v>
      </c>
      <c r="E11" s="58"/>
      <c r="F11" s="57"/>
      <c r="K11" s="119"/>
      <c r="L11" s="118" t="s">
        <v>153</v>
      </c>
      <c r="M11" s="120" t="s">
        <v>152</v>
      </c>
      <c r="N11" s="116"/>
    </row>
    <row r="12" spans="2:14" ht="12.75" x14ac:dyDescent="0.2">
      <c r="B12" s="61"/>
      <c r="C12" s="85" t="s">
        <v>95</v>
      </c>
      <c r="D12" s="84" t="b">
        <v>0</v>
      </c>
      <c r="E12" s="58"/>
      <c r="F12" s="57"/>
      <c r="K12" s="119"/>
      <c r="L12" s="118" t="s">
        <v>151</v>
      </c>
      <c r="M12" s="117" t="s">
        <v>150</v>
      </c>
      <c r="N12" s="116"/>
    </row>
    <row r="13" spans="2:14" ht="12.75" x14ac:dyDescent="0.2">
      <c r="B13" s="61"/>
      <c r="C13" s="66"/>
      <c r="D13" s="66"/>
      <c r="E13" s="58"/>
      <c r="F13" s="57"/>
      <c r="K13" s="119"/>
      <c r="L13" s="118" t="s">
        <v>182</v>
      </c>
      <c r="M13" s="120" t="s">
        <v>181</v>
      </c>
      <c r="N13" s="116"/>
    </row>
    <row r="14" spans="2:14" ht="12.75" x14ac:dyDescent="0.2">
      <c r="B14" s="61"/>
      <c r="C14" s="81" t="s">
        <v>94</v>
      </c>
      <c r="D14" s="83" t="str">
        <f>_xll.qlPiecewiseYieldCurve(D16,NDays,Calendar,RateHelpersSelected,DayCounter,IF(ISERROR(D22),NA(),D20:E20),IF(ISERROR(D22),NA(),D21:E21),Accuracy,TraitsID,InterpolatorID,Permanent,,ObjectOverwrite)</f>
        <v>_USDYC1M#0000</v>
      </c>
      <c r="E14" s="58"/>
      <c r="F14" s="57"/>
      <c r="K14" s="119"/>
      <c r="L14" s="118" t="s">
        <v>180</v>
      </c>
      <c r="M14" s="120" t="str">
        <f>PROPER(Currency)&amp;"YC"</f>
        <v>UsdYC</v>
      </c>
      <c r="N14" s="116"/>
    </row>
    <row r="15" spans="2:14" ht="12.75" x14ac:dyDescent="0.2">
      <c r="B15" s="61"/>
      <c r="C15" s="68" t="s">
        <v>72</v>
      </c>
      <c r="D15" s="82" t="str">
        <f>_xll.ohRangeRetrieveError(YieldCurve)</f>
        <v/>
      </c>
      <c r="E15" s="58"/>
      <c r="F15" s="57"/>
      <c r="K15" s="119"/>
      <c r="L15" s="118" t="s">
        <v>179</v>
      </c>
      <c r="M15" s="120" t="str">
        <f>PROPER(Currency)&amp;"YCSTD"</f>
        <v>UsdYCSTD</v>
      </c>
      <c r="N15" s="116"/>
    </row>
    <row r="16" spans="2:14" ht="12.75" x14ac:dyDescent="0.2">
      <c r="B16" s="61"/>
      <c r="C16" s="81" t="s">
        <v>93</v>
      </c>
      <c r="D16" s="80" t="str">
        <f>"_"&amp;Currency&amp;"YC"&amp;IndexTenor</f>
        <v>_USDYC1M</v>
      </c>
      <c r="E16" s="58"/>
      <c r="F16" s="57"/>
      <c r="K16" s="119"/>
      <c r="L16" s="118" t="s">
        <v>184</v>
      </c>
      <c r="M16" s="120" t="s">
        <v>183</v>
      </c>
      <c r="N16" s="116"/>
    </row>
    <row r="17" spans="2:14" ht="13.5" thickBot="1" x14ac:dyDescent="0.25">
      <c r="B17" s="61"/>
      <c r="C17" s="70" t="s">
        <v>92</v>
      </c>
      <c r="D17" s="79">
        <v>0</v>
      </c>
      <c r="E17" s="58"/>
      <c r="F17" s="57"/>
      <c r="K17" s="115"/>
      <c r="L17" s="114"/>
      <c r="M17" s="114"/>
      <c r="N17" s="113"/>
    </row>
    <row r="18" spans="2:14" x14ac:dyDescent="0.2">
      <c r="B18" s="61"/>
      <c r="C18" s="70" t="s">
        <v>91</v>
      </c>
      <c r="D18" s="78" t="s">
        <v>90</v>
      </c>
      <c r="E18" s="58"/>
      <c r="F18" s="57"/>
    </row>
    <row r="19" spans="2:14" x14ac:dyDescent="0.2">
      <c r="B19" s="61"/>
      <c r="C19" s="70" t="s">
        <v>89</v>
      </c>
      <c r="D19" s="78"/>
      <c r="E19" s="58"/>
      <c r="F19" s="57"/>
    </row>
    <row r="20" spans="2:14" x14ac:dyDescent="0.2">
      <c r="B20" s="61"/>
      <c r="C20" s="70" t="s">
        <v>88</v>
      </c>
      <c r="D20" s="77" t="str">
        <f>Currency&amp;"TOY_SYNTH"&amp;IndexTenor&amp;"_Quote"</f>
        <v>USDTOY_SYNTH1M_Quote</v>
      </c>
      <c r="E20" s="76" t="str">
        <f>Currency&amp;"TOY2_SYNTH"&amp;IndexTenor&amp;"_Quote"</f>
        <v>USDTOY2_SYNTH1M_Quote</v>
      </c>
      <c r="F20" s="57"/>
    </row>
    <row r="21" spans="2:14" x14ac:dyDescent="0.2">
      <c r="B21" s="61"/>
      <c r="C21" s="70" t="s">
        <v>87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14" x14ac:dyDescent="0.2">
      <c r="B22" s="61"/>
      <c r="C22" s="70" t="s">
        <v>86</v>
      </c>
      <c r="D22" s="73">
        <f>_xll.qlQuoteValue(D20,Trigger)</f>
        <v>1</v>
      </c>
      <c r="E22" s="72">
        <f>_xll.qlQuoteValue(E20,Trigger)</f>
        <v>1</v>
      </c>
      <c r="F22" s="57"/>
    </row>
    <row r="23" spans="2:14" x14ac:dyDescent="0.2">
      <c r="B23" s="61"/>
      <c r="C23" s="70" t="s">
        <v>85</v>
      </c>
      <c r="D23" s="71">
        <v>1E-4</v>
      </c>
      <c r="E23" s="58"/>
      <c r="F23" s="57"/>
    </row>
    <row r="24" spans="2:14" x14ac:dyDescent="0.2">
      <c r="B24" s="61"/>
      <c r="C24" s="70" t="s">
        <v>84</v>
      </c>
      <c r="D24" s="69" t="s">
        <v>83</v>
      </c>
      <c r="E24" s="58"/>
      <c r="F24" s="57"/>
    </row>
    <row r="25" spans="2:14" x14ac:dyDescent="0.2">
      <c r="B25" s="61"/>
      <c r="C25" s="68" t="s">
        <v>82</v>
      </c>
      <c r="D25" s="67" t="s">
        <v>81</v>
      </c>
      <c r="E25" s="58"/>
      <c r="F25" s="57"/>
    </row>
    <row r="26" spans="2:14" x14ac:dyDescent="0.2">
      <c r="B26" s="61"/>
      <c r="C26" s="66"/>
      <c r="D26" s="66"/>
      <c r="E26" s="58"/>
      <c r="F26" s="57"/>
    </row>
    <row r="27" spans="2:14" x14ac:dyDescent="0.2">
      <c r="B27" s="61"/>
      <c r="C27" s="65">
        <f>_xll.qlTermStructureReferenceDate(YieldCurve)</f>
        <v>41684</v>
      </c>
      <c r="D27" s="64">
        <f>MAX(_xll.ohPack(Selected!I1:I126))</f>
        <v>1</v>
      </c>
      <c r="E27" s="58"/>
      <c r="F27" s="57"/>
    </row>
    <row r="28" spans="2:14" x14ac:dyDescent="0.2">
      <c r="B28" s="61"/>
      <c r="C28" s="63">
        <f>MAX(_xll.ohPack(Selected!H2:H126))</f>
        <v>59950</v>
      </c>
      <c r="D28" s="62">
        <f>MIN(_xll.ohPack(Selected!I1:I126))</f>
        <v>0.16368928964546794</v>
      </c>
      <c r="E28" s="58"/>
      <c r="F28" s="57"/>
    </row>
    <row r="29" spans="2:14" x14ac:dyDescent="0.2">
      <c r="B29" s="61"/>
      <c r="C29" s="60" t="s">
        <v>72</v>
      </c>
      <c r="D29" s="59" t="str">
        <f>_xll.ohRangeRetrieveError(Selected!I1)</f>
        <v/>
      </c>
      <c r="E29" s="58"/>
      <c r="F29" s="57"/>
    </row>
    <row r="30" spans="2:14" ht="14.25" customHeight="1" thickBot="1" x14ac:dyDescent="0.25">
      <c r="B30" s="56"/>
      <c r="C30" s="55"/>
      <c r="D30" s="55"/>
      <c r="E30" s="55"/>
      <c r="F30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7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69" t="s">
        <v>71</v>
      </c>
      <c r="C1" s="170"/>
      <c r="D1" s="171"/>
      <c r="E1" s="31" t="s">
        <v>70</v>
      </c>
      <c r="F1" s="31" t="s">
        <v>69</v>
      </c>
      <c r="G1" s="31" t="s">
        <v>68</v>
      </c>
      <c r="H1" s="31" t="s">
        <v>67</v>
      </c>
      <c r="I1" s="31" t="s">
        <v>66</v>
      </c>
      <c r="J1" s="31" t="s">
        <v>65</v>
      </c>
      <c r="K1" s="31" t="s">
        <v>64</v>
      </c>
      <c r="L1" s="31" t="s">
        <v>63</v>
      </c>
    </row>
    <row r="2" spans="2:14" x14ac:dyDescent="0.2">
      <c r="B2" s="30"/>
      <c r="C2" s="15"/>
      <c r="D2" s="14" t="s">
        <v>62</v>
      </c>
      <c r="E2" s="14" t="str">
        <f>'1M_Deposits'!F3</f>
        <v>USD_YC1MRH_SND#0000</v>
      </c>
      <c r="F2" s="13">
        <f>_xll.qlRateHelperQuoteValue($E2,Trigger)</f>
        <v>1.9589999999999998E-3</v>
      </c>
      <c r="G2" s="13"/>
      <c r="H2" s="12" t="b">
        <v>0</v>
      </c>
      <c r="I2" s="12">
        <v>10</v>
      </c>
      <c r="J2" s="12">
        <v>1</v>
      </c>
      <c r="K2" s="11">
        <f>_xll.qlRateHelperEarliestDate($E2,Trigger)</f>
        <v>41688</v>
      </c>
      <c r="L2" s="10">
        <f>_xll.qlRateHelperLatestDate($E2,Trigger)</f>
        <v>41689</v>
      </c>
      <c r="M2" s="1">
        <v>30</v>
      </c>
      <c r="N2" s="1" t="s">
        <v>61</v>
      </c>
    </row>
    <row r="3" spans="2:14" x14ac:dyDescent="0.2">
      <c r="B3" s="30"/>
      <c r="C3" s="15"/>
      <c r="D3" s="14" t="s">
        <v>60</v>
      </c>
      <c r="E3" s="14" t="str">
        <f>'1M_Deposits'!F4</f>
        <v>USD_YC1MRH_SWD#0000</v>
      </c>
      <c r="F3" s="13">
        <f>_xll.qlRateHelperQuoteValue($E3,Trigger)</f>
        <v>1.954E-3</v>
      </c>
      <c r="G3" s="13"/>
      <c r="H3" s="12" t="b">
        <v>0</v>
      </c>
      <c r="I3" s="12">
        <v>10</v>
      </c>
      <c r="J3" s="12">
        <v>1</v>
      </c>
      <c r="K3" s="11">
        <f>_xll.qlRateHelperEarliestDate($E3,Trigger)</f>
        <v>41688</v>
      </c>
      <c r="L3" s="10">
        <f>_xll.qlRateHelperLatestDate($E3,Trigger)</f>
        <v>41695</v>
      </c>
      <c r="M3" s="1">
        <v>40</v>
      </c>
      <c r="N3" s="1" t="s">
        <v>59</v>
      </c>
    </row>
    <row r="4" spans="2:14" x14ac:dyDescent="0.2">
      <c r="B4" s="30"/>
      <c r="C4" s="15"/>
      <c r="D4" s="14" t="s">
        <v>58</v>
      </c>
      <c r="E4" s="14" t="str">
        <f>'1M_Deposits'!F5</f>
        <v>USD_YC1MRH_2WD#0000</v>
      </c>
      <c r="F4" s="13">
        <f>_xll.qlRateHelperQuoteValue($E4,Trigger)</f>
        <v>1.939E-3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41688</v>
      </c>
      <c r="L4" s="10">
        <f>_xll.qlRateHelperLatestDate($E4,Trigger)</f>
        <v>41702</v>
      </c>
      <c r="M4" s="1">
        <v>50</v>
      </c>
      <c r="N4" s="1" t="s">
        <v>57</v>
      </c>
    </row>
    <row r="5" spans="2:14" x14ac:dyDescent="0.2">
      <c r="B5" s="30"/>
      <c r="C5" s="15"/>
      <c r="D5" s="14" t="s">
        <v>56</v>
      </c>
      <c r="E5" s="14" t="str">
        <f>'1M_Deposits'!F6</f>
        <v>USD_YC1MRH_3WD#0000</v>
      </c>
      <c r="F5" s="13">
        <f>_xll.qlRateHelperQuoteValue($E5,Trigger)</f>
        <v>1.923E-3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41688</v>
      </c>
      <c r="L5" s="10">
        <f>_xll.qlRateHelperLatestDate($E5,Trigger)</f>
        <v>41709</v>
      </c>
      <c r="M5" s="1">
        <v>60</v>
      </c>
      <c r="N5" s="1" t="s">
        <v>55</v>
      </c>
    </row>
    <row r="6" spans="2:14" x14ac:dyDescent="0.2">
      <c r="B6" s="30"/>
      <c r="C6" s="15"/>
      <c r="D6" s="14" t="s">
        <v>54</v>
      </c>
      <c r="E6" s="14" t="str">
        <f>'1M_Deposits'!F7</f>
        <v>USD_YC1MRH_1MD#0000</v>
      </c>
      <c r="F6" s="13">
        <f>_xll.qlRateHelperQuoteValue($E6,Trigger)</f>
        <v>1.915E-3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41688</v>
      </c>
      <c r="L6" s="10">
        <f>_xll.qlRateHelperLatestDate($E6,Trigger)</f>
        <v>41716</v>
      </c>
      <c r="M6" s="1">
        <v>70</v>
      </c>
      <c r="N6" s="1" t="s">
        <v>53</v>
      </c>
    </row>
    <row r="7" spans="2:14" hidden="1" x14ac:dyDescent="0.2">
      <c r="B7" s="30"/>
      <c r="C7" s="15"/>
      <c r="D7" s="14" t="s">
        <v>52</v>
      </c>
      <c r="E7" s="14" t="str">
        <f t="shared" ref="E7:E31" si="0">RateHelperPrefix&amp;"_"&amp;$B7&amp;$C7&amp;$D7</f>
        <v>USD_YC1MRH_2MD</v>
      </c>
      <c r="F7" s="13" t="e">
        <f>_xll.qlRateHelperQuoteValue($E7,Trigger)</f>
        <v>#NUM!</v>
      </c>
      <c r="G7" s="13"/>
      <c r="H7" s="12" t="b">
        <v>0</v>
      </c>
      <c r="I7" s="12">
        <v>10</v>
      </c>
      <c r="J7" s="12">
        <v>1</v>
      </c>
      <c r="K7" s="11" t="e">
        <f>_xll.qlRateHelperEarliestDate($E7,Trigger)</f>
        <v>#NUM!</v>
      </c>
      <c r="L7" s="10" t="e">
        <f>_xll.qlRateHelperLatestDate($E7,Trigger)</f>
        <v>#NUM!</v>
      </c>
    </row>
    <row r="8" spans="2:14" hidden="1" x14ac:dyDescent="0.2">
      <c r="B8" s="30"/>
      <c r="C8" s="15"/>
      <c r="D8" s="14" t="s">
        <v>51</v>
      </c>
      <c r="E8" s="14" t="str">
        <f t="shared" si="0"/>
        <v>USD_YC1MRH_3MD</v>
      </c>
      <c r="F8" s="13" t="e">
        <f>_xll.qlRateHelperQuoteValue($E8,Trigger)</f>
        <v>#NUM!</v>
      </c>
      <c r="G8" s="13"/>
      <c r="H8" s="12" t="b">
        <v>0</v>
      </c>
      <c r="I8" s="12">
        <v>10</v>
      </c>
      <c r="J8" s="12">
        <v>1</v>
      </c>
      <c r="K8" s="11" t="e">
        <f>_xll.qlRateHelperEarliestDate($E8,Trigger)</f>
        <v>#NUM!</v>
      </c>
      <c r="L8" s="10" t="e">
        <f>_xll.qlRateHelperLatestDate($E8,Trigger)</f>
        <v>#NUM!</v>
      </c>
    </row>
    <row r="9" spans="2:14" hidden="1" x14ac:dyDescent="0.2">
      <c r="B9" s="30"/>
      <c r="C9" s="15"/>
      <c r="D9" s="14" t="s">
        <v>50</v>
      </c>
      <c r="E9" s="14" t="str">
        <f t="shared" si="0"/>
        <v>USD_YC1MRH_4MD</v>
      </c>
      <c r="F9" s="13" t="e">
        <f>_xll.qlRateHelperQuoteValue($E9,Trigger)</f>
        <v>#NUM!</v>
      </c>
      <c r="G9" s="13"/>
      <c r="H9" s="12" t="b">
        <v>0</v>
      </c>
      <c r="I9" s="12">
        <v>10</v>
      </c>
      <c r="J9" s="12">
        <v>1</v>
      </c>
      <c r="K9" s="11" t="e">
        <f>_xll.qlRateHelperEarliestDate($E9,Trigger)</f>
        <v>#NUM!</v>
      </c>
      <c r="L9" s="10" t="e">
        <f>_xll.qlRateHelperLatestDate($E9,Trigger)</f>
        <v>#NUM!</v>
      </c>
      <c r="M9" s="1">
        <v>7</v>
      </c>
    </row>
    <row r="10" spans="2:14" hidden="1" x14ac:dyDescent="0.2">
      <c r="B10" s="30"/>
      <c r="C10" s="15"/>
      <c r="D10" s="14" t="s">
        <v>49</v>
      </c>
      <c r="E10" s="14" t="str">
        <f t="shared" si="0"/>
        <v>USD_YC1MRH_5MD</v>
      </c>
      <c r="F10" s="13" t="e">
        <f>_xll.qlRateHelperQuoteValue($E10,Trigger)</f>
        <v>#NUM!</v>
      </c>
      <c r="G10" s="13"/>
      <c r="H10" s="12" t="b">
        <v>0</v>
      </c>
      <c r="I10" s="12">
        <v>10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hidden="1" x14ac:dyDescent="0.2">
      <c r="B11" s="30"/>
      <c r="C11" s="15"/>
      <c r="D11" s="14" t="s">
        <v>48</v>
      </c>
      <c r="E11" s="14" t="str">
        <f t="shared" si="0"/>
        <v>USD_YC1MRH_6MD</v>
      </c>
      <c r="F11" s="13" t="e">
        <f>_xll.qlRateHelperQuoteValue($E11,Trigger)</f>
        <v>#NUM!</v>
      </c>
      <c r="G11" s="13"/>
      <c r="H11" s="12" t="b">
        <v>0</v>
      </c>
      <c r="I11" s="12">
        <v>70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hidden="1" x14ac:dyDescent="0.2">
      <c r="B12" s="30"/>
      <c r="C12" s="15"/>
      <c r="D12" s="14" t="s">
        <v>47</v>
      </c>
      <c r="E12" s="14" t="str">
        <f t="shared" si="0"/>
        <v>USD_YC1MRH_9MD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hidden="1" x14ac:dyDescent="0.2">
      <c r="B13" s="29"/>
      <c r="C13" s="8"/>
      <c r="D13" s="7" t="s">
        <v>46</v>
      </c>
      <c r="E13" s="7" t="str">
        <f t="shared" si="0"/>
        <v>USD_YC1MRH_1YD</v>
      </c>
      <c r="F13" s="6" t="e">
        <f>_xll.qlRateHelperQuoteValue($E13,Trigger)</f>
        <v>#NUM!</v>
      </c>
      <c r="G13" s="6"/>
      <c r="H13" s="5" t="b">
        <v>0</v>
      </c>
      <c r="I13" s="5">
        <v>10</v>
      </c>
      <c r="J13" s="5">
        <v>1</v>
      </c>
      <c r="K13" s="4" t="e">
        <f>_xll.qlRateHelperEarliestDate($E13,Trigger)</f>
        <v>#NUM!</v>
      </c>
      <c r="L13" s="3" t="e">
        <f>_xll.qlRateHelperLatestDate($E13,Trigger)</f>
        <v>#NUM!</v>
      </c>
    </row>
    <row r="14" spans="2:14" hidden="1" x14ac:dyDescent="0.2">
      <c r="B14" s="24" t="s">
        <v>45</v>
      </c>
      <c r="C14" s="23">
        <f>Months</f>
        <v>1</v>
      </c>
      <c r="D14" s="21" t="s">
        <v>43</v>
      </c>
      <c r="E14" s="21" t="str">
        <f t="shared" si="0"/>
        <v>USD_YC1MRH_T1F1</v>
      </c>
      <c r="F14" s="20" t="e">
        <f>_xll.qlRateHelperQuoteValue($E14,Trigger)</f>
        <v>#NUM!</v>
      </c>
      <c r="G14" s="20"/>
      <c r="H14" s="19" t="b">
        <v>0</v>
      </c>
      <c r="I14" s="19">
        <v>20</v>
      </c>
      <c r="J14" s="19">
        <v>7</v>
      </c>
      <c r="K14" s="18" t="e">
        <f>_xll.qlRateHelperEarliestDate($E14,Trigger)</f>
        <v>#NUM!</v>
      </c>
      <c r="L14" s="17" t="e">
        <f>_xll.qlRateHelperLatestDate($E14,Trigger)</f>
        <v>#NUM!</v>
      </c>
    </row>
    <row r="15" spans="2:14" hidden="1" x14ac:dyDescent="0.2">
      <c r="B15" s="9" t="s">
        <v>44</v>
      </c>
      <c r="C15" s="8">
        <f>Months</f>
        <v>1</v>
      </c>
      <c r="D15" s="7" t="s">
        <v>43</v>
      </c>
      <c r="E15" s="7" t="str">
        <f t="shared" si="0"/>
        <v>USD_YC1MRH_TOM1F1</v>
      </c>
      <c r="F15" s="6" t="e">
        <f>_xll.qlRateHelperQuoteValue($E15,Trigger)</f>
        <v>#NUM!</v>
      </c>
      <c r="G15" s="6"/>
      <c r="H15" s="5" t="b">
        <v>0</v>
      </c>
      <c r="I15" s="5">
        <v>20</v>
      </c>
      <c r="J15" s="5">
        <v>7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hidden="1" x14ac:dyDescent="0.2">
      <c r="B16" s="16">
        <v>1</v>
      </c>
      <c r="C16" s="15" t="s">
        <v>42</v>
      </c>
      <c r="D16" s="14" t="str">
        <f t="shared" ref="D16:D33" si="1">(B16+Months)&amp;"F"</f>
        <v>2F</v>
      </c>
      <c r="E16" s="14" t="str">
        <f t="shared" si="0"/>
        <v>USD_YC1MRH_1x2F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2:12" hidden="1" x14ac:dyDescent="0.2">
      <c r="B17" s="16">
        <v>2</v>
      </c>
      <c r="C17" s="15" t="s">
        <v>42</v>
      </c>
      <c r="D17" s="14" t="str">
        <f t="shared" si="1"/>
        <v>3F</v>
      </c>
      <c r="E17" s="14" t="str">
        <f t="shared" si="0"/>
        <v>USD_YC1MRH_2x3F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2:12" hidden="1" x14ac:dyDescent="0.2">
      <c r="B18" s="16">
        <v>3</v>
      </c>
      <c r="C18" s="15" t="s">
        <v>42</v>
      </c>
      <c r="D18" s="14" t="str">
        <f t="shared" si="1"/>
        <v>4F</v>
      </c>
      <c r="E18" s="14" t="str">
        <f t="shared" si="0"/>
        <v>USD_YC1MRH_3x4F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hidden="1" x14ac:dyDescent="0.2">
      <c r="B19" s="16">
        <v>4</v>
      </c>
      <c r="C19" s="15" t="s">
        <v>42</v>
      </c>
      <c r="D19" s="14" t="str">
        <f t="shared" si="1"/>
        <v>5F</v>
      </c>
      <c r="E19" s="14" t="str">
        <f t="shared" si="0"/>
        <v>USD_YC1MRH_4x5F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hidden="1" x14ac:dyDescent="0.2">
      <c r="B20" s="16">
        <v>5</v>
      </c>
      <c r="C20" s="15" t="s">
        <v>42</v>
      </c>
      <c r="D20" s="14" t="str">
        <f t="shared" si="1"/>
        <v>6F</v>
      </c>
      <c r="E20" s="14" t="str">
        <f t="shared" si="0"/>
        <v>USD_YC1MRH_5x6F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hidden="1" x14ac:dyDescent="0.2">
      <c r="B21" s="16">
        <v>6</v>
      </c>
      <c r="C21" s="15" t="s">
        <v>42</v>
      </c>
      <c r="D21" s="14" t="str">
        <f t="shared" si="1"/>
        <v>7F</v>
      </c>
      <c r="E21" s="14" t="str">
        <f t="shared" si="0"/>
        <v>USD_YC1MRH_6x7F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hidden="1" x14ac:dyDescent="0.2">
      <c r="B22" s="16">
        <v>7</v>
      </c>
      <c r="C22" s="15" t="s">
        <v>42</v>
      </c>
      <c r="D22" s="14" t="str">
        <f t="shared" si="1"/>
        <v>8F</v>
      </c>
      <c r="E22" s="14" t="str">
        <f t="shared" si="0"/>
        <v>USD_YC1MRH_7x8F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hidden="1" x14ac:dyDescent="0.2">
      <c r="B23" s="16">
        <v>8</v>
      </c>
      <c r="C23" s="15" t="s">
        <v>42</v>
      </c>
      <c r="D23" s="14" t="str">
        <f t="shared" si="1"/>
        <v>9F</v>
      </c>
      <c r="E23" s="14" t="str">
        <f t="shared" si="0"/>
        <v>USD_YC1MRH_8x9F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hidden="1" x14ac:dyDescent="0.2">
      <c r="B24" s="16">
        <v>9</v>
      </c>
      <c r="C24" s="15" t="s">
        <v>42</v>
      </c>
      <c r="D24" s="14" t="str">
        <f t="shared" si="1"/>
        <v>10F</v>
      </c>
      <c r="E24" s="14" t="str">
        <f t="shared" si="0"/>
        <v>USD_YC1MRH_9x10F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hidden="1" x14ac:dyDescent="0.2">
      <c r="B25" s="16">
        <v>10</v>
      </c>
      <c r="C25" s="15" t="s">
        <v>42</v>
      </c>
      <c r="D25" s="14" t="str">
        <f t="shared" si="1"/>
        <v>11F</v>
      </c>
      <c r="E25" s="14" t="str">
        <f t="shared" si="0"/>
        <v>USD_YC1MRH_10x11F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hidden="1" x14ac:dyDescent="0.2">
      <c r="B26" s="16">
        <v>11</v>
      </c>
      <c r="C26" s="15" t="s">
        <v>42</v>
      </c>
      <c r="D26" s="14" t="str">
        <f t="shared" si="1"/>
        <v>12F</v>
      </c>
      <c r="E26" s="14" t="str">
        <f t="shared" si="0"/>
        <v>USD_YC1MRH_11x12F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hidden="1" x14ac:dyDescent="0.2">
      <c r="B27" s="16">
        <v>12</v>
      </c>
      <c r="C27" s="15" t="s">
        <v>42</v>
      </c>
      <c r="D27" s="14" t="str">
        <f t="shared" si="1"/>
        <v>13F</v>
      </c>
      <c r="E27" s="14" t="str">
        <f t="shared" si="0"/>
        <v>USD_YC1MRH_12x13F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7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hidden="1" x14ac:dyDescent="0.2">
      <c r="B28" s="16">
        <v>13</v>
      </c>
      <c r="C28" s="15" t="s">
        <v>42</v>
      </c>
      <c r="D28" s="14" t="str">
        <f t="shared" si="1"/>
        <v>14F</v>
      </c>
      <c r="E28" s="14" t="str">
        <f t="shared" si="0"/>
        <v>USD_YC1MRH_13x14F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7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hidden="1" x14ac:dyDescent="0.2">
      <c r="B29" s="16">
        <v>14</v>
      </c>
      <c r="C29" s="15" t="s">
        <v>42</v>
      </c>
      <c r="D29" s="14" t="str">
        <f t="shared" si="1"/>
        <v>15F</v>
      </c>
      <c r="E29" s="14" t="str">
        <f t="shared" si="0"/>
        <v>USD_YC1MRH_14x15F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7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hidden="1" x14ac:dyDescent="0.2">
      <c r="B30" s="16">
        <v>15</v>
      </c>
      <c r="C30" s="15" t="s">
        <v>42</v>
      </c>
      <c r="D30" s="14" t="str">
        <f t="shared" si="1"/>
        <v>16F</v>
      </c>
      <c r="E30" s="14" t="str">
        <f t="shared" si="0"/>
        <v>USD_YC1MRH_15x16F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7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hidden="1" x14ac:dyDescent="0.2">
      <c r="B31" s="16">
        <v>16</v>
      </c>
      <c r="C31" s="15" t="s">
        <v>42</v>
      </c>
      <c r="D31" s="14" t="str">
        <f t="shared" si="1"/>
        <v>17F</v>
      </c>
      <c r="E31" s="14" t="str">
        <f t="shared" si="0"/>
        <v>USD_YC1MRH_16x17F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7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hidden="1" x14ac:dyDescent="0.2">
      <c r="B32" s="16">
        <v>17</v>
      </c>
      <c r="C32" s="15" t="s">
        <v>42</v>
      </c>
      <c r="D32" s="14" t="str">
        <f t="shared" si="1"/>
        <v>18F</v>
      </c>
      <c r="E32" s="14" t="str">
        <f t="shared" ref="E32:E63" si="2">RateHelperPrefix&amp;"_"&amp;$B32&amp;$C32&amp;$D32</f>
        <v>USD_YC1MRH_17x18F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7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hidden="1" x14ac:dyDescent="0.2">
      <c r="B33" s="9">
        <v>18</v>
      </c>
      <c r="C33" s="8" t="s">
        <v>42</v>
      </c>
      <c r="D33" s="7" t="str">
        <f t="shared" si="1"/>
        <v>19F</v>
      </c>
      <c r="E33" s="7" t="str">
        <f t="shared" si="2"/>
        <v>USD_YC1MRH_18x19F</v>
      </c>
      <c r="F33" s="6" t="e">
        <f>_xll.qlRateHelperQuoteValue($E33,Trigger)</f>
        <v>#NUM!</v>
      </c>
      <c r="G33" s="6"/>
      <c r="H33" s="5" t="b">
        <v>0</v>
      </c>
      <c r="I33" s="5">
        <v>20</v>
      </c>
      <c r="J33" s="5">
        <v>7</v>
      </c>
      <c r="K33" s="4" t="e">
        <f>_xll.qlRateHelperEarliestDate($E33,Trigger)</f>
        <v>#NUM!</v>
      </c>
      <c r="L33" s="3" t="e">
        <f>_xll.qlRateHelperLatestDate($E33,Trigger)</f>
        <v>#NUM!</v>
      </c>
    </row>
    <row r="34" spans="1:12" ht="11.25" hidden="1" customHeight="1" x14ac:dyDescent="0.2">
      <c r="A34" s="23" t="b">
        <v>0</v>
      </c>
      <c r="B34" s="16"/>
      <c r="C34" s="15" t="str">
        <f t="shared" ref="C34:C75" si="3">IF(IndexTenor="6M","IMMFRA","FUT")&amp;IndexTenor</f>
        <v>FUT1M</v>
      </c>
      <c r="D34" s="14" t="str">
        <f t="array" ref="D34:D75">_xll.qlIMMNextCodes(_xll.qlSettingsEvaluationDate(Trigger)-1,$A34:$A75)</f>
        <v>G4</v>
      </c>
      <c r="E34" s="14" t="str">
        <f t="shared" si="2"/>
        <v>USD_YC1MRH_FUT1MG4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hidden="1" x14ac:dyDescent="0.2">
      <c r="A35" s="15" t="b">
        <v>0</v>
      </c>
      <c r="B35" s="16"/>
      <c r="C35" s="15" t="str">
        <f t="shared" si="3"/>
        <v>FUT1M</v>
      </c>
      <c r="D35" s="14" t="str">
        <v>H4</v>
      </c>
      <c r="E35" s="14" t="str">
        <f t="shared" si="2"/>
        <v>USD_YC1MRH_FUT1MH4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hidden="1" x14ac:dyDescent="0.2">
      <c r="A36" s="15" t="b">
        <v>0</v>
      </c>
      <c r="B36" s="16"/>
      <c r="C36" s="15" t="str">
        <f t="shared" si="3"/>
        <v>FUT1M</v>
      </c>
      <c r="D36" s="14" t="str">
        <v>J4</v>
      </c>
      <c r="E36" s="14" t="str">
        <f t="shared" si="2"/>
        <v>USD_YC1MRH_FUT1MJ4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hidden="1" x14ac:dyDescent="0.2">
      <c r="A37" s="15" t="b">
        <v>0</v>
      </c>
      <c r="B37" s="16"/>
      <c r="C37" s="15" t="str">
        <f t="shared" si="3"/>
        <v>FUT1M</v>
      </c>
      <c r="D37" s="14" t="str">
        <v>K4</v>
      </c>
      <c r="E37" s="14" t="str">
        <f t="shared" si="2"/>
        <v>USD_YC1MRH_FUT1MK4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hidden="1" x14ac:dyDescent="0.2">
      <c r="A38" s="15" t="b">
        <v>0</v>
      </c>
      <c r="B38" s="16"/>
      <c r="C38" s="15" t="str">
        <f t="shared" si="3"/>
        <v>FUT1M</v>
      </c>
      <c r="D38" s="14" t="str">
        <v>M4</v>
      </c>
      <c r="E38" s="14" t="str">
        <f t="shared" si="2"/>
        <v>USD_YC1MRH_FUT1MM4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hidden="1" x14ac:dyDescent="0.2">
      <c r="A39" s="15" t="b">
        <v>0</v>
      </c>
      <c r="B39" s="16"/>
      <c r="C39" s="15" t="str">
        <f t="shared" si="3"/>
        <v>FUT1M</v>
      </c>
      <c r="D39" s="14" t="str">
        <v>N4</v>
      </c>
      <c r="E39" s="14" t="str">
        <f t="shared" si="2"/>
        <v>USD_YC1MRH_FUT1MN4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hidden="1" x14ac:dyDescent="0.2">
      <c r="A40" s="15" t="b">
        <v>0</v>
      </c>
      <c r="B40" s="16"/>
      <c r="C40" s="15" t="str">
        <f t="shared" si="3"/>
        <v>FUT1M</v>
      </c>
      <c r="D40" s="14" t="str">
        <v>Q4</v>
      </c>
      <c r="E40" s="14" t="str">
        <f t="shared" si="2"/>
        <v>USD_YC1MRH_FUT1MQ4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hidden="1" x14ac:dyDescent="0.2">
      <c r="A41" s="15" t="b">
        <v>0</v>
      </c>
      <c r="B41" s="16"/>
      <c r="C41" s="15" t="str">
        <f t="shared" si="3"/>
        <v>FUT1M</v>
      </c>
      <c r="D41" s="14" t="str">
        <v>U4</v>
      </c>
      <c r="E41" s="14" t="str">
        <f t="shared" si="2"/>
        <v>USD_YC1MRH_FUT1MU4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hidden="1" x14ac:dyDescent="0.2">
      <c r="A42" s="15" t="b">
        <v>0</v>
      </c>
      <c r="B42" s="16"/>
      <c r="C42" s="15" t="str">
        <f t="shared" si="3"/>
        <v>FUT1M</v>
      </c>
      <c r="D42" s="14" t="str">
        <v>V4</v>
      </c>
      <c r="E42" s="14" t="str">
        <f t="shared" si="2"/>
        <v>USD_YC1MRH_FUT1MV4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hidden="1" x14ac:dyDescent="0.2">
      <c r="A43" s="15" t="b">
        <v>0</v>
      </c>
      <c r="B43" s="16"/>
      <c r="C43" s="15" t="str">
        <f t="shared" si="3"/>
        <v>FUT1M</v>
      </c>
      <c r="D43" s="14" t="str">
        <v>X4</v>
      </c>
      <c r="E43" s="14" t="str">
        <f t="shared" si="2"/>
        <v>USD_YC1MRH_FUT1MX4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hidden="1" x14ac:dyDescent="0.2">
      <c r="A44" s="15" t="b">
        <v>0</v>
      </c>
      <c r="B44" s="16"/>
      <c r="C44" s="15" t="str">
        <f t="shared" si="3"/>
        <v>FUT1M</v>
      </c>
      <c r="D44" s="14" t="str">
        <v>Z4</v>
      </c>
      <c r="E44" s="14" t="str">
        <f t="shared" si="2"/>
        <v>USD_YC1MRH_FUT1MZ4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hidden="1" x14ac:dyDescent="0.2">
      <c r="A45" s="15" t="b">
        <v>0</v>
      </c>
      <c r="B45" s="16"/>
      <c r="C45" s="15" t="str">
        <f t="shared" si="3"/>
        <v>FUT1M</v>
      </c>
      <c r="D45" s="14" t="str">
        <v>F5</v>
      </c>
      <c r="E45" s="14" t="str">
        <f t="shared" si="2"/>
        <v>USD_YC1MRH_FUT1MF5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hidden="1" x14ac:dyDescent="0.2">
      <c r="A46" s="15" t="b">
        <v>1</v>
      </c>
      <c r="B46" s="16"/>
      <c r="C46" s="15" t="str">
        <f t="shared" si="3"/>
        <v>FUT1M</v>
      </c>
      <c r="D46" s="14" t="str">
        <v>H5</v>
      </c>
      <c r="E46" s="14" t="str">
        <f t="shared" si="2"/>
        <v>USD_YC1MRH_FUT1MH5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hidden="1" x14ac:dyDescent="0.2">
      <c r="A47" s="15" t="b">
        <v>1</v>
      </c>
      <c r="B47" s="16"/>
      <c r="C47" s="15" t="str">
        <f t="shared" si="3"/>
        <v>FUT1M</v>
      </c>
      <c r="D47" s="14" t="str">
        <v>M5</v>
      </c>
      <c r="E47" s="14" t="str">
        <f t="shared" si="2"/>
        <v>USD_YC1MRH_FUT1MM5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hidden="1" x14ac:dyDescent="0.2">
      <c r="A48" s="15" t="b">
        <v>1</v>
      </c>
      <c r="B48" s="16"/>
      <c r="C48" s="15" t="str">
        <f t="shared" si="3"/>
        <v>FUT1M</v>
      </c>
      <c r="D48" s="14" t="str">
        <v>U5</v>
      </c>
      <c r="E48" s="14" t="str">
        <f t="shared" si="2"/>
        <v>USD_YC1MRH_FUT1MU5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hidden="1" x14ac:dyDescent="0.2">
      <c r="A49" s="15" t="b">
        <v>1</v>
      </c>
      <c r="B49" s="16"/>
      <c r="C49" s="15" t="str">
        <f t="shared" si="3"/>
        <v>FUT1M</v>
      </c>
      <c r="D49" s="14" t="str">
        <v>Z5</v>
      </c>
      <c r="E49" s="14" t="str">
        <f t="shared" si="2"/>
        <v>USD_YC1MRH_FUT1MZ5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hidden="1" x14ac:dyDescent="0.2">
      <c r="A50" s="15" t="b">
        <v>1</v>
      </c>
      <c r="B50" s="16"/>
      <c r="C50" s="15" t="str">
        <f t="shared" si="3"/>
        <v>FUT1M</v>
      </c>
      <c r="D50" s="14" t="str">
        <v>H6</v>
      </c>
      <c r="E50" s="14" t="str">
        <f t="shared" si="2"/>
        <v>USD_YC1MRH_FUT1MH6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hidden="1" x14ac:dyDescent="0.2">
      <c r="A51" s="15" t="b">
        <v>1</v>
      </c>
      <c r="B51" s="16"/>
      <c r="C51" s="15" t="str">
        <f t="shared" si="3"/>
        <v>FUT1M</v>
      </c>
      <c r="D51" s="14" t="str">
        <v>M6</v>
      </c>
      <c r="E51" s="14" t="str">
        <f t="shared" si="2"/>
        <v>USD_YC1MRH_FUT1MM6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hidden="1" x14ac:dyDescent="0.2">
      <c r="A52" s="15" t="b">
        <v>1</v>
      </c>
      <c r="B52" s="16"/>
      <c r="C52" s="15" t="str">
        <f t="shared" si="3"/>
        <v>FUT1M</v>
      </c>
      <c r="D52" s="14" t="str">
        <v>U6</v>
      </c>
      <c r="E52" s="14" t="str">
        <f t="shared" si="2"/>
        <v>USD_YC1MRH_FUT1MU6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hidden="1" x14ac:dyDescent="0.2">
      <c r="A53" s="15" t="b">
        <v>1</v>
      </c>
      <c r="B53" s="16"/>
      <c r="C53" s="15" t="str">
        <f t="shared" si="3"/>
        <v>FUT1M</v>
      </c>
      <c r="D53" s="14" t="str">
        <v>Z6</v>
      </c>
      <c r="E53" s="14" t="str">
        <f t="shared" si="2"/>
        <v>USD_YC1MRH_FUT1MZ6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hidden="1" x14ac:dyDescent="0.2">
      <c r="A54" s="15" t="b">
        <v>1</v>
      </c>
      <c r="B54" s="16"/>
      <c r="C54" s="15" t="str">
        <f t="shared" si="3"/>
        <v>FUT1M</v>
      </c>
      <c r="D54" s="14" t="str">
        <v>H7</v>
      </c>
      <c r="E54" s="14" t="str">
        <f t="shared" si="2"/>
        <v>USD_YC1MRH_FUT1MH7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hidden="1" x14ac:dyDescent="0.2">
      <c r="A55" s="15" t="b">
        <v>1</v>
      </c>
      <c r="B55" s="16"/>
      <c r="C55" s="15" t="str">
        <f t="shared" si="3"/>
        <v>FUT1M</v>
      </c>
      <c r="D55" s="14" t="str">
        <v>M7</v>
      </c>
      <c r="E55" s="14" t="str">
        <f t="shared" si="2"/>
        <v>USD_YC1MRH_FUT1MM7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hidden="1" x14ac:dyDescent="0.2">
      <c r="A56" s="15" t="b">
        <v>1</v>
      </c>
      <c r="B56" s="16"/>
      <c r="C56" s="15" t="str">
        <f t="shared" si="3"/>
        <v>FUT1M</v>
      </c>
      <c r="D56" s="14" t="str">
        <v>U7</v>
      </c>
      <c r="E56" s="14" t="str">
        <f t="shared" si="2"/>
        <v>USD_YC1MRH_FUT1MU7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hidden="1" x14ac:dyDescent="0.2">
      <c r="A57" s="15" t="b">
        <v>1</v>
      </c>
      <c r="B57" s="16"/>
      <c r="C57" s="15" t="str">
        <f t="shared" si="3"/>
        <v>FUT1M</v>
      </c>
      <c r="D57" s="14" t="str">
        <v>Z7</v>
      </c>
      <c r="E57" s="14" t="str">
        <f t="shared" si="2"/>
        <v>USD_YC1MRH_FUT1MZ7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hidden="1" x14ac:dyDescent="0.2">
      <c r="A58" s="15" t="b">
        <v>1</v>
      </c>
      <c r="B58" s="16"/>
      <c r="C58" s="15" t="str">
        <f t="shared" si="3"/>
        <v>FUT1M</v>
      </c>
      <c r="D58" s="14" t="str">
        <v>H8</v>
      </c>
      <c r="E58" s="14" t="str">
        <f t="shared" si="2"/>
        <v>USD_YC1MRH_FUT1MH8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hidden="1" x14ac:dyDescent="0.2">
      <c r="A59" s="15" t="b">
        <v>1</v>
      </c>
      <c r="B59" s="16"/>
      <c r="C59" s="15" t="str">
        <f t="shared" si="3"/>
        <v>FUT1M</v>
      </c>
      <c r="D59" s="14" t="str">
        <v>M8</v>
      </c>
      <c r="E59" s="14" t="str">
        <f t="shared" si="2"/>
        <v>USD_YC1MRH_FUT1MM8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hidden="1" x14ac:dyDescent="0.2">
      <c r="A60" s="15" t="b">
        <v>1</v>
      </c>
      <c r="B60" s="16"/>
      <c r="C60" s="15" t="str">
        <f t="shared" si="3"/>
        <v>FUT1M</v>
      </c>
      <c r="D60" s="14" t="str">
        <v>U8</v>
      </c>
      <c r="E60" s="14" t="str">
        <f t="shared" si="2"/>
        <v>USD_YC1MRH_FUT1MU8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hidden="1" x14ac:dyDescent="0.2">
      <c r="A61" s="15" t="b">
        <v>1</v>
      </c>
      <c r="B61" s="16"/>
      <c r="C61" s="15" t="str">
        <f t="shared" si="3"/>
        <v>FUT1M</v>
      </c>
      <c r="D61" s="14" t="str">
        <v>Z8</v>
      </c>
      <c r="E61" s="14" t="str">
        <f t="shared" si="2"/>
        <v>USD_YC1MRH_FUT1MZ8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hidden="1" x14ac:dyDescent="0.2">
      <c r="A62" s="15" t="b">
        <v>1</v>
      </c>
      <c r="B62" s="16"/>
      <c r="C62" s="15" t="str">
        <f t="shared" si="3"/>
        <v>FUT1M</v>
      </c>
      <c r="D62" s="14" t="str">
        <v>H9</v>
      </c>
      <c r="E62" s="14" t="str">
        <f t="shared" si="2"/>
        <v>USD_YC1MRH_FUT1MH9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hidden="1" x14ac:dyDescent="0.2">
      <c r="A63" s="15" t="b">
        <v>1</v>
      </c>
      <c r="B63" s="16"/>
      <c r="C63" s="15" t="str">
        <f t="shared" si="3"/>
        <v>FUT1M</v>
      </c>
      <c r="D63" s="14" t="str">
        <v>M9</v>
      </c>
      <c r="E63" s="14" t="str">
        <f t="shared" si="2"/>
        <v>USD_YC1MRH_FUT1MM9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hidden="1" x14ac:dyDescent="0.2">
      <c r="A64" s="15" t="b">
        <v>1</v>
      </c>
      <c r="B64" s="16"/>
      <c r="C64" s="15" t="str">
        <f t="shared" si="3"/>
        <v>FUT1M</v>
      </c>
      <c r="D64" s="14" t="str">
        <v>U9</v>
      </c>
      <c r="E64" s="14" t="str">
        <f t="shared" ref="E64:E95" si="4">RateHelperPrefix&amp;"_"&amp;$B64&amp;$C64&amp;$D64</f>
        <v>USD_YC1MRH_FUT1MU9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hidden="1" x14ac:dyDescent="0.2">
      <c r="A65" s="15" t="b">
        <v>1</v>
      </c>
      <c r="B65" s="16"/>
      <c r="C65" s="15" t="str">
        <f t="shared" si="3"/>
        <v>FUT1M</v>
      </c>
      <c r="D65" s="14" t="str">
        <v>Z9</v>
      </c>
      <c r="E65" s="14" t="str">
        <f t="shared" si="4"/>
        <v>USD_YC1MRH_FUT1MZ9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hidden="1" x14ac:dyDescent="0.2">
      <c r="A66" s="15" t="b">
        <v>1</v>
      </c>
      <c r="B66" s="16"/>
      <c r="C66" s="15" t="str">
        <f t="shared" si="3"/>
        <v>FUT1M</v>
      </c>
      <c r="D66" s="14" t="str">
        <v>H0</v>
      </c>
      <c r="E66" s="14" t="str">
        <f t="shared" si="4"/>
        <v>USD_YC1MRH_FUT1MH0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hidden="1" x14ac:dyDescent="0.2">
      <c r="A67" s="15" t="b">
        <v>1</v>
      </c>
      <c r="B67" s="16"/>
      <c r="C67" s="15" t="str">
        <f t="shared" si="3"/>
        <v>FUT1M</v>
      </c>
      <c r="D67" s="14" t="str">
        <v>M0</v>
      </c>
      <c r="E67" s="14" t="str">
        <f t="shared" si="4"/>
        <v>USD_YC1MRH_FUT1MM0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hidden="1" x14ac:dyDescent="0.2">
      <c r="A68" s="15" t="b">
        <v>1</v>
      </c>
      <c r="B68" s="16"/>
      <c r="C68" s="15" t="str">
        <f t="shared" si="3"/>
        <v>FUT1M</v>
      </c>
      <c r="D68" s="14" t="str">
        <v>U0</v>
      </c>
      <c r="E68" s="14" t="str">
        <f t="shared" si="4"/>
        <v>USD_YC1MRH_FUT1MU0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hidden="1" x14ac:dyDescent="0.2">
      <c r="A69" s="15" t="b">
        <v>1</v>
      </c>
      <c r="B69" s="16"/>
      <c r="C69" s="15" t="str">
        <f t="shared" si="3"/>
        <v>FUT1M</v>
      </c>
      <c r="D69" s="14" t="str">
        <v>Z0</v>
      </c>
      <c r="E69" s="14" t="str">
        <f t="shared" si="4"/>
        <v>USD_YC1MRH_FUT1MZ0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hidden="1" x14ac:dyDescent="0.2">
      <c r="A70" s="15" t="b">
        <v>1</v>
      </c>
      <c r="B70" s="16"/>
      <c r="C70" s="15" t="str">
        <f t="shared" si="3"/>
        <v>FUT1M</v>
      </c>
      <c r="D70" s="14" t="str">
        <v>H1</v>
      </c>
      <c r="E70" s="14" t="str">
        <f t="shared" si="4"/>
        <v>USD_YC1MRH_FUT1MH1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hidden="1" x14ac:dyDescent="0.2">
      <c r="A71" s="15" t="b">
        <v>1</v>
      </c>
      <c r="B71" s="16"/>
      <c r="C71" s="15" t="str">
        <f t="shared" si="3"/>
        <v>FUT1M</v>
      </c>
      <c r="D71" s="14" t="str">
        <v>M1</v>
      </c>
      <c r="E71" s="14" t="str">
        <f t="shared" si="4"/>
        <v>USD_YC1MRH_FUT1MM1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hidden="1" x14ac:dyDescent="0.2">
      <c r="A72" s="15" t="b">
        <v>1</v>
      </c>
      <c r="B72" s="16"/>
      <c r="C72" s="15" t="str">
        <f t="shared" si="3"/>
        <v>FUT1M</v>
      </c>
      <c r="D72" s="14" t="str">
        <v>U1</v>
      </c>
      <c r="E72" s="14" t="str">
        <f t="shared" si="4"/>
        <v>USD_YC1MRH_FUT1MU1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hidden="1" x14ac:dyDescent="0.2">
      <c r="A73" s="15" t="b">
        <v>1</v>
      </c>
      <c r="B73" s="16"/>
      <c r="C73" s="15" t="str">
        <f t="shared" si="3"/>
        <v>FUT1M</v>
      </c>
      <c r="D73" s="14" t="str">
        <v>Z1</v>
      </c>
      <c r="E73" s="14" t="str">
        <f t="shared" si="4"/>
        <v>USD_YC1MRH_FUT1MZ1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hidden="1" x14ac:dyDescent="0.2">
      <c r="A74" s="15" t="b">
        <v>1</v>
      </c>
      <c r="B74" s="16"/>
      <c r="C74" s="15" t="str">
        <f t="shared" si="3"/>
        <v>FUT1M</v>
      </c>
      <c r="D74" s="14" t="str">
        <v>H2</v>
      </c>
      <c r="E74" s="14" t="str">
        <f t="shared" si="4"/>
        <v>USD_YC1MRH_FUT1MH2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hidden="1" x14ac:dyDescent="0.2">
      <c r="A75" s="8" t="b">
        <v>1</v>
      </c>
      <c r="B75" s="9"/>
      <c r="C75" s="8" t="str">
        <f t="shared" si="3"/>
        <v>FUT1M</v>
      </c>
      <c r="D75" s="7" t="str">
        <v>M2</v>
      </c>
      <c r="E75" s="7" t="str">
        <f t="shared" si="4"/>
        <v>USD_YC1MRH_FUT1MM2</v>
      </c>
      <c r="F75" s="27" t="e">
        <f>_xll.qlRateHelperQuoteValue($E75,Trigger)</f>
        <v>#NUM!</v>
      </c>
      <c r="G75" s="6" t="e">
        <f>_xll.qlFuturesRateHelperConvexityAdjustment($E75,Trigger)</f>
        <v>#NUM!</v>
      </c>
      <c r="H75" s="5" t="b">
        <v>0</v>
      </c>
      <c r="I75" s="5">
        <v>30</v>
      </c>
      <c r="J75" s="12">
        <v>1</v>
      </c>
      <c r="K75" s="4" t="e">
        <f>_xll.qlRateHelperEarliestDate($E75,Trigger)</f>
        <v>#NUM!</v>
      </c>
      <c r="L75" s="3" t="e">
        <f>_xll.qlRateHelperLatestDate($E75,Trigger)</f>
        <v>#NUM!</v>
      </c>
      <c r="M75" s="26"/>
    </row>
    <row r="76" spans="1:13" ht="11.25" customHeight="1" x14ac:dyDescent="0.2">
      <c r="B76" s="24">
        <v>2</v>
      </c>
      <c r="C76" s="23"/>
      <c r="D76" s="21" t="s">
        <v>41</v>
      </c>
      <c r="E76" s="21" t="str">
        <f>'1M_Swaps'!L6</f>
        <v>USD_YC1MRH_2X1S#0000</v>
      </c>
      <c r="F76" s="20">
        <f>_xll.qlRateHelperQuoteValue($E76,Trigger)</f>
        <v>1.72E-3</v>
      </c>
      <c r="G76" s="20">
        <f>_xll.qlSwapRateHelperSpread($E76,Trigger)</f>
        <v>0</v>
      </c>
      <c r="H76" s="19" t="b">
        <v>1</v>
      </c>
      <c r="I76" s="19">
        <v>40</v>
      </c>
      <c r="J76" s="19">
        <v>1</v>
      </c>
      <c r="K76" s="18">
        <f>_xll.qlRateHelperEarliestDate($E76,Trigger)</f>
        <v>41688</v>
      </c>
      <c r="L76" s="17">
        <f>_xll.qlRateHelperLatestDate($E76,Trigger)</f>
        <v>41751</v>
      </c>
      <c r="M76" s="22"/>
    </row>
    <row r="77" spans="1:13" x14ac:dyDescent="0.2">
      <c r="B77" s="16">
        <v>3</v>
      </c>
      <c r="C77" s="15"/>
      <c r="D77" s="14" t="s">
        <v>41</v>
      </c>
      <c r="E77" s="14" t="str">
        <f>'1M_Swaps'!L7</f>
        <v>USD_YC1MRH_3X1S#0000</v>
      </c>
      <c r="F77" s="13">
        <f>_xll.qlRateHelperQuoteValue($E77,Trigger)</f>
        <v>1.7399999999999998E-3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41688</v>
      </c>
      <c r="L77" s="10">
        <f>_xll.qlRateHelperLatestDate($E77,Trigger)</f>
        <v>41778</v>
      </c>
      <c r="M77" s="25"/>
    </row>
    <row r="78" spans="1:13" x14ac:dyDescent="0.2">
      <c r="B78" s="16">
        <v>4</v>
      </c>
      <c r="C78" s="15"/>
      <c r="D78" s="14" t="s">
        <v>41</v>
      </c>
      <c r="E78" s="14" t="str">
        <f>'1M_Swaps'!L8</f>
        <v>USD_YC1MRH_4X1S#0000</v>
      </c>
      <c r="F78" s="13">
        <f>_xll.qlRateHelperQuoteValue($E78,Trigger)</f>
        <v>1.7699999999999999E-3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41688</v>
      </c>
      <c r="L78" s="10">
        <f>_xll.qlRateHelperLatestDate($E78,Trigger)</f>
        <v>41808</v>
      </c>
    </row>
    <row r="79" spans="1:13" x14ac:dyDescent="0.2">
      <c r="B79" s="16">
        <v>5</v>
      </c>
      <c r="C79" s="15"/>
      <c r="D79" s="14" t="s">
        <v>41</v>
      </c>
      <c r="E79" s="14" t="str">
        <f>'1M_Swaps'!L9</f>
        <v>USD_YC1MRH_5X1S#0000</v>
      </c>
      <c r="F79" s="13">
        <f>_xll.qlRateHelperQuoteValue($E79,Trigger)</f>
        <v>1.8E-3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41688</v>
      </c>
      <c r="L79" s="10">
        <f>_xll.qlRateHelperLatestDate($E79,Trigger)</f>
        <v>41838</v>
      </c>
    </row>
    <row r="80" spans="1:13" ht="11.25" customHeight="1" x14ac:dyDescent="0.2">
      <c r="B80" s="16">
        <v>6</v>
      </c>
      <c r="C80" s="15"/>
      <c r="D80" s="14" t="s">
        <v>41</v>
      </c>
      <c r="E80" s="14" t="str">
        <f>'1M_Swaps'!L10</f>
        <v>USD_YC1MRH_6X1S#0000</v>
      </c>
      <c r="F80" s="13">
        <f>_xll.qlRateHelperQuoteValue($E80,Trigger)</f>
        <v>1.8500000000000001E-3</v>
      </c>
      <c r="G80" s="13">
        <f>_xll.qlSwapRateHelperSpread($E80,Trigger)</f>
        <v>0</v>
      </c>
      <c r="H80" s="12" t="b">
        <v>1</v>
      </c>
      <c r="I80" s="12">
        <v>40</v>
      </c>
      <c r="J80" s="12">
        <v>1</v>
      </c>
      <c r="K80" s="11">
        <f>_xll.qlRateHelperEarliestDate($E80,Trigger)</f>
        <v>41688</v>
      </c>
      <c r="L80" s="10">
        <f>_xll.qlRateHelperLatestDate($E80,Trigger)</f>
        <v>41869</v>
      </c>
    </row>
    <row r="81" spans="2:14" x14ac:dyDescent="0.2">
      <c r="B81" s="16">
        <v>7</v>
      </c>
      <c r="C81" s="15"/>
      <c r="D81" s="14" t="s">
        <v>41</v>
      </c>
      <c r="E81" s="14" t="str">
        <f>'1M_Swaps'!L11</f>
        <v>USD_YC1MRH_7X1S#0000</v>
      </c>
      <c r="F81" s="13">
        <f>_xll.qlRateHelperQuoteValue($E81,Trigger)</f>
        <v>1.9E-3</v>
      </c>
      <c r="G81" s="13">
        <f>_xll.qlSwapRateHelperSpread($E81,Trigger)</f>
        <v>0</v>
      </c>
      <c r="H81" s="12" t="b">
        <v>1</v>
      </c>
      <c r="I81" s="12">
        <v>40</v>
      </c>
      <c r="J81" s="12">
        <v>1</v>
      </c>
      <c r="K81" s="11">
        <f>_xll.qlRateHelperEarliestDate($E81,Trigger)</f>
        <v>41688</v>
      </c>
      <c r="L81" s="10">
        <f>_xll.qlRateHelperLatestDate($E81,Trigger)</f>
        <v>41900</v>
      </c>
    </row>
    <row r="82" spans="2:14" x14ac:dyDescent="0.2">
      <c r="B82" s="16">
        <v>8</v>
      </c>
      <c r="C82" s="15"/>
      <c r="D82" s="14" t="s">
        <v>41</v>
      </c>
      <c r="E82" s="14" t="str">
        <f>'1M_Swaps'!L12</f>
        <v>USD_YC1MRH_8X1S#0000</v>
      </c>
      <c r="F82" s="13">
        <f>_xll.qlRateHelperQuoteValue($E82,Trigger)</f>
        <v>1.9500000000000001E-3</v>
      </c>
      <c r="G82" s="13">
        <f>_xll.qlSwapRateHelperSpread($E82,Trigger)</f>
        <v>0</v>
      </c>
      <c r="H82" s="12" t="b">
        <v>1</v>
      </c>
      <c r="I82" s="12">
        <v>40</v>
      </c>
      <c r="J82" s="12">
        <v>1</v>
      </c>
      <c r="K82" s="11">
        <f>_xll.qlRateHelperEarliestDate($E82,Trigger)</f>
        <v>41688</v>
      </c>
      <c r="L82" s="10">
        <f>_xll.qlRateHelperLatestDate($E82,Trigger)</f>
        <v>41932</v>
      </c>
    </row>
    <row r="83" spans="2:14" ht="11.25" customHeight="1" x14ac:dyDescent="0.2">
      <c r="B83" s="16">
        <v>9</v>
      </c>
      <c r="C83" s="15"/>
      <c r="D83" s="14" t="s">
        <v>41</v>
      </c>
      <c r="E83" s="14" t="str">
        <f>'1M_Swaps'!L13</f>
        <v>USD_YC1MRH_9X1S#0000</v>
      </c>
      <c r="F83" s="13">
        <f>_xll.qlRateHelperQuoteValue($E83,Trigger)</f>
        <v>2.0100000000000001E-3</v>
      </c>
      <c r="G83" s="13">
        <f>_xll.qlSwapRateHelperSpread($E83,Trigger)</f>
        <v>0</v>
      </c>
      <c r="H83" s="12" t="b">
        <v>1</v>
      </c>
      <c r="I83" s="12">
        <v>40</v>
      </c>
      <c r="J83" s="12">
        <v>1</v>
      </c>
      <c r="K83" s="11">
        <f>_xll.qlRateHelperEarliestDate($E83,Trigger)</f>
        <v>41688</v>
      </c>
      <c r="L83" s="10">
        <f>_xll.qlRateHelperLatestDate($E83,Trigger)</f>
        <v>41961</v>
      </c>
    </row>
    <row r="84" spans="2:14" x14ac:dyDescent="0.2">
      <c r="B84" s="16">
        <v>10</v>
      </c>
      <c r="C84" s="15"/>
      <c r="D84" s="14" t="s">
        <v>41</v>
      </c>
      <c r="E84" s="14" t="str">
        <f>'1M_Swaps'!L14</f>
        <v>USD_YC1MRH_10X1S#0000</v>
      </c>
      <c r="F84" s="13">
        <f>_xll.qlRateHelperQuoteValue($E84,Trigger)</f>
        <v>2.0700000000000002E-3</v>
      </c>
      <c r="G84" s="13">
        <f>_xll.qlSwapRateHelperSpread($E84,Trigger)</f>
        <v>0</v>
      </c>
      <c r="H84" s="12" t="b">
        <v>1</v>
      </c>
      <c r="I84" s="12">
        <v>40</v>
      </c>
      <c r="J84" s="12">
        <v>1</v>
      </c>
      <c r="K84" s="11">
        <f>_xll.qlRateHelperEarliestDate($E84,Trigger)</f>
        <v>41688</v>
      </c>
      <c r="L84" s="10">
        <f>_xll.qlRateHelperLatestDate($E84,Trigger)</f>
        <v>41991</v>
      </c>
    </row>
    <row r="85" spans="2:14" x14ac:dyDescent="0.2">
      <c r="B85" s="16">
        <v>11</v>
      </c>
      <c r="C85" s="15"/>
      <c r="D85" s="14" t="s">
        <v>41</v>
      </c>
      <c r="E85" s="14" t="str">
        <f>'1M_Swaps'!L15</f>
        <v>USD_YC1MRH_11X1S#0000</v>
      </c>
      <c r="F85" s="13">
        <f>_xll.qlRateHelperQuoteValue($E85,Trigger)</f>
        <v>2.1299999999999999E-3</v>
      </c>
      <c r="G85" s="13">
        <f>_xll.qlSwapRateHelperSpread($E85,Trigger)</f>
        <v>0</v>
      </c>
      <c r="H85" s="12" t="b">
        <v>1</v>
      </c>
      <c r="I85" s="12">
        <v>40</v>
      </c>
      <c r="J85" s="12">
        <v>1</v>
      </c>
      <c r="K85" s="11">
        <f>_xll.qlRateHelperEarliestDate($E85,Trigger)</f>
        <v>41688</v>
      </c>
      <c r="L85" s="10">
        <f>_xll.qlRateHelperLatestDate($E85,Trigger)</f>
        <v>42023</v>
      </c>
    </row>
    <row r="86" spans="2:14" x14ac:dyDescent="0.2">
      <c r="B86" s="9">
        <v>12</v>
      </c>
      <c r="C86" s="8"/>
      <c r="D86" s="7" t="s">
        <v>41</v>
      </c>
      <c r="E86" s="7" t="str">
        <f>'1M_Swaps'!L16</f>
        <v>USD_YC1MRH_12X1S#0000</v>
      </c>
      <c r="F86" s="6">
        <f>_xll.qlRateHelperQuoteValue($E86,Trigger)</f>
        <v>2.2000000000000001E-3</v>
      </c>
      <c r="G86" s="6">
        <f>_xll.qlSwapRateHelperSpread($E86,Trigger)</f>
        <v>0</v>
      </c>
      <c r="H86" s="5" t="b">
        <v>1</v>
      </c>
      <c r="I86" s="5">
        <v>40</v>
      </c>
      <c r="J86" s="12">
        <v>1</v>
      </c>
      <c r="K86" s="4">
        <f>_xll.qlRateHelperEarliestDate($E86,Trigger)</f>
        <v>41688</v>
      </c>
      <c r="L86" s="3">
        <f>_xll.qlRateHelperLatestDate($E86,Trigger)</f>
        <v>42053</v>
      </c>
    </row>
    <row r="87" spans="2:14" x14ac:dyDescent="0.2">
      <c r="B87" s="24" t="s">
        <v>37</v>
      </c>
      <c r="C87" s="23">
        <v>12</v>
      </c>
      <c r="D87" s="21"/>
      <c r="E87" s="21" t="str">
        <f t="shared" si="4"/>
        <v>USD_YC1MRH_1S12</v>
      </c>
      <c r="F87" s="20" t="e">
        <f>_xll.qlRateHelperQuoteValue($E87,Trigger)</f>
        <v>#NUM!</v>
      </c>
      <c r="G87" s="20" t="e">
        <f>_xll.qlSwapRateHelperSpread($E87,Trigger)</f>
        <v>#NUM!</v>
      </c>
      <c r="H87" s="19" t="b">
        <v>0</v>
      </c>
      <c r="I87" s="19">
        <v>40</v>
      </c>
      <c r="J87" s="19">
        <v>1</v>
      </c>
      <c r="K87" s="18" t="e">
        <f>_xll.qlRateHelperEarliestDate($E87,Trigger)</f>
        <v>#NUM!</v>
      </c>
      <c r="L87" s="17" t="e">
        <f>_xll.qlRateHelperLatestDate($E87,Trigger)</f>
        <v>#NUM!</v>
      </c>
    </row>
    <row r="88" spans="2:14" x14ac:dyDescent="0.2">
      <c r="B88" s="16" t="s">
        <v>38</v>
      </c>
      <c r="C88" s="15">
        <v>12</v>
      </c>
      <c r="D88" s="14"/>
      <c r="E88" s="14" t="str">
        <f t="shared" si="4"/>
        <v>USD_YC1MRH_2S12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40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</row>
    <row r="89" spans="2:14" x14ac:dyDescent="0.2">
      <c r="B89" s="16" t="s">
        <v>40</v>
      </c>
      <c r="C89" s="15">
        <v>12</v>
      </c>
      <c r="D89" s="14"/>
      <c r="E89" s="14" t="str">
        <f t="shared" si="4"/>
        <v>USD_YC1MRH_3S12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40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</row>
    <row r="90" spans="2:14" x14ac:dyDescent="0.2">
      <c r="B90" s="16" t="s">
        <v>39</v>
      </c>
      <c r="C90" s="15">
        <v>12</v>
      </c>
      <c r="D90" s="14"/>
      <c r="E90" s="14" t="str">
        <f t="shared" si="4"/>
        <v>USD_YC1MRH_4S12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37</v>
      </c>
      <c r="C91" s="15">
        <v>24</v>
      </c>
      <c r="D91" s="14"/>
      <c r="E91" s="14" t="str">
        <f t="shared" si="4"/>
        <v>USD_YC1MRH_1S24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38</v>
      </c>
      <c r="C92" s="15">
        <v>24</v>
      </c>
      <c r="D92" s="14"/>
      <c r="E92" s="14" t="str">
        <f t="shared" si="4"/>
        <v>USD_YC1MRH_2S24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9" t="s">
        <v>37</v>
      </c>
      <c r="C93" s="8">
        <v>36</v>
      </c>
      <c r="D93" s="7"/>
      <c r="E93" s="7" t="str">
        <f t="shared" si="4"/>
        <v>USD_YC1MRH_1S36</v>
      </c>
      <c r="F93" s="6" t="e">
        <f>_xll.qlRateHelperQuoteValue($E93,Trigger)</f>
        <v>#NUM!</v>
      </c>
      <c r="G93" s="6" t="e">
        <f>_xll.qlSwapRateHelperSpread($E93,Trigger)</f>
        <v>#NUM!</v>
      </c>
      <c r="H93" s="5" t="b">
        <v>0</v>
      </c>
      <c r="I93" s="5">
        <v>40</v>
      </c>
      <c r="J93" s="5">
        <v>1</v>
      </c>
      <c r="K93" s="4" t="e">
        <f>_xll.qlRateHelperEarliestDate($E93,Trigger)</f>
        <v>#NUM!</v>
      </c>
      <c r="L93" s="3" t="e">
        <f>_xll.qlRateHelperLatestDate($E93,Trigger)</f>
        <v>#NUM!</v>
      </c>
    </row>
    <row r="94" spans="2:14" x14ac:dyDescent="0.2">
      <c r="B94" s="16" t="str">
        <f t="shared" ref="B94:B125" si="5">SwapFixedFreq</f>
        <v>AM</v>
      </c>
      <c r="C94" s="15" t="str">
        <f t="shared" ref="C94:C130" si="6">IborType</f>
        <v>1L</v>
      </c>
      <c r="D94" s="14" t="s">
        <v>36</v>
      </c>
      <c r="E94" s="14" t="str">
        <f t="shared" si="4"/>
        <v>USD_YC1MRH_AM1L1Y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ref="N94:N130" si="7">IF(G94=G131,F94-F131,"--")</f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35</v>
      </c>
      <c r="E95" s="14" t="str">
        <f t="shared" si="4"/>
        <v>USD_YC1MRH_AM1L15M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34</v>
      </c>
      <c r="E96" s="14" t="str">
        <f t="shared" ref="E96:E127" si="8">RateHelperPrefix&amp;"_"&amp;$B96&amp;$C96&amp;$D96</f>
        <v>USD_YC1MRH_AM1L18M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33</v>
      </c>
      <c r="E97" s="14" t="str">
        <f t="shared" si="8"/>
        <v>USD_YC1MRH_AM1L21M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32</v>
      </c>
      <c r="E98" s="14" t="str">
        <f t="shared" si="8"/>
        <v>USD_YC1MRH_AM1L2Y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31</v>
      </c>
      <c r="E99" s="14" t="str">
        <f t="shared" si="8"/>
        <v>USD_YC1MRH_AM1L3Y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30</v>
      </c>
      <c r="E100" s="14" t="str">
        <f t="shared" si="8"/>
        <v>USD_YC1MRH_AM1L4Y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29</v>
      </c>
      <c r="E101" s="14" t="str">
        <f t="shared" si="8"/>
        <v>USD_YC1MRH_AM1L5Y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28</v>
      </c>
      <c r="E102" s="14" t="str">
        <f t="shared" si="8"/>
        <v>USD_YC1MRH_AM1L6Y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27</v>
      </c>
      <c r="E103" s="14" t="str">
        <f t="shared" si="8"/>
        <v>USD_YC1MRH_AM1L7Y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26</v>
      </c>
      <c r="E104" s="14" t="str">
        <f t="shared" si="8"/>
        <v>USD_YC1MRH_AM1L8Y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25</v>
      </c>
      <c r="E105" s="14" t="str">
        <f t="shared" si="8"/>
        <v>USD_YC1MRH_AM1L9Y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24</v>
      </c>
      <c r="E106" s="14" t="str">
        <f t="shared" si="8"/>
        <v>USD_YC1MRH_AM1L10Y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23</v>
      </c>
      <c r="E107" s="14" t="str">
        <f t="shared" si="8"/>
        <v>USD_YC1MRH_AM1L11Y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22</v>
      </c>
      <c r="E108" s="14" t="str">
        <f t="shared" si="8"/>
        <v>USD_YC1MRH_AM1L12Y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21</v>
      </c>
      <c r="E109" s="14" t="str">
        <f t="shared" si="8"/>
        <v>USD_YC1MRH_AM1L13Y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20</v>
      </c>
      <c r="E110" s="14" t="str">
        <f t="shared" si="8"/>
        <v>USD_YC1MRH_AM1L14Y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19</v>
      </c>
      <c r="E111" s="14" t="str">
        <f t="shared" si="8"/>
        <v>USD_YC1MRH_AM1L15Y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18</v>
      </c>
      <c r="E112" s="14" t="str">
        <f t="shared" si="8"/>
        <v>USD_YC1MRH_AM1L16Y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17</v>
      </c>
      <c r="E113" s="14" t="str">
        <f t="shared" si="8"/>
        <v>USD_YC1MRH_AM1L17Y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16</v>
      </c>
      <c r="E114" s="14" t="str">
        <f t="shared" si="8"/>
        <v>USD_YC1MRH_AM1L18Y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15</v>
      </c>
      <c r="E115" s="14" t="str">
        <f t="shared" si="8"/>
        <v>USD_YC1MRH_AM1L19Y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14</v>
      </c>
      <c r="E116" s="14" t="str">
        <f t="shared" si="8"/>
        <v>USD_YC1MRH_AM1L20Y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13</v>
      </c>
      <c r="E117" s="14" t="str">
        <f t="shared" si="8"/>
        <v>USD_YC1MRH_AM1L21Y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12</v>
      </c>
      <c r="E118" s="14" t="str">
        <f t="shared" si="8"/>
        <v>USD_YC1MRH_AM1L22Y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11</v>
      </c>
      <c r="E119" s="14" t="str">
        <f t="shared" si="8"/>
        <v>USD_YC1MRH_AM1L23Y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1L</v>
      </c>
      <c r="D120" s="14" t="s">
        <v>10</v>
      </c>
      <c r="E120" s="14" t="str">
        <f t="shared" si="8"/>
        <v>USD_YC1MRH_AM1L24Y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1L</v>
      </c>
      <c r="D121" s="14" t="s">
        <v>9</v>
      </c>
      <c r="E121" s="14" t="str">
        <f t="shared" si="8"/>
        <v>USD_YC1MRH_AM1L25Y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1L</v>
      </c>
      <c r="D122" s="14" t="s">
        <v>8</v>
      </c>
      <c r="E122" s="14" t="str">
        <f t="shared" si="8"/>
        <v>USD_YC1MRH_AM1L26Y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1L</v>
      </c>
      <c r="D123" s="14" t="s">
        <v>7</v>
      </c>
      <c r="E123" s="14" t="str">
        <f t="shared" si="8"/>
        <v>USD_YC1MRH_AM1L27Y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1L</v>
      </c>
      <c r="D124" s="14" t="s">
        <v>6</v>
      </c>
      <c r="E124" s="14" t="str">
        <f t="shared" si="8"/>
        <v>USD_YC1MRH_AM1L28Y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1L</v>
      </c>
      <c r="D125" s="14" t="s">
        <v>5</v>
      </c>
      <c r="E125" s="14" t="str">
        <f t="shared" si="8"/>
        <v>USD_YC1MRH_AM1L29Y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22" t="e">
        <f t="shared" si="7"/>
        <v>#NUM!</v>
      </c>
    </row>
    <row r="126" spans="2:14" x14ac:dyDescent="0.2">
      <c r="B126" s="16" t="str">
        <f t="shared" ref="B126:B157" si="9">SwapFixedFreq</f>
        <v>AM</v>
      </c>
      <c r="C126" s="15" t="str">
        <f t="shared" si="6"/>
        <v>1L</v>
      </c>
      <c r="D126" s="14" t="s">
        <v>4</v>
      </c>
      <c r="E126" s="14" t="str">
        <f t="shared" si="8"/>
        <v>USD_YC1MRH_AM1L30Y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22" t="e">
        <f t="shared" si="7"/>
        <v>#NUM!</v>
      </c>
    </row>
    <row r="127" spans="2:14" x14ac:dyDescent="0.2">
      <c r="B127" s="16" t="str">
        <f t="shared" si="9"/>
        <v>AM</v>
      </c>
      <c r="C127" s="15" t="str">
        <f t="shared" si="6"/>
        <v>1L</v>
      </c>
      <c r="D127" s="14" t="s">
        <v>3</v>
      </c>
      <c r="E127" s="14" t="str">
        <f t="shared" si="8"/>
        <v>USD_YC1MRH_AM1L35Y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22" t="e">
        <f t="shared" si="7"/>
        <v>#NUM!</v>
      </c>
    </row>
    <row r="128" spans="2:14" x14ac:dyDescent="0.2">
      <c r="B128" s="16" t="str">
        <f t="shared" si="9"/>
        <v>AM</v>
      </c>
      <c r="C128" s="15" t="str">
        <f t="shared" si="6"/>
        <v>1L</v>
      </c>
      <c r="D128" s="14" t="s">
        <v>2</v>
      </c>
      <c r="E128" s="14" t="str">
        <f t="shared" ref="E128:E130" si="10">RateHelperPrefix&amp;"_"&amp;$B128&amp;$C128&amp;$D128</f>
        <v>USD_YC1MRH_AM1L40Y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22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1L</v>
      </c>
      <c r="D129" s="14" t="s">
        <v>1</v>
      </c>
      <c r="E129" s="14" t="str">
        <f t="shared" si="10"/>
        <v>USD_YC1MRH_AM1L50Y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22" t="e">
        <f t="shared" si="7"/>
        <v>#NUM!</v>
      </c>
    </row>
    <row r="130" spans="2:14" x14ac:dyDescent="0.2">
      <c r="B130" s="9" t="str">
        <f t="shared" si="9"/>
        <v>AM</v>
      </c>
      <c r="C130" s="8" t="str">
        <f t="shared" si="6"/>
        <v>1L</v>
      </c>
      <c r="D130" s="7" t="s">
        <v>0</v>
      </c>
      <c r="E130" s="7" t="str">
        <f t="shared" si="10"/>
        <v>USD_YC1MRH_AM1L60Y</v>
      </c>
      <c r="F130" s="6" t="e">
        <f>_xll.qlRateHelperQuoteValue($E130,Trigger)</f>
        <v>#NUM!</v>
      </c>
      <c r="G130" s="6" t="e">
        <f>_xll.qlSwapRateHelperSpread($E130,Trigger)</f>
        <v>#NUM!</v>
      </c>
      <c r="H130" s="5" t="b">
        <v>0</v>
      </c>
      <c r="I130" s="5">
        <v>50</v>
      </c>
      <c r="J130" s="5">
        <v>1</v>
      </c>
      <c r="K130" s="4" t="e">
        <f>_xll.qlRateHelperEarliestDate($E130,Trigger)</f>
        <v>#NUM!</v>
      </c>
      <c r="L130" s="3" t="e">
        <f>_xll.qlRateHelperLatestDate($E130,Trigger)</f>
        <v>#NUM!</v>
      </c>
      <c r="N130" s="22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ref="C131:C167" si="11">IborType&amp;"BASIS"</f>
        <v>1LBASIS</v>
      </c>
      <c r="D131" s="14" t="s">
        <v>36</v>
      </c>
      <c r="E131" s="21" t="str">
        <f>'1M_SwapsFromBasis'!L6</f>
        <v>USD_YC1MRH_AM1LBASIS1Y#0000</v>
      </c>
      <c r="F131" s="20">
        <f>_xll.qlRateHelperQuoteValue($E131,Trigger)</f>
        <v>2.9400000000000003E-3</v>
      </c>
      <c r="G131" s="20">
        <f>_xll.qlSwapRateHelperSpread($E131,Trigger)</f>
        <v>7.3999999999999999E-4</v>
      </c>
      <c r="H131" s="19" t="b">
        <v>0</v>
      </c>
      <c r="I131" s="19">
        <v>40</v>
      </c>
      <c r="J131" s="19">
        <v>1</v>
      </c>
      <c r="K131" s="18">
        <f>_xll.qlRateHelperEarliestDate($E131,Trigger)</f>
        <v>41688</v>
      </c>
      <c r="L131" s="17">
        <f>_xll.qlRateHelperLatestDate($E131,Trigger)</f>
        <v>42053</v>
      </c>
    </row>
    <row r="132" spans="2:14" x14ac:dyDescent="0.2">
      <c r="B132" s="16" t="str">
        <f t="shared" si="9"/>
        <v>AM</v>
      </c>
      <c r="C132" s="15" t="str">
        <f t="shared" si="11"/>
        <v>1LBASIS</v>
      </c>
      <c r="D132" s="14" t="s">
        <v>35</v>
      </c>
      <c r="E132" s="14" t="str">
        <f>'1M_SwapsFromBasis'!L7</f>
        <v>USD_YC1MRH_AM1LBASIS15M#0000</v>
      </c>
      <c r="F132" s="13" t="e">
        <f>_xll.qlRateHelperQuoteValue($E132,Trigger)</f>
        <v>#NUM!</v>
      </c>
      <c r="G132" s="13">
        <f>_xll.qlSwapRateHelperSpread($E132,Trigger)</f>
        <v>7.573437500000001E-4</v>
      </c>
      <c r="H132" s="12" t="b">
        <v>0</v>
      </c>
      <c r="I132" s="12">
        <v>40</v>
      </c>
      <c r="J132" s="12">
        <v>1</v>
      </c>
      <c r="K132" s="11">
        <f>_xll.qlRateHelperEarliestDate($E132,Trigger)</f>
        <v>41688</v>
      </c>
      <c r="L132" s="10">
        <f>_xll.qlRateHelperLatestDate($E132,Trigger)</f>
        <v>42142</v>
      </c>
    </row>
    <row r="133" spans="2:14" x14ac:dyDescent="0.2">
      <c r="B133" s="16" t="str">
        <f t="shared" si="9"/>
        <v>AM</v>
      </c>
      <c r="C133" s="15" t="str">
        <f t="shared" si="11"/>
        <v>1LBASIS</v>
      </c>
      <c r="D133" s="14" t="s">
        <v>34</v>
      </c>
      <c r="E133" s="14" t="str">
        <f>'1M_SwapsFromBasis'!L8</f>
        <v>USD_YC1MRH_AM1LBASIS18M#0000</v>
      </c>
      <c r="F133" s="13" t="e">
        <f>_xll.qlRateHelperQuoteValue($E133,Trigger)</f>
        <v>#NUM!</v>
      </c>
      <c r="G133" s="13">
        <f>_xll.qlSwapRateHelperSpread($E133,Trigger)</f>
        <v>7.6625E-4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41688</v>
      </c>
      <c r="L133" s="10">
        <f>_xll.qlRateHelperLatestDate($E133,Trigger)</f>
        <v>42234</v>
      </c>
    </row>
    <row r="134" spans="2:14" x14ac:dyDescent="0.2">
      <c r="B134" s="16" t="str">
        <f t="shared" si="9"/>
        <v>AM</v>
      </c>
      <c r="C134" s="15" t="str">
        <f t="shared" si="11"/>
        <v>1LBASIS</v>
      </c>
      <c r="D134" s="14" t="s">
        <v>33</v>
      </c>
      <c r="E134" s="14" t="str">
        <f>'1M_SwapsFromBasis'!L9</f>
        <v>USD_YC1MRH_AM1LBASIS21M#0000</v>
      </c>
      <c r="F134" s="13" t="e">
        <f>_xll.qlRateHelperQuoteValue($E134,Trigger)</f>
        <v>#NUM!</v>
      </c>
      <c r="G134" s="13">
        <f>_xll.qlSwapRateHelperSpread($E134,Trigger)</f>
        <v>7.6953125000000003E-4</v>
      </c>
      <c r="H134" s="12" t="b">
        <v>0</v>
      </c>
      <c r="I134" s="12">
        <v>40</v>
      </c>
      <c r="J134" s="12">
        <v>1</v>
      </c>
      <c r="K134" s="11">
        <f>_xll.qlRateHelperEarliestDate($E134,Trigger)</f>
        <v>41688</v>
      </c>
      <c r="L134" s="10">
        <f>_xll.qlRateHelperLatestDate($E134,Trigger)</f>
        <v>42326</v>
      </c>
    </row>
    <row r="135" spans="2:14" x14ac:dyDescent="0.2">
      <c r="B135" s="16" t="str">
        <f t="shared" si="9"/>
        <v>AM</v>
      </c>
      <c r="C135" s="15" t="str">
        <f t="shared" si="11"/>
        <v>1LBASIS</v>
      </c>
      <c r="D135" s="14" t="s">
        <v>32</v>
      </c>
      <c r="E135" s="14" t="str">
        <f>'1M_SwapsFromBasis'!L10</f>
        <v>USD_YC1MRH_AM1LBASIS2Y#0000</v>
      </c>
      <c r="F135" s="13">
        <f>_xll.qlRateHelperQuoteValue($E135,Trigger)</f>
        <v>4.28E-3</v>
      </c>
      <c r="G135" s="13">
        <f>_xll.qlSwapRateHelperSpread($E135,Trigger)</f>
        <v>7.7000000000000007E-4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41688</v>
      </c>
      <c r="L135" s="10">
        <f>_xll.qlRateHelperLatestDate($E135,Trigger)</f>
        <v>42418</v>
      </c>
    </row>
    <row r="136" spans="2:14" x14ac:dyDescent="0.2">
      <c r="B136" s="16" t="str">
        <f t="shared" si="9"/>
        <v>AM</v>
      </c>
      <c r="C136" s="15" t="str">
        <f t="shared" si="11"/>
        <v>1LBASIS</v>
      </c>
      <c r="D136" s="14" t="s">
        <v>31</v>
      </c>
      <c r="E136" s="14" t="str">
        <f>'1M_SwapsFromBasis'!L11</f>
        <v>USD_YC1MRH_AM1LBASIS3Y#0000</v>
      </c>
      <c r="F136" s="13">
        <f>_xll.qlRateHelperQuoteValue($E136,Trigger)</f>
        <v>6.8399999999999997E-3</v>
      </c>
      <c r="G136" s="13">
        <f>_xll.qlSwapRateHelperSpread($E136,Trigger)</f>
        <v>7.5999999999999993E-4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41688</v>
      </c>
      <c r="L136" s="10">
        <f>_xll.qlRateHelperLatestDate($E136,Trigger)</f>
        <v>42786</v>
      </c>
    </row>
    <row r="137" spans="2:14" x14ac:dyDescent="0.2">
      <c r="B137" s="16" t="str">
        <f t="shared" si="9"/>
        <v>AM</v>
      </c>
      <c r="C137" s="15" t="str">
        <f t="shared" si="11"/>
        <v>1LBASIS</v>
      </c>
      <c r="D137" s="14" t="s">
        <v>30</v>
      </c>
      <c r="E137" s="14" t="str">
        <f>'1M_SwapsFromBasis'!L12</f>
        <v>USD_YC1MRH_AM1LBASIS4Y#0000</v>
      </c>
      <c r="F137" s="13">
        <f>_xll.qlRateHelperQuoteValue($E137,Trigger)</f>
        <v>1.0379999999999999E-2</v>
      </c>
      <c r="G137" s="13">
        <f>_xll.qlSwapRateHelperSpread($E137,Trigger)</f>
        <v>7.5000000000000002E-4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41688</v>
      </c>
      <c r="L137" s="10">
        <f>_xll.qlRateHelperLatestDate($E137,Trigger)</f>
        <v>43150</v>
      </c>
    </row>
    <row r="138" spans="2:14" x14ac:dyDescent="0.2">
      <c r="B138" s="16" t="str">
        <f t="shared" si="9"/>
        <v>AM</v>
      </c>
      <c r="C138" s="15" t="str">
        <f t="shared" si="11"/>
        <v>1LBASIS</v>
      </c>
      <c r="D138" s="14" t="s">
        <v>29</v>
      </c>
      <c r="E138" s="14" t="str">
        <f>'1M_SwapsFromBasis'!L13</f>
        <v>USD_YC1MRH_AM1LBASIS5Y#0000</v>
      </c>
      <c r="F138" s="13">
        <f>_xll.qlRateHelperQuoteValue($E138,Trigger)</f>
        <v>1.3999999999999999E-2</v>
      </c>
      <c r="G138" s="13">
        <f>_xll.qlSwapRateHelperSpread($E138,Trigger)</f>
        <v>7.3999999999999999E-4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41688</v>
      </c>
      <c r="L138" s="10">
        <f>_xll.qlRateHelperLatestDate($E138,Trigger)</f>
        <v>43514</v>
      </c>
    </row>
    <row r="139" spans="2:14" x14ac:dyDescent="0.2">
      <c r="B139" s="16" t="str">
        <f t="shared" si="9"/>
        <v>AM</v>
      </c>
      <c r="C139" s="15" t="str">
        <f t="shared" si="11"/>
        <v>1LBASIS</v>
      </c>
      <c r="D139" s="14" t="s">
        <v>28</v>
      </c>
      <c r="E139" s="14" t="str">
        <f>'1M_SwapsFromBasis'!L14</f>
        <v>USD_YC1MRH_AM1LBASIS6Y#0000</v>
      </c>
      <c r="F139" s="13">
        <f>_xll.qlRateHelperQuoteValue($E139,Trigger)</f>
        <v>1.7299999999999999E-2</v>
      </c>
      <c r="G139" s="13">
        <f>_xll.qlSwapRateHelperSpread($E139,Trigger)</f>
        <v>7.0999999999999991E-4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41688</v>
      </c>
      <c r="L139" s="10">
        <f>_xll.qlRateHelperLatestDate($E139,Trigger)</f>
        <v>43879</v>
      </c>
    </row>
    <row r="140" spans="2:14" x14ac:dyDescent="0.2">
      <c r="B140" s="16" t="str">
        <f t="shared" si="9"/>
        <v>AM</v>
      </c>
      <c r="C140" s="15" t="str">
        <f t="shared" si="11"/>
        <v>1LBASIS</v>
      </c>
      <c r="D140" s="14" t="s">
        <v>27</v>
      </c>
      <c r="E140" s="14" t="str">
        <f>'1M_SwapsFromBasis'!L15</f>
        <v>USD_YC1MRH_AM1LBASIS7Y#0000</v>
      </c>
      <c r="F140" s="13">
        <f>_xll.qlRateHelperQuoteValue($E140,Trigger)</f>
        <v>2.0080000000000001E-2</v>
      </c>
      <c r="G140" s="13">
        <f>_xll.qlSwapRateHelperSpread($E140,Trigger)</f>
        <v>6.9000000000000008E-4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41688</v>
      </c>
      <c r="L140" s="10">
        <f>_xll.qlRateHelperLatestDate($E140,Trigger)</f>
        <v>44245</v>
      </c>
    </row>
    <row r="141" spans="2:14" x14ac:dyDescent="0.2">
      <c r="B141" s="16" t="str">
        <f t="shared" si="9"/>
        <v>AM</v>
      </c>
      <c r="C141" s="15" t="str">
        <f t="shared" si="11"/>
        <v>1LBASIS</v>
      </c>
      <c r="D141" s="14" t="s">
        <v>26</v>
      </c>
      <c r="E141" s="14" t="str">
        <f>'1M_SwapsFromBasis'!L16</f>
        <v>USD_YC1MRH_AM1LBASIS8Y#0000</v>
      </c>
      <c r="F141" s="13">
        <f>_xll.qlRateHelperQuoteValue($E141,Trigger)</f>
        <v>2.2409999999999996E-2</v>
      </c>
      <c r="G141" s="13">
        <f>_xll.qlSwapRateHelperSpread($E141,Trigger)</f>
        <v>6.4999999999999997E-4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41688</v>
      </c>
      <c r="L141" s="10">
        <f>_xll.qlRateHelperLatestDate($E141,Trigger)</f>
        <v>44610</v>
      </c>
    </row>
    <row r="142" spans="2:14" x14ac:dyDescent="0.2">
      <c r="B142" s="16" t="str">
        <f t="shared" si="9"/>
        <v>AM</v>
      </c>
      <c r="C142" s="15" t="str">
        <f t="shared" si="11"/>
        <v>1LBASIS</v>
      </c>
      <c r="D142" s="14" t="s">
        <v>25</v>
      </c>
      <c r="E142" s="14" t="str">
        <f>'1M_SwapsFromBasis'!L17</f>
        <v>USD_YC1MRH_AM1LBASIS9Y#0000</v>
      </c>
      <c r="F142" s="13">
        <f>_xll.qlRateHelperQuoteValue($E142,Trigger)</f>
        <v>2.4370000000000003E-2</v>
      </c>
      <c r="G142" s="13">
        <f>_xll.qlSwapRateHelperSpread($E142,Trigger)</f>
        <v>6.2E-4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41688</v>
      </c>
      <c r="L142" s="10">
        <f>_xll.qlRateHelperLatestDate($E142,Trigger)</f>
        <v>44977</v>
      </c>
    </row>
    <row r="143" spans="2:14" x14ac:dyDescent="0.2">
      <c r="B143" s="16" t="str">
        <f t="shared" si="9"/>
        <v>AM</v>
      </c>
      <c r="C143" s="15" t="str">
        <f t="shared" si="11"/>
        <v>1LBASIS</v>
      </c>
      <c r="D143" s="14" t="s">
        <v>24</v>
      </c>
      <c r="E143" s="14" t="str">
        <f>'1M_SwapsFromBasis'!L18</f>
        <v>USD_YC1MRH_AM1LBASIS10Y#0000</v>
      </c>
      <c r="F143" s="13">
        <f>_xll.qlRateHelperQuoteValue($E143,Trigger)</f>
        <v>2.6020000000000001E-2</v>
      </c>
      <c r="G143" s="13">
        <f>_xll.qlSwapRateHelperSpread($E143,Trigger)</f>
        <v>5.8E-4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41688</v>
      </c>
      <c r="L143" s="10">
        <f>_xll.qlRateHelperLatestDate($E143,Trigger)</f>
        <v>45341</v>
      </c>
    </row>
    <row r="144" spans="2:14" x14ac:dyDescent="0.2">
      <c r="B144" s="16" t="str">
        <f t="shared" si="9"/>
        <v>AM</v>
      </c>
      <c r="C144" s="15" t="str">
        <f t="shared" si="11"/>
        <v>1LBASIS</v>
      </c>
      <c r="D144" s="14" t="s">
        <v>23</v>
      </c>
      <c r="E144" s="14" t="str">
        <f>'1M_SwapsFromBasis'!L19</f>
        <v>USD_YC1MRH_AM1LBASIS11Y#0000</v>
      </c>
      <c r="F144" s="13" t="e">
        <f>_xll.qlRateHelperQuoteValue($E144,Trigger)</f>
        <v>#NUM!</v>
      </c>
      <c r="G144" s="13">
        <f>_xll.qlSwapRateHelperSpread($E144,Trigger)</f>
        <v>5.4592716289096415E-4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41688</v>
      </c>
      <c r="L144" s="10">
        <f>_xll.qlRateHelperLatestDate($E144,Trigger)</f>
        <v>45706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22</v>
      </c>
      <c r="E145" s="14" t="str">
        <f>'1M_SwapsFromBasis'!L20</f>
        <v>USD_YC1MRH_AM1LBASIS12Y#0000</v>
      </c>
      <c r="F145" s="13">
        <f>_xll.qlRateHelperQuoteValue($E145,Trigger)</f>
        <v>2.8670000000000001E-2</v>
      </c>
      <c r="G145" s="13">
        <f>_xll.qlSwapRateHelperSpread($E145,Trigger)</f>
        <v>5.2000000000000006E-4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41688</v>
      </c>
      <c r="L145" s="10">
        <f>_xll.qlRateHelperLatestDate($E145,Trigger)</f>
        <v>46071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21</v>
      </c>
      <c r="E146" s="14" t="str">
        <f>'1M_SwapsFromBasis'!L21</f>
        <v>USD_YC1MRH_AM1LBASIS13Y#0000</v>
      </c>
      <c r="F146" s="13" t="e">
        <f>_xll.qlRateHelperQuoteValue($E146,Trigger)</f>
        <v>#NUM!</v>
      </c>
      <c r="G146" s="13">
        <f>_xll.qlSwapRateHelperSpread($E146,Trigger)</f>
        <v>4.9766154400837637E-4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41688</v>
      </c>
      <c r="L146" s="10">
        <f>_xll.qlRateHelperLatestDate($E146,Trigger)</f>
        <v>46436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20</v>
      </c>
      <c r="E147" s="14" t="str">
        <f>'1M_SwapsFromBasis'!L22</f>
        <v>USD_YC1MRH_AM1LBASIS14Y#0000</v>
      </c>
      <c r="F147" s="13" t="e">
        <f>_xll.qlRateHelperQuoteValue($E147,Trigger)</f>
        <v>#NUM!</v>
      </c>
      <c r="G147" s="13">
        <f>_xll.qlSwapRateHelperSpread($E147,Trigger)</f>
        <v>4.7776120796248539E-4</v>
      </c>
      <c r="H147" s="12" t="b">
        <v>0</v>
      </c>
      <c r="I147" s="12">
        <v>40</v>
      </c>
      <c r="J147" s="12">
        <v>1</v>
      </c>
      <c r="K147" s="11">
        <f>_xll.qlRateHelperEarliestDate($E147,Trigger)</f>
        <v>41688</v>
      </c>
      <c r="L147" s="10">
        <f>_xll.qlRateHelperLatestDate($E147,Trigger)</f>
        <v>46801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19</v>
      </c>
      <c r="E148" s="14" t="str">
        <f>'1M_SwapsFromBasis'!L23</f>
        <v>USD_YC1MRH_AM1LBASIS15Y#0000</v>
      </c>
      <c r="F148" s="13">
        <f>_xll.qlRateHelperQuoteValue($E148,Trigger)</f>
        <v>3.1260000000000003E-2</v>
      </c>
      <c r="G148" s="13">
        <f>_xll.qlSwapRateHelperSpread($E148,Trigger)</f>
        <v>4.5999999999999996E-4</v>
      </c>
      <c r="H148" s="12" t="b">
        <v>1</v>
      </c>
      <c r="I148" s="12">
        <v>40</v>
      </c>
      <c r="J148" s="12">
        <v>1</v>
      </c>
      <c r="K148" s="11">
        <f>_xll.qlRateHelperEarliestDate($E148,Trigger)</f>
        <v>41688</v>
      </c>
      <c r="L148" s="10">
        <f>_xll.qlRateHelperLatestDate($E148,Trigger)</f>
        <v>47168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18</v>
      </c>
      <c r="E149" s="14" t="str">
        <f>'1M_SwapsFromBasis'!L24</f>
        <v>USD_YC1MRH_AM1LBASIS16Y#0000</v>
      </c>
      <c r="F149" s="13" t="e">
        <f>_xll.qlRateHelperQuoteValue($E149,Trigger)</f>
        <v>#NUM!</v>
      </c>
      <c r="G149" s="13">
        <f>_xll.qlSwapRateHelperSpread($E149,Trigger)</f>
        <v>4.4413639892853558E-4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41688</v>
      </c>
      <c r="L149" s="10">
        <f>_xll.qlRateHelperLatestDate($E149,Trigger)</f>
        <v>47532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17</v>
      </c>
      <c r="E150" s="14" t="str">
        <f>'1M_SwapsFromBasis'!L25</f>
        <v>USD_YC1MRH_AM1LBASIS17Y#0000</v>
      </c>
      <c r="F150" s="13" t="e">
        <f>_xll.qlRateHelperQuoteValue($E150,Trigger)</f>
        <v>#NUM!</v>
      </c>
      <c r="G150" s="13">
        <f>_xll.qlSwapRateHelperSpread($E150,Trigger)</f>
        <v>4.3015876623547669E-4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41688</v>
      </c>
      <c r="L150" s="10">
        <f>_xll.qlRateHelperLatestDate($E150,Trigger)</f>
        <v>47897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16</v>
      </c>
      <c r="E151" s="14" t="str">
        <f>'1M_SwapsFromBasis'!L26</f>
        <v>USD_YC1MRH_AM1LBASIS18Y#0000</v>
      </c>
      <c r="F151" s="13" t="e">
        <f>_xll.qlRateHelperQuoteValue($E151,Trigger)</f>
        <v>#NUM!</v>
      </c>
      <c r="G151" s="13">
        <f>_xll.qlSwapRateHelperSpread($E151,Trigger)</f>
        <v>4.1811293407815E-4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41688</v>
      </c>
      <c r="L151" s="10">
        <f>_xll.qlRateHelperLatestDate($E151,Trigger)</f>
        <v>48262</v>
      </c>
    </row>
    <row r="152" spans="2:12" x14ac:dyDescent="0.2">
      <c r="B152" s="16" t="str">
        <f t="shared" si="9"/>
        <v>AM</v>
      </c>
      <c r="C152" s="15" t="str">
        <f t="shared" si="11"/>
        <v>1LBASIS</v>
      </c>
      <c r="D152" s="14" t="s">
        <v>15</v>
      </c>
      <c r="E152" s="14" t="str">
        <f>'1M_SwapsFromBasis'!L27</f>
        <v>USD_YC1MRH_AM1LBASIS19Y#0000</v>
      </c>
      <c r="F152" s="13" t="e">
        <f>_xll.qlRateHelperQuoteValue($E152,Trigger)</f>
        <v>#NUM!</v>
      </c>
      <c r="G152" s="13">
        <f>_xll.qlSwapRateHelperSpread($E152,Trigger)</f>
        <v>4.0804473461388219E-4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41688</v>
      </c>
      <c r="L152" s="10">
        <f>_xll.qlRateHelperLatestDate($E152,Trigger)</f>
        <v>48628</v>
      </c>
    </row>
    <row r="153" spans="2:12" x14ac:dyDescent="0.2">
      <c r="B153" s="16" t="str">
        <f t="shared" si="9"/>
        <v>AM</v>
      </c>
      <c r="C153" s="15" t="str">
        <f t="shared" si="11"/>
        <v>1LBASIS</v>
      </c>
      <c r="D153" s="14" t="s">
        <v>14</v>
      </c>
      <c r="E153" s="14" t="str">
        <f>'1M_SwapsFromBasis'!L28</f>
        <v>USD_YC1MRH_AM1LBASIS20Y#0000</v>
      </c>
      <c r="F153" s="13">
        <f>_xll.qlRateHelperQuoteValue($E153,Trigger)</f>
        <v>3.3500000000000002E-2</v>
      </c>
      <c r="G153" s="13">
        <f>_xll.qlSwapRateHelperSpread($E153,Trigger)</f>
        <v>4.0000000000000002E-4</v>
      </c>
      <c r="H153" s="12" t="b">
        <v>1</v>
      </c>
      <c r="I153" s="12">
        <v>40</v>
      </c>
      <c r="J153" s="12">
        <v>1</v>
      </c>
      <c r="K153" s="11">
        <f>_xll.qlRateHelperEarliestDate($E153,Trigger)</f>
        <v>41688</v>
      </c>
      <c r="L153" s="10">
        <f>_xll.qlRateHelperLatestDate($E153,Trigger)</f>
        <v>48995</v>
      </c>
    </row>
    <row r="154" spans="2:12" x14ac:dyDescent="0.2">
      <c r="B154" s="16" t="str">
        <f t="shared" si="9"/>
        <v>AM</v>
      </c>
      <c r="C154" s="15" t="str">
        <f t="shared" si="11"/>
        <v>1LBASIS</v>
      </c>
      <c r="D154" s="14" t="s">
        <v>13</v>
      </c>
      <c r="E154" s="14" t="str">
        <f>'1M_SwapsFromBasis'!L29</f>
        <v>USD_YC1MRH_AM1LBASIS21Y#0000</v>
      </c>
      <c r="F154" s="13" t="e">
        <f>_xll.qlRateHelperQuoteValue($E154,Trigger)</f>
        <v>#NUM!</v>
      </c>
      <c r="G154" s="13">
        <f>_xll.qlSwapRateHelperSpread($E154,Trigger)</f>
        <v>3.9393070299228766E-4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41688</v>
      </c>
      <c r="L154" s="10">
        <f>_xll.qlRateHelperLatestDate($E154,Trigger)</f>
        <v>49359</v>
      </c>
    </row>
    <row r="155" spans="2:12" x14ac:dyDescent="0.2">
      <c r="B155" s="16" t="str">
        <f t="shared" si="9"/>
        <v>AM</v>
      </c>
      <c r="C155" s="15" t="str">
        <f t="shared" si="11"/>
        <v>1LBASIS</v>
      </c>
      <c r="D155" s="14" t="s">
        <v>12</v>
      </c>
      <c r="E155" s="14" t="str">
        <f>'1M_SwapsFromBasis'!L30</f>
        <v>USD_YC1MRH_AM1LBASIS22Y#0000</v>
      </c>
      <c r="F155" s="13" t="e">
        <f>_xll.qlRateHelperQuoteValue($E155,Trigger)</f>
        <v>#NUM!</v>
      </c>
      <c r="G155" s="13">
        <f>_xll.qlSwapRateHelperSpread($E155,Trigger)</f>
        <v>3.8941337874035957E-4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41688</v>
      </c>
      <c r="L155" s="10">
        <f>_xll.qlRateHelperLatestDate($E155,Trigger)</f>
        <v>49723</v>
      </c>
    </row>
    <row r="156" spans="2:12" x14ac:dyDescent="0.2">
      <c r="B156" s="16" t="str">
        <f t="shared" si="9"/>
        <v>AM</v>
      </c>
      <c r="C156" s="15" t="str">
        <f t="shared" si="11"/>
        <v>1LBASIS</v>
      </c>
      <c r="D156" s="14" t="s">
        <v>11</v>
      </c>
      <c r="E156" s="14" t="str">
        <f>'1M_SwapsFromBasis'!L31</f>
        <v>USD_YC1MRH_AM1LBASIS23Y#0000</v>
      </c>
      <c r="F156" s="13" t="e">
        <f>_xll.qlRateHelperQuoteValue($E156,Trigger)</f>
        <v>#NUM!</v>
      </c>
      <c r="G156" s="13">
        <f>_xll.qlSwapRateHelperSpread($E156,Trigger)</f>
        <v>3.8593070299228763E-4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41688</v>
      </c>
      <c r="L156" s="10">
        <f>_xll.qlRateHelperLatestDate($E156,Trigger)</f>
        <v>50089</v>
      </c>
    </row>
    <row r="157" spans="2:12" x14ac:dyDescent="0.2">
      <c r="B157" s="16" t="str">
        <f t="shared" si="9"/>
        <v>AM</v>
      </c>
      <c r="C157" s="15" t="str">
        <f t="shared" si="11"/>
        <v>1LBASIS</v>
      </c>
      <c r="D157" s="14" t="s">
        <v>10</v>
      </c>
      <c r="E157" s="14" t="str">
        <f>'1M_SwapsFromBasis'!L32</f>
        <v>USD_YC1MRH_AM1LBASIS24Y#0000</v>
      </c>
      <c r="F157" s="13" t="e">
        <f>_xll.qlRateHelperQuoteValue($E157,Trigger)</f>
        <v>#NUM!</v>
      </c>
      <c r="G157" s="13">
        <f>_xll.qlSwapRateHelperSpread($E157,Trigger)</f>
        <v>3.8296535149614385E-4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41688</v>
      </c>
      <c r="L157" s="10">
        <f>_xll.qlRateHelperLatestDate($E157,Trigger)</f>
        <v>50454</v>
      </c>
    </row>
    <row r="158" spans="2:12" x14ac:dyDescent="0.2">
      <c r="B158" s="16" t="str">
        <f t="shared" ref="B158:B167" si="12">SwapFixedFreq</f>
        <v>AM</v>
      </c>
      <c r="C158" s="15" t="str">
        <f t="shared" si="11"/>
        <v>1LBASIS</v>
      </c>
      <c r="D158" s="14" t="s">
        <v>9</v>
      </c>
      <c r="E158" s="14" t="str">
        <f>'1M_SwapsFromBasis'!L33</f>
        <v>USD_YC1MRH_AM1LBASIS25Y#0000</v>
      </c>
      <c r="F158" s="13">
        <f>_xll.qlRateHelperQuoteValue($E158,Trigger)</f>
        <v>3.4619999999999998E-2</v>
      </c>
      <c r="G158" s="13">
        <f>_xll.qlSwapRateHelperSpread($E158,Trigger)</f>
        <v>3.7999999999999997E-4</v>
      </c>
      <c r="H158" s="12" t="b">
        <v>1</v>
      </c>
      <c r="I158" s="12">
        <v>40</v>
      </c>
      <c r="J158" s="12">
        <v>1</v>
      </c>
      <c r="K158" s="11">
        <f>_xll.qlRateHelperEarliestDate($E158,Trigger)</f>
        <v>41688</v>
      </c>
      <c r="L158" s="10">
        <f>_xll.qlRateHelperLatestDate($E158,Trigger)</f>
        <v>50819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8</v>
      </c>
      <c r="E159" s="14" t="str">
        <f>'1M_SwapsFromBasis'!L34</f>
        <v>USD_YC1MRH_AM1LBASIS26Y#0000</v>
      </c>
      <c r="F159" s="13" t="e">
        <f>_xll.qlRateHelperQuoteValue($E159,Trigger)</f>
        <v>#NUM!</v>
      </c>
      <c r="G159" s="13">
        <f>_xll.qlSwapRateHelperSpread($E159,Trigger)</f>
        <v>3.7662078910231369E-4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41688</v>
      </c>
      <c r="L159" s="10">
        <f>_xll.qlRateHelperLatestDate($E159,Trigger)</f>
        <v>51186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7</v>
      </c>
      <c r="E160" s="14" t="str">
        <f>'1M_SwapsFromBasis'!L35</f>
        <v>USD_YC1MRH_AM1LBASIS27Y#0000</v>
      </c>
      <c r="F160" s="13" t="e">
        <f>_xll.qlRateHelperQuoteValue($E160,Trigger)</f>
        <v>#NUM!</v>
      </c>
      <c r="G160" s="13">
        <f>_xll.qlSwapRateHelperSpread($E160,Trigger)</f>
        <v>3.7282771880308492E-4</v>
      </c>
      <c r="H160" s="12" t="b">
        <v>0</v>
      </c>
      <c r="I160" s="12">
        <v>40</v>
      </c>
      <c r="J160" s="12">
        <v>1</v>
      </c>
      <c r="K160" s="11">
        <f>_xll.qlRateHelperEarliestDate($E160,Trigger)</f>
        <v>41688</v>
      </c>
      <c r="L160" s="10">
        <f>_xll.qlRateHelperLatestDate($E160,Trigger)</f>
        <v>51550</v>
      </c>
    </row>
    <row r="161" spans="2:12" x14ac:dyDescent="0.2">
      <c r="B161" s="16" t="str">
        <f t="shared" si="12"/>
        <v>AM</v>
      </c>
      <c r="C161" s="15" t="str">
        <f t="shared" si="11"/>
        <v>1LBASIS</v>
      </c>
      <c r="D161" s="14" t="s">
        <v>6</v>
      </c>
      <c r="E161" s="14" t="str">
        <f>'1M_SwapsFromBasis'!L36</f>
        <v>USD_YC1MRH_AM1LBASIS28Y#0000</v>
      </c>
      <c r="F161" s="13" t="e">
        <f>_xll.qlRateHelperQuoteValue($E161,Trigger)</f>
        <v>#NUM!</v>
      </c>
      <c r="G161" s="13">
        <f>_xll.qlSwapRateHelperSpread($E161,Trigger)</f>
        <v>3.6872425395269933E-4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41688</v>
      </c>
      <c r="L161" s="10">
        <f>_xll.qlRateHelperLatestDate($E161,Trigger)</f>
        <v>51915</v>
      </c>
    </row>
    <row r="162" spans="2:12" x14ac:dyDescent="0.2">
      <c r="B162" s="16" t="str">
        <f t="shared" si="12"/>
        <v>AM</v>
      </c>
      <c r="C162" s="15" t="str">
        <f t="shared" si="11"/>
        <v>1LBASIS</v>
      </c>
      <c r="D162" s="14" t="s">
        <v>5</v>
      </c>
      <c r="E162" s="14" t="str">
        <f>'1M_SwapsFromBasis'!L37</f>
        <v>USD_YC1MRH_AM1LBASIS29Y#0000</v>
      </c>
      <c r="F162" s="13" t="e">
        <f>_xll.qlRateHelperQuoteValue($E162,Trigger)</f>
        <v>#NUM!</v>
      </c>
      <c r="G162" s="13">
        <f>_xll.qlSwapRateHelperSpread($E162,Trigger)</f>
        <v>3.6441385940154245E-4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41688</v>
      </c>
      <c r="L162" s="10">
        <f>_xll.qlRateHelperLatestDate($E162,Trigger)</f>
        <v>52280</v>
      </c>
    </row>
    <row r="163" spans="2:12" x14ac:dyDescent="0.2">
      <c r="B163" s="16" t="str">
        <f t="shared" si="12"/>
        <v>AM</v>
      </c>
      <c r="C163" s="15" t="str">
        <f t="shared" si="11"/>
        <v>1LBASIS</v>
      </c>
      <c r="D163" s="14" t="s">
        <v>4</v>
      </c>
      <c r="E163" s="14" t="str">
        <f>'1M_SwapsFromBasis'!L38</f>
        <v>USD_YC1MRH_AM1LBASIS30Y#0000</v>
      </c>
      <c r="F163" s="13">
        <f>_xll.qlRateHelperQuoteValue($E163,Trigger)</f>
        <v>3.5220000000000001E-2</v>
      </c>
      <c r="G163" s="13">
        <f>_xll.qlSwapRateHelperSpread($E163,Trigger)</f>
        <v>3.6000000000000002E-4</v>
      </c>
      <c r="H163" s="12" t="b">
        <v>1</v>
      </c>
      <c r="I163" s="12">
        <v>40</v>
      </c>
      <c r="J163" s="12">
        <v>1</v>
      </c>
      <c r="K163" s="11">
        <f>_xll.qlRateHelperEarliestDate($E163,Trigger)</f>
        <v>41688</v>
      </c>
      <c r="L163" s="10">
        <f>_xll.qlRateHelperLatestDate($E163,Trigger)</f>
        <v>52645</v>
      </c>
    </row>
    <row r="164" spans="2:12" x14ac:dyDescent="0.2">
      <c r="B164" s="16" t="str">
        <f t="shared" si="12"/>
        <v>AM</v>
      </c>
      <c r="C164" s="15" t="str">
        <f t="shared" si="11"/>
        <v>1LBASIS</v>
      </c>
      <c r="D164" s="14" t="s">
        <v>3</v>
      </c>
      <c r="E164" s="14" t="str">
        <f>'1M_SwapsFromBasis'!L39</f>
        <v>USD_YC1MRH_AM1LBASIS35Y#0000</v>
      </c>
      <c r="F164" s="13" t="e">
        <f>_xll.qlRateHelperQuoteValue($E164,Trigger)</f>
        <v>#NUM!</v>
      </c>
      <c r="G164" s="13">
        <f>_xll.qlSwapRateHelperSpread($E164,Trigger)</f>
        <v>3.6000000000000002E-4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41688</v>
      </c>
      <c r="L164" s="10">
        <f>_xll.qlRateHelperLatestDate($E164,Trigger)</f>
        <v>54472</v>
      </c>
    </row>
    <row r="165" spans="2:12" x14ac:dyDescent="0.2">
      <c r="B165" s="16" t="str">
        <f t="shared" si="12"/>
        <v>AM</v>
      </c>
      <c r="C165" s="15" t="str">
        <f t="shared" si="11"/>
        <v>1LBASIS</v>
      </c>
      <c r="D165" s="14" t="s">
        <v>2</v>
      </c>
      <c r="E165" s="14" t="str">
        <f>'1M_SwapsFromBasis'!L40</f>
        <v>USD_YC1MRH_AM1LBASIS40Y#0000</v>
      </c>
      <c r="F165" s="13">
        <f>_xll.qlRateHelperQuoteValue($E165,Trigger)</f>
        <v>3.5369999999999999E-2</v>
      </c>
      <c r="G165" s="13">
        <f>_xll.qlSwapRateHelperSpread($E165,Trigger)</f>
        <v>3.6000000000000002E-4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41688</v>
      </c>
      <c r="L165" s="10">
        <f>_xll.qlRateHelperLatestDate($E165,Trigger)</f>
        <v>56298</v>
      </c>
    </row>
    <row r="166" spans="2:12" x14ac:dyDescent="0.2">
      <c r="B166" s="16" t="str">
        <f t="shared" si="12"/>
        <v>AM</v>
      </c>
      <c r="C166" s="15" t="str">
        <f t="shared" si="11"/>
        <v>1LBASIS</v>
      </c>
      <c r="D166" s="14" t="s">
        <v>1</v>
      </c>
      <c r="E166" s="14" t="str">
        <f>'1M_SwapsFromBasis'!L41</f>
        <v>USD_YC1MRH_AM1LBASIS50Y#0000</v>
      </c>
      <c r="F166" s="13">
        <f>_xll.qlRateHelperQuoteValue($E166,Trigger)</f>
        <v>3.524E-2</v>
      </c>
      <c r="G166" s="13">
        <f>_xll.qlSwapRateHelperSpread($E166,Trigger)</f>
        <v>3.6000000000000002E-4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41688</v>
      </c>
      <c r="L166" s="10">
        <f>_xll.qlRateHelperLatestDate($E166,Trigger)</f>
        <v>59950</v>
      </c>
    </row>
    <row r="167" spans="2:12" x14ac:dyDescent="0.2">
      <c r="B167" s="9" t="str">
        <f t="shared" si="12"/>
        <v>AM</v>
      </c>
      <c r="C167" s="8" t="str">
        <f t="shared" si="11"/>
        <v>1LBASIS</v>
      </c>
      <c r="D167" s="7" t="s">
        <v>0</v>
      </c>
      <c r="E167" s="7" t="str">
        <f>'1M_SwapsFromBasis'!L42</f>
        <v>USD_YC1MRH_AM1LBASIS60Y#0000</v>
      </c>
      <c r="F167" s="6" t="e">
        <f>_xll.qlRateHelperQuoteValue($E167,Trigger)</f>
        <v>#NUM!</v>
      </c>
      <c r="G167" s="6">
        <f>_xll.qlSwapRateHelperSpread($E167,Trigger)</f>
        <v>3.6000000000000002E-4</v>
      </c>
      <c r="H167" s="5" t="b">
        <v>0</v>
      </c>
      <c r="I167" s="5">
        <v>40</v>
      </c>
      <c r="J167" s="5">
        <v>1</v>
      </c>
      <c r="K167" s="4">
        <f>_xll.qlRateHelperEarliestDate($E167,Trigger)</f>
        <v>41688</v>
      </c>
      <c r="L167" s="3">
        <f>_xll.qlRateHelperLatestDate($E167,Trigger)</f>
        <v>63604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6.85546875" style="32" bestFit="1" customWidth="1"/>
    <col min="2" max="2" width="26" style="32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0" width="9.140625" style="32"/>
    <col min="11" max="11" width="24.42578125" style="32" bestFit="1" customWidth="1"/>
    <col min="12" max="16384" width="9.140625" style="32"/>
  </cols>
  <sheetData>
    <row r="1" spans="1:12" ht="12" thickBot="1" x14ac:dyDescent="0.25">
      <c r="A1" s="172" t="s">
        <v>80</v>
      </c>
      <c r="B1" s="173"/>
      <c r="D1" s="53" t="s">
        <v>79</v>
      </c>
      <c r="E1" s="52" t="s">
        <v>78</v>
      </c>
      <c r="F1" s="52"/>
      <c r="G1" s="52" t="s">
        <v>64</v>
      </c>
      <c r="H1" s="51" t="s">
        <v>63</v>
      </c>
      <c r="I1" s="34">
        <f t="array" ref="I1:I126">_xll.qlPiecewiseYieldCurveData(YieldCurve)</f>
        <v>1</v>
      </c>
    </row>
    <row r="2" spans="1:12" x14ac:dyDescent="0.2">
      <c r="A2" s="50" t="s">
        <v>77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41">
        <f>_xll.qlRateHelperRate($D2)</f>
        <v>1.939E-3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41688</v>
      </c>
      <c r="H2" s="39">
        <f>_xll.qlRateHelperLatestDate($D2)</f>
        <v>41702</v>
      </c>
      <c r="I2" s="34">
        <v>0.99990328143267748</v>
      </c>
      <c r="K2" s="32" t="s">
        <v>113</v>
      </c>
      <c r="L2" s="91">
        <v>1.939E-3</v>
      </c>
    </row>
    <row r="3" spans="1:12" x14ac:dyDescent="0.2">
      <c r="A3" s="46" t="s">
        <v>76</v>
      </c>
      <c r="B3" s="48">
        <v>0</v>
      </c>
      <c r="D3" s="42" t="str">
        <v>USD_YC1MRH_3WD</v>
      </c>
      <c r="E3" s="41">
        <f>_xll.qlRateHelperRate($D3)</f>
        <v>1.923E-3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41688</v>
      </c>
      <c r="H3" s="39">
        <f>_xll.qlRateHelperLatestDate($D3)</f>
        <v>41709</v>
      </c>
      <c r="I3" s="34">
        <v>0.99986567118283365</v>
      </c>
      <c r="K3" s="32" t="s">
        <v>114</v>
      </c>
      <c r="L3" s="91">
        <v>1.923E-3</v>
      </c>
    </row>
    <row r="4" spans="1:12" x14ac:dyDescent="0.2">
      <c r="A4" s="46" t="s">
        <v>75</v>
      </c>
      <c r="B4" s="48">
        <v>1</v>
      </c>
      <c r="D4" s="42" t="str">
        <v>USD_YC1MRH_1MD</v>
      </c>
      <c r="E4" s="41">
        <f>_xll.qlRateHelperRate($D4)</f>
        <v>1.915E-3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41688</v>
      </c>
      <c r="H4" s="39">
        <f>_xll.qlRateHelperLatestDate($D4)</f>
        <v>41716</v>
      </c>
      <c r="I4" s="34">
        <v>0.99982806234765753</v>
      </c>
      <c r="K4" s="32" t="s">
        <v>115</v>
      </c>
      <c r="L4" s="91">
        <v>1.915E-3</v>
      </c>
    </row>
    <row r="5" spans="1:12" x14ac:dyDescent="0.2">
      <c r="A5" s="46" t="s">
        <v>74</v>
      </c>
      <c r="B5" s="47" t="s">
        <v>73</v>
      </c>
      <c r="D5" s="42" t="str">
        <v>USD_YC1MRH_2X1S</v>
      </c>
      <c r="E5" s="41">
        <f>_xll.qlRateHelperRate($D5)</f>
        <v>1.72E-3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41688</v>
      </c>
      <c r="H5" s="39">
        <f>_xll.qlRateHelperLatestDate($D5)</f>
        <v>41751</v>
      </c>
      <c r="I5" s="34">
        <v>0.99969003938993084</v>
      </c>
      <c r="K5" s="32" t="s">
        <v>116</v>
      </c>
      <c r="L5" s="91">
        <v>1.9300000000000001E-3</v>
      </c>
    </row>
    <row r="6" spans="1:12" x14ac:dyDescent="0.2">
      <c r="A6" s="46" t="s">
        <v>72</v>
      </c>
      <c r="B6" s="45" t="str">
        <f>_xll.ohRangeRetrieveError(Selected!D2)</f>
        <v/>
      </c>
      <c r="D6" s="42" t="str">
        <v>USD_YC1MRH_3X1S</v>
      </c>
      <c r="E6" s="41">
        <f>_xll.qlRateHelperRate($D6)</f>
        <v>1.7399999999999998E-3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41688</v>
      </c>
      <c r="H6" s="39">
        <f>_xll.qlRateHelperLatestDate($D6)</f>
        <v>41778</v>
      </c>
      <c r="I6" s="34">
        <v>0.9995651570517301</v>
      </c>
      <c r="K6" s="32" t="s">
        <v>117</v>
      </c>
      <c r="L6" s="91">
        <v>1.9499999999999999E-3</v>
      </c>
    </row>
    <row r="7" spans="1:12" ht="12" thickBot="1" x14ac:dyDescent="0.25">
      <c r="A7" s="44" t="str">
        <f>_xll.ohGroup(RateHelperPrefix&amp;"_RateHelpersSelected",_xll.ohPack(Selected!D2:D126),TRUE,,ObjectOverwrite)</f>
        <v>USD_YC1MRH_RateHelpersSelected#0000</v>
      </c>
      <c r="B7" s="43" t="str">
        <f>_xll.ohRangeRetrieveError(RateHelpersSelected)</f>
        <v/>
      </c>
      <c r="D7" s="42" t="str">
        <v>USD_YC1MRH_4X1S</v>
      </c>
      <c r="E7" s="41">
        <f>_xll.qlRateHelperRate($D7)</f>
        <v>1.7699999999999999E-3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41688</v>
      </c>
      <c r="H7" s="39">
        <f>_xll.qlRateHelperLatestDate($D7)</f>
        <v>41808</v>
      </c>
      <c r="I7" s="34">
        <v>0.9993764171948939</v>
      </c>
      <c r="K7" s="32" t="s">
        <v>118</v>
      </c>
      <c r="L7" s="91">
        <v>1.98E-3</v>
      </c>
    </row>
    <row r="8" spans="1:12" x14ac:dyDescent="0.2">
      <c r="D8" s="42" t="str">
        <v>USD_YC1MRH_5X1S</v>
      </c>
      <c r="E8" s="41">
        <f>_xll.qlRateHelperRate($D8)</f>
        <v>1.8E-3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41688</v>
      </c>
      <c r="H8" s="39">
        <f>_xll.qlRateHelperLatestDate($D8)</f>
        <v>41838</v>
      </c>
      <c r="I8" s="34">
        <v>0.99922560881578515</v>
      </c>
      <c r="K8" s="32" t="s">
        <v>119</v>
      </c>
      <c r="L8" s="91">
        <v>2.0200000000000001E-3</v>
      </c>
    </row>
    <row r="9" spans="1:12" x14ac:dyDescent="0.2">
      <c r="D9" s="42" t="str">
        <v>USD_YC1MRH_6X1S</v>
      </c>
      <c r="E9" s="41">
        <f>_xll.qlRateHelperRate($D9)</f>
        <v>1.8500000000000001E-3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41688</v>
      </c>
      <c r="H9" s="39">
        <f>_xll.qlRateHelperLatestDate($D9)</f>
        <v>41869</v>
      </c>
      <c r="I9" s="34">
        <v>0.99906979739853519</v>
      </c>
      <c r="K9" s="32" t="s">
        <v>120</v>
      </c>
      <c r="L9" s="91">
        <v>2.0600000000000002E-3</v>
      </c>
    </row>
    <row r="10" spans="1:12" x14ac:dyDescent="0.2">
      <c r="D10" s="42" t="str">
        <v>USD_YC1MRH_7X1S</v>
      </c>
      <c r="E10" s="41">
        <f>_xll.qlRateHelperRate($D10)</f>
        <v>1.9E-3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41688</v>
      </c>
      <c r="H10" s="39">
        <f>_xll.qlRateHelperLatestDate($D10)</f>
        <v>41900</v>
      </c>
      <c r="I10" s="34">
        <v>0.9988640102772971</v>
      </c>
      <c r="K10" s="32" t="s">
        <v>121</v>
      </c>
      <c r="L10" s="91">
        <v>2.1099999999999999E-3</v>
      </c>
    </row>
    <row r="11" spans="1:12" x14ac:dyDescent="0.2">
      <c r="D11" s="42" t="str">
        <v>USD_YC1MRH_8X1S</v>
      </c>
      <c r="E11" s="41">
        <f>_xll.qlRateHelperRate($D11)</f>
        <v>1.9500000000000001E-3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41688</v>
      </c>
      <c r="H11" s="39">
        <f>_xll.qlRateHelperLatestDate($D11)</f>
        <v>41932</v>
      </c>
      <c r="I11" s="34">
        <v>0.99864582529111579</v>
      </c>
      <c r="K11" s="32" t="s">
        <v>122</v>
      </c>
      <c r="L11" s="91">
        <v>2.1700000000000001E-3</v>
      </c>
    </row>
    <row r="12" spans="1:12" x14ac:dyDescent="0.2">
      <c r="D12" s="42" t="str">
        <v>USD_YC1MRH_9X1S</v>
      </c>
      <c r="E12" s="41">
        <f>_xll.qlRateHelperRate($D12)</f>
        <v>2.0100000000000001E-3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41688</v>
      </c>
      <c r="H12" s="39">
        <f>_xll.qlRateHelperLatestDate($D12)</f>
        <v>41961</v>
      </c>
      <c r="I12" s="34">
        <v>0.99843759401909371</v>
      </c>
      <c r="K12" s="32" t="s">
        <v>123</v>
      </c>
      <c r="L12" s="91">
        <v>2.2200000000000002E-3</v>
      </c>
    </row>
    <row r="13" spans="1:12" x14ac:dyDescent="0.2">
      <c r="D13" s="42" t="str">
        <v>USD_YC1MRH_10X1S</v>
      </c>
      <c r="E13" s="41">
        <f>_xll.qlRateHelperRate($D13)</f>
        <v>2.0700000000000002E-3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41688</v>
      </c>
      <c r="H13" s="39">
        <f>_xll.qlRateHelperLatestDate($D13)</f>
        <v>41991</v>
      </c>
      <c r="I13" s="34">
        <v>0.99821852694987301</v>
      </c>
      <c r="K13" s="32" t="s">
        <v>124</v>
      </c>
      <c r="L13" s="91">
        <v>2.2899999999999999E-3</v>
      </c>
    </row>
    <row r="14" spans="1:12" x14ac:dyDescent="0.2">
      <c r="D14" s="42" t="str">
        <v>USD_YC1MRH_11X1S</v>
      </c>
      <c r="E14" s="41">
        <f>_xll.qlRateHelperRate($D14)</f>
        <v>2.1299999999999999E-3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41688</v>
      </c>
      <c r="H14" s="39">
        <f>_xll.qlRateHelperLatestDate($D14)</f>
        <v>42023</v>
      </c>
      <c r="I14" s="34">
        <v>0.99798301868747141</v>
      </c>
      <c r="K14" s="32" t="s">
        <v>125</v>
      </c>
      <c r="L14" s="91">
        <v>2.3700000000000001E-3</v>
      </c>
    </row>
    <row r="15" spans="1:12" x14ac:dyDescent="0.2">
      <c r="D15" s="42" t="str">
        <v>USD_YC1MRH_12X1S</v>
      </c>
      <c r="E15" s="41">
        <f>_xll.qlRateHelperRate($D15)</f>
        <v>2.2000000000000001E-3</v>
      </c>
      <c r="F15" s="41">
        <f>IF(ISERROR(_xll.qlSwapRateHelperSpread($D15)),IF(ISERROR(_xll.qlFuturesRateHelperConvexityAdjustment($D15)),"--",_xll.qlFuturesRateHelperConvexityAdjustment($D15)),_xll.qlSwapRateHelperSpread($D15))</f>
        <v>0</v>
      </c>
      <c r="G15" s="40">
        <f>_xll.qlRateHelperEarliestDate($D15)</f>
        <v>41688</v>
      </c>
      <c r="H15" s="39">
        <f>_xll.qlRateHelperLatestDate($D15)</f>
        <v>42053</v>
      </c>
      <c r="I15" s="34">
        <v>0.99775472082569361</v>
      </c>
      <c r="K15" s="32" t="s">
        <v>126</v>
      </c>
      <c r="L15" s="91">
        <v>2.4399999999999999E-3</v>
      </c>
    </row>
    <row r="16" spans="1:12" x14ac:dyDescent="0.2">
      <c r="D16" s="42" t="str">
        <v>USD_YC1MRH_AM1LBASIS2Y</v>
      </c>
      <c r="E16" s="41">
        <f>_xll.qlRateHelperRate($D16)</f>
        <v>4.28E-3</v>
      </c>
      <c r="F16" s="41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40">
        <f>_xll.qlRateHelperEarliestDate($D16)</f>
        <v>41688</v>
      </c>
      <c r="H16" s="39">
        <f>_xll.qlRateHelperLatestDate($D16)</f>
        <v>42418</v>
      </c>
      <c r="I16" s="34">
        <v>0.99289668095385053</v>
      </c>
      <c r="K16" s="32" t="s">
        <v>127</v>
      </c>
      <c r="L16" s="91">
        <v>4.7000000000000002E-3</v>
      </c>
    </row>
    <row r="17" spans="4:12" x14ac:dyDescent="0.2">
      <c r="D17" s="42" t="str">
        <v>USD_YC1MRH_AM1LBASIS3Y</v>
      </c>
      <c r="E17" s="41">
        <f>_xll.qlRateHelperRate($D17)</f>
        <v>6.8399999999999997E-3</v>
      </c>
      <c r="F17" s="41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40">
        <f>_xll.qlRateHelperEarliestDate($D17)</f>
        <v>41688</v>
      </c>
      <c r="H17" s="39">
        <f>_xll.qlRateHelperLatestDate($D17)</f>
        <v>42786</v>
      </c>
      <c r="I17" s="34">
        <v>0.98161270007302959</v>
      </c>
      <c r="K17" s="32" t="s">
        <v>128</v>
      </c>
      <c r="L17" s="91">
        <v>7.4000000000000003E-3</v>
      </c>
    </row>
    <row r="18" spans="4:12" x14ac:dyDescent="0.2">
      <c r="D18" s="42" t="str">
        <v>USD_YC1MRH_AM1LBASIS4Y</v>
      </c>
      <c r="E18" s="41">
        <f>_xll.qlRateHelperRate($D18)</f>
        <v>1.0379999999999999E-2</v>
      </c>
      <c r="F18" s="41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40">
        <f>_xll.qlRateHelperEarliestDate($D18)</f>
        <v>41688</v>
      </c>
      <c r="H18" s="39">
        <f>_xll.qlRateHelperLatestDate($D18)</f>
        <v>43150</v>
      </c>
      <c r="I18" s="34">
        <v>0.96153034655751501</v>
      </c>
      <c r="K18" s="32" t="s">
        <v>129</v>
      </c>
      <c r="L18" s="91">
        <v>1.0999999999999999E-2</v>
      </c>
    </row>
    <row r="19" spans="4:12" x14ac:dyDescent="0.2">
      <c r="D19" s="42" t="str">
        <v>USD_YC1MRH_AM1LBASIS5Y</v>
      </c>
      <c r="E19" s="41">
        <f>_xll.qlRateHelperRate($D19)</f>
        <v>1.3999999999999999E-2</v>
      </c>
      <c r="F19" s="41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40">
        <f>_xll.qlRateHelperEarliestDate($D19)</f>
        <v>41688</v>
      </c>
      <c r="H19" s="39">
        <f>_xll.qlRateHelperLatestDate($D19)</f>
        <v>43514</v>
      </c>
      <c r="I19" s="34">
        <v>0.93451272270901065</v>
      </c>
      <c r="K19" s="32" t="s">
        <v>130</v>
      </c>
      <c r="L19" s="91">
        <v>1.469E-2</v>
      </c>
    </row>
    <row r="20" spans="4:12" x14ac:dyDescent="0.2">
      <c r="D20" s="42" t="str">
        <v>USD_YC1MRH_AM1LBASIS6Y</v>
      </c>
      <c r="E20" s="41">
        <f>_xll.qlRateHelperRate($D20)</f>
        <v>1.7299999999999999E-2</v>
      </c>
      <c r="F20" s="41">
        <f>IF(ISERROR(_xll.qlSwapRateHelperSpread($D20)),IF(ISERROR(_xll.qlFuturesRateHelperConvexityAdjustment($D20)),"--",_xll.qlFuturesRateHelperConvexityAdjustment($D20)),_xll.qlSwapRateHelperSpread($D20))</f>
        <v>7.0999999999999991E-4</v>
      </c>
      <c r="G20" s="40">
        <f>_xll.qlRateHelperEarliestDate($D20)</f>
        <v>41688</v>
      </c>
      <c r="H20" s="39">
        <f>_xll.qlRateHelperLatestDate($D20)</f>
        <v>43879</v>
      </c>
      <c r="I20" s="34">
        <v>0.90288942585040832</v>
      </c>
      <c r="K20" s="32" t="s">
        <v>131</v>
      </c>
      <c r="L20" s="91">
        <v>1.7999999999999999E-2</v>
      </c>
    </row>
    <row r="21" spans="4:12" x14ac:dyDescent="0.2">
      <c r="D21" s="42" t="str">
        <v>USD_YC1MRH_AM1LBASIS7Y</v>
      </c>
      <c r="E21" s="41">
        <f>_xll.qlRateHelperRate($D21)</f>
        <v>2.0080000000000001E-2</v>
      </c>
      <c r="F21" s="41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40">
        <f>_xll.qlRateHelperEarliestDate($D21)</f>
        <v>41688</v>
      </c>
      <c r="H21" s="39">
        <f>_xll.qlRateHelperLatestDate($D21)</f>
        <v>44245</v>
      </c>
      <c r="I21" s="34">
        <v>0.86936960800553642</v>
      </c>
      <c r="K21" s="32" t="s">
        <v>132</v>
      </c>
      <c r="L21" s="91">
        <v>2.0830000000000001E-2</v>
      </c>
    </row>
    <row r="22" spans="4:12" x14ac:dyDescent="0.2">
      <c r="D22" s="42" t="str">
        <v>USD_YC1MRH_AM1LBASIS8Y</v>
      </c>
      <c r="E22" s="41">
        <f>_xll.qlRateHelperRate($D22)</f>
        <v>2.2409999999999996E-2</v>
      </c>
      <c r="F22" s="41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40">
        <f>_xll.qlRateHelperEarliestDate($D22)</f>
        <v>41688</v>
      </c>
      <c r="H22" s="39">
        <f>_xll.qlRateHelperLatestDate($D22)</f>
        <v>44610</v>
      </c>
      <c r="I22" s="34">
        <v>0.83498663377573867</v>
      </c>
      <c r="K22" s="32" t="s">
        <v>133</v>
      </c>
      <c r="L22" s="91">
        <v>2.3140000000000001E-2</v>
      </c>
    </row>
    <row r="23" spans="4:12" x14ac:dyDescent="0.2">
      <c r="D23" s="42" t="str">
        <v>USD_YC1MRH_AM1LBASIS9Y</v>
      </c>
      <c r="E23" s="41">
        <f>_xll.qlRateHelperRate($D23)</f>
        <v>2.4370000000000003E-2</v>
      </c>
      <c r="F23" s="41">
        <f>IF(ISERROR(_xll.qlSwapRateHelperSpread($D23)),IF(ISERROR(_xll.qlFuturesRateHelperConvexityAdjustment($D23)),"--",_xll.qlFuturesRateHelperConvexityAdjustment($D23)),_xll.qlSwapRateHelperSpread($D23))</f>
        <v>6.2E-4</v>
      </c>
      <c r="G23" s="40">
        <f>_xll.qlRateHelperEarliestDate($D23)</f>
        <v>41688</v>
      </c>
      <c r="H23" s="39">
        <f>_xll.qlRateHelperLatestDate($D23)</f>
        <v>44977</v>
      </c>
      <c r="I23" s="34">
        <v>0.80051872114484368</v>
      </c>
      <c r="K23" s="32" t="s">
        <v>134</v>
      </c>
      <c r="L23" s="91">
        <v>2.5100000000000001E-2</v>
      </c>
    </row>
    <row r="24" spans="4:12" x14ac:dyDescent="0.2">
      <c r="D24" s="42" t="str">
        <v>USD_YC1MRH_AM1LBASIS10Y</v>
      </c>
      <c r="E24" s="41">
        <f>_xll.qlRateHelperRate($D24)</f>
        <v>2.6020000000000001E-2</v>
      </c>
      <c r="F24" s="41">
        <f>IF(ISERROR(_xll.qlSwapRateHelperSpread($D24)),IF(ISERROR(_xll.qlFuturesRateHelperConvexityAdjustment($D24)),"--",_xll.qlFuturesRateHelperConvexityAdjustment($D24)),_xll.qlSwapRateHelperSpread($D24))</f>
        <v>5.8E-4</v>
      </c>
      <c r="G24" s="40">
        <f>_xll.qlRateHelperEarliestDate($D24)</f>
        <v>41688</v>
      </c>
      <c r="H24" s="39">
        <f>_xll.qlRateHelperLatestDate($D24)</f>
        <v>45341</v>
      </c>
      <c r="I24" s="34">
        <v>0.76660752114984476</v>
      </c>
      <c r="K24" s="32" t="s">
        <v>135</v>
      </c>
      <c r="L24" s="91">
        <v>2.6790000000000001E-2</v>
      </c>
    </row>
    <row r="25" spans="4:12" x14ac:dyDescent="0.2">
      <c r="D25" s="42" t="str">
        <v>USD_YC1MRH_AM1LBASIS12Y</v>
      </c>
      <c r="E25" s="41">
        <f>_xll.qlRateHelperRate($D25)</f>
        <v>2.8670000000000001E-2</v>
      </c>
      <c r="F25" s="41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40">
        <f>_xll.qlRateHelperEarliestDate($D25)</f>
        <v>41688</v>
      </c>
      <c r="H25" s="39">
        <f>_xll.qlRateHelperLatestDate($D25)</f>
        <v>46071</v>
      </c>
      <c r="I25" s="34">
        <v>0.70082224480617128</v>
      </c>
      <c r="K25" s="32" t="s">
        <v>136</v>
      </c>
      <c r="L25" s="91">
        <v>2.947E-2</v>
      </c>
    </row>
    <row r="26" spans="4:12" x14ac:dyDescent="0.2">
      <c r="D26" s="42" t="str">
        <v>USD_YC1MRH_AM1LBASIS15Y</v>
      </c>
      <c r="E26" s="41">
        <f>_xll.qlRateHelperRate($D26)</f>
        <v>3.1260000000000003E-2</v>
      </c>
      <c r="F26" s="41">
        <f>IF(ISERROR(_xll.qlSwapRateHelperSpread($D26)),IF(ISERROR(_xll.qlFuturesRateHelperConvexityAdjustment($D26)),"--",_xll.qlFuturesRateHelperConvexityAdjustment($D26)),_xll.qlSwapRateHelperSpread($D26))</f>
        <v>4.5999999999999996E-4</v>
      </c>
      <c r="G26" s="40">
        <f>_xll.qlRateHelperEarliestDate($D26)</f>
        <v>41688</v>
      </c>
      <c r="H26" s="39">
        <f>_xll.qlRateHelperLatestDate($D26)</f>
        <v>47168</v>
      </c>
      <c r="I26" s="34">
        <v>0.61250586800665918</v>
      </c>
      <c r="K26" s="32" t="s">
        <v>137</v>
      </c>
      <c r="L26" s="91">
        <v>3.2009999999999997E-2</v>
      </c>
    </row>
    <row r="27" spans="4:12" x14ac:dyDescent="0.2">
      <c r="D27" s="42" t="str">
        <v>USD_YC1MRH_AM1LBASIS20Y</v>
      </c>
      <c r="E27" s="41">
        <f>_xll.qlRateHelperRate($D27)</f>
        <v>3.3500000000000002E-2</v>
      </c>
      <c r="F27" s="41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40">
        <f>_xll.qlRateHelperEarliestDate($D27)</f>
        <v>41688</v>
      </c>
      <c r="H27" s="39">
        <f>_xll.qlRateHelperLatestDate($D27)</f>
        <v>48995</v>
      </c>
      <c r="I27" s="34">
        <v>0.49312996477480447</v>
      </c>
      <c r="K27" s="32" t="s">
        <v>138</v>
      </c>
      <c r="L27" s="91">
        <v>3.4000000000000002E-2</v>
      </c>
    </row>
    <row r="28" spans="4:12" x14ac:dyDescent="0.2">
      <c r="D28" s="42" t="str">
        <v>USD_YC1MRH_AM1LBASIS25Y</v>
      </c>
      <c r="E28" s="41">
        <f>_xll.qlRateHelperRate($D28)</f>
        <v>3.4619999999999998E-2</v>
      </c>
      <c r="F28" s="41">
        <f>IF(ISERROR(_xll.qlSwapRateHelperSpread($D28)),IF(ISERROR(_xll.qlFuturesRateHelperConvexityAdjustment($D28)),"--",_xll.qlFuturesRateHelperConvexityAdjustment($D28)),_xll.qlSwapRateHelperSpread($D28))</f>
        <v>3.7999999999999997E-4</v>
      </c>
      <c r="G28" s="40">
        <f>_xll.qlRateHelperEarliestDate($D28)</f>
        <v>41688</v>
      </c>
      <c r="H28" s="39">
        <f>_xll.qlRateHelperLatestDate($D28)</f>
        <v>50819</v>
      </c>
      <c r="I28" s="34">
        <v>0.40012070752831741</v>
      </c>
      <c r="K28" s="32" t="s">
        <v>139</v>
      </c>
      <c r="L28" s="91">
        <v>3.4959999999999998E-2</v>
      </c>
    </row>
    <row r="29" spans="4:12" x14ac:dyDescent="0.2">
      <c r="D29" s="42" t="str">
        <v>USD_YC1MRH_AM1LBASIS30Y</v>
      </c>
      <c r="E29" s="41">
        <f>_xll.qlRateHelperRate($D29)</f>
        <v>3.5220000000000001E-2</v>
      </c>
      <c r="F29" s="41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40">
        <f>_xll.qlRateHelperEarliestDate($D29)</f>
        <v>41688</v>
      </c>
      <c r="H29" s="39">
        <f>_xll.qlRateHelperLatestDate($D29)</f>
        <v>52645</v>
      </c>
      <c r="I29" s="34">
        <v>0.32656019262652825</v>
      </c>
      <c r="K29" s="32" t="s">
        <v>140</v>
      </c>
      <c r="L29" s="91">
        <v>3.5490000000000001E-2</v>
      </c>
    </row>
    <row r="30" spans="4:12" x14ac:dyDescent="0.2">
      <c r="D30" s="42" t="str">
        <v>USD_YC1MRH_AM1LBASIS40Y</v>
      </c>
      <c r="E30" s="41">
        <f>_xll.qlRateHelperRate($D30)</f>
        <v>3.5369999999999999E-2</v>
      </c>
      <c r="F30" s="41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40">
        <f>_xll.qlRateHelperEarliestDate($D30)</f>
        <v>41688</v>
      </c>
      <c r="H30" s="39">
        <f>_xll.qlRateHelperLatestDate($D30)</f>
        <v>56298</v>
      </c>
      <c r="I30" s="34">
        <v>0.22831625594470767</v>
      </c>
      <c r="K30" s="32" t="s">
        <v>141</v>
      </c>
      <c r="L30" s="91">
        <v>3.5619999999999999E-2</v>
      </c>
    </row>
    <row r="31" spans="4:12" x14ac:dyDescent="0.2">
      <c r="D31" s="42" t="str">
        <v>USD_YC1MRH_AM1LBASIS50Y</v>
      </c>
      <c r="E31" s="41">
        <f>_xll.qlRateHelperRate($D31)</f>
        <v>3.524E-2</v>
      </c>
      <c r="F31" s="41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40">
        <f>_xll.qlRateHelperEarliestDate($D31)</f>
        <v>41688</v>
      </c>
      <c r="H31" s="39">
        <f>_xll.qlRateHelperLatestDate($D31)</f>
        <v>59950</v>
      </c>
      <c r="I31" s="34">
        <v>0.16368928964546794</v>
      </c>
      <c r="K31" s="32" t="s">
        <v>142</v>
      </c>
      <c r="L31" s="91">
        <v>3.5459999999999998E-2</v>
      </c>
    </row>
    <row r="32" spans="4:12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8"/>
  <sheetViews>
    <sheetView workbookViewId="0">
      <selection activeCell="F3" sqref="F3"/>
    </sheetView>
  </sheetViews>
  <sheetFormatPr defaultRowHeight="11.25" x14ac:dyDescent="0.2"/>
  <cols>
    <col min="1" max="1" width="3" style="92" customWidth="1"/>
    <col min="2" max="2" width="3.42578125" style="92" bestFit="1" customWidth="1"/>
    <col min="3" max="3" width="9.5703125" style="92" bestFit="1" customWidth="1"/>
    <col min="4" max="4" width="20.42578125" style="92" bestFit="1" customWidth="1"/>
    <col min="5" max="5" width="21.85546875" style="92" bestFit="1" customWidth="1"/>
    <col min="6" max="6" width="19.7109375" style="92" bestFit="1" customWidth="1"/>
    <col min="7" max="7" width="23.5703125" style="92" customWidth="1"/>
    <col min="8" max="8" width="4.7109375" style="92" customWidth="1"/>
    <col min="9" max="16384" width="9.140625" style="92"/>
  </cols>
  <sheetData>
    <row r="1" spans="1:10" x14ac:dyDescent="0.2">
      <c r="A1" s="112" t="s">
        <v>188</v>
      </c>
      <c r="B1" s="111"/>
      <c r="C1" s="111"/>
      <c r="D1" s="12" t="s">
        <v>143</v>
      </c>
      <c r="E1" s="110" t="str">
        <f>Currency&amp;"_YC"&amp;$D$1&amp;"RH"</f>
        <v>USD_YC1MRH</v>
      </c>
      <c r="H1" s="96"/>
    </row>
    <row r="2" spans="1:10" ht="23.25" customHeight="1" x14ac:dyDescent="0.2">
      <c r="A2" s="103"/>
      <c r="B2" s="109"/>
      <c r="C2" s="109" t="s">
        <v>149</v>
      </c>
      <c r="D2" s="109" t="s">
        <v>148</v>
      </c>
      <c r="E2" s="108" t="str">
        <f>$E$1&amp;"_Deposits.xml"</f>
        <v>USD_YC1MRH_Deposits.xml</v>
      </c>
      <c r="F2" s="107">
        <f ca="1">IF(Serialize,_xll.ohObjectSave(F3:F7,SerializationPath&amp;E2,FileOverwrite,Serialize),"---")</f>
        <v>5</v>
      </c>
      <c r="G2" s="106" t="str">
        <f ca="1">_xll.ohRangeRetrieveError(F2)</f>
        <v/>
      </c>
      <c r="H2" s="96"/>
    </row>
    <row r="3" spans="1:10" x14ac:dyDescent="0.2">
      <c r="A3" s="103"/>
      <c r="B3" s="105" t="s">
        <v>147</v>
      </c>
      <c r="C3" s="101"/>
      <c r="D3" s="100" t="str">
        <f>Currency&amp;B3&amp;"D_SYNTH"&amp;$D$1&amp;QuoteSuffix</f>
        <v>USDSND_SYNTH1M_Quote</v>
      </c>
      <c r="E3" s="99" t="str">
        <f>$E$1&amp;"_"&amp;$B3&amp;"D"</f>
        <v>USD_YC1MRH_SND</v>
      </c>
      <c r="F3" s="104" t="str">
        <f>_xll.qlDepositRateHelper2(E3,D3,"1d",2,"target","following",FALSE,"act/360",Permanent,Trigger,ObjectOverwrite)</f>
        <v>USD_YC1MRH_SND#0000</v>
      </c>
      <c r="G3" s="97" t="str">
        <f>_xll.ohRangeRetrieveError(F3)</f>
        <v/>
      </c>
      <c r="H3" s="96"/>
      <c r="J3" s="92" t="str">
        <f>_xll.ohObjectCallerAddress(D3)</f>
        <v>'[USD_Market.xlsm]1M'!R5C4</v>
      </c>
    </row>
    <row r="4" spans="1:10" x14ac:dyDescent="0.2">
      <c r="A4" s="103"/>
      <c r="B4" s="102" t="s">
        <v>146</v>
      </c>
      <c r="C4" s="101" t="str">
        <f>PROPER(Currency)&amp;FamilyName&amp;$B4</f>
        <v>UsdLiborSW</v>
      </c>
      <c r="D4" s="100" t="str">
        <f>Currency&amp;B4&amp;"D_SYNTH"&amp;$D$1&amp;QuoteSuffix</f>
        <v>USDSWD_SYNTH1M_Quote</v>
      </c>
      <c r="E4" s="99" t="str">
        <f>$E$1&amp;"_"&amp;$B4&amp;"D"</f>
        <v>USD_YC1MRH_SWD</v>
      </c>
      <c r="F4" s="98" t="str">
        <f>_xll.qlDepositRateHelper(E4,D4,C4,Permanent,Trigger,ObjectOverwrite)</f>
        <v>USD_YC1MRH_SWD#0000</v>
      </c>
      <c r="G4" s="97" t="str">
        <f>_xll.ohRangeRetrieveError(F4)</f>
        <v/>
      </c>
      <c r="H4" s="96"/>
    </row>
    <row r="5" spans="1:10" x14ac:dyDescent="0.2">
      <c r="A5" s="103"/>
      <c r="B5" s="102" t="s">
        <v>145</v>
      </c>
      <c r="C5" s="101" t="str">
        <f>PROPER(Currency)&amp;FamilyName&amp;$B5</f>
        <v>UsdLibor2W</v>
      </c>
      <c r="D5" s="100" t="str">
        <f>Currency&amp;B5&amp;"D_SYNTH"&amp;$D$1&amp;QuoteSuffix</f>
        <v>USD2WD_SYNTH1M_Quote</v>
      </c>
      <c r="E5" s="99" t="str">
        <f>$E$1&amp;"_"&amp;$B5&amp;"D"</f>
        <v>USD_YC1MRH_2WD</v>
      </c>
      <c r="F5" s="98" t="str">
        <f>_xll.qlDepositRateHelper(E5,D5,C5,Permanent,Trigger,ObjectOverwrite)</f>
        <v>USD_YC1MRH_2WD#0000</v>
      </c>
      <c r="G5" s="97" t="str">
        <f>_xll.ohRangeRetrieveError(F5)</f>
        <v/>
      </c>
      <c r="H5" s="96"/>
    </row>
    <row r="6" spans="1:10" x14ac:dyDescent="0.2">
      <c r="A6" s="103"/>
      <c r="B6" s="102" t="s">
        <v>144</v>
      </c>
      <c r="C6" s="101" t="str">
        <f>PROPER(Currency)&amp;FamilyName&amp;$B6</f>
        <v>UsdLibor3W</v>
      </c>
      <c r="D6" s="100" t="str">
        <f>Currency&amp;B6&amp;"D_SYNTH"&amp;$D$1&amp;QuoteSuffix</f>
        <v>USD3WD_SYNTH1M_Quote</v>
      </c>
      <c r="E6" s="99" t="str">
        <f>$E$1&amp;"_"&amp;$B6&amp;"D"</f>
        <v>USD_YC1MRH_3WD</v>
      </c>
      <c r="F6" s="98" t="str">
        <f>_xll.qlDepositRateHelper(E6,D6,C6,Permanent,Trigger,ObjectOverwrite)</f>
        <v>USD_YC1MRH_3WD#0000</v>
      </c>
      <c r="G6" s="97" t="str">
        <f>_xll.ohRangeRetrieveError(F6)</f>
        <v/>
      </c>
      <c r="H6" s="96"/>
    </row>
    <row r="7" spans="1:10" x14ac:dyDescent="0.2">
      <c r="A7" s="103"/>
      <c r="B7" s="102" t="s">
        <v>143</v>
      </c>
      <c r="C7" s="101" t="str">
        <f>PROPER(Currency)&amp;FamilyName&amp;$B7</f>
        <v>UsdLibor1M</v>
      </c>
      <c r="D7" s="100" t="str">
        <f>Currency&amp;B7&amp;"D_SYNTH"&amp;$D$1&amp;QuoteSuffix</f>
        <v>USD1MD_SYNTH1M_Quote</v>
      </c>
      <c r="E7" s="99" t="str">
        <f>$E$1&amp;"_"&amp;$B7&amp;"D"</f>
        <v>USD_YC1MRH_1MD</v>
      </c>
      <c r="F7" s="98" t="str">
        <f>_xll.qlDepositRateHelper(E7,D7,C7,Permanent,Trigger,ObjectOverwrite)</f>
        <v>USD_YC1MRH_1MD#0000</v>
      </c>
      <c r="G7" s="97" t="str">
        <f>_xll.ohRangeRetrieveError(F7)</f>
        <v/>
      </c>
      <c r="H7" s="96"/>
    </row>
    <row r="8" spans="1:10" ht="12" thickBot="1" x14ac:dyDescent="0.25">
      <c r="A8" s="95"/>
      <c r="B8" s="94"/>
      <c r="C8" s="94"/>
      <c r="D8" s="94"/>
      <c r="E8" s="94"/>
      <c r="F8" s="94"/>
      <c r="G8" s="94"/>
      <c r="H8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6" sqref="L6"/>
    </sheetView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6.5703125" style="92" bestFit="1" customWidth="1"/>
    <col min="4" max="4" width="2.7109375" style="92" bestFit="1" customWidth="1"/>
    <col min="5" max="5" width="3.85546875" style="92" bestFit="1" customWidth="1"/>
    <col min="6" max="6" width="5.85546875" style="92" bestFit="1" customWidth="1"/>
    <col min="7" max="7" width="13.85546875" style="92" bestFit="1" customWidth="1"/>
    <col min="8" max="8" width="10" style="92" bestFit="1" customWidth="1"/>
    <col min="9" max="9" width="7.140625" style="92" bestFit="1" customWidth="1"/>
    <col min="10" max="10" width="13.5703125" style="92" bestFit="1" customWidth="1"/>
    <col min="11" max="11" width="21.140625" style="92" bestFit="1" customWidth="1"/>
    <col min="12" max="12" width="25.7109375" style="131" bestFit="1" customWidth="1"/>
    <col min="13" max="13" width="21" style="92" customWidth="1"/>
    <col min="14" max="14" width="3.7109375" style="92" customWidth="1"/>
    <col min="15" max="16384" width="9.140625" style="92"/>
  </cols>
  <sheetData>
    <row r="1" spans="1:14" x14ac:dyDescent="0.2">
      <c r="A1" s="163" t="s">
        <v>189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4" x14ac:dyDescent="0.2">
      <c r="A2" s="103"/>
      <c r="B2" s="111"/>
      <c r="C2" s="111"/>
      <c r="D2" s="111"/>
      <c r="E2" s="111"/>
      <c r="F2" s="111"/>
      <c r="G2" s="111"/>
      <c r="H2" s="111"/>
      <c r="I2" s="111"/>
      <c r="J2" s="12" t="s">
        <v>143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4" ht="36" customHeight="1" x14ac:dyDescent="0.2">
      <c r="A3" s="103"/>
      <c r="B3" s="109" t="s">
        <v>178</v>
      </c>
      <c r="C3" s="109" t="s">
        <v>177</v>
      </c>
      <c r="D3" s="109"/>
      <c r="E3" s="109"/>
      <c r="F3" s="109" t="s">
        <v>176</v>
      </c>
      <c r="G3" s="109" t="s">
        <v>175</v>
      </c>
      <c r="H3" s="109" t="s">
        <v>174</v>
      </c>
      <c r="I3" s="109" t="s">
        <v>173</v>
      </c>
      <c r="J3" s="109" t="s">
        <v>148</v>
      </c>
      <c r="K3" s="148" t="str">
        <f>K2&amp;"_Swaps.xml"</f>
        <v>USD_YC1MRH_Swaps.xml</v>
      </c>
      <c r="L3" s="147">
        <f ca="1">IF(Serialize,_xll.ohObjectSave(L4:L16,SerializationPath&amp;K3,FileOverwrite,Serialize),"---")</f>
        <v>12</v>
      </c>
      <c r="M3" s="106" t="str">
        <f ca="1">_xll.ohRangeRetrieveError(L3)</f>
        <v/>
      </c>
      <c r="N3" s="134"/>
    </row>
    <row r="4" spans="1:14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$K$2&amp;"_x"&amp;$E6&amp;"_"&amp;FamilyName&amp;$J$2</f>
        <v>USD_YC1MRH_xX1S_Libor1M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144" t="str">
        <f>_xll.ohRangeRetrieveError(L4)</f>
        <v/>
      </c>
      <c r="N4" s="134"/>
    </row>
    <row r="5" spans="1:14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4" x14ac:dyDescent="0.2">
      <c r="A6" s="103"/>
      <c r="B6" s="143" t="s">
        <v>162</v>
      </c>
      <c r="C6" s="143" t="s">
        <v>172</v>
      </c>
      <c r="D6" s="143">
        <v>2</v>
      </c>
      <c r="E6" s="143" t="s">
        <v>41</v>
      </c>
      <c r="F6" s="142" t="s">
        <v>160</v>
      </c>
      <c r="G6" s="142" t="s">
        <v>159</v>
      </c>
      <c r="H6" s="142" t="str">
        <f t="shared" ref="H6:H16" si="0">MoneyMarketDayCounter</f>
        <v>Actual/360</v>
      </c>
      <c r="I6" s="140">
        <v>0</v>
      </c>
      <c r="J6" s="139" t="str">
        <f t="shared" ref="J6:J16" si="1">Currency&amp;$D6&amp;$E6&amp;QuoteSuffix</f>
        <v>USD2X1S_Quote</v>
      </c>
      <c r="K6" s="139" t="str">
        <f t="shared" ref="K6:K16" si="2">$K$2&amp;"_"&amp;$D6&amp;$E6</f>
        <v>USD_YC1MRH_2X1S</v>
      </c>
      <c r="L6" s="137" t="str">
        <f>_xll.qlSwapRateHelper2(K6,$J6,$C6,Calendar,$F6,$G6,$H6,$L$4,$I6,B6,DiscountingCurve,Permanent,,ObjectOverwrite)</f>
        <v>USD_YC1MRH_2X1S#0000</v>
      </c>
      <c r="M6" s="106" t="str">
        <f>_xll.ohRangeRetrieveError(L6)</f>
        <v/>
      </c>
      <c r="N6" s="134"/>
    </row>
    <row r="7" spans="1:14" x14ac:dyDescent="0.2">
      <c r="A7" s="103"/>
      <c r="B7" s="143" t="s">
        <v>162</v>
      </c>
      <c r="C7" s="143" t="s">
        <v>171</v>
      </c>
      <c r="D7" s="143">
        <v>3</v>
      </c>
      <c r="E7" s="143" t="s">
        <v>41</v>
      </c>
      <c r="F7" s="142" t="s">
        <v>160</v>
      </c>
      <c r="G7" s="142" t="s">
        <v>159</v>
      </c>
      <c r="H7" s="141" t="str">
        <f t="shared" si="0"/>
        <v>Actual/360</v>
      </c>
      <c r="I7" s="140">
        <v>0</v>
      </c>
      <c r="J7" s="139" t="str">
        <f t="shared" si="1"/>
        <v>USD3X1S_Quote</v>
      </c>
      <c r="K7" s="138" t="str">
        <f t="shared" si="2"/>
        <v>USD_YC1MRH_3X1S</v>
      </c>
      <c r="L7" s="137" t="str">
        <f>_xll.qlSwapRateHelper2(K7,$J7,$C7,Calendar,$F7,$G7,$H7,$L$4,$I7,B7,DiscountingCurve,Permanent,,ObjectOverwrite)</f>
        <v>USD_YC1MRH_3X1S#0000</v>
      </c>
      <c r="M7" s="106" t="str">
        <f>_xll.ohRangeRetrieveError(L7)</f>
        <v/>
      </c>
      <c r="N7" s="134"/>
    </row>
    <row r="8" spans="1:14" x14ac:dyDescent="0.2">
      <c r="A8" s="103"/>
      <c r="B8" s="143" t="s">
        <v>162</v>
      </c>
      <c r="C8" s="143" t="s">
        <v>170</v>
      </c>
      <c r="D8" s="143">
        <v>4</v>
      </c>
      <c r="E8" s="143" t="s">
        <v>41</v>
      </c>
      <c r="F8" s="142" t="s">
        <v>160</v>
      </c>
      <c r="G8" s="142" t="s">
        <v>159</v>
      </c>
      <c r="H8" s="141" t="str">
        <f t="shared" si="0"/>
        <v>Actual/360</v>
      </c>
      <c r="I8" s="140">
        <v>0</v>
      </c>
      <c r="J8" s="139" t="str">
        <f t="shared" si="1"/>
        <v>USD4X1S_Quote</v>
      </c>
      <c r="K8" s="138" t="str">
        <f t="shared" si="2"/>
        <v>USD_YC1MRH_4X1S</v>
      </c>
      <c r="L8" s="137" t="str">
        <f>_xll.qlSwapRateHelper2(K8,$J8,$C8,Calendar,$F8,$G8,$H8,$L$4,$I8,B8,DiscountingCurve,Permanent,,ObjectOverwrite)</f>
        <v>USD_YC1MRH_4X1S#0000</v>
      </c>
      <c r="M8" s="106" t="str">
        <f>_xll.ohRangeRetrieveError(L8)</f>
        <v/>
      </c>
      <c r="N8" s="134"/>
    </row>
    <row r="9" spans="1:14" x14ac:dyDescent="0.2">
      <c r="A9" s="103"/>
      <c r="B9" s="143" t="s">
        <v>162</v>
      </c>
      <c r="C9" s="143" t="s">
        <v>169</v>
      </c>
      <c r="D9" s="143">
        <v>5</v>
      </c>
      <c r="E9" s="143" t="s">
        <v>41</v>
      </c>
      <c r="F9" s="142" t="s">
        <v>160</v>
      </c>
      <c r="G9" s="142" t="s">
        <v>159</v>
      </c>
      <c r="H9" s="141" t="str">
        <f t="shared" si="0"/>
        <v>Actual/360</v>
      </c>
      <c r="I9" s="140">
        <v>0</v>
      </c>
      <c r="J9" s="139" t="str">
        <f t="shared" si="1"/>
        <v>USD5X1S_Quote</v>
      </c>
      <c r="K9" s="138" t="str">
        <f t="shared" si="2"/>
        <v>USD_YC1MRH_5X1S</v>
      </c>
      <c r="L9" s="137" t="str">
        <f>_xll.qlSwapRateHelper2(K9,$J9,$C9,Calendar,$F9,$G9,$H9,$L$4,$I9,B9,DiscountingCurve,Permanent,,ObjectOverwrite)</f>
        <v>USD_YC1MRH_5X1S#0000</v>
      </c>
      <c r="M9" s="106" t="str">
        <f>_xll.ohRangeRetrieveError(L9)</f>
        <v/>
      </c>
      <c r="N9" s="134"/>
    </row>
    <row r="10" spans="1:14" x14ac:dyDescent="0.2">
      <c r="A10" s="103"/>
      <c r="B10" s="143" t="s">
        <v>162</v>
      </c>
      <c r="C10" s="143" t="s">
        <v>168</v>
      </c>
      <c r="D10" s="143">
        <v>6</v>
      </c>
      <c r="E10" s="143" t="s">
        <v>41</v>
      </c>
      <c r="F10" s="142" t="s">
        <v>160</v>
      </c>
      <c r="G10" s="142" t="s">
        <v>159</v>
      </c>
      <c r="H10" s="141" t="str">
        <f t="shared" si="0"/>
        <v>Actual/360</v>
      </c>
      <c r="I10" s="140">
        <v>0</v>
      </c>
      <c r="J10" s="139" t="str">
        <f t="shared" si="1"/>
        <v>USD6X1S_Quote</v>
      </c>
      <c r="K10" s="138" t="str">
        <f t="shared" si="2"/>
        <v>USD_YC1MRH_6X1S</v>
      </c>
      <c r="L10" s="137" t="str">
        <f>_xll.qlSwapRateHelper2(K10,$J10,$C10,Calendar,$F10,$G10,$H10,$L$4,$I10,B10,DiscountingCurve,Permanent,,ObjectOverwrite)</f>
        <v>USD_YC1MRH_6X1S#0000</v>
      </c>
      <c r="M10" s="106" t="str">
        <f>_xll.ohRangeRetrieveError(L10)</f>
        <v/>
      </c>
      <c r="N10" s="134"/>
    </row>
    <row r="11" spans="1:14" x14ac:dyDescent="0.2">
      <c r="A11" s="103"/>
      <c r="B11" s="143" t="s">
        <v>162</v>
      </c>
      <c r="C11" s="143" t="s">
        <v>167</v>
      </c>
      <c r="D11" s="143">
        <v>7</v>
      </c>
      <c r="E11" s="143" t="s">
        <v>41</v>
      </c>
      <c r="F11" s="142" t="s">
        <v>160</v>
      </c>
      <c r="G11" s="142" t="s">
        <v>159</v>
      </c>
      <c r="H11" s="141" t="str">
        <f t="shared" si="0"/>
        <v>Actual/360</v>
      </c>
      <c r="I11" s="140">
        <v>0</v>
      </c>
      <c r="J11" s="139" t="str">
        <f t="shared" si="1"/>
        <v>USD7X1S_Quote</v>
      </c>
      <c r="K11" s="138" t="str">
        <f t="shared" si="2"/>
        <v>USD_YC1MRH_7X1S</v>
      </c>
      <c r="L11" s="137" t="str">
        <f>_xll.qlSwapRateHelper2(K11,$J11,$C11,Calendar,$F11,$G11,$H11,$L$4,$I11,B11,DiscountingCurve,Permanent,,ObjectOverwrite)</f>
        <v>USD_YC1MRH_7X1S#0000</v>
      </c>
      <c r="M11" s="106" t="str">
        <f>_xll.ohRangeRetrieveError(L11)</f>
        <v/>
      </c>
      <c r="N11" s="134"/>
    </row>
    <row r="12" spans="1:14" x14ac:dyDescent="0.2">
      <c r="A12" s="103"/>
      <c r="B12" s="143" t="s">
        <v>162</v>
      </c>
      <c r="C12" s="143" t="s">
        <v>166</v>
      </c>
      <c r="D12" s="143">
        <v>8</v>
      </c>
      <c r="E12" s="143" t="s">
        <v>41</v>
      </c>
      <c r="F12" s="142" t="s">
        <v>160</v>
      </c>
      <c r="G12" s="142" t="s">
        <v>159</v>
      </c>
      <c r="H12" s="141" t="str">
        <f t="shared" si="0"/>
        <v>Actual/360</v>
      </c>
      <c r="I12" s="140">
        <v>0</v>
      </c>
      <c r="J12" s="139" t="str">
        <f t="shared" si="1"/>
        <v>USD8X1S_Quote</v>
      </c>
      <c r="K12" s="138" t="str">
        <f t="shared" si="2"/>
        <v>USD_YC1MRH_8X1S</v>
      </c>
      <c r="L12" s="137" t="str">
        <f>_xll.qlSwapRateHelper2(K12,$J12,$C12,Calendar,$F12,$G12,$H12,$L$4,$I12,B12,DiscountingCurve,Permanent,,ObjectOverwrite)</f>
        <v>USD_YC1MRH_8X1S#0000</v>
      </c>
      <c r="M12" s="106" t="str">
        <f>_xll.ohRangeRetrieveError(L12)</f>
        <v/>
      </c>
      <c r="N12" s="134"/>
    </row>
    <row r="13" spans="1:14" x14ac:dyDescent="0.2">
      <c r="A13" s="103"/>
      <c r="B13" s="143" t="s">
        <v>162</v>
      </c>
      <c r="C13" s="143" t="s">
        <v>165</v>
      </c>
      <c r="D13" s="143">
        <v>9</v>
      </c>
      <c r="E13" s="143" t="s">
        <v>41</v>
      </c>
      <c r="F13" s="142" t="s">
        <v>160</v>
      </c>
      <c r="G13" s="142" t="s">
        <v>159</v>
      </c>
      <c r="H13" s="141" t="str">
        <f t="shared" si="0"/>
        <v>Actual/360</v>
      </c>
      <c r="I13" s="140">
        <v>0</v>
      </c>
      <c r="J13" s="139" t="str">
        <f t="shared" si="1"/>
        <v>USD9X1S_Quote</v>
      </c>
      <c r="K13" s="138" t="str">
        <f t="shared" si="2"/>
        <v>USD_YC1MRH_9X1S</v>
      </c>
      <c r="L13" s="137" t="str">
        <f>_xll.qlSwapRateHelper2(K13,$J13,$C13,Calendar,$F13,$G13,$H13,$L$4,$I13,B13,DiscountingCurve,Permanent,,ObjectOverwrite)</f>
        <v>USD_YC1MRH_9X1S#0000</v>
      </c>
      <c r="M13" s="106" t="str">
        <f>_xll.ohRangeRetrieveError(L13)</f>
        <v/>
      </c>
      <c r="N13" s="134"/>
    </row>
    <row r="14" spans="1:14" x14ac:dyDescent="0.2">
      <c r="A14" s="103"/>
      <c r="B14" s="143" t="s">
        <v>162</v>
      </c>
      <c r="C14" s="143" t="s">
        <v>164</v>
      </c>
      <c r="D14" s="143">
        <v>10</v>
      </c>
      <c r="E14" s="143" t="s">
        <v>41</v>
      </c>
      <c r="F14" s="142" t="s">
        <v>160</v>
      </c>
      <c r="G14" s="142" t="s">
        <v>159</v>
      </c>
      <c r="H14" s="141" t="str">
        <f t="shared" si="0"/>
        <v>Actual/360</v>
      </c>
      <c r="I14" s="140">
        <v>0</v>
      </c>
      <c r="J14" s="139" t="str">
        <f t="shared" si="1"/>
        <v>USD10X1S_Quote</v>
      </c>
      <c r="K14" s="138" t="str">
        <f t="shared" si="2"/>
        <v>USD_YC1MRH_10X1S</v>
      </c>
      <c r="L14" s="137" t="str">
        <f>_xll.qlSwapRateHelper2(K14,$J14,$C14,Calendar,$F14,$G14,$H14,$L$4,$I14,B14,DiscountingCurve,Permanent,,ObjectOverwrite)</f>
        <v>USD_YC1MRH_10X1S#0000</v>
      </c>
      <c r="M14" s="106" t="str">
        <f>_xll.ohRangeRetrieveError(L14)</f>
        <v/>
      </c>
      <c r="N14" s="134"/>
    </row>
    <row r="15" spans="1:14" x14ac:dyDescent="0.2">
      <c r="A15" s="103"/>
      <c r="B15" s="143" t="s">
        <v>162</v>
      </c>
      <c r="C15" s="143" t="s">
        <v>163</v>
      </c>
      <c r="D15" s="143">
        <v>11</v>
      </c>
      <c r="E15" s="143" t="s">
        <v>41</v>
      </c>
      <c r="F15" s="142" t="s">
        <v>160</v>
      </c>
      <c r="G15" s="142" t="s">
        <v>159</v>
      </c>
      <c r="H15" s="141" t="str">
        <f t="shared" si="0"/>
        <v>Actual/360</v>
      </c>
      <c r="I15" s="140">
        <v>0</v>
      </c>
      <c r="J15" s="139" t="str">
        <f t="shared" si="1"/>
        <v>USD11X1S_Quote</v>
      </c>
      <c r="K15" s="138" t="str">
        <f t="shared" si="2"/>
        <v>USD_YC1MRH_11X1S</v>
      </c>
      <c r="L15" s="137" t="str">
        <f>_xll.qlSwapRateHelper2(K15,$J15,$C15,Calendar,$F15,$G15,$H15,$L$4,$I15,B15,DiscountingCurve,Permanent,,ObjectOverwrite)</f>
        <v>USD_YC1MRH_11X1S#0000</v>
      </c>
      <c r="M15" s="106" t="str">
        <f>_xll.ohRangeRetrieveError(L15)</f>
        <v/>
      </c>
      <c r="N15" s="134"/>
    </row>
    <row r="16" spans="1:14" x14ac:dyDescent="0.2">
      <c r="A16" s="103"/>
      <c r="B16" s="143" t="s">
        <v>162</v>
      </c>
      <c r="C16" s="143" t="s">
        <v>161</v>
      </c>
      <c r="D16" s="143">
        <v>12</v>
      </c>
      <c r="E16" s="143" t="s">
        <v>41</v>
      </c>
      <c r="F16" s="142" t="s">
        <v>160</v>
      </c>
      <c r="G16" s="142" t="s">
        <v>159</v>
      </c>
      <c r="H16" s="141" t="str">
        <f t="shared" si="0"/>
        <v>Actual/360</v>
      </c>
      <c r="I16" s="140">
        <v>0</v>
      </c>
      <c r="J16" s="139" t="str">
        <f t="shared" si="1"/>
        <v>USD12X1S_Quote</v>
      </c>
      <c r="K16" s="138" t="str">
        <f t="shared" si="2"/>
        <v>USD_YC1MRH_12X1S</v>
      </c>
      <c r="L16" s="137" t="str">
        <f>_xll.qlSwapRateHelper2(K16,$J16,$C16,Calendar,$F16,$G16,$H16,$L$4,$I16,B16,DiscountingCurve,Permanent,,ObjectOverwrite)</f>
        <v>USD_YC1MRH_12X1S#0000</v>
      </c>
      <c r="M16" s="106" t="str">
        <f>_xll.ohRangeRetrieveError(L16)</f>
        <v/>
      </c>
      <c r="N16" s="134"/>
    </row>
    <row r="17" spans="1:14" x14ac:dyDescent="0.2">
      <c r="A17" s="103"/>
      <c r="B17" s="15"/>
      <c r="C17" s="15"/>
      <c r="D17" s="15"/>
      <c r="E17" s="15"/>
      <c r="F17" s="12"/>
      <c r="G17" s="12"/>
      <c r="H17" s="12"/>
      <c r="I17" s="136"/>
      <c r="J17" s="135"/>
      <c r="K17" s="135"/>
      <c r="L17" s="135"/>
      <c r="M17" s="135"/>
      <c r="N17" s="134"/>
    </row>
    <row r="18" spans="1:14" ht="12" thickBot="1" x14ac:dyDescent="0.25">
      <c r="A18" s="95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133"/>
      <c r="M18" s="133"/>
      <c r="N18" s="132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/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3.85546875" style="92" bestFit="1" customWidth="1"/>
    <col min="4" max="4" width="3.140625" style="92" bestFit="1" customWidth="1"/>
    <col min="5" max="5" width="2.7109375" style="92" bestFit="1" customWidth="1"/>
    <col min="6" max="6" width="5.85546875" style="92" bestFit="1" customWidth="1"/>
    <col min="7" max="7" width="13.85546875" style="92" bestFit="1" customWidth="1"/>
    <col min="8" max="8" width="15.28515625" style="92" bestFit="1" customWidth="1"/>
    <col min="9" max="9" width="15.42578125" style="92" bestFit="1" customWidth="1"/>
    <col min="10" max="10" width="20.28515625" style="92" bestFit="1" customWidth="1"/>
    <col min="11" max="11" width="27.5703125" style="92" bestFit="1" customWidth="1"/>
    <col min="12" max="12" width="30.42578125" style="131" bestFit="1" customWidth="1"/>
    <col min="13" max="13" width="16.5703125" style="92" customWidth="1"/>
    <col min="14" max="14" width="3.85546875" style="92" customWidth="1"/>
    <col min="15" max="15" width="2.5703125" style="92" customWidth="1"/>
    <col min="16" max="16" width="4" style="92" bestFit="1" customWidth="1"/>
    <col min="17" max="17" width="3.28515625" style="92" bestFit="1" customWidth="1"/>
    <col min="18" max="18" width="2.7109375" style="92" bestFit="1" customWidth="1"/>
    <col min="19" max="16384" width="9.140625" style="92"/>
  </cols>
  <sheetData>
    <row r="1" spans="1:18" x14ac:dyDescent="0.2">
      <c r="A1" s="163" t="s">
        <v>190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8" x14ac:dyDescent="0.2">
      <c r="A2" s="103"/>
      <c r="B2" s="111"/>
      <c r="C2" s="111"/>
      <c r="D2" s="111"/>
      <c r="E2" s="111"/>
      <c r="F2" s="111"/>
      <c r="G2" s="111"/>
      <c r="H2" s="111"/>
      <c r="I2" s="12" t="s">
        <v>187</v>
      </c>
      <c r="J2" s="12" t="s">
        <v>143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8" ht="22.5" x14ac:dyDescent="0.2">
      <c r="A3" s="103"/>
      <c r="B3" s="109" t="s">
        <v>178</v>
      </c>
      <c r="C3" s="109"/>
      <c r="D3" s="109"/>
      <c r="E3" s="109"/>
      <c r="F3" s="109" t="s">
        <v>176</v>
      </c>
      <c r="G3" s="109" t="s">
        <v>175</v>
      </c>
      <c r="H3" s="109" t="s">
        <v>174</v>
      </c>
      <c r="I3" s="109" t="s">
        <v>173</v>
      </c>
      <c r="J3" s="109" t="s">
        <v>148</v>
      </c>
      <c r="K3" s="148" t="str">
        <f>K2&amp;"_SwapsFromBasis.xml"</f>
        <v>USD_YC1MRH_SwapsFromBasis.xml</v>
      </c>
      <c r="L3" s="147">
        <f ca="1">IF(Serialize,_xll.ohObjectSave(L4:L42,SerializationPath&amp;K3,FileOverwrite,Serialize),"---")</f>
        <v>38</v>
      </c>
      <c r="M3" s="152" t="str">
        <f ca="1">_xll.ohRangeRetrieveError(L3)</f>
        <v/>
      </c>
      <c r="N3" s="134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$K$2&amp;"_"&amp;$D6&amp;$E6&amp;"BASIS_"&amp;FamilyName&amp;$J$2</f>
        <v>USD_YC1MRH_AM1LBASIS_Libor1M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USD_YC1MRH_AM1LBASIS_Libor1M#0000</v>
      </c>
      <c r="M4" s="144" t="str">
        <f>_xll.ohRangeRetrieveError(L4)</f>
        <v/>
      </c>
      <c r="N4" s="134"/>
    </row>
    <row r="5" spans="1:18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8" x14ac:dyDescent="0.2">
      <c r="A6" s="103"/>
      <c r="B6" s="162" t="s">
        <v>162</v>
      </c>
      <c r="C6" s="143" t="s">
        <v>36</v>
      </c>
      <c r="D6" s="162" t="str">
        <f>VLOOKUP(Currency,Swap1MConventions,2)</f>
        <v>AM</v>
      </c>
      <c r="E6" s="162" t="str">
        <f>VLOOKUP(Currency,Swap1MConventions,3)</f>
        <v>1L</v>
      </c>
      <c r="F6" s="142" t="str">
        <f t="shared" ref="F6:F42" si="0">IF(UPPER(LEFT($D6))="A","Annual",IF(UPPER(LEFT($D6))="S","Semiannual","--"))</f>
        <v>Annual</v>
      </c>
      <c r="G6" s="142" t="s">
        <v>159</v>
      </c>
      <c r="H6" s="142" t="str">
        <f t="shared" ref="H6:H42" si="1">IF(UPPER(RIGHT($D6))="B",BondBasisDayCounter,IF(UPPER(RIGHT($D6))="M",MoneyMarketDayCounter,"--"))</f>
        <v>Actual/360</v>
      </c>
      <c r="I6" s="140" t="str">
        <f t="shared" ref="I6:I42" si="2">Currency&amp;$I$2&amp;$E6&amp;$C6&amp;QuoteSuffix</f>
        <v>USD3L1L1Y_Quote</v>
      </c>
      <c r="J6" s="139" t="str">
        <f t="shared" ref="J6:J42" si="3">Currency&amp;$D6&amp;$I$2&amp;$C6&amp;"_Quote"</f>
        <v>USDAM3L1Y_Quote</v>
      </c>
      <c r="K6" s="139" t="str">
        <f t="shared" ref="K6:K42" si="4">$K$2&amp;"_"&amp;$D6&amp;$E6&amp;"BASIS"&amp;$C6</f>
        <v>USD_YC1MRH_AM1LBASIS1Y</v>
      </c>
      <c r="L6" s="137" t="str">
        <f>_xll.qlSwapRateHelper2(K6,$J6,$C6,Calendar,$F6,$G6,$H6,$L$4,$I6,B6,DiscountingCurve,Permanent,,ObjectOverwrite)</f>
        <v>USD_YC1MRH_AM1LBASIS1Y#0000</v>
      </c>
      <c r="M6" s="152" t="str">
        <f>_xll.ohRangeRetrieveError(L6)</f>
        <v/>
      </c>
      <c r="N6" s="134"/>
    </row>
    <row r="7" spans="1:18" x14ac:dyDescent="0.2">
      <c r="A7" s="103"/>
      <c r="B7" s="143" t="str">
        <f t="shared" ref="B7:B42" si="5">B6</f>
        <v>0D</v>
      </c>
      <c r="C7" s="143" t="s">
        <v>35</v>
      </c>
      <c r="D7" s="143" t="str">
        <f t="shared" ref="D7:D42" si="6">D6</f>
        <v>AM</v>
      </c>
      <c r="E7" s="143" t="str">
        <f t="shared" ref="E7:E42" si="7">E6</f>
        <v>1L</v>
      </c>
      <c r="F7" s="141" t="str">
        <f t="shared" si="0"/>
        <v>Annual</v>
      </c>
      <c r="G7" s="141" t="s">
        <v>159</v>
      </c>
      <c r="H7" s="141" t="str">
        <f t="shared" si="1"/>
        <v>Actual/360</v>
      </c>
      <c r="I7" s="140" t="str">
        <f t="shared" si="2"/>
        <v>USD3L1L15M_Quote</v>
      </c>
      <c r="J7" s="139" t="str">
        <f t="shared" si="3"/>
        <v>USDAM3L15M_Quote</v>
      </c>
      <c r="K7" s="139" t="str">
        <f t="shared" si="4"/>
        <v>USD_YC1MRH_AM1LBASIS15M</v>
      </c>
      <c r="L7" s="137" t="str">
        <f>_xll.qlSwapRateHelper2(K7,$J7,$C7,Calendar,$F7,$G7,$H7,$L$4,$I7,B7,DiscountingCurve,Permanent,,ObjectOverwrite)</f>
        <v>USD_YC1MRH_AM1LBASIS15M#0000</v>
      </c>
      <c r="M7" s="152" t="str">
        <f>_xll.ohRangeRetrieveError(L7)</f>
        <v/>
      </c>
      <c r="N7" s="134"/>
    </row>
    <row r="8" spans="1:18" x14ac:dyDescent="0.2">
      <c r="A8" s="103"/>
      <c r="B8" s="143" t="str">
        <f t="shared" si="5"/>
        <v>0D</v>
      </c>
      <c r="C8" s="143" t="s">
        <v>34</v>
      </c>
      <c r="D8" s="143" t="str">
        <f t="shared" si="6"/>
        <v>AM</v>
      </c>
      <c r="E8" s="143" t="str">
        <f t="shared" si="7"/>
        <v>1L</v>
      </c>
      <c r="F8" s="141" t="str">
        <f t="shared" si="0"/>
        <v>Annual</v>
      </c>
      <c r="G8" s="141" t="s">
        <v>159</v>
      </c>
      <c r="H8" s="141" t="str">
        <f t="shared" si="1"/>
        <v>Actual/360</v>
      </c>
      <c r="I8" s="140" t="str">
        <f t="shared" si="2"/>
        <v>USD3L1L18M_Quote</v>
      </c>
      <c r="J8" s="139" t="str">
        <f t="shared" si="3"/>
        <v>USDAM3L18M_Quote</v>
      </c>
      <c r="K8" s="139" t="str">
        <f t="shared" si="4"/>
        <v>USD_YC1MRH_AM1LBASIS18M</v>
      </c>
      <c r="L8" s="137" t="str">
        <f>_xll.qlSwapRateHelper2(K8,$J8,$C8,Calendar,$F8,$G8,$H8,$L$4,$I8,B8,DiscountingCurve,Permanent,,ObjectOverwrite)</f>
        <v>USD_YC1MRH_AM1LBASIS18M#0000</v>
      </c>
      <c r="M8" s="152" t="str">
        <f>_xll.ohRangeRetrieveError(L8)</f>
        <v/>
      </c>
      <c r="N8" s="134"/>
    </row>
    <row r="9" spans="1:18" ht="12" thickBot="1" x14ac:dyDescent="0.25">
      <c r="A9" s="103"/>
      <c r="B9" s="143" t="str">
        <f t="shared" si="5"/>
        <v>0D</v>
      </c>
      <c r="C9" s="143" t="s">
        <v>33</v>
      </c>
      <c r="D9" s="143" t="str">
        <f t="shared" si="6"/>
        <v>AM</v>
      </c>
      <c r="E9" s="143" t="str">
        <f t="shared" si="7"/>
        <v>1L</v>
      </c>
      <c r="F9" s="141" t="str">
        <f t="shared" si="0"/>
        <v>Annual</v>
      </c>
      <c r="G9" s="141" t="s">
        <v>159</v>
      </c>
      <c r="H9" s="141" t="str">
        <f t="shared" si="1"/>
        <v>Actual/360</v>
      </c>
      <c r="I9" s="140" t="str">
        <f t="shared" si="2"/>
        <v>USD3L1L21M_Quote</v>
      </c>
      <c r="J9" s="139" t="str">
        <f t="shared" si="3"/>
        <v>USDAM3L21M_Quote</v>
      </c>
      <c r="K9" s="139" t="str">
        <f t="shared" si="4"/>
        <v>USD_YC1MRH_AM1LBASIS21M</v>
      </c>
      <c r="L9" s="137" t="str">
        <f>_xll.qlSwapRateHelper2(K9,$J9,$C9,Calendar,$F9,$G9,$H9,$L$4,$I9,B9,DiscountingCurve,Permanent,,ObjectOverwrite)</f>
        <v>USD_YC1MRH_AM1LBASIS21M#0000</v>
      </c>
      <c r="M9" s="152" t="str">
        <f>_xll.ohRangeRetrieveError(L9)</f>
        <v/>
      </c>
      <c r="N9" s="134"/>
    </row>
    <row r="10" spans="1:18" x14ac:dyDescent="0.2">
      <c r="A10" s="103"/>
      <c r="B10" s="143" t="str">
        <f t="shared" si="5"/>
        <v>0D</v>
      </c>
      <c r="C10" s="143" t="s">
        <v>32</v>
      </c>
      <c r="D10" s="143" t="str">
        <f t="shared" si="6"/>
        <v>AM</v>
      </c>
      <c r="E10" s="143" t="str">
        <f t="shared" si="7"/>
        <v>1L</v>
      </c>
      <c r="F10" s="141" t="str">
        <f t="shared" si="0"/>
        <v>Annual</v>
      </c>
      <c r="G10" s="141" t="s">
        <v>159</v>
      </c>
      <c r="H10" s="141" t="str">
        <f t="shared" si="1"/>
        <v>Actual/360</v>
      </c>
      <c r="I10" s="140" t="str">
        <f t="shared" si="2"/>
        <v>USD3L1L2Y_Quote</v>
      </c>
      <c r="J10" s="139" t="str">
        <f t="shared" si="3"/>
        <v>USDAM3L2Y_Quote</v>
      </c>
      <c r="K10" s="139" t="str">
        <f t="shared" si="4"/>
        <v>USD_YC1MRH_AM1LBASIS2Y</v>
      </c>
      <c r="L10" s="137" t="str">
        <f>_xll.qlSwapRateHelper2(K10,$J10,$C10,Calendar,$F10,$G10,$H10,$L$4,$I10,B10,DiscountingCurve,Permanent,,ObjectOverwrite)</f>
        <v>USD_YC1MRH_AM1LBASIS2Y#0000</v>
      </c>
      <c r="M10" s="152" t="str">
        <f>_xll.ohRangeRetrieveError(L10)</f>
        <v/>
      </c>
      <c r="N10" s="134"/>
      <c r="P10" s="161" t="s">
        <v>110</v>
      </c>
      <c r="Q10" s="160" t="s">
        <v>107</v>
      </c>
      <c r="R10" s="159" t="s">
        <v>185</v>
      </c>
    </row>
    <row r="11" spans="1:18" x14ac:dyDescent="0.2">
      <c r="A11" s="103"/>
      <c r="B11" s="143" t="str">
        <f t="shared" si="5"/>
        <v>0D</v>
      </c>
      <c r="C11" s="143" t="s">
        <v>31</v>
      </c>
      <c r="D11" s="143" t="str">
        <f t="shared" si="6"/>
        <v>AM</v>
      </c>
      <c r="E11" s="143" t="str">
        <f t="shared" si="7"/>
        <v>1L</v>
      </c>
      <c r="F11" s="141" t="str">
        <f t="shared" si="0"/>
        <v>Annual</v>
      </c>
      <c r="G11" s="141" t="s">
        <v>159</v>
      </c>
      <c r="H11" s="141" t="str">
        <f t="shared" si="1"/>
        <v>Actual/360</v>
      </c>
      <c r="I11" s="140" t="str">
        <f t="shared" si="2"/>
        <v>USD3L1L3Y_Quote</v>
      </c>
      <c r="J11" s="139" t="str">
        <f t="shared" si="3"/>
        <v>USDAM3L3Y_Quote</v>
      </c>
      <c r="K11" s="139" t="str">
        <f t="shared" si="4"/>
        <v>USD_YC1MRH_AM1LBASIS3Y</v>
      </c>
      <c r="L11" s="137" t="str">
        <f>_xll.qlSwapRateHelper2(K11,$J11,$C11,Calendar,$F11,$G11,$H11,$L$4,$I11,B11,DiscountingCurve,Permanent,,ObjectOverwrite)</f>
        <v>USD_YC1MRH_AM1LBASIS3Y#0000</v>
      </c>
      <c r="M11" s="152" t="str">
        <f>_xll.ohRangeRetrieveError(L11)</f>
        <v/>
      </c>
      <c r="N11" s="134"/>
      <c r="P11" s="158" t="s">
        <v>108</v>
      </c>
      <c r="Q11" s="153" t="s">
        <v>107</v>
      </c>
      <c r="R11" s="157" t="s">
        <v>186</v>
      </c>
    </row>
    <row r="12" spans="1:18" x14ac:dyDescent="0.2">
      <c r="A12" s="103"/>
      <c r="B12" s="143" t="str">
        <f t="shared" si="5"/>
        <v>0D</v>
      </c>
      <c r="C12" s="143" t="s">
        <v>30</v>
      </c>
      <c r="D12" s="143" t="str">
        <f t="shared" si="6"/>
        <v>AM</v>
      </c>
      <c r="E12" s="143" t="str">
        <f t="shared" si="7"/>
        <v>1L</v>
      </c>
      <c r="F12" s="141" t="str">
        <f t="shared" si="0"/>
        <v>Annual</v>
      </c>
      <c r="G12" s="141" t="s">
        <v>159</v>
      </c>
      <c r="H12" s="141" t="str">
        <f t="shared" si="1"/>
        <v>Actual/360</v>
      </c>
      <c r="I12" s="140" t="str">
        <f t="shared" si="2"/>
        <v>USD3L1L4Y_Quote</v>
      </c>
      <c r="J12" s="139" t="str">
        <f t="shared" si="3"/>
        <v>USDAM3L4Y_Quote</v>
      </c>
      <c r="K12" s="139" t="str">
        <f t="shared" si="4"/>
        <v>USD_YC1MRH_AM1LBASIS4Y</v>
      </c>
      <c r="L12" s="137" t="str">
        <f>_xll.qlSwapRateHelper2(K12,$J12,$C12,Calendar,$F12,$G12,$H12,$L$4,$I12,B12,DiscountingCurve,Permanent,,ObjectOverwrite)</f>
        <v>USD_YC1MRH_AM1LBASIS4Y#0000</v>
      </c>
      <c r="M12" s="152" t="str">
        <f>_xll.ohRangeRetrieveError(L12)</f>
        <v/>
      </c>
      <c r="N12" s="134"/>
      <c r="P12" s="158" t="s">
        <v>105</v>
      </c>
      <c r="Q12" s="153" t="s">
        <v>99</v>
      </c>
      <c r="R12" s="157" t="s">
        <v>185</v>
      </c>
    </row>
    <row r="13" spans="1:18" x14ac:dyDescent="0.2">
      <c r="A13" s="103"/>
      <c r="B13" s="143" t="str">
        <f t="shared" si="5"/>
        <v>0D</v>
      </c>
      <c r="C13" s="143" t="s">
        <v>29</v>
      </c>
      <c r="D13" s="143" t="str">
        <f t="shared" si="6"/>
        <v>AM</v>
      </c>
      <c r="E13" s="143" t="str">
        <f t="shared" si="7"/>
        <v>1L</v>
      </c>
      <c r="F13" s="141" t="str">
        <f t="shared" si="0"/>
        <v>Annual</v>
      </c>
      <c r="G13" s="141" t="s">
        <v>159</v>
      </c>
      <c r="H13" s="141" t="str">
        <f t="shared" si="1"/>
        <v>Actual/360</v>
      </c>
      <c r="I13" s="140" t="str">
        <f t="shared" si="2"/>
        <v>USD3L1L5Y_Quote</v>
      </c>
      <c r="J13" s="139" t="str">
        <f t="shared" si="3"/>
        <v>USDAM3L5Y_Quote</v>
      </c>
      <c r="K13" s="139" t="str">
        <f t="shared" si="4"/>
        <v>USD_YC1MRH_AM1LBASIS5Y</v>
      </c>
      <c r="L13" s="137" t="str">
        <f>_xll.qlSwapRateHelper2(K13,$J13,$C13,Calendar,$F13,$G13,$H13,$L$4,$I13,B13,DiscountingCurve,Permanent,,ObjectOverwrite)</f>
        <v>USD_YC1MRH_AM1LBASIS5Y#0000</v>
      </c>
      <c r="M13" s="152" t="str">
        <f>_xll.ohRangeRetrieveError(L13)</f>
        <v/>
      </c>
      <c r="N13" s="134"/>
      <c r="P13" s="158" t="s">
        <v>102</v>
      </c>
      <c r="Q13" s="153" t="s">
        <v>104</v>
      </c>
      <c r="R13" s="157" t="s">
        <v>185</v>
      </c>
    </row>
    <row r="14" spans="1:18" ht="12" thickBot="1" x14ac:dyDescent="0.25">
      <c r="A14" s="103"/>
      <c r="B14" s="143" t="str">
        <f t="shared" si="5"/>
        <v>0D</v>
      </c>
      <c r="C14" s="143" t="s">
        <v>28</v>
      </c>
      <c r="D14" s="143" t="str">
        <f t="shared" si="6"/>
        <v>AM</v>
      </c>
      <c r="E14" s="143" t="str">
        <f t="shared" si="7"/>
        <v>1L</v>
      </c>
      <c r="F14" s="141" t="str">
        <f t="shared" si="0"/>
        <v>Annual</v>
      </c>
      <c r="G14" s="141" t="s">
        <v>159</v>
      </c>
      <c r="H14" s="141" t="str">
        <f t="shared" si="1"/>
        <v>Actual/360</v>
      </c>
      <c r="I14" s="140" t="str">
        <f t="shared" si="2"/>
        <v>USD3L1L6Y_Quote</v>
      </c>
      <c r="J14" s="139" t="str">
        <f t="shared" si="3"/>
        <v>USDAM3L6Y_Quote</v>
      </c>
      <c r="K14" s="139" t="str">
        <f t="shared" si="4"/>
        <v>USD_YC1MRH_AM1LBASIS6Y</v>
      </c>
      <c r="L14" s="137" t="str">
        <f>_xll.qlSwapRateHelper2(K14,$J14,$C14,Calendar,$F14,$G14,$H14,$L$4,$I14,B14,DiscountingCurve,Permanent,,ObjectOverwrite)</f>
        <v>USD_YC1MRH_AM1LBASIS6Y#0000</v>
      </c>
      <c r="M14" s="152" t="str">
        <f>_xll.ohRangeRetrieveError(L14)</f>
        <v/>
      </c>
      <c r="N14" s="134"/>
      <c r="P14" s="156" t="s">
        <v>100</v>
      </c>
      <c r="Q14" s="155" t="s">
        <v>99</v>
      </c>
      <c r="R14" s="154" t="s">
        <v>185</v>
      </c>
    </row>
    <row r="15" spans="1:18" x14ac:dyDescent="0.2">
      <c r="A15" s="103"/>
      <c r="B15" s="143" t="str">
        <f t="shared" si="5"/>
        <v>0D</v>
      </c>
      <c r="C15" s="143" t="s">
        <v>27</v>
      </c>
      <c r="D15" s="143" t="str">
        <f t="shared" si="6"/>
        <v>AM</v>
      </c>
      <c r="E15" s="143" t="str">
        <f t="shared" si="7"/>
        <v>1L</v>
      </c>
      <c r="F15" s="141" t="str">
        <f t="shared" si="0"/>
        <v>Annual</v>
      </c>
      <c r="G15" s="141" t="s">
        <v>159</v>
      </c>
      <c r="H15" s="141" t="str">
        <f t="shared" si="1"/>
        <v>Actual/360</v>
      </c>
      <c r="I15" s="140" t="str">
        <f t="shared" si="2"/>
        <v>USD3L1L7Y_Quote</v>
      </c>
      <c r="J15" s="139" t="str">
        <f t="shared" si="3"/>
        <v>USDAM3L7Y_Quote</v>
      </c>
      <c r="K15" s="139" t="str">
        <f t="shared" si="4"/>
        <v>USD_YC1MRH_AM1LBASIS7Y</v>
      </c>
      <c r="L15" s="137" t="str">
        <f>_xll.qlSwapRateHelper2(K15,$J15,$C15,Calendar,$F15,$G15,$H15,$L$4,$I15,B15,DiscountingCurve,Permanent,,ObjectOverwrite)</f>
        <v>USD_YC1MRH_AM1LBASIS7Y#0000</v>
      </c>
      <c r="M15" s="152" t="str">
        <f>_xll.ohRangeRetrieveError(L15)</f>
        <v/>
      </c>
      <c r="N15" s="134"/>
      <c r="P15" s="153"/>
      <c r="Q15" s="153"/>
      <c r="R15" s="153"/>
    </row>
    <row r="16" spans="1:18" x14ac:dyDescent="0.2">
      <c r="A16" s="103"/>
      <c r="B16" s="143" t="str">
        <f t="shared" si="5"/>
        <v>0D</v>
      </c>
      <c r="C16" s="143" t="s">
        <v>26</v>
      </c>
      <c r="D16" s="143" t="str">
        <f t="shared" si="6"/>
        <v>AM</v>
      </c>
      <c r="E16" s="143" t="str">
        <f t="shared" si="7"/>
        <v>1L</v>
      </c>
      <c r="F16" s="141" t="str">
        <f t="shared" si="0"/>
        <v>Annual</v>
      </c>
      <c r="G16" s="141" t="s">
        <v>159</v>
      </c>
      <c r="H16" s="141" t="str">
        <f t="shared" si="1"/>
        <v>Actual/360</v>
      </c>
      <c r="I16" s="140" t="str">
        <f t="shared" si="2"/>
        <v>USD3L1L8Y_Quote</v>
      </c>
      <c r="J16" s="139" t="str">
        <f t="shared" si="3"/>
        <v>USDAM3L8Y_Quote</v>
      </c>
      <c r="K16" s="139" t="str">
        <f t="shared" si="4"/>
        <v>USD_YC1MRH_AM1LBASIS8Y</v>
      </c>
      <c r="L16" s="137" t="str">
        <f>_xll.qlSwapRateHelper2(K16,$J16,$C16,Calendar,$F16,$G16,$H16,$L$4,$I16,B16,DiscountingCurve,Permanent,,ObjectOverwrite)</f>
        <v>USD_YC1MRH_AM1LBASIS8Y#0000</v>
      </c>
      <c r="M16" s="152" t="str">
        <f>_xll.ohRangeRetrieveError(L16)</f>
        <v/>
      </c>
      <c r="N16" s="134"/>
    </row>
    <row r="17" spans="1:14" x14ac:dyDescent="0.2">
      <c r="A17" s="103"/>
      <c r="B17" s="143" t="str">
        <f t="shared" si="5"/>
        <v>0D</v>
      </c>
      <c r="C17" s="143" t="s">
        <v>25</v>
      </c>
      <c r="D17" s="143" t="str">
        <f t="shared" si="6"/>
        <v>AM</v>
      </c>
      <c r="E17" s="143" t="str">
        <f t="shared" si="7"/>
        <v>1L</v>
      </c>
      <c r="F17" s="141" t="str">
        <f t="shared" si="0"/>
        <v>Annual</v>
      </c>
      <c r="G17" s="141" t="s">
        <v>159</v>
      </c>
      <c r="H17" s="141" t="str">
        <f t="shared" si="1"/>
        <v>Actual/360</v>
      </c>
      <c r="I17" s="140" t="str">
        <f t="shared" si="2"/>
        <v>USD3L1L9Y_Quote</v>
      </c>
      <c r="J17" s="139" t="str">
        <f t="shared" si="3"/>
        <v>USDAM3L9Y_Quote</v>
      </c>
      <c r="K17" s="139" t="str">
        <f t="shared" si="4"/>
        <v>USD_YC1MRH_AM1LBASIS9Y</v>
      </c>
      <c r="L17" s="137" t="str">
        <f>_xll.qlSwapRateHelper2(K17,$J17,$C17,Calendar,$F17,$G17,$H17,$L$4,$I17,B17,DiscountingCurve,Permanent,,ObjectOverwrite)</f>
        <v>USD_YC1MRH_AM1LBASIS9Y#0000</v>
      </c>
      <c r="M17" s="152" t="str">
        <f>_xll.ohRangeRetrieveError(L17)</f>
        <v/>
      </c>
      <c r="N17" s="134"/>
    </row>
    <row r="18" spans="1:14" x14ac:dyDescent="0.2">
      <c r="A18" s="103"/>
      <c r="B18" s="143" t="str">
        <f t="shared" si="5"/>
        <v>0D</v>
      </c>
      <c r="C18" s="143" t="s">
        <v>24</v>
      </c>
      <c r="D18" s="143" t="str">
        <f t="shared" si="6"/>
        <v>AM</v>
      </c>
      <c r="E18" s="143" t="str">
        <f t="shared" si="7"/>
        <v>1L</v>
      </c>
      <c r="F18" s="141" t="str">
        <f t="shared" si="0"/>
        <v>Annual</v>
      </c>
      <c r="G18" s="141" t="s">
        <v>159</v>
      </c>
      <c r="H18" s="141" t="str">
        <f t="shared" si="1"/>
        <v>Actual/360</v>
      </c>
      <c r="I18" s="140" t="str">
        <f t="shared" si="2"/>
        <v>USD3L1L10Y_Quote</v>
      </c>
      <c r="J18" s="139" t="str">
        <f t="shared" si="3"/>
        <v>USDAM3L10Y_Quote</v>
      </c>
      <c r="K18" s="139" t="str">
        <f t="shared" si="4"/>
        <v>USD_YC1MRH_AM1LBASIS10Y</v>
      </c>
      <c r="L18" s="137" t="str">
        <f>_xll.qlSwapRateHelper2(K18,$J18,$C18,Calendar,$F18,$G18,$H18,$L$4,$I18,B18,DiscountingCurve,Permanent,,ObjectOverwrite)</f>
        <v>USD_YC1MRH_AM1LBASIS10Y#0000</v>
      </c>
      <c r="M18" s="152" t="str">
        <f>_xll.ohRangeRetrieveError(L18)</f>
        <v/>
      </c>
      <c r="N18" s="134"/>
    </row>
    <row r="19" spans="1:14" x14ac:dyDescent="0.2">
      <c r="A19" s="103"/>
      <c r="B19" s="143" t="str">
        <f t="shared" si="5"/>
        <v>0D</v>
      </c>
      <c r="C19" s="143" t="s">
        <v>23</v>
      </c>
      <c r="D19" s="143" t="str">
        <f t="shared" si="6"/>
        <v>AM</v>
      </c>
      <c r="E19" s="143" t="str">
        <f t="shared" si="7"/>
        <v>1L</v>
      </c>
      <c r="F19" s="141" t="str">
        <f t="shared" si="0"/>
        <v>Annual</v>
      </c>
      <c r="G19" s="141" t="s">
        <v>159</v>
      </c>
      <c r="H19" s="141" t="str">
        <f t="shared" si="1"/>
        <v>Actual/360</v>
      </c>
      <c r="I19" s="140" t="str">
        <f t="shared" si="2"/>
        <v>USD3L1L11Y_Quote</v>
      </c>
      <c r="J19" s="139" t="str">
        <f t="shared" si="3"/>
        <v>USDAM3L11Y_Quote</v>
      </c>
      <c r="K19" s="139" t="str">
        <f t="shared" si="4"/>
        <v>USD_YC1MRH_AM1LBASIS11Y</v>
      </c>
      <c r="L19" s="137" t="str">
        <f>_xll.qlSwapRateHelper2(K19,$J19,$C19,Calendar,$F19,$G19,$H19,$L$4,$I19,B19,DiscountingCurve,Permanent,,ObjectOverwrite)</f>
        <v>USD_YC1MRH_AM1LBASIS11Y#0000</v>
      </c>
      <c r="M19" s="152" t="str">
        <f>_xll.ohRangeRetrieveError(L19)</f>
        <v/>
      </c>
      <c r="N19" s="134"/>
    </row>
    <row r="20" spans="1:14" x14ac:dyDescent="0.2">
      <c r="A20" s="103"/>
      <c r="B20" s="143" t="str">
        <f t="shared" si="5"/>
        <v>0D</v>
      </c>
      <c r="C20" s="143" t="s">
        <v>22</v>
      </c>
      <c r="D20" s="143" t="str">
        <f t="shared" si="6"/>
        <v>AM</v>
      </c>
      <c r="E20" s="143" t="str">
        <f t="shared" si="7"/>
        <v>1L</v>
      </c>
      <c r="F20" s="141" t="str">
        <f t="shared" si="0"/>
        <v>Annual</v>
      </c>
      <c r="G20" s="141" t="s">
        <v>159</v>
      </c>
      <c r="H20" s="141" t="str">
        <f t="shared" si="1"/>
        <v>Actual/360</v>
      </c>
      <c r="I20" s="140" t="str">
        <f t="shared" si="2"/>
        <v>USD3L1L12Y_Quote</v>
      </c>
      <c r="J20" s="139" t="str">
        <f t="shared" si="3"/>
        <v>USDAM3L12Y_Quote</v>
      </c>
      <c r="K20" s="139" t="str">
        <f t="shared" si="4"/>
        <v>USD_YC1MRH_AM1LBASIS12Y</v>
      </c>
      <c r="L20" s="137" t="str">
        <f>_xll.qlSwapRateHelper2(K20,$J20,$C20,Calendar,$F20,$G20,$H20,$L$4,$I20,B20,DiscountingCurve,Permanent,,ObjectOverwrite)</f>
        <v>USD_YC1MRH_AM1LBASIS12Y#0000</v>
      </c>
      <c r="M20" s="152" t="str">
        <f>_xll.ohRangeRetrieveError(L20)</f>
        <v/>
      </c>
      <c r="N20" s="134"/>
    </row>
    <row r="21" spans="1:14" x14ac:dyDescent="0.2">
      <c r="A21" s="103"/>
      <c r="B21" s="143" t="str">
        <f t="shared" si="5"/>
        <v>0D</v>
      </c>
      <c r="C21" s="143" t="s">
        <v>21</v>
      </c>
      <c r="D21" s="143" t="str">
        <f t="shared" si="6"/>
        <v>AM</v>
      </c>
      <c r="E21" s="143" t="str">
        <f t="shared" si="7"/>
        <v>1L</v>
      </c>
      <c r="F21" s="141" t="str">
        <f t="shared" si="0"/>
        <v>Annual</v>
      </c>
      <c r="G21" s="141" t="s">
        <v>159</v>
      </c>
      <c r="H21" s="141" t="str">
        <f t="shared" si="1"/>
        <v>Actual/360</v>
      </c>
      <c r="I21" s="140" t="str">
        <f t="shared" si="2"/>
        <v>USD3L1L13Y_Quote</v>
      </c>
      <c r="J21" s="139" t="str">
        <f t="shared" si="3"/>
        <v>USDAM3L13Y_Quote</v>
      </c>
      <c r="K21" s="139" t="str">
        <f t="shared" si="4"/>
        <v>USD_YC1MRH_AM1LBASIS13Y</v>
      </c>
      <c r="L21" s="137" t="str">
        <f>_xll.qlSwapRateHelper2(K21,$J21,$C21,Calendar,$F21,$G21,$H21,$L$4,$I21,B21,DiscountingCurve,Permanent,,ObjectOverwrite)</f>
        <v>USD_YC1MRH_AM1LBASIS13Y#0000</v>
      </c>
      <c r="M21" s="152" t="str">
        <f>_xll.ohRangeRetrieveError(L21)</f>
        <v/>
      </c>
      <c r="N21" s="134"/>
    </row>
    <row r="22" spans="1:14" x14ac:dyDescent="0.2">
      <c r="A22" s="103"/>
      <c r="B22" s="143" t="str">
        <f t="shared" si="5"/>
        <v>0D</v>
      </c>
      <c r="C22" s="143" t="s">
        <v>20</v>
      </c>
      <c r="D22" s="143" t="str">
        <f t="shared" si="6"/>
        <v>AM</v>
      </c>
      <c r="E22" s="143" t="str">
        <f t="shared" si="7"/>
        <v>1L</v>
      </c>
      <c r="F22" s="141" t="str">
        <f t="shared" si="0"/>
        <v>Annual</v>
      </c>
      <c r="G22" s="141" t="s">
        <v>159</v>
      </c>
      <c r="H22" s="141" t="str">
        <f t="shared" si="1"/>
        <v>Actual/360</v>
      </c>
      <c r="I22" s="140" t="str">
        <f t="shared" si="2"/>
        <v>USD3L1L14Y_Quote</v>
      </c>
      <c r="J22" s="139" t="str">
        <f t="shared" si="3"/>
        <v>USDAM3L14Y_Quote</v>
      </c>
      <c r="K22" s="139" t="str">
        <f t="shared" si="4"/>
        <v>USD_YC1MRH_AM1LBASIS14Y</v>
      </c>
      <c r="L22" s="137" t="str">
        <f>_xll.qlSwapRateHelper2(K22,$J22,$C22,Calendar,$F22,$G22,$H22,$L$4,$I22,B22,DiscountingCurve,Permanent,,ObjectOverwrite)</f>
        <v>USD_YC1MRH_AM1LBASIS14Y#0000</v>
      </c>
      <c r="M22" s="152" t="str">
        <f>_xll.ohRangeRetrieveError(L22)</f>
        <v/>
      </c>
      <c r="N22" s="134"/>
    </row>
    <row r="23" spans="1:14" x14ac:dyDescent="0.2">
      <c r="A23" s="103"/>
      <c r="B23" s="143" t="str">
        <f t="shared" si="5"/>
        <v>0D</v>
      </c>
      <c r="C23" s="143" t="s">
        <v>19</v>
      </c>
      <c r="D23" s="143" t="str">
        <f t="shared" si="6"/>
        <v>AM</v>
      </c>
      <c r="E23" s="143" t="str">
        <f t="shared" si="7"/>
        <v>1L</v>
      </c>
      <c r="F23" s="141" t="str">
        <f t="shared" si="0"/>
        <v>Annual</v>
      </c>
      <c r="G23" s="141" t="s">
        <v>159</v>
      </c>
      <c r="H23" s="141" t="str">
        <f t="shared" si="1"/>
        <v>Actual/360</v>
      </c>
      <c r="I23" s="140" t="str">
        <f t="shared" si="2"/>
        <v>USD3L1L15Y_Quote</v>
      </c>
      <c r="J23" s="139" t="str">
        <f t="shared" si="3"/>
        <v>USDAM3L15Y_Quote</v>
      </c>
      <c r="K23" s="139" t="str">
        <f t="shared" si="4"/>
        <v>USD_YC1MRH_AM1LBASIS15Y</v>
      </c>
      <c r="L23" s="137" t="str">
        <f>_xll.qlSwapRateHelper2(K23,$J23,$C23,Calendar,$F23,$G23,$H23,$L$4,$I23,B23,DiscountingCurve,Permanent,,ObjectOverwrite)</f>
        <v>USD_YC1MRH_AM1LBASIS15Y#0000</v>
      </c>
      <c r="M23" s="152" t="str">
        <f>_xll.ohRangeRetrieveError(L23)</f>
        <v/>
      </c>
      <c r="N23" s="134"/>
    </row>
    <row r="24" spans="1:14" x14ac:dyDescent="0.2">
      <c r="A24" s="103"/>
      <c r="B24" s="143" t="str">
        <f t="shared" si="5"/>
        <v>0D</v>
      </c>
      <c r="C24" s="143" t="s">
        <v>18</v>
      </c>
      <c r="D24" s="143" t="str">
        <f t="shared" si="6"/>
        <v>AM</v>
      </c>
      <c r="E24" s="143" t="str">
        <f t="shared" si="7"/>
        <v>1L</v>
      </c>
      <c r="F24" s="141" t="str">
        <f t="shared" si="0"/>
        <v>Annual</v>
      </c>
      <c r="G24" s="141" t="s">
        <v>159</v>
      </c>
      <c r="H24" s="141" t="str">
        <f t="shared" si="1"/>
        <v>Actual/360</v>
      </c>
      <c r="I24" s="140" t="str">
        <f t="shared" si="2"/>
        <v>USD3L1L16Y_Quote</v>
      </c>
      <c r="J24" s="139" t="str">
        <f t="shared" si="3"/>
        <v>USDAM3L16Y_Quote</v>
      </c>
      <c r="K24" s="139" t="str">
        <f t="shared" si="4"/>
        <v>USD_YC1MRH_AM1LBASIS16Y</v>
      </c>
      <c r="L24" s="137" t="str">
        <f>_xll.qlSwapRateHelper2(K24,$J24,$C24,Calendar,$F24,$G24,$H24,$L$4,$I24,B24,DiscountingCurve,Permanent,,ObjectOverwrite)</f>
        <v>USD_YC1MRH_AM1LBASIS16Y#0000</v>
      </c>
      <c r="M24" s="152" t="str">
        <f>_xll.ohRangeRetrieveError(L24)</f>
        <v/>
      </c>
      <c r="N24" s="134"/>
    </row>
    <row r="25" spans="1:14" x14ac:dyDescent="0.2">
      <c r="A25" s="103"/>
      <c r="B25" s="143" t="str">
        <f t="shared" si="5"/>
        <v>0D</v>
      </c>
      <c r="C25" s="143" t="s">
        <v>17</v>
      </c>
      <c r="D25" s="143" t="str">
        <f t="shared" si="6"/>
        <v>AM</v>
      </c>
      <c r="E25" s="143" t="str">
        <f t="shared" si="7"/>
        <v>1L</v>
      </c>
      <c r="F25" s="141" t="str">
        <f t="shared" si="0"/>
        <v>Annual</v>
      </c>
      <c r="G25" s="141" t="s">
        <v>159</v>
      </c>
      <c r="H25" s="141" t="str">
        <f t="shared" si="1"/>
        <v>Actual/360</v>
      </c>
      <c r="I25" s="140" t="str">
        <f t="shared" si="2"/>
        <v>USD3L1L17Y_Quote</v>
      </c>
      <c r="J25" s="139" t="str">
        <f t="shared" si="3"/>
        <v>USDAM3L17Y_Quote</v>
      </c>
      <c r="K25" s="139" t="str">
        <f t="shared" si="4"/>
        <v>USD_YC1MRH_AM1LBASIS17Y</v>
      </c>
      <c r="L25" s="137" t="str">
        <f>_xll.qlSwapRateHelper2(K25,$J25,$C25,Calendar,$F25,$G25,$H25,$L$4,$I25,B25,DiscountingCurve,Permanent,,ObjectOverwrite)</f>
        <v>USD_YC1MRH_AM1LBASIS17Y#0000</v>
      </c>
      <c r="M25" s="152" t="str">
        <f>_xll.ohRangeRetrieveError(L25)</f>
        <v/>
      </c>
      <c r="N25" s="134"/>
    </row>
    <row r="26" spans="1:14" x14ac:dyDescent="0.2">
      <c r="A26" s="103"/>
      <c r="B26" s="143" t="str">
        <f t="shared" si="5"/>
        <v>0D</v>
      </c>
      <c r="C26" s="143" t="s">
        <v>16</v>
      </c>
      <c r="D26" s="143" t="str">
        <f t="shared" si="6"/>
        <v>AM</v>
      </c>
      <c r="E26" s="143" t="str">
        <f t="shared" si="7"/>
        <v>1L</v>
      </c>
      <c r="F26" s="141" t="str">
        <f t="shared" si="0"/>
        <v>Annual</v>
      </c>
      <c r="G26" s="141" t="s">
        <v>159</v>
      </c>
      <c r="H26" s="141" t="str">
        <f t="shared" si="1"/>
        <v>Actual/360</v>
      </c>
      <c r="I26" s="140" t="str">
        <f t="shared" si="2"/>
        <v>USD3L1L18Y_Quote</v>
      </c>
      <c r="J26" s="139" t="str">
        <f t="shared" si="3"/>
        <v>USDAM3L18Y_Quote</v>
      </c>
      <c r="K26" s="139" t="str">
        <f t="shared" si="4"/>
        <v>USD_YC1MRH_AM1LBASIS18Y</v>
      </c>
      <c r="L26" s="137" t="str">
        <f>_xll.qlSwapRateHelper2(K26,$J26,$C26,Calendar,$F26,$G26,$H26,$L$4,$I26,B26,DiscountingCurve,Permanent,,ObjectOverwrite)</f>
        <v>USD_YC1MRH_AM1LBASIS18Y#0000</v>
      </c>
      <c r="M26" s="152" t="str">
        <f>_xll.ohRangeRetrieveError(L26)</f>
        <v/>
      </c>
      <c r="N26" s="134"/>
    </row>
    <row r="27" spans="1:14" x14ac:dyDescent="0.2">
      <c r="A27" s="103"/>
      <c r="B27" s="143" t="str">
        <f t="shared" si="5"/>
        <v>0D</v>
      </c>
      <c r="C27" s="143" t="s">
        <v>15</v>
      </c>
      <c r="D27" s="143" t="str">
        <f t="shared" si="6"/>
        <v>AM</v>
      </c>
      <c r="E27" s="143" t="str">
        <f t="shared" si="7"/>
        <v>1L</v>
      </c>
      <c r="F27" s="141" t="str">
        <f t="shared" si="0"/>
        <v>Annual</v>
      </c>
      <c r="G27" s="141" t="s">
        <v>159</v>
      </c>
      <c r="H27" s="141" t="str">
        <f t="shared" si="1"/>
        <v>Actual/360</v>
      </c>
      <c r="I27" s="140" t="str">
        <f t="shared" si="2"/>
        <v>USD3L1L19Y_Quote</v>
      </c>
      <c r="J27" s="139" t="str">
        <f t="shared" si="3"/>
        <v>USDAM3L19Y_Quote</v>
      </c>
      <c r="K27" s="139" t="str">
        <f t="shared" si="4"/>
        <v>USD_YC1MRH_AM1LBASIS19Y</v>
      </c>
      <c r="L27" s="137" t="str">
        <f>_xll.qlSwapRateHelper2(K27,$J27,$C27,Calendar,$F27,$G27,$H27,$L$4,$I27,B27,DiscountingCurve,Permanent,,ObjectOverwrite)</f>
        <v>USD_YC1MRH_AM1LBASIS19Y#0000</v>
      </c>
      <c r="M27" s="152" t="str">
        <f>_xll.ohRangeRetrieveError(L27)</f>
        <v/>
      </c>
      <c r="N27" s="134"/>
    </row>
    <row r="28" spans="1:14" x14ac:dyDescent="0.2">
      <c r="A28" s="103"/>
      <c r="B28" s="143" t="str">
        <f t="shared" si="5"/>
        <v>0D</v>
      </c>
      <c r="C28" s="143" t="s">
        <v>14</v>
      </c>
      <c r="D28" s="143" t="str">
        <f t="shared" si="6"/>
        <v>AM</v>
      </c>
      <c r="E28" s="143" t="str">
        <f t="shared" si="7"/>
        <v>1L</v>
      </c>
      <c r="F28" s="141" t="str">
        <f t="shared" si="0"/>
        <v>Annual</v>
      </c>
      <c r="G28" s="141" t="s">
        <v>159</v>
      </c>
      <c r="H28" s="141" t="str">
        <f t="shared" si="1"/>
        <v>Actual/360</v>
      </c>
      <c r="I28" s="140" t="str">
        <f t="shared" si="2"/>
        <v>USD3L1L20Y_Quote</v>
      </c>
      <c r="J28" s="139" t="str">
        <f t="shared" si="3"/>
        <v>USDAM3L20Y_Quote</v>
      </c>
      <c r="K28" s="139" t="str">
        <f t="shared" si="4"/>
        <v>USD_YC1MRH_AM1LBASIS20Y</v>
      </c>
      <c r="L28" s="137" t="str">
        <f>_xll.qlSwapRateHelper2(K28,$J28,$C28,Calendar,$F28,$G28,$H28,$L$4,$I28,B28,DiscountingCurve,Permanent,,ObjectOverwrite)</f>
        <v>USD_YC1MRH_AM1LBASIS20Y#0000</v>
      </c>
      <c r="M28" s="152" t="str">
        <f>_xll.ohRangeRetrieveError(L28)</f>
        <v/>
      </c>
      <c r="N28" s="134"/>
    </row>
    <row r="29" spans="1:14" x14ac:dyDescent="0.2">
      <c r="A29" s="103"/>
      <c r="B29" s="143" t="str">
        <f t="shared" si="5"/>
        <v>0D</v>
      </c>
      <c r="C29" s="143" t="s">
        <v>13</v>
      </c>
      <c r="D29" s="143" t="str">
        <f t="shared" si="6"/>
        <v>AM</v>
      </c>
      <c r="E29" s="143" t="str">
        <f t="shared" si="7"/>
        <v>1L</v>
      </c>
      <c r="F29" s="141" t="str">
        <f t="shared" si="0"/>
        <v>Annual</v>
      </c>
      <c r="G29" s="141" t="s">
        <v>159</v>
      </c>
      <c r="H29" s="141" t="str">
        <f t="shared" si="1"/>
        <v>Actual/360</v>
      </c>
      <c r="I29" s="140" t="str">
        <f t="shared" si="2"/>
        <v>USD3L1L21Y_Quote</v>
      </c>
      <c r="J29" s="139" t="str">
        <f t="shared" si="3"/>
        <v>USDAM3L21Y_Quote</v>
      </c>
      <c r="K29" s="139" t="str">
        <f t="shared" si="4"/>
        <v>USD_YC1MRH_AM1LBASIS21Y</v>
      </c>
      <c r="L29" s="137" t="str">
        <f>_xll.qlSwapRateHelper2(K29,$J29,$C29,Calendar,$F29,$G29,$H29,$L$4,$I29,B29,DiscountingCurve,Permanent,,ObjectOverwrite)</f>
        <v>USD_YC1MRH_AM1LBASIS21Y#0000</v>
      </c>
      <c r="M29" s="152" t="str">
        <f>_xll.ohRangeRetrieveError(L29)</f>
        <v/>
      </c>
      <c r="N29" s="134"/>
    </row>
    <row r="30" spans="1:14" x14ac:dyDescent="0.2">
      <c r="A30" s="103"/>
      <c r="B30" s="143" t="str">
        <f t="shared" si="5"/>
        <v>0D</v>
      </c>
      <c r="C30" s="143" t="s">
        <v>12</v>
      </c>
      <c r="D30" s="143" t="str">
        <f t="shared" si="6"/>
        <v>AM</v>
      </c>
      <c r="E30" s="143" t="str">
        <f t="shared" si="7"/>
        <v>1L</v>
      </c>
      <c r="F30" s="141" t="str">
        <f t="shared" si="0"/>
        <v>Annual</v>
      </c>
      <c r="G30" s="141" t="s">
        <v>159</v>
      </c>
      <c r="H30" s="141" t="str">
        <f t="shared" si="1"/>
        <v>Actual/360</v>
      </c>
      <c r="I30" s="140" t="str">
        <f t="shared" si="2"/>
        <v>USD3L1L22Y_Quote</v>
      </c>
      <c r="J30" s="139" t="str">
        <f t="shared" si="3"/>
        <v>USDAM3L22Y_Quote</v>
      </c>
      <c r="K30" s="139" t="str">
        <f t="shared" si="4"/>
        <v>USD_YC1MRH_AM1LBASIS22Y</v>
      </c>
      <c r="L30" s="137" t="str">
        <f>_xll.qlSwapRateHelper2(K30,$J30,$C30,Calendar,$F30,$G30,$H30,$L$4,$I30,B30,DiscountingCurve,Permanent,,ObjectOverwrite)</f>
        <v>USD_YC1MRH_AM1LBASIS22Y#0000</v>
      </c>
      <c r="M30" s="152" t="str">
        <f>_xll.ohRangeRetrieveError(L30)</f>
        <v/>
      </c>
      <c r="N30" s="134"/>
    </row>
    <row r="31" spans="1:14" x14ac:dyDescent="0.2">
      <c r="A31" s="103"/>
      <c r="B31" s="143" t="str">
        <f t="shared" si="5"/>
        <v>0D</v>
      </c>
      <c r="C31" s="143" t="s">
        <v>11</v>
      </c>
      <c r="D31" s="143" t="str">
        <f t="shared" si="6"/>
        <v>AM</v>
      </c>
      <c r="E31" s="143" t="str">
        <f t="shared" si="7"/>
        <v>1L</v>
      </c>
      <c r="F31" s="141" t="str">
        <f t="shared" si="0"/>
        <v>Annual</v>
      </c>
      <c r="G31" s="141" t="s">
        <v>159</v>
      </c>
      <c r="H31" s="141" t="str">
        <f t="shared" si="1"/>
        <v>Actual/360</v>
      </c>
      <c r="I31" s="140" t="str">
        <f t="shared" si="2"/>
        <v>USD3L1L23Y_Quote</v>
      </c>
      <c r="J31" s="139" t="str">
        <f t="shared" si="3"/>
        <v>USDAM3L23Y_Quote</v>
      </c>
      <c r="K31" s="139" t="str">
        <f t="shared" si="4"/>
        <v>USD_YC1MRH_AM1LBASIS23Y</v>
      </c>
      <c r="L31" s="137" t="str">
        <f>_xll.qlSwapRateHelper2(K31,$J31,$C31,Calendar,$F31,$G31,$H31,$L$4,$I31,B31,DiscountingCurve,Permanent,,ObjectOverwrite)</f>
        <v>USD_YC1MRH_AM1LBASIS23Y#0000</v>
      </c>
      <c r="M31" s="152" t="str">
        <f>_xll.ohRangeRetrieveError(L31)</f>
        <v/>
      </c>
      <c r="N31" s="134"/>
    </row>
    <row r="32" spans="1:14" x14ac:dyDescent="0.2">
      <c r="A32" s="103"/>
      <c r="B32" s="143" t="str">
        <f t="shared" si="5"/>
        <v>0D</v>
      </c>
      <c r="C32" s="143" t="s">
        <v>10</v>
      </c>
      <c r="D32" s="143" t="str">
        <f t="shared" si="6"/>
        <v>AM</v>
      </c>
      <c r="E32" s="143" t="str">
        <f t="shared" si="7"/>
        <v>1L</v>
      </c>
      <c r="F32" s="141" t="str">
        <f t="shared" si="0"/>
        <v>Annual</v>
      </c>
      <c r="G32" s="141" t="s">
        <v>159</v>
      </c>
      <c r="H32" s="141" t="str">
        <f t="shared" si="1"/>
        <v>Actual/360</v>
      </c>
      <c r="I32" s="140" t="str">
        <f t="shared" si="2"/>
        <v>USD3L1L24Y_Quote</v>
      </c>
      <c r="J32" s="139" t="str">
        <f t="shared" si="3"/>
        <v>USDAM3L24Y_Quote</v>
      </c>
      <c r="K32" s="139" t="str">
        <f t="shared" si="4"/>
        <v>USD_YC1MRH_AM1LBASIS24Y</v>
      </c>
      <c r="L32" s="137" t="str">
        <f>_xll.qlSwapRateHelper2(K32,$J32,$C32,Calendar,$F32,$G32,$H32,$L$4,$I32,B32,DiscountingCurve,Permanent,,ObjectOverwrite)</f>
        <v>USD_YC1MRH_AM1LBASIS24Y#0000</v>
      </c>
      <c r="M32" s="152" t="str">
        <f>_xll.ohRangeRetrieveError(L32)</f>
        <v/>
      </c>
      <c r="N32" s="134"/>
    </row>
    <row r="33" spans="1:14" x14ac:dyDescent="0.2">
      <c r="A33" s="103"/>
      <c r="B33" s="143" t="str">
        <f t="shared" si="5"/>
        <v>0D</v>
      </c>
      <c r="C33" s="143" t="s">
        <v>9</v>
      </c>
      <c r="D33" s="143" t="str">
        <f t="shared" si="6"/>
        <v>AM</v>
      </c>
      <c r="E33" s="143" t="str">
        <f t="shared" si="7"/>
        <v>1L</v>
      </c>
      <c r="F33" s="141" t="str">
        <f t="shared" si="0"/>
        <v>Annual</v>
      </c>
      <c r="G33" s="141" t="s">
        <v>159</v>
      </c>
      <c r="H33" s="141" t="str">
        <f t="shared" si="1"/>
        <v>Actual/360</v>
      </c>
      <c r="I33" s="140" t="str">
        <f t="shared" si="2"/>
        <v>USD3L1L25Y_Quote</v>
      </c>
      <c r="J33" s="139" t="str">
        <f t="shared" si="3"/>
        <v>USDAM3L25Y_Quote</v>
      </c>
      <c r="K33" s="139" t="str">
        <f t="shared" si="4"/>
        <v>USD_YC1MRH_AM1LBASIS25Y</v>
      </c>
      <c r="L33" s="137" t="str">
        <f>_xll.qlSwapRateHelper2(K33,$J33,$C33,Calendar,$F33,$G33,$H33,$L$4,$I33,B33,DiscountingCurve,Permanent,,ObjectOverwrite)</f>
        <v>USD_YC1MRH_AM1LBASIS25Y#0000</v>
      </c>
      <c r="M33" s="152" t="str">
        <f>_xll.ohRangeRetrieveError(L33)</f>
        <v/>
      </c>
      <c r="N33" s="134"/>
    </row>
    <row r="34" spans="1:14" x14ac:dyDescent="0.2">
      <c r="A34" s="103"/>
      <c r="B34" s="143" t="str">
        <f t="shared" si="5"/>
        <v>0D</v>
      </c>
      <c r="C34" s="143" t="s">
        <v>8</v>
      </c>
      <c r="D34" s="143" t="str">
        <f t="shared" si="6"/>
        <v>AM</v>
      </c>
      <c r="E34" s="143" t="str">
        <f t="shared" si="7"/>
        <v>1L</v>
      </c>
      <c r="F34" s="141" t="str">
        <f t="shared" si="0"/>
        <v>Annual</v>
      </c>
      <c r="G34" s="141" t="s">
        <v>159</v>
      </c>
      <c r="H34" s="141" t="str">
        <f t="shared" si="1"/>
        <v>Actual/360</v>
      </c>
      <c r="I34" s="140" t="str">
        <f t="shared" si="2"/>
        <v>USD3L1L26Y_Quote</v>
      </c>
      <c r="J34" s="139" t="str">
        <f t="shared" si="3"/>
        <v>USDAM3L26Y_Quote</v>
      </c>
      <c r="K34" s="139" t="str">
        <f t="shared" si="4"/>
        <v>USD_YC1MRH_AM1LBASIS26Y</v>
      </c>
      <c r="L34" s="137" t="str">
        <f>_xll.qlSwapRateHelper2(K34,$J34,$C34,Calendar,$F34,$G34,$H34,$L$4,$I34,B34,DiscountingCurve,Permanent,,ObjectOverwrite)</f>
        <v>USD_YC1MRH_AM1LBASIS26Y#0000</v>
      </c>
      <c r="M34" s="152" t="str">
        <f>_xll.ohRangeRetrieveError(L34)</f>
        <v/>
      </c>
      <c r="N34" s="134"/>
    </row>
    <row r="35" spans="1:14" x14ac:dyDescent="0.2">
      <c r="A35" s="103"/>
      <c r="B35" s="143" t="str">
        <f t="shared" si="5"/>
        <v>0D</v>
      </c>
      <c r="C35" s="143" t="s">
        <v>7</v>
      </c>
      <c r="D35" s="143" t="str">
        <f t="shared" si="6"/>
        <v>AM</v>
      </c>
      <c r="E35" s="143" t="str">
        <f t="shared" si="7"/>
        <v>1L</v>
      </c>
      <c r="F35" s="141" t="str">
        <f t="shared" si="0"/>
        <v>Annual</v>
      </c>
      <c r="G35" s="141" t="s">
        <v>159</v>
      </c>
      <c r="H35" s="141" t="str">
        <f t="shared" si="1"/>
        <v>Actual/360</v>
      </c>
      <c r="I35" s="140" t="str">
        <f t="shared" si="2"/>
        <v>USD3L1L27Y_Quote</v>
      </c>
      <c r="J35" s="139" t="str">
        <f t="shared" si="3"/>
        <v>USDAM3L27Y_Quote</v>
      </c>
      <c r="K35" s="139" t="str">
        <f t="shared" si="4"/>
        <v>USD_YC1MRH_AM1LBASIS27Y</v>
      </c>
      <c r="L35" s="137" t="str">
        <f>_xll.qlSwapRateHelper2(K35,$J35,$C35,Calendar,$F35,$G35,$H35,$L$4,$I35,B35,DiscountingCurve,Permanent,,ObjectOverwrite)</f>
        <v>USD_YC1MRH_AM1LBASIS27Y#0000</v>
      </c>
      <c r="M35" s="152" t="str">
        <f>_xll.ohRangeRetrieveError(L35)</f>
        <v/>
      </c>
      <c r="N35" s="134"/>
    </row>
    <row r="36" spans="1:14" x14ac:dyDescent="0.2">
      <c r="A36" s="103"/>
      <c r="B36" s="143" t="str">
        <f t="shared" si="5"/>
        <v>0D</v>
      </c>
      <c r="C36" s="143" t="s">
        <v>6</v>
      </c>
      <c r="D36" s="143" t="str">
        <f t="shared" si="6"/>
        <v>AM</v>
      </c>
      <c r="E36" s="143" t="str">
        <f t="shared" si="7"/>
        <v>1L</v>
      </c>
      <c r="F36" s="141" t="str">
        <f t="shared" si="0"/>
        <v>Annual</v>
      </c>
      <c r="G36" s="141" t="s">
        <v>159</v>
      </c>
      <c r="H36" s="141" t="str">
        <f t="shared" si="1"/>
        <v>Actual/360</v>
      </c>
      <c r="I36" s="140" t="str">
        <f t="shared" si="2"/>
        <v>USD3L1L28Y_Quote</v>
      </c>
      <c r="J36" s="139" t="str">
        <f t="shared" si="3"/>
        <v>USDAM3L28Y_Quote</v>
      </c>
      <c r="K36" s="139" t="str">
        <f t="shared" si="4"/>
        <v>USD_YC1MRH_AM1LBASIS28Y</v>
      </c>
      <c r="L36" s="137" t="str">
        <f>_xll.qlSwapRateHelper2(K36,$J36,$C36,Calendar,$F36,$G36,$H36,$L$4,$I36,B36,DiscountingCurve,Permanent,,ObjectOverwrite)</f>
        <v>USD_YC1MRH_AM1LBASIS28Y#0000</v>
      </c>
      <c r="M36" s="152" t="str">
        <f>_xll.ohRangeRetrieveError(L36)</f>
        <v/>
      </c>
      <c r="N36" s="134"/>
    </row>
    <row r="37" spans="1:14" x14ac:dyDescent="0.2">
      <c r="A37" s="103"/>
      <c r="B37" s="143" t="str">
        <f t="shared" si="5"/>
        <v>0D</v>
      </c>
      <c r="C37" s="143" t="s">
        <v>5</v>
      </c>
      <c r="D37" s="143" t="str">
        <f t="shared" si="6"/>
        <v>AM</v>
      </c>
      <c r="E37" s="143" t="str">
        <f t="shared" si="7"/>
        <v>1L</v>
      </c>
      <c r="F37" s="141" t="str">
        <f t="shared" si="0"/>
        <v>Annual</v>
      </c>
      <c r="G37" s="141" t="s">
        <v>159</v>
      </c>
      <c r="H37" s="141" t="str">
        <f t="shared" si="1"/>
        <v>Actual/360</v>
      </c>
      <c r="I37" s="140" t="str">
        <f t="shared" si="2"/>
        <v>USD3L1L29Y_Quote</v>
      </c>
      <c r="J37" s="139" t="str">
        <f t="shared" si="3"/>
        <v>USDAM3L29Y_Quote</v>
      </c>
      <c r="K37" s="139" t="str">
        <f t="shared" si="4"/>
        <v>USD_YC1MRH_AM1LBASIS29Y</v>
      </c>
      <c r="L37" s="137" t="str">
        <f>_xll.qlSwapRateHelper2(K37,$J37,$C37,Calendar,$F37,$G37,$H37,$L$4,$I37,B37,DiscountingCurve,Permanent,,ObjectOverwrite)</f>
        <v>USD_YC1MRH_AM1LBASIS29Y#0000</v>
      </c>
      <c r="M37" s="152" t="str">
        <f>_xll.ohRangeRetrieveError(L37)</f>
        <v/>
      </c>
      <c r="N37" s="134"/>
    </row>
    <row r="38" spans="1:14" x14ac:dyDescent="0.2">
      <c r="A38" s="103"/>
      <c r="B38" s="143" t="str">
        <f t="shared" si="5"/>
        <v>0D</v>
      </c>
      <c r="C38" s="143" t="s">
        <v>4</v>
      </c>
      <c r="D38" s="143" t="str">
        <f t="shared" si="6"/>
        <v>AM</v>
      </c>
      <c r="E38" s="143" t="str">
        <f t="shared" si="7"/>
        <v>1L</v>
      </c>
      <c r="F38" s="141" t="str">
        <f t="shared" si="0"/>
        <v>Annual</v>
      </c>
      <c r="G38" s="141" t="s">
        <v>159</v>
      </c>
      <c r="H38" s="141" t="str">
        <f t="shared" si="1"/>
        <v>Actual/360</v>
      </c>
      <c r="I38" s="140" t="str">
        <f t="shared" si="2"/>
        <v>USD3L1L30Y_Quote</v>
      </c>
      <c r="J38" s="139" t="str">
        <f t="shared" si="3"/>
        <v>USDAM3L30Y_Quote</v>
      </c>
      <c r="K38" s="139" t="str">
        <f t="shared" si="4"/>
        <v>USD_YC1MRH_AM1LBASIS30Y</v>
      </c>
      <c r="L38" s="137" t="str">
        <f>_xll.qlSwapRateHelper2(K38,$J38,$C38,Calendar,$F38,$G38,$H38,$L$4,$I38,B38,DiscountingCurve,Permanent,,ObjectOverwrite)</f>
        <v>USD_YC1MRH_AM1LBASIS30Y#0000</v>
      </c>
      <c r="M38" s="152" t="str">
        <f>_xll.ohRangeRetrieveError(L38)</f>
        <v/>
      </c>
      <c r="N38" s="134"/>
    </row>
    <row r="39" spans="1:14" x14ac:dyDescent="0.2">
      <c r="A39" s="103"/>
      <c r="B39" s="143" t="str">
        <f t="shared" si="5"/>
        <v>0D</v>
      </c>
      <c r="C39" s="143" t="s">
        <v>3</v>
      </c>
      <c r="D39" s="143" t="str">
        <f t="shared" si="6"/>
        <v>AM</v>
      </c>
      <c r="E39" s="143" t="str">
        <f t="shared" si="7"/>
        <v>1L</v>
      </c>
      <c r="F39" s="141" t="str">
        <f t="shared" si="0"/>
        <v>Annual</v>
      </c>
      <c r="G39" s="141" t="s">
        <v>159</v>
      </c>
      <c r="H39" s="141" t="str">
        <f t="shared" si="1"/>
        <v>Actual/360</v>
      </c>
      <c r="I39" s="140" t="str">
        <f t="shared" si="2"/>
        <v>USD3L1L35Y_Quote</v>
      </c>
      <c r="J39" s="139" t="str">
        <f t="shared" si="3"/>
        <v>USDAM3L35Y_Quote</v>
      </c>
      <c r="K39" s="139" t="str">
        <f t="shared" si="4"/>
        <v>USD_YC1MRH_AM1LBASIS35Y</v>
      </c>
      <c r="L39" s="137" t="str">
        <f>_xll.qlSwapRateHelper2(K39,$J39,$C39,Calendar,$F39,$G39,$H39,$L$4,$I39,B39,DiscountingCurve,Permanent,,ObjectOverwrite)</f>
        <v>USD_YC1MRH_AM1LBASIS35Y#0000</v>
      </c>
      <c r="M39" s="152" t="str">
        <f>_xll.ohRangeRetrieveError(L39)</f>
        <v/>
      </c>
      <c r="N39" s="134"/>
    </row>
    <row r="40" spans="1:14" x14ac:dyDescent="0.2">
      <c r="A40" s="103"/>
      <c r="B40" s="143" t="str">
        <f t="shared" si="5"/>
        <v>0D</v>
      </c>
      <c r="C40" s="143" t="s">
        <v>2</v>
      </c>
      <c r="D40" s="143" t="str">
        <f t="shared" si="6"/>
        <v>AM</v>
      </c>
      <c r="E40" s="143" t="str">
        <f t="shared" si="7"/>
        <v>1L</v>
      </c>
      <c r="F40" s="141" t="str">
        <f t="shared" si="0"/>
        <v>Annual</v>
      </c>
      <c r="G40" s="141" t="s">
        <v>159</v>
      </c>
      <c r="H40" s="141" t="str">
        <f t="shared" si="1"/>
        <v>Actual/360</v>
      </c>
      <c r="I40" s="140" t="str">
        <f t="shared" si="2"/>
        <v>USD3L1L40Y_Quote</v>
      </c>
      <c r="J40" s="139" t="str">
        <f t="shared" si="3"/>
        <v>USDAM3L40Y_Quote</v>
      </c>
      <c r="K40" s="139" t="str">
        <f t="shared" si="4"/>
        <v>USD_YC1MRH_AM1LBASIS40Y</v>
      </c>
      <c r="L40" s="137" t="str">
        <f>_xll.qlSwapRateHelper2(K40,$J40,$C40,Calendar,$F40,$G40,$H40,$L$4,$I40,B40,DiscountingCurve,Permanent,,ObjectOverwrite)</f>
        <v>USD_YC1MRH_AM1LBASIS40Y#0000</v>
      </c>
      <c r="M40" s="152" t="str">
        <f>_xll.ohRangeRetrieveError(L40)</f>
        <v/>
      </c>
      <c r="N40" s="134"/>
    </row>
    <row r="41" spans="1:14" x14ac:dyDescent="0.2">
      <c r="A41" s="103"/>
      <c r="B41" s="143" t="str">
        <f t="shared" si="5"/>
        <v>0D</v>
      </c>
      <c r="C41" s="143" t="s">
        <v>1</v>
      </c>
      <c r="D41" s="143" t="str">
        <f t="shared" si="6"/>
        <v>AM</v>
      </c>
      <c r="E41" s="143" t="str">
        <f t="shared" si="7"/>
        <v>1L</v>
      </c>
      <c r="F41" s="141" t="str">
        <f t="shared" si="0"/>
        <v>Annual</v>
      </c>
      <c r="G41" s="141" t="s">
        <v>159</v>
      </c>
      <c r="H41" s="141" t="str">
        <f t="shared" si="1"/>
        <v>Actual/360</v>
      </c>
      <c r="I41" s="140" t="str">
        <f t="shared" si="2"/>
        <v>USD3L1L50Y_Quote</v>
      </c>
      <c r="J41" s="139" t="str">
        <f t="shared" si="3"/>
        <v>USDAM3L50Y_Quote</v>
      </c>
      <c r="K41" s="139" t="str">
        <f t="shared" si="4"/>
        <v>USD_YC1MRH_AM1LBASIS50Y</v>
      </c>
      <c r="L41" s="137" t="str">
        <f>_xll.qlSwapRateHelper2(K41,$J41,$C41,Calendar,$F41,$G41,$H41,$L$4,$I41,B41,DiscountingCurve,Permanent,,ObjectOverwrite)</f>
        <v>USD_YC1MRH_AM1LBASIS50Y#0000</v>
      </c>
      <c r="M41" s="152" t="str">
        <f>_xll.ohRangeRetrieveError(L41)</f>
        <v/>
      </c>
      <c r="N41" s="134"/>
    </row>
    <row r="42" spans="1:14" x14ac:dyDescent="0.2">
      <c r="A42" s="103"/>
      <c r="B42" s="143" t="str">
        <f t="shared" si="5"/>
        <v>0D</v>
      </c>
      <c r="C42" s="143" t="s">
        <v>0</v>
      </c>
      <c r="D42" s="143" t="str">
        <f t="shared" si="6"/>
        <v>AM</v>
      </c>
      <c r="E42" s="143" t="str">
        <f t="shared" si="7"/>
        <v>1L</v>
      </c>
      <c r="F42" s="141" t="str">
        <f t="shared" si="0"/>
        <v>Annual</v>
      </c>
      <c r="G42" s="141" t="s">
        <v>159</v>
      </c>
      <c r="H42" s="141" t="str">
        <f t="shared" si="1"/>
        <v>Actual/360</v>
      </c>
      <c r="I42" s="140" t="str">
        <f t="shared" si="2"/>
        <v>USD3L1L60Y_Quote</v>
      </c>
      <c r="J42" s="139" t="str">
        <f t="shared" si="3"/>
        <v>USDAM3L60Y_Quote</v>
      </c>
      <c r="K42" s="139" t="str">
        <f t="shared" si="4"/>
        <v>USD_YC1MRH_AM1LBASIS60Y</v>
      </c>
      <c r="L42" s="137" t="str">
        <f>_xll.qlSwapRateHelper2(K42,$J42,$C42,Calendar,$F42,$G42,$H42,$L$4,$I42,B42,DiscountingCurve,Permanent,,ObjectOverwrite)</f>
        <v>USD_YC1MRH_AM1LBASIS60Y#0000</v>
      </c>
      <c r="M42" s="152" t="str">
        <f>_xll.ohRangeRetrieveError(L42)</f>
        <v/>
      </c>
      <c r="N42" s="134"/>
    </row>
    <row r="43" spans="1:14" ht="12" thickBot="1" x14ac:dyDescent="0.25">
      <c r="A43" s="95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133"/>
      <c r="M43" s="133"/>
      <c r="N43" s="132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2014-01-14T15:19:46Z</dcterms:created>
  <dcterms:modified xsi:type="dcterms:W3CDTF">2014-02-14T13:11:53Z</dcterms:modified>
</cp:coreProperties>
</file>