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85" yWindow="-15" windowWidth="15345" windowHeight="8280" tabRatio="826"/>
  </bookViews>
  <sheets>
    <sheet name="General Settings" sheetId="4" r:id="rId1"/>
    <sheet name="Depo_Calculation" sheetId="12" r:id="rId2"/>
    <sheet name="Contribution" sheetId="25" r:id="rId3"/>
  </sheets>
  <externalReferences>
    <externalReference r:id="rId4"/>
  </externalReferences>
  <definedNames>
    <definedName name="AllTriggers">'General Settings'!$I$17:$I$20</definedName>
    <definedName name="Calendar">'General Settings'!$D$28</definedName>
    <definedName name="Currency">'General Settings'!$D$4</definedName>
    <definedName name="EvaluationDate">'General Settings'!$I$18</definedName>
    <definedName name="FamilyName">'General Settings'!$D$6</definedName>
    <definedName name="FileOverwrite">'General Settings'!$I$8</definedName>
    <definedName name="InterestRatesTrigger">'General Settings'!$I$19</definedName>
    <definedName name="LastDayInNextYear">'General Settings'!$D$20</definedName>
    <definedName name="LastDayInYear">'General Settings'!$D$19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2">Contribution!$A$25</definedName>
    <definedName name="Months1M" localSheetId="2">Contribution!$A$3</definedName>
    <definedName name="Months3M" localSheetId="2">Contribution!$A$8</definedName>
    <definedName name="Months6M" localSheetId="2">Contribution!$A$15</definedName>
    <definedName name="ObjectOverwrite">'General Settings'!$I$5</definedName>
    <definedName name="OisCurve">'General Settings'!$D$9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2">Contribution!$N$3:$N$40</definedName>
    <definedName name="QuoteLive" localSheetId="2">Contribution!$J$3:$J$40</definedName>
    <definedName name="QuoteStatic" localSheetId="2">Contribution!$L$3:$L$40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2">Contribution!$A$26</definedName>
    <definedName name="Tenor1M" localSheetId="2">Contribution!$A$4</definedName>
    <definedName name="Tenor3M" localSheetId="2">Contribution!$A$9</definedName>
    <definedName name="Tenor6M" localSheetId="2">Contribution!$A$16</definedName>
    <definedName name="Trigger">'General Settings'!$I$17</definedName>
  </definedNames>
  <calcPr calcId="145621"/>
</workbook>
</file>

<file path=xl/calcChain.xml><?xml version="1.0" encoding="utf-8"?>
<calcChain xmlns="http://schemas.openxmlformats.org/spreadsheetml/2006/main">
  <c r="N3" i="25" l="1" a="1"/>
  <c r="D28" i="4" l="1"/>
  <c r="I20" i="4" l="1"/>
  <c r="A26" i="25" l="1"/>
  <c r="I8" i="12" l="1"/>
  <c r="I9" i="12"/>
  <c r="I18" i="4"/>
  <c r="C26" i="25" l="1"/>
  <c r="C27" i="25"/>
  <c r="C28" i="25"/>
  <c r="C29" i="25"/>
  <c r="C36" i="25"/>
  <c r="C39" i="25"/>
  <c r="C30" i="25"/>
  <c r="C34" i="25"/>
  <c r="C38" i="25"/>
  <c r="C40" i="25"/>
  <c r="C31" i="25"/>
  <c r="C35" i="25"/>
  <c r="C37" i="25"/>
  <c r="C32" i="25"/>
  <c r="C33" i="25"/>
  <c r="C25" i="25"/>
  <c r="D17" i="4"/>
  <c r="N9" i="12" l="1"/>
  <c r="O8" i="12"/>
  <c r="N8" i="12"/>
  <c r="O9" i="12"/>
  <c r="D27" i="12"/>
  <c r="D20" i="12"/>
  <c r="D21" i="12"/>
  <c r="D22" i="12"/>
  <c r="D23" i="12"/>
  <c r="D24" i="12"/>
  <c r="D19" i="12"/>
  <c r="I18" i="12"/>
  <c r="I17" i="12"/>
  <c r="D13" i="12"/>
  <c r="D14" i="12"/>
  <c r="D12" i="12"/>
  <c r="D19" i="4"/>
  <c r="D20" i="4"/>
  <c r="A10" i="12"/>
  <c r="R9" i="12" l="1"/>
  <c r="P9" i="12"/>
  <c r="S9" i="12"/>
  <c r="S8" i="12"/>
  <c r="R8" i="12"/>
  <c r="P8" i="12"/>
  <c r="D5" i="12"/>
  <c r="D9" i="4"/>
  <c r="E10" i="12"/>
  <c r="D18" i="4"/>
  <c r="D2" i="25" l="1"/>
  <c r="C2" i="25"/>
  <c r="A16" i="25"/>
  <c r="A4" i="25"/>
  <c r="A9" i="25"/>
  <c r="A11" i="12"/>
  <c r="C9" i="25" l="1"/>
  <c r="C11" i="25"/>
  <c r="C12" i="25"/>
  <c r="C10" i="25"/>
  <c r="C13" i="25"/>
  <c r="C14" i="25"/>
  <c r="C8" i="25"/>
  <c r="C16" i="25"/>
  <c r="C18" i="25"/>
  <c r="C19" i="25"/>
  <c r="C22" i="25"/>
  <c r="C23" i="25"/>
  <c r="C17" i="25"/>
  <c r="C21" i="25"/>
  <c r="C24" i="25"/>
  <c r="C20" i="25"/>
  <c r="C15" i="25"/>
  <c r="C4" i="25"/>
  <c r="C7" i="25"/>
  <c r="C3" i="25"/>
  <c r="C6" i="25"/>
  <c r="C5" i="25"/>
  <c r="D31" i="25"/>
  <c r="D12" i="25"/>
  <c r="D13" i="25"/>
  <c r="D27" i="25"/>
  <c r="D14" i="25"/>
  <c r="D5" i="25"/>
  <c r="D4" i="25"/>
  <c r="D37" i="25"/>
  <c r="D7" i="25"/>
  <c r="D6" i="25"/>
  <c r="D40" i="25"/>
  <c r="D36" i="25"/>
  <c r="D18" i="25"/>
  <c r="D20" i="25"/>
  <c r="D15" i="25"/>
  <c r="D22" i="25"/>
  <c r="D28" i="25"/>
  <c r="D29" i="25"/>
  <c r="D3" i="25"/>
  <c r="D24" i="25"/>
  <c r="D34" i="25"/>
  <c r="D25" i="25"/>
  <c r="D26" i="25"/>
  <c r="D38" i="25"/>
  <c r="D35" i="25"/>
  <c r="D30" i="25"/>
  <c r="D17" i="25"/>
  <c r="D9" i="25"/>
  <c r="D16" i="25"/>
  <c r="D8" i="25"/>
  <c r="D39" i="25"/>
  <c r="D19" i="25"/>
  <c r="D23" i="25"/>
  <c r="D32" i="25"/>
  <c r="D11" i="25"/>
  <c r="D10" i="25"/>
  <c r="D21" i="25"/>
  <c r="D33" i="25"/>
  <c r="D10" i="12" l="1"/>
  <c r="D6" i="4"/>
  <c r="A16" i="12"/>
  <c r="A7" i="12"/>
  <c r="A26" i="12"/>
  <c r="A3" i="12"/>
  <c r="E27" i="25"/>
  <c r="E9" i="25"/>
  <c r="E20" i="12"/>
  <c r="F36" i="12"/>
  <c r="E23" i="25"/>
  <c r="E32" i="25"/>
  <c r="F35" i="12"/>
  <c r="E31" i="25"/>
  <c r="E34" i="25"/>
  <c r="E36" i="25"/>
  <c r="E22" i="25"/>
  <c r="F43" i="12"/>
  <c r="E22" i="12"/>
  <c r="E8" i="25"/>
  <c r="E13" i="12"/>
  <c r="E11" i="25"/>
  <c r="E18" i="25"/>
  <c r="F34" i="12"/>
  <c r="E26" i="25"/>
  <c r="F40" i="12"/>
  <c r="E16" i="25"/>
  <c r="E3" i="25"/>
  <c r="F49" i="12"/>
  <c r="E29" i="25"/>
  <c r="E33" i="25"/>
  <c r="E12" i="25"/>
  <c r="E15" i="25"/>
  <c r="E28" i="25"/>
  <c r="F46" i="12"/>
  <c r="E19" i="12"/>
  <c r="F47" i="12"/>
  <c r="E7" i="25"/>
  <c r="E25" i="25"/>
  <c r="E14" i="12"/>
  <c r="B1" i="4"/>
  <c r="F38" i="12"/>
  <c r="E4" i="25"/>
  <c r="F42" i="12"/>
  <c r="E30" i="25"/>
  <c r="E35" i="25"/>
  <c r="E17" i="25"/>
  <c r="E14" i="25"/>
  <c r="E27" i="12"/>
  <c r="E39" i="25"/>
  <c r="E23" i="12"/>
  <c r="E12" i="12"/>
  <c r="E21" i="25"/>
  <c r="F44" i="12"/>
  <c r="E40" i="25"/>
  <c r="E20" i="25"/>
  <c r="E24" i="12"/>
  <c r="E37" i="25"/>
  <c r="F48" i="12"/>
  <c r="F45" i="12"/>
  <c r="E10" i="25"/>
  <c r="E24" i="25"/>
  <c r="E6" i="25"/>
  <c r="F37" i="12"/>
  <c r="E19" i="25"/>
  <c r="E21" i="12"/>
  <c r="F41" i="12"/>
  <c r="E5" i="25"/>
  <c r="E13" i="25"/>
  <c r="E38" i="25"/>
  <c r="F39" i="12"/>
  <c r="D2" i="12" l="1"/>
  <c r="D6" i="12"/>
  <c r="D26" i="12"/>
  <c r="D16" i="12"/>
  <c r="D3" i="12"/>
  <c r="A17" i="12"/>
  <c r="A4" i="12"/>
  <c r="D7" i="12"/>
  <c r="A8" i="12"/>
  <c r="A27" i="12"/>
  <c r="D25" i="12"/>
  <c r="D15" i="12"/>
  <c r="E15" i="12"/>
  <c r="E25" i="12"/>
  <c r="E6" i="12"/>
  <c r="K37" i="12" s="1"/>
  <c r="E5" i="12"/>
  <c r="E2" i="12"/>
  <c r="N2" i="12" s="1"/>
  <c r="N13" i="12"/>
  <c r="N12" i="12"/>
  <c r="N22" i="12"/>
  <c r="N21" i="12"/>
  <c r="E41" i="12"/>
  <c r="E45" i="12"/>
  <c r="E48" i="12"/>
  <c r="E40" i="12"/>
  <c r="E43" i="12"/>
  <c r="E42" i="12"/>
  <c r="E38" i="12"/>
  <c r="E47" i="12"/>
  <c r="E39" i="12"/>
  <c r="E37" i="12"/>
  <c r="E49" i="12"/>
  <c r="E36" i="12"/>
  <c r="E34" i="12"/>
  <c r="E44" i="12"/>
  <c r="E46" i="12"/>
  <c r="E35" i="12"/>
  <c r="N19" i="12"/>
  <c r="N18" i="12"/>
  <c r="N24" i="12"/>
  <c r="N23" i="12"/>
  <c r="N27" i="12"/>
  <c r="N20" i="12"/>
  <c r="O18" i="12"/>
  <c r="N17" i="12"/>
  <c r="N14" i="12"/>
  <c r="O17" i="12"/>
  <c r="F24" i="12"/>
  <c r="B34" i="12"/>
  <c r="B46" i="12"/>
  <c r="F14" i="12"/>
  <c r="B42" i="12"/>
  <c r="B40" i="12"/>
  <c r="B47" i="12"/>
  <c r="F15" i="12"/>
  <c r="B39" i="12"/>
  <c r="F2" i="12"/>
  <c r="B43" i="12"/>
  <c r="B45" i="12"/>
  <c r="F25" i="12"/>
  <c r="F27" i="12"/>
  <c r="B35" i="12"/>
  <c r="B48" i="12"/>
  <c r="F21" i="12"/>
  <c r="F13" i="12"/>
  <c r="F23" i="12"/>
  <c r="F22" i="12"/>
  <c r="F12" i="12"/>
  <c r="F6" i="12"/>
  <c r="F19" i="12"/>
  <c r="B38" i="12"/>
  <c r="F20" i="12"/>
  <c r="B41" i="12"/>
  <c r="B36" i="12"/>
  <c r="B49" i="12"/>
  <c r="F5" i="12"/>
  <c r="B44" i="12"/>
  <c r="B37" i="12"/>
  <c r="E16" i="12"/>
  <c r="E7" i="12"/>
  <c r="E3" i="12"/>
  <c r="E26" i="12"/>
  <c r="J8" i="12" l="1"/>
  <c r="N25" i="12"/>
  <c r="N15" i="12"/>
  <c r="K46" i="12"/>
  <c r="N3" i="12"/>
  <c r="O14" i="12"/>
  <c r="P14" i="12" s="1"/>
  <c r="O19" i="12"/>
  <c r="P19" i="12" s="1"/>
  <c r="O22" i="12"/>
  <c r="S22" i="12" s="1"/>
  <c r="O13" i="12"/>
  <c r="R13" i="12" s="1"/>
  <c r="O12" i="12"/>
  <c r="S12" i="12" s="1"/>
  <c r="O27" i="12"/>
  <c r="S27" i="12" s="1"/>
  <c r="O20" i="12"/>
  <c r="P20" i="12" s="1"/>
  <c r="O24" i="12"/>
  <c r="S24" i="12" s="1"/>
  <c r="O23" i="12"/>
  <c r="S23" i="12" s="1"/>
  <c r="O21" i="12"/>
  <c r="P21" i="12" s="1"/>
  <c r="K39" i="12"/>
  <c r="K45" i="12"/>
  <c r="K41" i="12"/>
  <c r="K34" i="12"/>
  <c r="K38" i="12"/>
  <c r="K40" i="12"/>
  <c r="N6" i="12"/>
  <c r="K47" i="12"/>
  <c r="N7" i="12"/>
  <c r="K42" i="12"/>
  <c r="K43" i="12"/>
  <c r="K48" i="12"/>
  <c r="K36" i="12"/>
  <c r="K49" i="12"/>
  <c r="K35" i="12"/>
  <c r="K44" i="12"/>
  <c r="O25" i="12"/>
  <c r="O15" i="12"/>
  <c r="O2" i="12"/>
  <c r="R2" i="12" s="1"/>
  <c r="F3" i="12"/>
  <c r="O3" i="12" s="1"/>
  <c r="F4" i="12"/>
  <c r="O4" i="12" s="1"/>
  <c r="F7" i="12"/>
  <c r="O6" i="12"/>
  <c r="S18" i="12"/>
  <c r="P18" i="12"/>
  <c r="R18" i="12"/>
  <c r="R17" i="12"/>
  <c r="S17" i="12"/>
  <c r="P17" i="12"/>
  <c r="B13" i="12"/>
  <c r="B6" i="12"/>
  <c r="C47" i="12"/>
  <c r="C44" i="12"/>
  <c r="B15" i="12"/>
  <c r="B20" i="12"/>
  <c r="C48" i="12"/>
  <c r="B19" i="12"/>
  <c r="C38" i="12"/>
  <c r="C49" i="12"/>
  <c r="C37" i="12"/>
  <c r="B21" i="12"/>
  <c r="C45" i="12"/>
  <c r="B27" i="12"/>
  <c r="C40" i="12"/>
  <c r="C43" i="12"/>
  <c r="B12" i="12"/>
  <c r="B24" i="12"/>
  <c r="C41" i="12"/>
  <c r="B22" i="12"/>
  <c r="C42" i="12"/>
  <c r="C46" i="12"/>
  <c r="B2" i="12"/>
  <c r="C35" i="12"/>
  <c r="C34" i="12"/>
  <c r="C39" i="12"/>
  <c r="B14" i="12"/>
  <c r="B23" i="12"/>
  <c r="C36" i="12"/>
  <c r="B25" i="12"/>
  <c r="F26" i="12"/>
  <c r="F16" i="12"/>
  <c r="B7" i="12"/>
  <c r="B3" i="12"/>
  <c r="P25" i="12" l="1"/>
  <c r="P6" i="12"/>
  <c r="P15" i="12"/>
  <c r="O16" i="12"/>
  <c r="O26" i="12"/>
  <c r="P22" i="12"/>
  <c r="N16" i="12"/>
  <c r="N26" i="12"/>
  <c r="R27" i="12"/>
  <c r="S21" i="12"/>
  <c r="R21" i="12"/>
  <c r="S19" i="12"/>
  <c r="R19" i="12"/>
  <c r="S14" i="12"/>
  <c r="R14" i="12"/>
  <c r="P13" i="12"/>
  <c r="S13" i="12"/>
  <c r="R25" i="12"/>
  <c r="R15" i="12"/>
  <c r="S15" i="12"/>
  <c r="P12" i="12"/>
  <c r="R12" i="12"/>
  <c r="E4" i="12"/>
  <c r="N4" i="12" s="1"/>
  <c r="P2" i="12"/>
  <c r="R24" i="12"/>
  <c r="R23" i="12"/>
  <c r="S20" i="12"/>
  <c r="P23" i="12"/>
  <c r="R20" i="12"/>
  <c r="S2" i="12"/>
  <c r="R22" i="12"/>
  <c r="P27" i="12"/>
  <c r="P24" i="12"/>
  <c r="S25" i="12"/>
  <c r="R6" i="12"/>
  <c r="O7" i="12"/>
  <c r="S7" i="12" s="1"/>
  <c r="S6" i="12"/>
  <c r="P3" i="12"/>
  <c r="R3" i="12"/>
  <c r="S3" i="12"/>
  <c r="C27" i="12"/>
  <c r="C24" i="12"/>
  <c r="B4" i="12"/>
  <c r="C13" i="12"/>
  <c r="C21" i="12"/>
  <c r="C15" i="12"/>
  <c r="C23" i="12"/>
  <c r="C12" i="12"/>
  <c r="C14" i="12"/>
  <c r="C20" i="12"/>
  <c r="C19" i="12"/>
  <c r="C25" i="12"/>
  <c r="C2" i="12"/>
  <c r="C6" i="12"/>
  <c r="C22" i="12"/>
  <c r="C3" i="12"/>
  <c r="C7" i="12"/>
  <c r="B26" i="12"/>
  <c r="B16" i="12"/>
  <c r="R26" i="12" l="1"/>
  <c r="S16" i="12"/>
  <c r="P26" i="12"/>
  <c r="R16" i="12"/>
  <c r="S26" i="12"/>
  <c r="P16" i="12"/>
  <c r="P7" i="12"/>
  <c r="R7" i="12"/>
  <c r="S4" i="12"/>
  <c r="P4" i="12"/>
  <c r="R4" i="12"/>
  <c r="C4" i="12"/>
  <c r="C16" i="12"/>
  <c r="C26" i="12"/>
  <c r="J17" i="12" l="1"/>
  <c r="N10" i="12" l="1"/>
  <c r="F10" i="12"/>
  <c r="O10" i="12" l="1"/>
  <c r="R10" i="12" s="1"/>
  <c r="B10" i="12"/>
  <c r="P10" i="12" l="1"/>
  <c r="S10" i="12"/>
  <c r="C10" i="12"/>
  <c r="E11" i="12"/>
  <c r="N11" i="12" l="1"/>
  <c r="D11" i="12"/>
  <c r="F11" i="12"/>
  <c r="O11" i="12" l="1"/>
  <c r="P11" i="12" s="1"/>
  <c r="B11" i="12"/>
  <c r="R11" i="12" l="1"/>
  <c r="S11" i="12"/>
  <c r="C11" i="12"/>
  <c r="I19" i="4" l="1"/>
  <c r="G26" i="12"/>
  <c r="H2" i="12"/>
  <c r="H6" i="12"/>
  <c r="H24" i="12"/>
  <c r="L39" i="12"/>
  <c r="G14" i="12"/>
  <c r="L35" i="12"/>
  <c r="G3" i="12"/>
  <c r="G16" i="12"/>
  <c r="H22" i="12"/>
  <c r="H21" i="12"/>
  <c r="G22" i="12"/>
  <c r="H20" i="12"/>
  <c r="G23" i="12"/>
  <c r="G5" i="12"/>
  <c r="L36" i="12"/>
  <c r="L45" i="12"/>
  <c r="L40" i="12"/>
  <c r="H13" i="12"/>
  <c r="H10" i="12"/>
  <c r="G21" i="12"/>
  <c r="L38" i="12"/>
  <c r="H14" i="12"/>
  <c r="H25" i="12"/>
  <c r="G15" i="12"/>
  <c r="G11" i="12"/>
  <c r="H7" i="12"/>
  <c r="G7" i="12"/>
  <c r="G20" i="12"/>
  <c r="H19" i="12"/>
  <c r="G12" i="12"/>
  <c r="L37" i="12"/>
  <c r="L44" i="12"/>
  <c r="G6" i="12"/>
  <c r="G25" i="12"/>
  <c r="G24" i="12"/>
  <c r="G27" i="12"/>
  <c r="L46" i="12"/>
  <c r="H15" i="12"/>
  <c r="H11" i="12"/>
  <c r="H27" i="12"/>
  <c r="H16" i="12"/>
  <c r="L48" i="12"/>
  <c r="H12" i="12"/>
  <c r="G19" i="12"/>
  <c r="H26" i="12"/>
  <c r="H23" i="12"/>
  <c r="L49" i="12"/>
  <c r="L43" i="12"/>
  <c r="H4" i="12"/>
  <c r="H3" i="12"/>
  <c r="G2" i="12"/>
  <c r="L42" i="12"/>
  <c r="G13" i="12"/>
  <c r="G10" i="12"/>
  <c r="L41" i="12"/>
  <c r="L47" i="12"/>
  <c r="I10" i="12" l="1"/>
  <c r="I13" i="12"/>
  <c r="I2" i="12"/>
  <c r="I19" i="12"/>
  <c r="I27" i="12"/>
  <c r="I24" i="12"/>
  <c r="I25" i="12"/>
  <c r="I6" i="12"/>
  <c r="I12" i="12"/>
  <c r="I20" i="12"/>
  <c r="I7" i="12"/>
  <c r="J7" i="12" s="1"/>
  <c r="I11" i="12"/>
  <c r="I15" i="12"/>
  <c r="I21" i="12"/>
  <c r="G4" i="12"/>
  <c r="I4" i="12" s="1"/>
  <c r="I23" i="12"/>
  <c r="I22" i="12"/>
  <c r="I16" i="12"/>
  <c r="J16" i="12" s="1"/>
  <c r="I3" i="12"/>
  <c r="J3" i="12" s="1"/>
  <c r="L34" i="12"/>
  <c r="I14" i="12"/>
  <c r="I26" i="12"/>
  <c r="J26" i="12" s="1"/>
  <c r="K27" i="12"/>
  <c r="K4" i="12"/>
  <c r="N31" i="12" l="1"/>
  <c r="K3" i="12"/>
  <c r="K26" i="12"/>
  <c r="Q31" i="12" s="1"/>
  <c r="J18" i="12"/>
  <c r="J23" i="12"/>
  <c r="J21" i="12"/>
  <c r="J19" i="12"/>
  <c r="J22" i="12"/>
  <c r="J4" i="12"/>
  <c r="J24" i="12"/>
  <c r="J27" i="12"/>
  <c r="J14" i="12"/>
  <c r="J11" i="12"/>
  <c r="J9" i="12"/>
  <c r="J20" i="12"/>
  <c r="J13" i="12"/>
  <c r="J12" i="12"/>
  <c r="J10" i="12"/>
  <c r="AB9" i="12" a="1"/>
  <c r="H31" i="12"/>
  <c r="K14" i="12"/>
  <c r="L14" i="12" s="1"/>
  <c r="K11" i="12"/>
  <c r="L11" i="12" s="1"/>
  <c r="V9" i="12" a="1"/>
  <c r="W9" i="12" a="1"/>
  <c r="X9" i="12" a="1"/>
  <c r="K13" i="12"/>
  <c r="L13" i="12" s="1"/>
  <c r="K12" i="12"/>
  <c r="L12" i="12" s="1"/>
  <c r="K10" i="12"/>
  <c r="L10" i="12" s="1"/>
  <c r="W18" i="12" a="1"/>
  <c r="V18" i="12" a="1"/>
  <c r="X18" i="12" a="1"/>
  <c r="K23" i="12"/>
  <c r="K21" i="12"/>
  <c r="K19" i="12"/>
  <c r="K22" i="12"/>
  <c r="K24" i="12"/>
  <c r="AB18" i="12" a="1"/>
  <c r="I31" i="12"/>
  <c r="L23" i="12"/>
  <c r="L19" i="12"/>
  <c r="L24" i="12"/>
  <c r="L22" i="12"/>
  <c r="L21" i="12"/>
  <c r="K20" i="12"/>
  <c r="L20" i="12" s="1"/>
  <c r="I32" i="12" l="1"/>
  <c r="AB18" i="12"/>
  <c r="AB19" i="12"/>
  <c r="AB20" i="12"/>
  <c r="P31" i="12"/>
  <c r="X19" i="12"/>
  <c r="X20" i="12"/>
  <c r="X18" i="12"/>
  <c r="V20" i="12"/>
  <c r="V18" i="12"/>
  <c r="V19" i="12"/>
  <c r="W20" i="12"/>
  <c r="W19" i="12"/>
  <c r="W18" i="12"/>
  <c r="X10" i="12"/>
  <c r="X9" i="12"/>
  <c r="X11" i="12"/>
  <c r="W9" i="12"/>
  <c r="W11" i="12"/>
  <c r="W10" i="12"/>
  <c r="V9" i="12"/>
  <c r="V10" i="12"/>
  <c r="V11" i="12"/>
  <c r="H32" i="12"/>
  <c r="AB9" i="12"/>
  <c r="AB10" i="12"/>
  <c r="AB11" i="12"/>
  <c r="AD18" i="12" l="1" a="1"/>
  <c r="AD9" i="12" a="1"/>
  <c r="AD11" i="12" l="1"/>
  <c r="AD10" i="12"/>
  <c r="AD9" i="12"/>
  <c r="AF10" i="12"/>
  <c r="AF9" i="12"/>
  <c r="AE11" i="12"/>
  <c r="AF11" i="12"/>
  <c r="AE9" i="12"/>
  <c r="AE10" i="12"/>
  <c r="AF20" i="12"/>
  <c r="AE18" i="12"/>
  <c r="AE20" i="12"/>
  <c r="AF19" i="12"/>
  <c r="AE19" i="12"/>
  <c r="AD18" i="12"/>
  <c r="AF18" i="12"/>
  <c r="AD20" i="12"/>
  <c r="AD19" i="12"/>
  <c r="Z18" i="12" l="1" a="1"/>
  <c r="Z9" i="12" a="1"/>
  <c r="Z20" i="12" l="1"/>
  <c r="W32" i="12" s="1"/>
  <c r="Z19" i="12"/>
  <c r="W31" i="12" s="1"/>
  <c r="Z18" i="12"/>
  <c r="Z10" i="12"/>
  <c r="V31" i="12" s="1"/>
  <c r="Z11" i="12"/>
  <c r="V32" i="12" s="1"/>
  <c r="Z9" i="12"/>
  <c r="V30" i="12" l="1"/>
  <c r="AH9" i="12" a="1"/>
  <c r="W30" i="12"/>
  <c r="AH18" i="12" a="1"/>
  <c r="AH19" i="12" l="1"/>
  <c r="AH18" i="12"/>
  <c r="AH20" i="12"/>
  <c r="W36" i="12"/>
  <c r="P36" i="12" s="1"/>
  <c r="I36" i="12" s="1"/>
  <c r="J17" i="25" s="1"/>
  <c r="N17" i="25" s="1"/>
  <c r="W37" i="12"/>
  <c r="P37" i="12" s="1"/>
  <c r="I37" i="12" s="1"/>
  <c r="J18" i="25" s="1"/>
  <c r="N18" i="25" s="1"/>
  <c r="W43" i="12"/>
  <c r="P43" i="12" s="1"/>
  <c r="I43" i="12" s="1"/>
  <c r="J24" i="25" s="1"/>
  <c r="N24" i="25" s="1"/>
  <c r="W42" i="12"/>
  <c r="P42" i="12" s="1"/>
  <c r="I42" i="12" s="1"/>
  <c r="J23" i="25" s="1"/>
  <c r="N23" i="25" s="1"/>
  <c r="W38" i="12"/>
  <c r="P38" i="12" s="1"/>
  <c r="I38" i="12" s="1"/>
  <c r="J19" i="25" s="1"/>
  <c r="N19" i="25" s="1"/>
  <c r="W34" i="12"/>
  <c r="P34" i="12" s="1"/>
  <c r="I34" i="12" s="1"/>
  <c r="J15" i="25" s="1"/>
  <c r="N15" i="25" s="1"/>
  <c r="W35" i="12"/>
  <c r="P35" i="12" s="1"/>
  <c r="I35" i="12" s="1"/>
  <c r="J16" i="25" s="1"/>
  <c r="N16" i="25" s="1"/>
  <c r="W40" i="12"/>
  <c r="P40" i="12" s="1"/>
  <c r="I40" i="12" s="1"/>
  <c r="J21" i="25" s="1"/>
  <c r="N21" i="25" s="1"/>
  <c r="W41" i="12"/>
  <c r="P41" i="12" s="1"/>
  <c r="I41" i="12" s="1"/>
  <c r="J22" i="25" s="1"/>
  <c r="N22" i="25" s="1"/>
  <c r="W39" i="12"/>
  <c r="P39" i="12" s="1"/>
  <c r="I39" i="12" s="1"/>
  <c r="J20" i="25" s="1"/>
  <c r="N20" i="25" s="1"/>
  <c r="V38" i="12"/>
  <c r="O38" i="12" s="1"/>
  <c r="H38" i="12" s="1"/>
  <c r="J12" i="25" s="1"/>
  <c r="N12" i="25" s="1"/>
  <c r="V39" i="12"/>
  <c r="O39" i="12" s="1"/>
  <c r="H39" i="12" s="1"/>
  <c r="J13" i="25" s="1"/>
  <c r="N13" i="25" s="1"/>
  <c r="V35" i="12"/>
  <c r="O35" i="12" s="1"/>
  <c r="H35" i="12" s="1"/>
  <c r="J9" i="25" s="1"/>
  <c r="N9" i="25" s="1"/>
  <c r="V34" i="12"/>
  <c r="O34" i="12" s="1"/>
  <c r="H34" i="12" s="1"/>
  <c r="J8" i="25" s="1"/>
  <c r="N8" i="25" s="1"/>
  <c r="V37" i="12"/>
  <c r="O37" i="12" s="1"/>
  <c r="H37" i="12" s="1"/>
  <c r="J11" i="25" s="1"/>
  <c r="N11" i="25" s="1"/>
  <c r="V40" i="12"/>
  <c r="O40" i="12" s="1"/>
  <c r="H40" i="12" s="1"/>
  <c r="J14" i="25" s="1"/>
  <c r="N14" i="25" s="1"/>
  <c r="V36" i="12"/>
  <c r="O36" i="12" s="1"/>
  <c r="H36" i="12" s="1"/>
  <c r="J10" i="25" s="1"/>
  <c r="N10" i="25" s="1"/>
  <c r="AH9" i="12"/>
  <c r="AH11" i="12"/>
  <c r="AH10" i="12"/>
  <c r="O8" i="25"/>
  <c r="O10" i="25"/>
  <c r="O23" i="25"/>
  <c r="O21" i="25"/>
  <c r="O13" i="25"/>
  <c r="O11" i="25"/>
  <c r="O18" i="25"/>
  <c r="O15" i="25"/>
  <c r="O20" i="25"/>
  <c r="O9" i="25"/>
  <c r="O14" i="25"/>
  <c r="O17" i="25"/>
  <c r="O24" i="25"/>
  <c r="O16" i="25"/>
  <c r="O12" i="25"/>
  <c r="O19" i="25"/>
  <c r="O22" i="25"/>
  <c r="P15" i="25"/>
  <c r="K18" i="12"/>
  <c r="J31" i="12"/>
  <c r="K9" i="12"/>
  <c r="L4" i="12"/>
  <c r="L27" i="12"/>
  <c r="L3" i="12"/>
  <c r="G31" i="12"/>
  <c r="G32" i="12"/>
  <c r="J32" i="12"/>
  <c r="L26" i="12"/>
  <c r="Q32" i="12"/>
  <c r="O31" i="12"/>
  <c r="N32" i="12"/>
  <c r="P8" i="25"/>
  <c r="L9" i="12"/>
  <c r="O32" i="12"/>
  <c r="L18" i="12"/>
  <c r="P32" i="12"/>
  <c r="Q36" i="12"/>
  <c r="J36" i="12" s="1"/>
  <c r="J27" i="25" s="1"/>
  <c r="N27" i="25" s="1"/>
  <c r="Q41" i="12"/>
  <c r="J41" i="12" s="1"/>
  <c r="J32" i="25" s="1"/>
  <c r="N32" i="25" s="1"/>
  <c r="Q35" i="12"/>
  <c r="J35" i="12" s="1"/>
  <c r="J26" i="25" s="1"/>
  <c r="N26" i="25" s="1"/>
  <c r="Q38" i="12"/>
  <c r="J38" i="12" s="1"/>
  <c r="J29" i="25" s="1"/>
  <c r="N29" i="25" s="1"/>
  <c r="Q48" i="12"/>
  <c r="J48" i="12" s="1"/>
  <c r="J39" i="25" s="1"/>
  <c r="N39" i="25" s="1"/>
  <c r="Q46" i="12"/>
  <c r="J46" i="12" s="1"/>
  <c r="J37" i="25" s="1"/>
  <c r="N37" i="25" s="1"/>
  <c r="N35" i="12"/>
  <c r="G35" i="12" s="1"/>
  <c r="J4" i="25" s="1"/>
  <c r="N4" i="25" s="1"/>
  <c r="Q39" i="12"/>
  <c r="J39" i="12" s="1"/>
  <c r="J30" i="25" s="1"/>
  <c r="N30" i="25" s="1"/>
  <c r="N36" i="12"/>
  <c r="G36" i="12" s="1"/>
  <c r="J5" i="25" s="1"/>
  <c r="N5" i="25" s="1"/>
  <c r="Q47" i="12"/>
  <c r="J47" i="12" s="1"/>
  <c r="J38" i="25" s="1"/>
  <c r="N38" i="25" s="1"/>
  <c r="N38" i="12"/>
  <c r="G38" i="12" s="1"/>
  <c r="J7" i="25" s="1"/>
  <c r="N7" i="25" s="1"/>
  <c r="Q49" i="12"/>
  <c r="J49" i="12" s="1"/>
  <c r="J40" i="25" s="1"/>
  <c r="N40" i="25" s="1"/>
  <c r="N37" i="12"/>
  <c r="G37" i="12" s="1"/>
  <c r="J6" i="25" s="1"/>
  <c r="N6" i="25" s="1"/>
  <c r="Q37" i="12"/>
  <c r="J37" i="12" s="1"/>
  <c r="J28" i="25" s="1"/>
  <c r="N28" i="25" s="1"/>
  <c r="N34" i="12"/>
  <c r="G34" i="12" s="1"/>
  <c r="J3" i="25" s="1"/>
  <c r="N3" i="25" s="1"/>
  <c r="Q40" i="12"/>
  <c r="J40" i="12" s="1"/>
  <c r="J31" i="25" s="1"/>
  <c r="N31" i="25" s="1"/>
  <c r="Q43" i="12"/>
  <c r="J43" i="12" s="1"/>
  <c r="J34" i="25" s="1"/>
  <c r="N34" i="25" s="1"/>
  <c r="Q34" i="12"/>
  <c r="J34" i="12" s="1"/>
  <c r="J25" i="25" s="1"/>
  <c r="N25" i="25" s="1"/>
  <c r="Q42" i="12"/>
  <c r="J42" i="12" s="1"/>
  <c r="J33" i="25" s="1"/>
  <c r="N33" i="25" s="1"/>
  <c r="Q44" i="12"/>
  <c r="J44" i="12" s="1"/>
  <c r="J35" i="25" s="1"/>
  <c r="N35" i="25" s="1"/>
  <c r="Q45" i="12"/>
  <c r="J45" i="12" s="1"/>
  <c r="J36" i="25" s="1"/>
  <c r="N36" i="25" s="1"/>
  <c r="O27" i="25"/>
  <c r="O34" i="25"/>
  <c r="O25" i="25"/>
  <c r="O35" i="25"/>
  <c r="O37" i="25"/>
  <c r="O5" i="25"/>
  <c r="O3" i="25"/>
  <c r="O32" i="25"/>
  <c r="O39" i="25"/>
  <c r="O30" i="25"/>
  <c r="O6" i="25"/>
  <c r="O31" i="25"/>
  <c r="O26" i="25"/>
  <c r="O33" i="25"/>
  <c r="O36" i="25"/>
  <c r="O4" i="25"/>
  <c r="O28" i="25"/>
  <c r="O29" i="25"/>
  <c r="O38" i="25"/>
  <c r="O40" i="25"/>
  <c r="O7" i="25"/>
  <c r="P2" i="25"/>
  <c r="P25" i="25"/>
</calcChain>
</file>

<file path=xl/sharedStrings.xml><?xml version="1.0" encoding="utf-8"?>
<sst xmlns="http://schemas.openxmlformats.org/spreadsheetml/2006/main" count="196" uniqueCount="97">
  <si>
    <t>Currency</t>
  </si>
  <si>
    <t>Last update</t>
  </si>
  <si>
    <t>Live Data Feed</t>
  </si>
  <si>
    <t>3M</t>
  </si>
  <si>
    <t>1W</t>
  </si>
  <si>
    <t>2W</t>
  </si>
  <si>
    <t>end</t>
  </si>
  <si>
    <t>start</t>
  </si>
  <si>
    <t>3W</t>
  </si>
  <si>
    <t>1M</t>
  </si>
  <si>
    <t>2M</t>
  </si>
  <si>
    <t>Instrument</t>
  </si>
  <si>
    <t>4M</t>
  </si>
  <si>
    <t>5M</t>
  </si>
  <si>
    <t>1D</t>
  </si>
  <si>
    <t>6M</t>
  </si>
  <si>
    <t>Calendar</t>
  </si>
  <si>
    <t>SettlementDate</t>
  </si>
  <si>
    <t>7M</t>
  </si>
  <si>
    <t>8M</t>
  </si>
  <si>
    <t>9M</t>
  </si>
  <si>
    <t>10M</t>
  </si>
  <si>
    <t>11M</t>
  </si>
  <si>
    <t>12M</t>
  </si>
  <si>
    <t>1Y</t>
  </si>
  <si>
    <t>quote</t>
  </si>
  <si>
    <t>OIS id</t>
  </si>
  <si>
    <t>OvenightIndex</t>
  </si>
  <si>
    <t>OisEngine</t>
  </si>
  <si>
    <t>Evaluation Date</t>
  </si>
  <si>
    <t>Interest Rates Trigger</t>
  </si>
  <si>
    <t>monotonicity</t>
  </si>
  <si>
    <t>first guess</t>
  </si>
  <si>
    <t>OisCurve</t>
  </si>
  <si>
    <t>General Settings</t>
  </si>
  <si>
    <t>LastFixingsTrigger</t>
  </si>
  <si>
    <t>OIS</t>
  </si>
  <si>
    <t>a</t>
  </si>
  <si>
    <t>b</t>
  </si>
  <si>
    <t>BA</t>
  </si>
  <si>
    <t>Flat</t>
  </si>
  <si>
    <t>basis</t>
  </si>
  <si>
    <t>1x2F</t>
  </si>
  <si>
    <t>days</t>
  </si>
  <si>
    <t>α</t>
  </si>
  <si>
    <t>β</t>
  </si>
  <si>
    <t>x</t>
  </si>
  <si>
    <t>=</t>
  </si>
  <si>
    <t>γ</t>
  </si>
  <si>
    <t>error</t>
  </si>
  <si>
    <t>inverse</t>
  </si>
  <si>
    <t>LastDayInNextYear</t>
  </si>
  <si>
    <t>LastDayInYear</t>
  </si>
  <si>
    <t>Trigger</t>
  </si>
  <si>
    <t>SND</t>
  </si>
  <si>
    <t>SWD</t>
  </si>
  <si>
    <t>2WD</t>
  </si>
  <si>
    <t>3WD</t>
  </si>
  <si>
    <t>1MD</t>
  </si>
  <si>
    <t>ADDITIONAL SETTINGS</t>
  </si>
  <si>
    <t>Permanent</t>
  </si>
  <si>
    <t>ObjectOverwrite</t>
  </si>
  <si>
    <t>Serialize</t>
  </si>
  <si>
    <t>SerializationPath</t>
  </si>
  <si>
    <t>FileOverwrite</t>
  </si>
  <si>
    <t>QuoteSuffix</t>
  </si>
  <si>
    <t>_Quote</t>
  </si>
  <si>
    <t>RateTickValue</t>
  </si>
  <si>
    <t>PriceTickValue</t>
  </si>
  <si>
    <t>Live</t>
  </si>
  <si>
    <t>Static</t>
  </si>
  <si>
    <t>Effective</t>
  </si>
  <si>
    <t>Change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</si>
  <si>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</si>
  <si>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</si>
  <si>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</si>
  <si>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</si>
  <si>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</si>
  <si>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</si>
  <si>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</si>
  <si>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</si>
  <si>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</si>
  <si>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</si>
  <si>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</si>
  <si>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JPY</t>
  </si>
  <si>
    <t>FamilyName</t>
  </si>
  <si>
    <t>Triggers</t>
  </si>
  <si>
    <t>Depo Settings</t>
  </si>
  <si>
    <t>Japan</t>
  </si>
  <si>
    <t>JpyTonar</t>
  </si>
  <si>
    <t>Joint Calendar</t>
  </si>
  <si>
    <t>Joint Calendar Rule</t>
  </si>
  <si>
    <t>JoinHolidays</t>
  </si>
  <si>
    <t>Calendar 1</t>
  </si>
  <si>
    <t>UnitedKingdom::Exchange</t>
  </si>
  <si>
    <t>Calendar 2</t>
  </si>
  <si>
    <t>Join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</si>
</sst>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&quot;£&quot;#,##0;[Red]\-&quot;£&quot;#,##0"/>
    <numFmt numFmtId="165" formatCode="0.0000%"/>
    <numFmt numFmtId="166" formatCode="ddd\,\ d\-mmm\-yyyy"/>
    <numFmt numFmtId="167" formatCode="ddd\,\ dd\-mmm\-yyyy\,\ h:mm:ss"/>
    <numFmt numFmtId="168" formatCode="ddd\,\ dd\-mmm\-yyyy\ h:mm:ss"/>
    <numFmt numFmtId="169" formatCode="#,##0.0;#,##0.0"/>
    <numFmt numFmtId="170" formatCode="_([$€-2]* #,##0.00_);_([$€-2]* \(#,##0.00\);_([$€-2]* &quot;-&quot;??_)"/>
    <numFmt numFmtId="171" formatCode="General_)"/>
    <numFmt numFmtId="172" formatCode="ddd\,\ dd\-mmm\-yyyy"/>
    <numFmt numFmtId="173" formatCode="0.0E+00"/>
    <numFmt numFmtId="174" formatCode="[$-409]d\-mmm\-yy;@"/>
    <numFmt numFmtId="175" formatCode="ddd\,\ d\-mmm\-yyyy\,\ hh:mm:ss"/>
    <numFmt numFmtId="176" formatCode="0.0000"/>
  </numFmts>
  <fonts count="24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12"/>
      <name val="Courier New"/>
      <family val="3"/>
    </font>
    <font>
      <sz val="14"/>
      <name val="Courier New"/>
      <family val="3"/>
    </font>
    <font>
      <sz val="14"/>
      <name val="Arial"/>
      <family val="2"/>
    </font>
    <font>
      <sz val="8"/>
      <name val="Courier New"/>
      <family val="3"/>
    </font>
    <font>
      <sz val="8"/>
      <color rgb="FFFF0000"/>
      <name val="Courier New"/>
      <family val="3"/>
    </font>
    <font>
      <sz val="8"/>
      <name val="Arial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Courier New"/>
      <family val="3"/>
    </font>
    <font>
      <sz val="10"/>
      <name val="Arial"/>
      <family val="2"/>
    </font>
    <font>
      <sz val="10"/>
      <name val="MS Sans Serif"/>
      <family val="2"/>
    </font>
    <font>
      <sz val="8"/>
      <name val="MS Sans Serif"/>
      <family val="2"/>
    </font>
  </fonts>
  <fills count="11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gray0625"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7">
    <xf numFmtId="0" fontId="0" fillId="0" borderId="0"/>
    <xf numFmtId="170" fontId="5" fillId="0" borderId="0" applyFon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0" fontId="5" fillId="0" borderId="0"/>
    <xf numFmtId="0" fontId="4" fillId="0" borderId="0"/>
    <xf numFmtId="171" fontId="8" fillId="0" borderId="0"/>
    <xf numFmtId="9" fontId="4" fillId="0" borderId="0" applyFont="0" applyFill="0" applyBorder="0" applyAlignment="0" applyProtection="0"/>
    <xf numFmtId="169" fontId="6" fillId="2" borderId="0">
      <alignment horizontal="center" vertical="center"/>
    </xf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5" fillId="0" borderId="0"/>
    <xf numFmtId="0" fontId="17" fillId="0" borderId="0"/>
    <xf numFmtId="0" fontId="3" fillId="0" borderId="0"/>
    <xf numFmtId="9" fontId="17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9" fontId="17" fillId="0" borderId="0" applyFont="0" applyFill="0" applyBorder="0" applyAlignment="0" applyProtection="0"/>
    <xf numFmtId="0" fontId="5" fillId="0" borderId="0"/>
    <xf numFmtId="0" fontId="3" fillId="0" borderId="0"/>
    <xf numFmtId="9" fontId="17" fillId="0" borderId="0" applyFont="0" applyFill="0" applyBorder="0" applyAlignment="0" applyProtection="0"/>
    <xf numFmtId="0" fontId="21" fillId="0" borderId="0"/>
    <xf numFmtId="170" fontId="21" fillId="0" borderId="0" applyFont="0" applyFill="0" applyBorder="0" applyAlignment="0" applyProtection="0"/>
    <xf numFmtId="0" fontId="17" fillId="0" borderId="0"/>
    <xf numFmtId="9" fontId="21" fillId="0" borderId="0" applyFont="0" applyFill="0" applyBorder="0" applyAlignment="0" applyProtection="0"/>
    <xf numFmtId="0" fontId="21" fillId="0" borderId="0"/>
    <xf numFmtId="0" fontId="2" fillId="0" borderId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0" fontId="5" fillId="0" borderId="0"/>
  </cellStyleXfs>
  <cellXfs count="260">
    <xf numFmtId="0" fontId="0" fillId="0" borderId="0" xfId="0"/>
    <xf numFmtId="0" fontId="9" fillId="0" borderId="0" xfId="0" applyFont="1"/>
    <xf numFmtId="165" fontId="9" fillId="0" borderId="1" xfId="7" applyNumberFormat="1" applyFont="1" applyBorder="1"/>
    <xf numFmtId="165" fontId="9" fillId="0" borderId="2" xfId="7" applyNumberFormat="1" applyFont="1" applyBorder="1"/>
    <xf numFmtId="165" fontId="9" fillId="0" borderId="3" xfId="7" applyNumberFormat="1" applyFont="1" applyBorder="1"/>
    <xf numFmtId="0" fontId="9" fillId="0" borderId="0" xfId="0" applyFont="1" applyBorder="1"/>
    <xf numFmtId="166" fontId="9" fillId="0" borderId="0" xfId="0" applyNumberFormat="1" applyFont="1" applyBorder="1" applyAlignment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 applyAlignment="1"/>
    <xf numFmtId="0" fontId="9" fillId="0" borderId="7" xfId="0" applyFont="1" applyBorder="1"/>
    <xf numFmtId="0" fontId="9" fillId="0" borderId="8" xfId="0" applyFont="1" applyBorder="1" applyAlignment="1"/>
    <xf numFmtId="0" fontId="9" fillId="0" borderId="9" xfId="0" applyFont="1" applyBorder="1"/>
    <xf numFmtId="165" fontId="9" fillId="0" borderId="5" xfId="0" applyNumberFormat="1" applyFont="1" applyBorder="1"/>
    <xf numFmtId="165" fontId="9" fillId="0" borderId="10" xfId="0" applyNumberFormat="1" applyFont="1" applyBorder="1"/>
    <xf numFmtId="165" fontId="9" fillId="0" borderId="0" xfId="7" applyNumberFormat="1" applyFont="1" applyBorder="1"/>
    <xf numFmtId="165" fontId="9" fillId="0" borderId="9" xfId="0" applyNumberFormat="1" applyFont="1" applyBorder="1"/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166" fontId="9" fillId="0" borderId="12" xfId="0" applyNumberFormat="1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right"/>
    </xf>
    <xf numFmtId="172" fontId="9" fillId="0" borderId="5" xfId="0" applyNumberFormat="1" applyFont="1" applyBorder="1"/>
    <xf numFmtId="0" fontId="9" fillId="0" borderId="8" xfId="0" applyFont="1" applyBorder="1" applyAlignment="1">
      <alignment horizontal="right"/>
    </xf>
    <xf numFmtId="172" fontId="9" fillId="0" borderId="9" xfId="0" applyNumberFormat="1" applyFont="1" applyBorder="1"/>
    <xf numFmtId="0" fontId="9" fillId="0" borderId="8" xfId="0" applyFont="1" applyFill="1" applyBorder="1" applyAlignment="1">
      <alignment horizontal="right"/>
    </xf>
    <xf numFmtId="172" fontId="9" fillId="0" borderId="10" xfId="0" applyNumberFormat="1" applyFont="1" applyBorder="1"/>
    <xf numFmtId="165" fontId="9" fillId="0" borderId="8" xfId="0" applyNumberFormat="1" applyFont="1" applyBorder="1" applyAlignment="1"/>
    <xf numFmtId="0" fontId="9" fillId="0" borderId="14" xfId="0" applyFont="1" applyBorder="1"/>
    <xf numFmtId="0" fontId="9" fillId="0" borderId="8" xfId="0" applyFont="1" applyBorder="1"/>
    <xf numFmtId="0" fontId="9" fillId="0" borderId="6" xfId="0" applyFont="1" applyBorder="1"/>
    <xf numFmtId="0" fontId="9" fillId="0" borderId="6" xfId="0" applyFont="1" applyBorder="1" applyAlignment="1">
      <alignment horizontal="right"/>
    </xf>
    <xf numFmtId="165" fontId="10" fillId="0" borderId="0" xfId="7" applyNumberFormat="1" applyFont="1" applyBorder="1"/>
    <xf numFmtId="165" fontId="10" fillId="3" borderId="0" xfId="7" applyNumberFormat="1" applyFont="1" applyFill="1" applyBorder="1"/>
    <xf numFmtId="165" fontId="10" fillId="0" borderId="4" xfId="7" applyNumberFormat="1" applyFont="1" applyBorder="1"/>
    <xf numFmtId="165" fontId="10" fillId="0" borderId="7" xfId="7" applyNumberFormat="1" applyFont="1" applyBorder="1"/>
    <xf numFmtId="165" fontId="10" fillId="3" borderId="8" xfId="7" applyNumberFormat="1" applyFont="1" applyFill="1" applyBorder="1" applyAlignment="1"/>
    <xf numFmtId="165" fontId="9" fillId="0" borderId="11" xfId="0" applyNumberFormat="1" applyFont="1" applyBorder="1"/>
    <xf numFmtId="165" fontId="9" fillId="0" borderId="12" xfId="0" applyNumberFormat="1" applyFont="1" applyBorder="1"/>
    <xf numFmtId="165" fontId="9" fillId="0" borderId="13" xfId="0" applyNumberFormat="1" applyFont="1" applyBorder="1"/>
    <xf numFmtId="0" fontId="9" fillId="4" borderId="0" xfId="4" applyFont="1" applyFill="1" applyBorder="1"/>
    <xf numFmtId="168" fontId="9" fillId="4" borderId="0" xfId="4" applyNumberFormat="1" applyFont="1" applyFill="1" applyBorder="1" applyAlignment="1">
      <alignment horizontal="center"/>
    </xf>
    <xf numFmtId="0" fontId="12" fillId="4" borderId="0" xfId="4" applyFont="1" applyFill="1" applyBorder="1" applyAlignment="1">
      <alignment horizontal="right"/>
    </xf>
    <xf numFmtId="0" fontId="9" fillId="0" borderId="0" xfId="0" applyFont="1" applyAlignment="1">
      <alignment horizontal="right"/>
    </xf>
    <xf numFmtId="165" fontId="10" fillId="3" borderId="9" xfId="7" applyNumberFormat="1" applyFont="1" applyFill="1" applyBorder="1"/>
    <xf numFmtId="165" fontId="10" fillId="3" borderId="2" xfId="7" applyNumberFormat="1" applyFont="1" applyFill="1" applyBorder="1" applyAlignment="1"/>
    <xf numFmtId="165" fontId="10" fillId="3" borderId="5" xfId="7" applyNumberFormat="1" applyFont="1" applyFill="1" applyBorder="1"/>
    <xf numFmtId="165" fontId="10" fillId="3" borderId="1" xfId="7" applyNumberFormat="1" applyFont="1" applyFill="1" applyBorder="1" applyAlignment="1"/>
    <xf numFmtId="0" fontId="9" fillId="5" borderId="15" xfId="4" applyFont="1" applyFill="1" applyBorder="1" applyAlignment="1">
      <alignment horizontal="right"/>
    </xf>
    <xf numFmtId="166" fontId="9" fillId="4" borderId="13" xfId="7" applyNumberFormat="1" applyFont="1" applyFill="1" applyBorder="1" applyAlignment="1">
      <alignment horizontal="center"/>
    </xf>
    <xf numFmtId="165" fontId="9" fillId="0" borderId="8" xfId="7" applyNumberFormat="1" applyFont="1" applyBorder="1" applyAlignment="1"/>
    <xf numFmtId="172" fontId="9" fillId="0" borderId="4" xfId="0" applyNumberFormat="1" applyFont="1" applyBorder="1" applyAlignment="1"/>
    <xf numFmtId="172" fontId="9" fillId="0" borderId="7" xfId="0" applyNumberFormat="1" applyFont="1" applyBorder="1" applyAlignment="1"/>
    <xf numFmtId="172" fontId="9" fillId="0" borderId="0" xfId="0" applyNumberFormat="1" applyFont="1" applyBorder="1" applyAlignment="1"/>
    <xf numFmtId="172" fontId="9" fillId="0" borderId="9" xfId="0" applyNumberFormat="1" applyFont="1" applyBorder="1" applyAlignment="1"/>
    <xf numFmtId="172" fontId="9" fillId="4" borderId="13" xfId="7" applyNumberFormat="1" applyFont="1" applyFill="1" applyBorder="1" applyAlignment="1">
      <alignment horizontal="center"/>
    </xf>
    <xf numFmtId="0" fontId="9" fillId="0" borderId="8" xfId="0" applyFont="1" applyFill="1" applyBorder="1"/>
    <xf numFmtId="165" fontId="9" fillId="0" borderId="0" xfId="0" applyNumberFormat="1" applyFont="1"/>
    <xf numFmtId="0" fontId="9" fillId="0" borderId="0" xfId="0" applyFont="1" applyAlignment="1">
      <alignment horizontal="center"/>
    </xf>
    <xf numFmtId="166" fontId="9" fillId="0" borderId="4" xfId="0" applyNumberFormat="1" applyFont="1" applyBorder="1" applyAlignment="1"/>
    <xf numFmtId="165" fontId="9" fillId="0" borderId="4" xfId="0" applyNumberFormat="1" applyFont="1" applyBorder="1" applyAlignment="1"/>
    <xf numFmtId="165" fontId="9" fillId="0" borderId="0" xfId="7" applyNumberFormat="1" applyFont="1"/>
    <xf numFmtId="165" fontId="9" fillId="0" borderId="8" xfId="0" applyNumberFormat="1" applyFont="1" applyBorder="1"/>
    <xf numFmtId="165" fontId="9" fillId="0" borderId="0" xfId="0" applyNumberFormat="1" applyFont="1" applyBorder="1"/>
    <xf numFmtId="165" fontId="10" fillId="3" borderId="6" xfId="7" applyNumberFormat="1" applyFont="1" applyFill="1" applyBorder="1" applyAlignment="1"/>
    <xf numFmtId="165" fontId="10" fillId="3" borderId="7" xfId="7" applyNumberFormat="1" applyFont="1" applyFill="1" applyBorder="1"/>
    <xf numFmtId="165" fontId="10" fillId="3" borderId="10" xfId="7" applyNumberFormat="1" applyFont="1" applyFill="1" applyBorder="1"/>
    <xf numFmtId="165" fontId="9" fillId="0" borderId="1" xfId="0" applyNumberFormat="1" applyFont="1" applyBorder="1"/>
    <xf numFmtId="165" fontId="9" fillId="0" borderId="2" xfId="0" applyNumberFormat="1" applyFont="1" applyBorder="1"/>
    <xf numFmtId="165" fontId="9" fillId="0" borderId="3" xfId="0" applyNumberFormat="1" applyFont="1" applyBorder="1"/>
    <xf numFmtId="173" fontId="9" fillId="0" borderId="1" xfId="0" applyNumberFormat="1" applyFont="1" applyBorder="1"/>
    <xf numFmtId="173" fontId="9" fillId="0" borderId="2" xfId="0" applyNumberFormat="1" applyFont="1" applyBorder="1"/>
    <xf numFmtId="173" fontId="9" fillId="0" borderId="3" xfId="0" applyNumberFormat="1" applyFont="1" applyBorder="1"/>
    <xf numFmtId="173" fontId="9" fillId="0" borderId="14" xfId="0" applyNumberFormat="1" applyFont="1" applyBorder="1"/>
    <xf numFmtId="173" fontId="9" fillId="0" borderId="4" xfId="0" applyNumberFormat="1" applyFont="1" applyBorder="1"/>
    <xf numFmtId="173" fontId="9" fillId="0" borderId="5" xfId="0" applyNumberFormat="1" applyFont="1" applyBorder="1"/>
    <xf numFmtId="173" fontId="9" fillId="0" borderId="8" xfId="0" applyNumberFormat="1" applyFont="1" applyBorder="1"/>
    <xf numFmtId="173" fontId="9" fillId="0" borderId="0" xfId="0" applyNumberFormat="1" applyFont="1" applyBorder="1"/>
    <xf numFmtId="173" fontId="9" fillId="0" borderId="9" xfId="0" applyNumberFormat="1" applyFont="1" applyBorder="1"/>
    <xf numFmtId="173" fontId="9" fillId="0" borderId="6" xfId="0" applyNumberFormat="1" applyFont="1" applyBorder="1"/>
    <xf numFmtId="173" fontId="9" fillId="0" borderId="7" xfId="0" applyNumberFormat="1" applyFont="1" applyBorder="1"/>
    <xf numFmtId="173" fontId="9" fillId="0" borderId="10" xfId="0" applyNumberFormat="1" applyFont="1" applyBorder="1"/>
    <xf numFmtId="2" fontId="9" fillId="0" borderId="14" xfId="0" applyNumberFormat="1" applyFont="1" applyBorder="1"/>
    <xf numFmtId="2" fontId="9" fillId="0" borderId="4" xfId="0" applyNumberFormat="1" applyFont="1" applyBorder="1"/>
    <xf numFmtId="2" fontId="9" fillId="0" borderId="5" xfId="0" applyNumberFormat="1" applyFont="1" applyBorder="1"/>
    <xf numFmtId="2" fontId="9" fillId="0" borderId="8" xfId="0" applyNumberFormat="1" applyFont="1" applyBorder="1"/>
    <xf numFmtId="2" fontId="9" fillId="0" borderId="0" xfId="0" applyNumberFormat="1" applyFont="1" applyBorder="1"/>
    <xf numFmtId="2" fontId="9" fillId="0" borderId="9" xfId="0" applyNumberFormat="1" applyFont="1" applyBorder="1"/>
    <xf numFmtId="2" fontId="9" fillId="0" borderId="6" xfId="0" applyNumberFormat="1" applyFont="1" applyBorder="1"/>
    <xf numFmtId="2" fontId="9" fillId="0" borderId="7" xfId="0" applyNumberFormat="1" applyFont="1" applyBorder="1"/>
    <xf numFmtId="2" fontId="9" fillId="0" borderId="10" xfId="0" applyNumberFormat="1" applyFont="1" applyBorder="1"/>
    <xf numFmtId="2" fontId="9" fillId="0" borderId="0" xfId="0" applyNumberFormat="1" applyFont="1"/>
    <xf numFmtId="165" fontId="9" fillId="0" borderId="6" xfId="0" applyNumberFormat="1" applyFont="1" applyBorder="1"/>
    <xf numFmtId="165" fontId="9" fillId="0" borderId="7" xfId="0" applyNumberFormat="1" applyFont="1" applyBorder="1"/>
    <xf numFmtId="0" fontId="15" fillId="0" borderId="0" xfId="0" applyFont="1"/>
    <xf numFmtId="0" fontId="9" fillId="6" borderId="8" xfId="0" applyFont="1" applyFill="1" applyBorder="1" applyAlignment="1"/>
    <xf numFmtId="172" fontId="9" fillId="6" borderId="0" xfId="0" applyNumberFormat="1" applyFont="1" applyFill="1" applyBorder="1" applyAlignment="1"/>
    <xf numFmtId="172" fontId="9" fillId="6" borderId="9" xfId="0" applyNumberFormat="1" applyFont="1" applyFill="1" applyBorder="1" applyAlignment="1"/>
    <xf numFmtId="165" fontId="9" fillId="6" borderId="8" xfId="0" applyNumberFormat="1" applyFont="1" applyFill="1" applyBorder="1" applyAlignment="1"/>
    <xf numFmtId="165" fontId="9" fillId="6" borderId="0" xfId="7" applyNumberFormat="1" applyFont="1" applyFill="1" applyBorder="1"/>
    <xf numFmtId="165" fontId="9" fillId="6" borderId="9" xfId="0" applyNumberFormat="1" applyFont="1" applyFill="1" applyBorder="1"/>
    <xf numFmtId="165" fontId="9" fillId="6" borderId="8" xfId="7" applyNumberFormat="1" applyFont="1" applyFill="1" applyBorder="1" applyAlignment="1"/>
    <xf numFmtId="0" fontId="9" fillId="6" borderId="14" xfId="0" applyFont="1" applyFill="1" applyBorder="1" applyAlignment="1"/>
    <xf numFmtId="172" fontId="9" fillId="6" borderId="4" xfId="0" applyNumberFormat="1" applyFont="1" applyFill="1" applyBorder="1" applyAlignment="1"/>
    <xf numFmtId="172" fontId="9" fillId="6" borderId="5" xfId="0" applyNumberFormat="1" applyFont="1" applyFill="1" applyBorder="1" applyAlignment="1"/>
    <xf numFmtId="165" fontId="9" fillId="6" borderId="14" xfId="0" applyNumberFormat="1" applyFont="1" applyFill="1" applyBorder="1" applyAlignment="1"/>
    <xf numFmtId="165" fontId="9" fillId="6" borderId="4" xfId="7" applyNumberFormat="1" applyFont="1" applyFill="1" applyBorder="1"/>
    <xf numFmtId="165" fontId="9" fillId="6" borderId="5" xfId="0" applyNumberFormat="1" applyFont="1" applyFill="1" applyBorder="1"/>
    <xf numFmtId="0" fontId="9" fillId="6" borderId="0" xfId="0" applyFont="1" applyFill="1"/>
    <xf numFmtId="0" fontId="9" fillId="6" borderId="0" xfId="0" applyFont="1" applyFill="1" applyBorder="1"/>
    <xf numFmtId="165" fontId="9" fillId="6" borderId="0" xfId="0" applyNumberFormat="1" applyFont="1" applyFill="1" applyBorder="1"/>
    <xf numFmtId="0" fontId="9" fillId="6" borderId="0" xfId="0" applyNumberFormat="1" applyFont="1" applyFill="1" applyBorder="1"/>
    <xf numFmtId="0" fontId="9" fillId="0" borderId="0" xfId="0" applyNumberFormat="1" applyFont="1" applyBorder="1"/>
    <xf numFmtId="165" fontId="9" fillId="0" borderId="0" xfId="7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6" borderId="0" xfId="0" quotePrefix="1" applyFont="1" applyFill="1" applyBorder="1"/>
    <xf numFmtId="0" fontId="15" fillId="0" borderId="14" xfId="0" applyFont="1" applyBorder="1" applyAlignment="1">
      <alignment horizontal="center"/>
    </xf>
    <xf numFmtId="165" fontId="9" fillId="0" borderId="4" xfId="0" applyNumberFormat="1" applyFont="1" applyBorder="1"/>
    <xf numFmtId="0" fontId="9" fillId="0" borderId="8" xfId="0" applyFont="1" applyBorder="1" applyAlignment="1">
      <alignment horizontal="center"/>
    </xf>
    <xf numFmtId="0" fontId="9" fillId="0" borderId="11" xfId="0" applyFont="1" applyBorder="1"/>
    <xf numFmtId="0" fontId="9" fillId="0" borderId="6" xfId="0" applyFont="1" applyFill="1" applyBorder="1" applyAlignment="1">
      <alignment horizontal="right"/>
    </xf>
    <xf numFmtId="0" fontId="10" fillId="0" borderId="0" xfId="0" applyNumberFormat="1" applyFont="1" applyBorder="1"/>
    <xf numFmtId="2" fontId="9" fillId="6" borderId="0" xfId="0" applyNumberFormat="1" applyFont="1" applyFill="1"/>
    <xf numFmtId="0" fontId="9" fillId="0" borderId="14" xfId="0" quotePrefix="1" applyFont="1" applyBorder="1"/>
    <xf numFmtId="0" fontId="9" fillId="0" borderId="1" xfId="0" applyNumberFormat="1" applyFont="1" applyBorder="1"/>
    <xf numFmtId="0" fontId="9" fillId="0" borderId="2" xfId="0" applyNumberFormat="1" applyFont="1" applyBorder="1"/>
    <xf numFmtId="0" fontId="9" fillId="0" borderId="3" xfId="0" applyNumberFormat="1" applyFont="1" applyBorder="1"/>
    <xf numFmtId="0" fontId="9" fillId="4" borderId="15" xfId="4" applyFont="1" applyFill="1" applyBorder="1" applyAlignment="1">
      <alignment horizontal="center"/>
    </xf>
    <xf numFmtId="168" fontId="9" fillId="4" borderId="15" xfId="4" applyNumberFormat="1" applyFont="1" applyFill="1" applyBorder="1" applyAlignment="1">
      <alignment horizontal="center"/>
    </xf>
    <xf numFmtId="166" fontId="9" fillId="4" borderId="15" xfId="7" applyNumberFormat="1" applyFont="1" applyFill="1" applyBorder="1" applyAlignment="1">
      <alignment horizontal="center"/>
    </xf>
    <xf numFmtId="0" fontId="9" fillId="8" borderId="0" xfId="4" applyFont="1" applyFill="1"/>
    <xf numFmtId="0" fontId="9" fillId="8" borderId="0" xfId="4" applyFont="1" applyFill="1" applyBorder="1"/>
    <xf numFmtId="0" fontId="9" fillId="8" borderId="0" xfId="5" applyFont="1" applyFill="1"/>
    <xf numFmtId="0" fontId="9" fillId="4" borderId="19" xfId="4" applyFont="1" applyFill="1" applyBorder="1"/>
    <xf numFmtId="0" fontId="9" fillId="4" borderId="20" xfId="4" applyFont="1" applyFill="1" applyBorder="1"/>
    <xf numFmtId="0" fontId="9" fillId="4" borderId="21" xfId="4" applyFont="1" applyFill="1" applyBorder="1"/>
    <xf numFmtId="0" fontId="9" fillId="4" borderId="22" xfId="4" applyFont="1" applyFill="1" applyBorder="1"/>
    <xf numFmtId="0" fontId="9" fillId="4" borderId="23" xfId="4" applyFont="1" applyFill="1" applyBorder="1"/>
    <xf numFmtId="167" fontId="16" fillId="4" borderId="0" xfId="4" applyNumberFormat="1" applyFont="1" applyFill="1" applyBorder="1" applyAlignment="1">
      <alignment horizontal="right" vertical="center"/>
    </xf>
    <xf numFmtId="0" fontId="10" fillId="4" borderId="0" xfId="4" quotePrefix="1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/>
    </xf>
    <xf numFmtId="0" fontId="9" fillId="10" borderId="24" xfId="21" applyFont="1" applyFill="1" applyBorder="1" applyAlignment="1">
      <alignment horizontal="center"/>
    </xf>
    <xf numFmtId="0" fontId="18" fillId="4" borderId="19" xfId="18" applyFont="1" applyFill="1" applyBorder="1"/>
    <xf numFmtId="0" fontId="18" fillId="4" borderId="0" xfId="18" applyFont="1" applyFill="1" applyBorder="1"/>
    <xf numFmtId="0" fontId="18" fillId="4" borderId="20" xfId="18" applyFont="1" applyFill="1" applyBorder="1"/>
    <xf numFmtId="0" fontId="18" fillId="5" borderId="15" xfId="18" applyNumberFormat="1" applyFont="1" applyFill="1" applyBorder="1"/>
    <xf numFmtId="175" fontId="18" fillId="9" borderId="13" xfId="18" applyNumberFormat="1" applyFont="1" applyFill="1" applyBorder="1" applyAlignment="1" applyProtection="1">
      <alignment horizontal="center"/>
    </xf>
    <xf numFmtId="15" fontId="18" fillId="4" borderId="20" xfId="18" applyNumberFormat="1" applyFont="1" applyFill="1" applyBorder="1"/>
    <xf numFmtId="175" fontId="18" fillId="9" borderId="13" xfId="18" quotePrefix="1" applyNumberFormat="1" applyFont="1" applyFill="1" applyBorder="1" applyAlignment="1" applyProtection="1">
      <alignment horizontal="left"/>
    </xf>
    <xf numFmtId="175" fontId="18" fillId="9" borderId="13" xfId="18" quotePrefix="1" applyNumberFormat="1" applyFont="1" applyFill="1" applyBorder="1" applyAlignment="1" applyProtection="1">
      <alignment horizontal="center"/>
    </xf>
    <xf numFmtId="165" fontId="18" fillId="9" borderId="13" xfId="18" quotePrefix="1" applyNumberFormat="1" applyFont="1" applyFill="1" applyBorder="1" applyAlignment="1" applyProtection="1">
      <alignment horizontal="center"/>
    </xf>
    <xf numFmtId="176" fontId="18" fillId="9" borderId="13" xfId="18" quotePrefix="1" applyNumberFormat="1" applyFont="1" applyFill="1" applyBorder="1" applyAlignment="1" applyProtection="1">
      <alignment horizontal="center"/>
    </xf>
    <xf numFmtId="0" fontId="18" fillId="4" borderId="21" xfId="18" applyFont="1" applyFill="1" applyBorder="1"/>
    <xf numFmtId="0" fontId="18" fillId="4" borderId="22" xfId="18" applyFont="1" applyFill="1" applyBorder="1"/>
    <xf numFmtId="0" fontId="18" fillId="4" borderId="23" xfId="18" applyFont="1" applyFill="1" applyBorder="1"/>
    <xf numFmtId="0" fontId="9" fillId="10" borderId="19" xfId="21" applyFont="1" applyFill="1" applyBorder="1" applyAlignment="1">
      <alignment horizontal="center"/>
    </xf>
    <xf numFmtId="0" fontId="9" fillId="4" borderId="0" xfId="0" quotePrefix="1" applyFont="1" applyFill="1" applyBorder="1" applyAlignment="1">
      <alignment horizontal="center"/>
    </xf>
    <xf numFmtId="0" fontId="9" fillId="4" borderId="0" xfId="21" applyFont="1" applyFill="1" applyBorder="1" applyAlignment="1">
      <alignment horizontal="center"/>
    </xf>
    <xf numFmtId="165" fontId="11" fillId="0" borderId="28" xfId="22" applyNumberFormat="1" applyFont="1" applyFill="1" applyBorder="1" applyAlignment="1">
      <alignment horizontal="center" vertical="center" wrapText="1"/>
    </xf>
    <xf numFmtId="176" fontId="11" fillId="0" borderId="29" xfId="22" applyNumberFormat="1" applyFont="1" applyFill="1" applyBorder="1" applyAlignment="1">
      <alignment horizontal="center" vertical="center" wrapText="1"/>
    </xf>
    <xf numFmtId="0" fontId="9" fillId="10" borderId="25" xfId="21" applyFont="1" applyFill="1" applyBorder="1"/>
    <xf numFmtId="0" fontId="9" fillId="10" borderId="25" xfId="21" applyFont="1" applyFill="1" applyBorder="1" applyAlignment="1">
      <alignment horizontal="center"/>
    </xf>
    <xf numFmtId="0" fontId="9" fillId="10" borderId="26" xfId="20" applyFont="1" applyFill="1" applyBorder="1"/>
    <xf numFmtId="0" fontId="9" fillId="0" borderId="19" xfId="7" applyNumberFormat="1" applyFont="1" applyFill="1" applyBorder="1" applyAlignment="1"/>
    <xf numFmtId="0" fontId="9" fillId="0" borderId="30" xfId="7" applyNumberFormat="1" applyFont="1" applyFill="1" applyBorder="1" applyAlignment="1"/>
    <xf numFmtId="0" fontId="9" fillId="0" borderId="21" xfId="7" applyNumberFormat="1" applyFont="1" applyFill="1" applyBorder="1" applyAlignment="1"/>
    <xf numFmtId="165" fontId="9" fillId="0" borderId="31" xfId="7" applyNumberFormat="1" applyFont="1" applyBorder="1" applyAlignment="1"/>
    <xf numFmtId="165" fontId="9" fillId="0" borderId="32" xfId="7" applyNumberFormat="1" applyFont="1" applyBorder="1" applyAlignment="1"/>
    <xf numFmtId="165" fontId="9" fillId="0" borderId="33" xfId="7" applyNumberFormat="1" applyFont="1" applyBorder="1" applyAlignment="1"/>
    <xf numFmtId="165" fontId="9" fillId="0" borderId="19" xfId="7" applyNumberFormat="1" applyFont="1" applyFill="1" applyBorder="1" applyAlignment="1"/>
    <xf numFmtId="165" fontId="9" fillId="0" borderId="20" xfId="7" applyNumberFormat="1" applyFont="1" applyFill="1" applyBorder="1" applyAlignment="1"/>
    <xf numFmtId="165" fontId="9" fillId="0" borderId="30" xfId="7" applyNumberFormat="1" applyFont="1" applyFill="1" applyBorder="1" applyAlignment="1"/>
    <xf numFmtId="165" fontId="9" fillId="0" borderId="21" xfId="7" applyNumberFormat="1" applyFont="1" applyFill="1" applyBorder="1" applyAlignment="1"/>
    <xf numFmtId="165" fontId="9" fillId="0" borderId="23" xfId="7" applyNumberFormat="1" applyFont="1" applyFill="1" applyBorder="1" applyAlignment="1"/>
    <xf numFmtId="176" fontId="11" fillId="0" borderId="27" xfId="22" applyNumberFormat="1" applyFont="1" applyFill="1" applyBorder="1" applyAlignment="1">
      <alignment horizontal="center" vertical="center" wrapText="1"/>
    </xf>
    <xf numFmtId="0" fontId="9" fillId="4" borderId="24" xfId="11" applyFont="1" applyFill="1" applyBorder="1"/>
    <xf numFmtId="0" fontId="9" fillId="4" borderId="25" xfId="11" applyFont="1" applyFill="1" applyBorder="1"/>
    <xf numFmtId="0" fontId="9" fillId="4" borderId="25" xfId="11" applyFont="1" applyFill="1" applyBorder="1" applyAlignment="1">
      <alignment horizontal="center"/>
    </xf>
    <xf numFmtId="0" fontId="9" fillId="4" borderId="26" xfId="11" applyFont="1" applyFill="1" applyBorder="1"/>
    <xf numFmtId="0" fontId="9" fillId="10" borderId="0" xfId="12" applyFont="1" applyFill="1" applyBorder="1"/>
    <xf numFmtId="0" fontId="9" fillId="4" borderId="24" xfId="11" applyFont="1" applyFill="1" applyBorder="1" applyAlignment="1">
      <alignment horizontal="center"/>
    </xf>
    <xf numFmtId="0" fontId="9" fillId="4" borderId="35" xfId="11" applyFont="1" applyFill="1" applyBorder="1" applyAlignment="1"/>
    <xf numFmtId="0" fontId="20" fillId="4" borderId="35" xfId="11" applyFont="1" applyFill="1" applyBorder="1" applyAlignment="1">
      <alignment horizontal="left"/>
    </xf>
    <xf numFmtId="0" fontId="9" fillId="9" borderId="35" xfId="11" applyNumberFormat="1" applyFont="1" applyFill="1" applyBorder="1" applyAlignment="1" applyProtection="1">
      <alignment horizontal="center"/>
    </xf>
    <xf numFmtId="0" fontId="9" fillId="9" borderId="29" xfId="11" applyNumberFormat="1" applyFont="1" applyFill="1" applyBorder="1" applyAlignment="1" applyProtection="1"/>
    <xf numFmtId="0" fontId="9" fillId="4" borderId="20" xfId="11" applyFont="1" applyFill="1" applyBorder="1" applyAlignment="1">
      <alignment horizontal="center"/>
    </xf>
    <xf numFmtId="0" fontId="9" fillId="4" borderId="2" xfId="11" applyNumberFormat="1" applyFont="1" applyFill="1" applyBorder="1" applyAlignment="1"/>
    <xf numFmtId="0" fontId="9" fillId="4" borderId="0" xfId="11" applyNumberFormat="1" applyFont="1" applyFill="1" applyBorder="1" applyAlignment="1"/>
    <xf numFmtId="174" fontId="9" fillId="9" borderId="36" xfId="11" applyNumberFormat="1" applyFont="1" applyFill="1" applyBorder="1" applyAlignment="1" applyProtection="1">
      <alignment horizontal="left"/>
    </xf>
    <xf numFmtId="0" fontId="9" fillId="10" borderId="19" xfId="0" applyFont="1" applyFill="1" applyBorder="1"/>
    <xf numFmtId="0" fontId="9" fillId="10" borderId="20" xfId="0" applyFont="1" applyFill="1" applyBorder="1"/>
    <xf numFmtId="0" fontId="11" fillId="4" borderId="8" xfId="11" applyFont="1" applyFill="1" applyBorder="1" applyAlignment="1"/>
    <xf numFmtId="0" fontId="11" fillId="4" borderId="37" xfId="11" applyFont="1" applyFill="1" applyBorder="1" applyAlignment="1"/>
    <xf numFmtId="0" fontId="9" fillId="4" borderId="37" xfId="11" applyNumberFormat="1" applyFont="1" applyFill="1" applyBorder="1" applyAlignment="1"/>
    <xf numFmtId="174" fontId="9" fillId="9" borderId="38" xfId="11" applyNumberFormat="1" applyFont="1" applyFill="1" applyBorder="1" applyAlignment="1" applyProtection="1">
      <alignment horizontal="left"/>
    </xf>
    <xf numFmtId="0" fontId="11" fillId="4" borderId="40" xfId="11" applyFont="1" applyFill="1" applyBorder="1" applyAlignment="1"/>
    <xf numFmtId="0" fontId="9" fillId="4" borderId="41" xfId="11" applyNumberFormat="1" applyFont="1" applyFill="1" applyBorder="1" applyAlignment="1"/>
    <xf numFmtId="174" fontId="9" fillId="9" borderId="26" xfId="11" applyNumberFormat="1" applyFont="1" applyFill="1" applyBorder="1" applyAlignment="1" applyProtection="1">
      <alignment horizontal="left"/>
    </xf>
    <xf numFmtId="0" fontId="9" fillId="4" borderId="20" xfId="11" applyFont="1" applyFill="1" applyBorder="1"/>
    <xf numFmtId="174" fontId="9" fillId="9" borderId="20" xfId="11" applyNumberFormat="1" applyFont="1" applyFill="1" applyBorder="1" applyAlignment="1" applyProtection="1">
      <alignment horizontal="left"/>
    </xf>
    <xf numFmtId="0" fontId="11" fillId="4" borderId="2" xfId="11" applyFont="1" applyFill="1" applyBorder="1" applyAlignment="1"/>
    <xf numFmtId="0" fontId="9" fillId="4" borderId="34" xfId="11" applyFont="1" applyFill="1" applyBorder="1" applyAlignment="1">
      <alignment horizontal="left"/>
    </xf>
    <xf numFmtId="0" fontId="9" fillId="4" borderId="19" xfId="11" applyFont="1" applyFill="1" applyBorder="1" applyAlignment="1">
      <alignment horizontal="left"/>
    </xf>
    <xf numFmtId="0" fontId="9" fillId="4" borderId="39" xfId="11" applyFont="1" applyFill="1" applyBorder="1" applyAlignment="1">
      <alignment horizontal="left"/>
    </xf>
    <xf numFmtId="0" fontId="9" fillId="10" borderId="42" xfId="0" applyFont="1" applyFill="1" applyBorder="1" applyAlignment="1">
      <alignment horizontal="left"/>
    </xf>
    <xf numFmtId="0" fontId="9" fillId="10" borderId="43" xfId="0" applyFont="1" applyFill="1" applyBorder="1" applyAlignment="1">
      <alignment horizontal="left"/>
    </xf>
    <xf numFmtId="0" fontId="9" fillId="10" borderId="31" xfId="0" applyFont="1" applyFill="1" applyBorder="1"/>
    <xf numFmtId="0" fontId="9" fillId="10" borderId="44" xfId="0" applyFont="1" applyFill="1" applyBorder="1" applyAlignment="1">
      <alignment horizontal="left"/>
    </xf>
    <xf numFmtId="174" fontId="9" fillId="9" borderId="23" xfId="11" applyNumberFormat="1" applyFont="1" applyFill="1" applyBorder="1" applyAlignment="1" applyProtection="1">
      <alignment horizontal="left"/>
    </xf>
    <xf numFmtId="0" fontId="9" fillId="4" borderId="23" xfId="11" applyFont="1" applyFill="1" applyBorder="1"/>
    <xf numFmtId="0" fontId="9" fillId="10" borderId="21" xfId="0" applyFont="1" applyFill="1" applyBorder="1"/>
    <xf numFmtId="0" fontId="9" fillId="4" borderId="22" xfId="0" quotePrefix="1" applyFont="1" applyFill="1" applyBorder="1" applyAlignment="1">
      <alignment horizontal="center"/>
    </xf>
    <xf numFmtId="0" fontId="9" fillId="4" borderId="22" xfId="0" applyFont="1" applyFill="1" applyBorder="1" applyAlignment="1">
      <alignment horizontal="center"/>
    </xf>
    <xf numFmtId="0" fontId="9" fillId="10" borderId="23" xfId="0" applyFont="1" applyFill="1" applyBorder="1"/>
    <xf numFmtId="0" fontId="9" fillId="0" borderId="0" xfId="0" applyFont="1" applyAlignment="1">
      <alignment horizontal="left"/>
    </xf>
    <xf numFmtId="0" fontId="9" fillId="10" borderId="20" xfId="21" applyFont="1" applyFill="1" applyBorder="1" applyAlignment="1">
      <alignment horizontal="right"/>
    </xf>
    <xf numFmtId="0" fontId="9" fillId="10" borderId="20" xfId="0" applyFont="1" applyFill="1" applyBorder="1" applyAlignment="1">
      <alignment horizontal="right"/>
    </xf>
    <xf numFmtId="165" fontId="9" fillId="0" borderId="45" xfId="7" quotePrefix="1" applyNumberFormat="1" applyFont="1" applyFill="1" applyBorder="1" applyAlignment="1"/>
    <xf numFmtId="165" fontId="9" fillId="0" borderId="31" xfId="7" quotePrefix="1" applyNumberFormat="1" applyFont="1" applyFill="1" applyBorder="1" applyAlignment="1"/>
    <xf numFmtId="165" fontId="9" fillId="0" borderId="33" xfId="7" quotePrefix="1" applyNumberFormat="1" applyFont="1" applyFill="1" applyBorder="1" applyAlignment="1"/>
    <xf numFmtId="165" fontId="9" fillId="0" borderId="32" xfId="7" quotePrefix="1" applyNumberFormat="1" applyFont="1" applyFill="1" applyBorder="1" applyAlignment="1"/>
    <xf numFmtId="0" fontId="9" fillId="4" borderId="19" xfId="4" applyFont="1" applyFill="1" applyBorder="1"/>
    <xf numFmtId="0" fontId="9" fillId="4" borderId="0" xfId="4" applyFont="1" applyFill="1" applyBorder="1"/>
    <xf numFmtId="0" fontId="9" fillId="4" borderId="20" xfId="4" applyFont="1" applyFill="1" applyBorder="1"/>
    <xf numFmtId="0" fontId="9" fillId="5" borderId="15" xfId="4" applyFont="1" applyFill="1" applyBorder="1" applyAlignment="1">
      <alignment horizontal="right"/>
    </xf>
    <xf numFmtId="0" fontId="9" fillId="4" borderId="21" xfId="4" applyFont="1" applyFill="1" applyBorder="1"/>
    <xf numFmtId="0" fontId="9" fillId="4" borderId="22" xfId="4" applyFont="1" applyFill="1" applyBorder="1"/>
    <xf numFmtId="0" fontId="9" fillId="4" borderId="23" xfId="4" applyFont="1" applyFill="1" applyBorder="1"/>
    <xf numFmtId="1" fontId="9" fillId="4" borderId="13" xfId="7" applyNumberFormat="1" applyFont="1" applyFill="1" applyBorder="1" applyAlignment="1">
      <alignment horizontal="center"/>
    </xf>
    <xf numFmtId="0" fontId="9" fillId="4" borderId="26" xfId="4" applyFont="1" applyFill="1" applyBorder="1"/>
    <xf numFmtId="172" fontId="9" fillId="0" borderId="0" xfId="0" applyNumberFormat="1" applyFont="1"/>
    <xf numFmtId="0" fontId="9" fillId="0" borderId="0" xfId="0" applyFont="1"/>
    <xf numFmtId="0" fontId="9" fillId="0" borderId="0" xfId="0" applyFont="1" applyBorder="1"/>
    <xf numFmtId="0" fontId="9" fillId="0" borderId="25" xfId="0" applyFont="1" applyBorder="1"/>
    <xf numFmtId="0" fontId="9" fillId="4" borderId="45" xfId="11" applyFont="1" applyFill="1" applyBorder="1"/>
    <xf numFmtId="0" fontId="9" fillId="10" borderId="24" xfId="0" applyFont="1" applyFill="1" applyBorder="1"/>
    <xf numFmtId="0" fontId="9" fillId="0" borderId="45" xfId="7" applyNumberFormat="1" applyFont="1" applyFill="1" applyBorder="1" applyAlignment="1"/>
    <xf numFmtId="165" fontId="9" fillId="0" borderId="45" xfId="7" applyNumberFormat="1" applyFont="1" applyBorder="1" applyAlignment="1"/>
    <xf numFmtId="165" fontId="9" fillId="0" borderId="24" xfId="7" applyNumberFormat="1" applyFont="1" applyFill="1" applyBorder="1" applyAlignment="1"/>
    <xf numFmtId="165" fontId="9" fillId="0" borderId="26" xfId="7" applyNumberFormat="1" applyFont="1" applyFill="1" applyBorder="1" applyAlignment="1"/>
    <xf numFmtId="165" fontId="9" fillId="0" borderId="46" xfId="7" applyNumberFormat="1" applyFont="1" applyFill="1" applyBorder="1" applyAlignment="1"/>
    <xf numFmtId="0" fontId="22" fillId="4" borderId="19" xfId="11" applyFont="1" applyFill="1" applyBorder="1"/>
    <xf numFmtId="0" fontId="22" fillId="4" borderId="0" xfId="11" applyFont="1" applyFill="1" applyBorder="1"/>
    <xf numFmtId="0" fontId="22" fillId="4" borderId="20" xfId="11" applyFont="1" applyFill="1" applyBorder="1"/>
    <xf numFmtId="0" fontId="23" fillId="5" borderId="15" xfId="11" applyFont="1" applyFill="1" applyBorder="1"/>
    <xf numFmtId="175" fontId="18" fillId="9" borderId="13" xfId="11" applyNumberFormat="1" applyFont="1" applyFill="1" applyBorder="1" applyAlignment="1" applyProtection="1">
      <alignment horizontal="center"/>
    </xf>
    <xf numFmtId="175" fontId="18" fillId="9" borderId="13" xfId="11" quotePrefix="1" applyNumberFormat="1" applyFont="1" applyFill="1" applyBorder="1" applyAlignment="1" applyProtection="1">
      <alignment horizontal="center"/>
    </xf>
    <xf numFmtId="0" fontId="5" fillId="4" borderId="21" xfId="11" applyFill="1" applyBorder="1"/>
    <xf numFmtId="0" fontId="5" fillId="4" borderId="22" xfId="11" applyFill="1" applyBorder="1"/>
    <xf numFmtId="0" fontId="5" fillId="4" borderId="23" xfId="11" applyFill="1" applyBorder="1"/>
    <xf numFmtId="0" fontId="13" fillId="7" borderId="16" xfId="5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9" fillId="7" borderId="16" xfId="18" applyFont="1" applyFill="1" applyBorder="1" applyAlignment="1">
      <alignment horizontal="center"/>
    </xf>
    <xf numFmtId="0" fontId="19" fillId="7" borderId="17" xfId="18" applyFont="1" applyFill="1" applyBorder="1" applyAlignment="1">
      <alignment horizontal="center"/>
    </xf>
    <xf numFmtId="0" fontId="19" fillId="7" borderId="18" xfId="18" applyFont="1" applyFill="1" applyBorder="1" applyAlignment="1">
      <alignment horizontal="center"/>
    </xf>
    <xf numFmtId="0" fontId="13" fillId="7" borderId="16" xfId="25" applyFont="1" applyFill="1" applyBorder="1" applyAlignment="1">
      <alignment horizontal="center" vertical="center"/>
    </xf>
    <xf numFmtId="0" fontId="14" fillId="7" borderId="16" xfId="5" applyFont="1" applyFill="1" applyBorder="1" applyAlignment="1">
      <alignment horizontal="center"/>
    </xf>
    <xf numFmtId="0" fontId="14" fillId="7" borderId="17" xfId="5" applyFont="1" applyFill="1" applyBorder="1" applyAlignment="1">
      <alignment horizontal="center"/>
    </xf>
    <xf numFmtId="0" fontId="14" fillId="7" borderId="18" xfId="5" applyFont="1" applyFill="1" applyBorder="1" applyAlignment="1">
      <alignment horizontal="center"/>
    </xf>
  </cellXfs>
  <cellStyles count="37">
    <cellStyle name="Euro" xfId="1"/>
    <cellStyle name="Euro 2" xfId="24"/>
    <cellStyle name="Migliaia (0)_AZIONI" xfId="2"/>
    <cellStyle name="Migliaia_AZIONI" xfId="3"/>
    <cellStyle name="Normal" xfId="0" builtinId="0"/>
    <cellStyle name="Normal 2" xfId="11"/>
    <cellStyle name="Normal 2 2" xfId="18"/>
    <cellStyle name="Normal 2 2 2" xfId="27"/>
    <cellStyle name="Normal 3" xfId="13"/>
    <cellStyle name="Normal 3 2" xfId="21"/>
    <cellStyle name="Normal 3 2 2" xfId="31"/>
    <cellStyle name="Normal 3 2 2 2" xfId="34"/>
    <cellStyle name="Normal 3 2 3" xfId="32"/>
    <cellStyle name="Normal 3 3" xfId="28"/>
    <cellStyle name="Normal 3 4" xfId="33"/>
    <cellStyle name="Normal 4" xfId="16"/>
    <cellStyle name="Normal 5" xfId="12"/>
    <cellStyle name="Normal 6" xfId="23"/>
    <cellStyle name="Normal 6 2" xfId="36"/>
    <cellStyle name="Normal_InterestRateQuotesFeed" xfId="4"/>
    <cellStyle name="Normal_SwaptionATMVols" xfId="5"/>
    <cellStyle name="Normal_SwaptionATMVols 2" xfId="25"/>
    <cellStyle name="Normal_TestSyntDisc" xfId="20"/>
    <cellStyle name="Normale_AZIONI" xfId="6"/>
    <cellStyle name="Percent" xfId="7" builtinId="5"/>
    <cellStyle name="Percent 2" xfId="15"/>
    <cellStyle name="Percent 2 2" xfId="30"/>
    <cellStyle name="Percent 2 2 2" xfId="35"/>
    <cellStyle name="Percent 3" xfId="14"/>
    <cellStyle name="Percent 3 2" xfId="22"/>
    <cellStyle name="Percent 3 3" xfId="29"/>
    <cellStyle name="Percent 4" xfId="17"/>
    <cellStyle name="Percent 5" xfId="19"/>
    <cellStyle name="Percent 6" xfId="26"/>
    <cellStyle name="result" xfId="8"/>
    <cellStyle name="Valuta (0)_AZIONI" xfId="9"/>
    <cellStyle name="Valuta_AZIONI" xfId="10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Tibor"/>
      <sheetName val="LiborSwapIsdaFixAm"/>
      <sheetName val="LiborSwapForBasisCalc"/>
      <sheetName val="LiborSwapIsdaFixPm"/>
      <sheetName val="OIS"/>
      <sheetName val="BasisSwap1MxM"/>
      <sheetName val="BasisSwap3M6M"/>
      <sheetName val="Deposits"/>
      <sheetName val="FRA"/>
      <sheetName val="Futures3M_TIBOR"/>
      <sheetName val="Futures3M"/>
      <sheetName val="FuturesHWConvAdj"/>
      <sheetName val="Swaps1M"/>
      <sheetName val="Swap3M_TIBOR"/>
      <sheetName val="Swap3M"/>
      <sheetName val="Swap6M"/>
      <sheetName val="ON"/>
      <sheetName val="1M (2)"/>
      <sheetName val="3M (2)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2</v>
          </cell>
        </row>
        <row r="8">
          <cell r="D8">
            <v>0</v>
          </cell>
        </row>
      </sheetData>
      <sheetData sheetId="1"/>
      <sheetData sheetId="2"/>
      <sheetData sheetId="3">
        <row r="7">
          <cell r="D7" t="str">
            <v>6M</v>
          </cell>
        </row>
        <row r="8">
          <cell r="D8" t="str">
            <v>6M</v>
          </cell>
        </row>
      </sheetData>
      <sheetData sheetId="4">
        <row r="7">
          <cell r="D7" t="str">
            <v>Fwd Curve</v>
          </cell>
        </row>
        <row r="8">
          <cell r="D8" t="str">
            <v>6M</v>
          </cell>
        </row>
      </sheetData>
      <sheetData sheetId="5">
        <row r="7">
          <cell r="D7" t="str">
            <v>6M</v>
          </cell>
        </row>
        <row r="8">
          <cell r="D8" t="str">
            <v>6M</v>
          </cell>
        </row>
      </sheetData>
      <sheetData sheetId="6">
        <row r="7">
          <cell r="D7" t="str">
            <v>3W</v>
          </cell>
        </row>
        <row r="8">
          <cell r="D8" t="str">
            <v>1M</v>
          </cell>
        </row>
      </sheetData>
      <sheetData sheetId="7">
        <row r="7">
          <cell r="D7" t="str">
            <v>6L</v>
          </cell>
        </row>
        <row r="8">
          <cell r="D8" t="str">
            <v>6L</v>
          </cell>
        </row>
      </sheetData>
      <sheetData sheetId="8">
        <row r="7">
          <cell r="D7" t="str">
            <v>6L</v>
          </cell>
        </row>
        <row r="8">
          <cell r="D8" t="str">
            <v>6L</v>
          </cell>
        </row>
      </sheetData>
      <sheetData sheetId="9">
        <row r="7">
          <cell r="D7" t="str">
            <v>JPYSND_Quote#0000</v>
          </cell>
        </row>
        <row r="8">
          <cell r="D8" t="str">
            <v>JPYSWD_Quote#0000</v>
          </cell>
        </row>
      </sheetData>
      <sheetData sheetId="10">
        <row r="7">
          <cell r="D7" t="str">
            <v>JPY3x6F_Quote</v>
          </cell>
        </row>
        <row r="8">
          <cell r="D8" t="str">
            <v>JPY4x7F_Quote</v>
          </cell>
        </row>
      </sheetData>
      <sheetData sheetId="11">
        <row r="7">
          <cell r="D7" t="str">
            <v>N4</v>
          </cell>
        </row>
        <row r="8">
          <cell r="D8" t="str">
            <v>Q4</v>
          </cell>
        </row>
      </sheetData>
      <sheetData sheetId="12">
        <row r="7">
          <cell r="D7" t="str">
            <v>N4</v>
          </cell>
        </row>
        <row r="8">
          <cell r="D8" t="str">
            <v>Q4</v>
          </cell>
        </row>
      </sheetData>
      <sheetData sheetId="13"/>
      <sheetData sheetId="14">
        <row r="7">
          <cell r="D7" t="str">
            <v>X1S</v>
          </cell>
        </row>
        <row r="8">
          <cell r="D8" t="str">
            <v>X1S</v>
          </cell>
        </row>
      </sheetData>
      <sheetData sheetId="15">
        <row r="7">
          <cell r="D7" t="str">
            <v>3T</v>
          </cell>
        </row>
        <row r="8">
          <cell r="D8" t="str">
            <v>3T</v>
          </cell>
        </row>
      </sheetData>
      <sheetData sheetId="16">
        <row r="7">
          <cell r="D7" t="str">
            <v>3L</v>
          </cell>
        </row>
        <row r="8">
          <cell r="D8" t="str">
            <v>3L</v>
          </cell>
        </row>
      </sheetData>
      <sheetData sheetId="17">
        <row r="7">
          <cell r="D7" t="str">
            <v>6L</v>
          </cell>
        </row>
        <row r="8">
          <cell r="D8" t="str">
            <v>6L</v>
          </cell>
        </row>
      </sheetData>
      <sheetData sheetId="18"/>
      <sheetData sheetId="19">
        <row r="7">
          <cell r="D7" t="str">
            <v>6L</v>
          </cell>
        </row>
        <row r="8">
          <cell r="D8" t="str">
            <v>6L</v>
          </cell>
        </row>
      </sheetData>
      <sheetData sheetId="20">
        <row r="7">
          <cell r="D7" t="str">
            <v>6L</v>
          </cell>
        </row>
        <row r="8">
          <cell r="D8" t="str">
            <v>6L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29"/>
  <sheetViews>
    <sheetView tabSelected="1" workbookViewId="0">
      <selection activeCell="I17" sqref="I17"/>
    </sheetView>
  </sheetViews>
  <sheetFormatPr defaultColWidth="10.6640625" defaultRowHeight="11.25" x14ac:dyDescent="0.2"/>
  <cols>
    <col min="1" max="2" width="2.83203125" style="130" customWidth="1"/>
    <col min="3" max="3" width="24.33203125" style="130" customWidth="1"/>
    <col min="4" max="4" width="39.5" style="130" bestFit="1" customWidth="1"/>
    <col min="5" max="5" width="2.83203125" style="130" customWidth="1"/>
    <col min="6" max="6" width="3.33203125" style="130" customWidth="1"/>
    <col min="7" max="7" width="2.83203125" style="130" customWidth="1"/>
    <col min="8" max="8" width="27.5" style="130" bestFit="1" customWidth="1"/>
    <col min="9" max="9" width="39.33203125" style="130" customWidth="1"/>
    <col min="10" max="10" width="2.83203125" style="130" customWidth="1"/>
    <col min="11" max="16384" width="10.6640625" style="130"/>
  </cols>
  <sheetData>
    <row r="1" spans="1:35" ht="12" thickBot="1" x14ac:dyDescent="0.25">
      <c r="B1" s="130" t="str">
        <f>_xll.qlxlVersion(TRUE,EvaluationDate)</f>
        <v>QuantLibXL 1.4.0 - MS VC++ 9.0 - Multithreaded Dynamic Runtime library - Release Configuration - Apr 29 2014 14:47:17</v>
      </c>
    </row>
    <row r="2" spans="1:35" ht="19.5" thickBot="1" x14ac:dyDescent="0.3">
      <c r="B2" s="250" t="s">
        <v>34</v>
      </c>
      <c r="C2" s="251"/>
      <c r="D2" s="251"/>
      <c r="E2" s="252"/>
      <c r="G2" s="253" t="s">
        <v>59</v>
      </c>
      <c r="H2" s="254"/>
      <c r="I2" s="254"/>
      <c r="J2" s="255"/>
    </row>
    <row r="3" spans="1:35" x14ac:dyDescent="0.2">
      <c r="B3" s="133"/>
      <c r="C3" s="40"/>
      <c r="D3" s="40"/>
      <c r="E3" s="134"/>
      <c r="G3" s="142"/>
      <c r="H3" s="143"/>
      <c r="I3" s="143"/>
      <c r="J3" s="144"/>
    </row>
    <row r="4" spans="1:35" x14ac:dyDescent="0.2">
      <c r="B4" s="133"/>
      <c r="C4" s="48" t="s">
        <v>0</v>
      </c>
      <c r="D4" s="127" t="s">
        <v>84</v>
      </c>
      <c r="E4" s="134"/>
      <c r="G4" s="142"/>
      <c r="H4" s="145" t="s">
        <v>60</v>
      </c>
      <c r="I4" s="146" t="b">
        <v>1</v>
      </c>
      <c r="J4" s="147"/>
    </row>
    <row r="5" spans="1:35" s="132" customFormat="1" x14ac:dyDescent="0.2">
      <c r="A5" s="130"/>
      <c r="B5" s="133"/>
      <c r="C5" s="48" t="s">
        <v>16</v>
      </c>
      <c r="D5" s="128" t="s">
        <v>88</v>
      </c>
      <c r="E5" s="134"/>
      <c r="F5" s="130"/>
      <c r="G5" s="142"/>
      <c r="H5" s="145" t="s">
        <v>61</v>
      </c>
      <c r="I5" s="146" t="b">
        <v>0</v>
      </c>
      <c r="J5" s="147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0"/>
      <c r="AD5" s="130"/>
      <c r="AE5" s="130"/>
      <c r="AF5" s="130"/>
      <c r="AG5" s="130"/>
      <c r="AH5" s="130"/>
      <c r="AI5" s="130"/>
    </row>
    <row r="6" spans="1:35" s="132" customFormat="1" x14ac:dyDescent="0.2">
      <c r="A6" s="130"/>
      <c r="B6" s="133"/>
      <c r="C6" s="48" t="s">
        <v>85</v>
      </c>
      <c r="D6" s="128" t="str">
        <f>IF(UPPER(Currency)&lt;&gt;"EUR","L","")&amp;"ibor"</f>
        <v>Libor</v>
      </c>
      <c r="E6" s="134"/>
      <c r="F6" s="130"/>
      <c r="G6" s="142"/>
      <c r="H6" s="145" t="s">
        <v>62</v>
      </c>
      <c r="I6" s="146" t="b">
        <v>0</v>
      </c>
      <c r="J6" s="147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</row>
    <row r="7" spans="1:35" x14ac:dyDescent="0.2">
      <c r="B7" s="133"/>
      <c r="C7" s="48" t="s">
        <v>27</v>
      </c>
      <c r="D7" s="129" t="s">
        <v>89</v>
      </c>
      <c r="E7" s="134"/>
      <c r="G7" s="142"/>
      <c r="H7" s="145" t="s">
        <v>63</v>
      </c>
      <c r="I7" s="148"/>
      <c r="J7" s="147"/>
    </row>
    <row r="8" spans="1:35" x14ac:dyDescent="0.2">
      <c r="B8" s="133"/>
      <c r="C8" s="40"/>
      <c r="D8" s="41"/>
      <c r="E8" s="134"/>
      <c r="G8" s="142"/>
      <c r="H8" s="145" t="s">
        <v>64</v>
      </c>
      <c r="I8" s="149" t="b">
        <v>1</v>
      </c>
      <c r="J8" s="147"/>
    </row>
    <row r="9" spans="1:35" x14ac:dyDescent="0.2">
      <c r="B9" s="133"/>
      <c r="C9" s="48" t="s">
        <v>33</v>
      </c>
      <c r="D9" s="49" t="str">
        <f>Currency&amp;"ON"</f>
        <v>JPYON</v>
      </c>
      <c r="E9" s="134"/>
      <c r="G9" s="142"/>
      <c r="H9" s="143"/>
      <c r="I9" s="143"/>
      <c r="J9" s="144"/>
    </row>
    <row r="10" spans="1:35" x14ac:dyDescent="0.2">
      <c r="B10" s="133"/>
      <c r="C10" s="40"/>
      <c r="D10" s="40"/>
      <c r="E10" s="134"/>
      <c r="G10" s="142"/>
      <c r="H10" s="145" t="s">
        <v>65</v>
      </c>
      <c r="I10" s="149" t="s">
        <v>66</v>
      </c>
      <c r="J10" s="147"/>
    </row>
    <row r="11" spans="1:35" x14ac:dyDescent="0.2">
      <c r="B11" s="133"/>
      <c r="C11" s="42" t="s">
        <v>1</v>
      </c>
      <c r="D11" s="138">
        <v>41795.680763888886</v>
      </c>
      <c r="E11" s="134"/>
      <c r="G11" s="142"/>
      <c r="H11" s="145" t="s">
        <v>67</v>
      </c>
      <c r="I11" s="150">
        <v>1E-4</v>
      </c>
      <c r="J11" s="147"/>
    </row>
    <row r="12" spans="1:35" x14ac:dyDescent="0.2">
      <c r="B12" s="133"/>
      <c r="C12" s="42" t="s">
        <v>2</v>
      </c>
      <c r="D12" s="139" t="b">
        <v>1</v>
      </c>
      <c r="E12" s="134"/>
      <c r="G12" s="142"/>
      <c r="H12" s="145" t="s">
        <v>68</v>
      </c>
      <c r="I12" s="151">
        <v>-0.01</v>
      </c>
      <c r="J12" s="147"/>
    </row>
    <row r="13" spans="1:35" ht="12" thickBot="1" x14ac:dyDescent="0.25">
      <c r="B13" s="135"/>
      <c r="C13" s="136"/>
      <c r="D13" s="136"/>
      <c r="E13" s="137"/>
      <c r="G13" s="152"/>
      <c r="H13" s="153"/>
      <c r="I13" s="153"/>
      <c r="J13" s="154"/>
    </row>
    <row r="14" spans="1:35" ht="12" thickBot="1" x14ac:dyDescent="0.25"/>
    <row r="15" spans="1:35" ht="19.5" thickBot="1" x14ac:dyDescent="0.25">
      <c r="B15" s="256" t="s">
        <v>87</v>
      </c>
      <c r="C15" s="251" t="s">
        <v>86</v>
      </c>
      <c r="D15" s="251"/>
      <c r="E15" s="252"/>
      <c r="G15" s="256" t="s">
        <v>86</v>
      </c>
      <c r="H15" s="251" t="s">
        <v>86</v>
      </c>
      <c r="I15" s="251"/>
      <c r="J15" s="252"/>
    </row>
    <row r="16" spans="1:35" x14ac:dyDescent="0.2">
      <c r="B16" s="221"/>
      <c r="C16" s="222"/>
      <c r="D16" s="222"/>
      <c r="E16" s="229"/>
      <c r="G16" s="221"/>
      <c r="H16" s="222"/>
      <c r="I16" s="222"/>
      <c r="J16" s="229"/>
    </row>
    <row r="17" spans="2:10" x14ac:dyDescent="0.2">
      <c r="B17" s="221"/>
      <c r="C17" s="224" t="s">
        <v>17</v>
      </c>
      <c r="D17" s="55">
        <f>_xll.qlCalendarAdvance(Calendar,EvaluationDate,"2D","f")</f>
        <v>41807</v>
      </c>
      <c r="E17" s="223"/>
      <c r="G17" s="221"/>
      <c r="H17" s="224" t="s">
        <v>53</v>
      </c>
      <c r="I17" s="55"/>
      <c r="J17" s="223"/>
    </row>
    <row r="18" spans="2:10" x14ac:dyDescent="0.2">
      <c r="B18" s="221"/>
      <c r="C18" s="224" t="s">
        <v>28</v>
      </c>
      <c r="D18" s="55" t="str">
        <f>_xll.qlDiscountingSwapEngine(,OisCurve,,,,,EvaluationDate)</f>
        <v>obj_00378#0001</v>
      </c>
      <c r="E18" s="223"/>
      <c r="G18" s="221"/>
      <c r="H18" s="224" t="s">
        <v>29</v>
      </c>
      <c r="I18" s="55">
        <f>_xll.qlSettingsEvaluationDate(Trigger)</f>
        <v>41803</v>
      </c>
      <c r="J18" s="223"/>
    </row>
    <row r="19" spans="2:10" x14ac:dyDescent="0.2">
      <c r="B19" s="221"/>
      <c r="C19" s="224" t="s">
        <v>52</v>
      </c>
      <c r="D19" s="55">
        <f>_xll.qlCalendarAdjust(Calendar,DATE(YEAR(SettlementDate),12,31),"Preceding")</f>
        <v>42003</v>
      </c>
      <c r="E19" s="223"/>
      <c r="G19" s="221"/>
      <c r="H19" s="224" t="s">
        <v>30</v>
      </c>
      <c r="I19" s="228">
        <f>[1]!TriggerCounter</f>
        <v>2</v>
      </c>
      <c r="J19" s="223"/>
    </row>
    <row r="20" spans="2:10" x14ac:dyDescent="0.2">
      <c r="B20" s="221"/>
      <c r="C20" s="224" t="s">
        <v>51</v>
      </c>
      <c r="D20" s="55">
        <f>_xll.qlCalendarAdjust(Calendar,DATE(YEAR(SettlementDate)+1,12,31),"Preceding")</f>
        <v>42368</v>
      </c>
      <c r="E20" s="223"/>
      <c r="G20" s="221"/>
      <c r="H20" s="224" t="s">
        <v>35</v>
      </c>
      <c r="I20" s="228">
        <f>[1]!LastFixingsTrigger</f>
        <v>0</v>
      </c>
      <c r="J20" s="223"/>
    </row>
    <row r="21" spans="2:10" ht="12" thickBot="1" x14ac:dyDescent="0.25">
      <c r="B21" s="225"/>
      <c r="C21" s="226"/>
      <c r="D21" s="226"/>
      <c r="E21" s="227"/>
      <c r="G21" s="225"/>
      <c r="H21" s="226"/>
      <c r="I21" s="226"/>
      <c r="J21" s="227"/>
    </row>
    <row r="22" spans="2:10" ht="12" thickBot="1" x14ac:dyDescent="0.25">
      <c r="C22" s="131"/>
      <c r="D22" s="131"/>
      <c r="E22" s="131"/>
    </row>
    <row r="23" spans="2:10" ht="18.75" thickBot="1" x14ac:dyDescent="0.3">
      <c r="B23" s="257" t="s">
        <v>90</v>
      </c>
      <c r="C23" s="258"/>
      <c r="D23" s="258"/>
      <c r="E23" s="259"/>
    </row>
    <row r="24" spans="2:10" ht="12.75" x14ac:dyDescent="0.2">
      <c r="B24" s="241"/>
      <c r="C24" s="242"/>
      <c r="D24" s="242"/>
      <c r="E24" s="243"/>
    </row>
    <row r="25" spans="2:10" ht="12.75" x14ac:dyDescent="0.2">
      <c r="B25" s="241"/>
      <c r="C25" s="244" t="s">
        <v>91</v>
      </c>
      <c r="D25" s="245" t="s">
        <v>92</v>
      </c>
      <c r="E25" s="243"/>
    </row>
    <row r="26" spans="2:10" ht="12.75" x14ac:dyDescent="0.2">
      <c r="B26" s="241"/>
      <c r="C26" s="244" t="s">
        <v>93</v>
      </c>
      <c r="D26" s="246" t="s">
        <v>94</v>
      </c>
      <c r="E26" s="243"/>
    </row>
    <row r="27" spans="2:10" ht="12.75" x14ac:dyDescent="0.2">
      <c r="B27" s="241"/>
      <c r="C27" s="244" t="s">
        <v>95</v>
      </c>
      <c r="D27" s="245" t="s">
        <v>88</v>
      </c>
      <c r="E27" s="243"/>
    </row>
    <row r="28" spans="2:10" ht="12.75" x14ac:dyDescent="0.2">
      <c r="B28" s="241"/>
      <c r="C28" s="244" t="s">
        <v>96</v>
      </c>
      <c r="D28" s="245" t="str">
        <f>D25&amp;"("&amp;D26&amp;","&amp;D27&amp;")"</f>
        <v>JoinHolidays(UnitedKingdom::Exchange,Japan)</v>
      </c>
      <c r="E28" s="243"/>
    </row>
    <row r="29" spans="2:10" ht="13.5" thickBot="1" x14ac:dyDescent="0.25">
      <c r="B29" s="247"/>
      <c r="C29" s="248"/>
      <c r="D29" s="248"/>
      <c r="E29" s="249"/>
    </row>
  </sheetData>
  <mergeCells count="5">
    <mergeCell ref="B2:E2"/>
    <mergeCell ref="G2:J2"/>
    <mergeCell ref="G15:J15"/>
    <mergeCell ref="B15:E15"/>
    <mergeCell ref="B23:E23"/>
  </mergeCells>
  <phoneticPr fontId="4" type="noConversion"/>
  <conditionalFormatting sqref="D12">
    <cfRule type="cellIs" dxfId="0" priority="1" stopIfTrue="1" operator="equal">
      <formula>TRUE</formula>
    </cfRule>
  </conditionalFormatting>
  <dataValidations count="3">
    <dataValidation type="list" allowBlank="1" showInputMessage="1" showErrorMessage="1" sqref="D4">
      <formula1>"EUR,USD,GBP,JPY,CHF"</formula1>
    </dataValidation>
    <dataValidation type="list" allowBlank="1" showInputMessage="1" showErrorMessage="1" sqref="D5 D26:D2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25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50"/>
  <sheetViews>
    <sheetView topLeftCell="D1" workbookViewId="0">
      <selection activeCell="D1" sqref="D1"/>
    </sheetView>
  </sheetViews>
  <sheetFormatPr defaultRowHeight="11.25" outlineLevelCol="1" x14ac:dyDescent="0.2"/>
  <cols>
    <col min="1" max="1" width="12.83203125" style="1" hidden="1" customWidth="1" outlineLevel="1"/>
    <col min="2" max="2" width="17.83203125" style="1" hidden="1" customWidth="1" outlineLevel="1"/>
    <col min="3" max="3" width="10" style="1" hidden="1" customWidth="1" outlineLevel="1"/>
    <col min="4" max="4" width="32.33203125" style="1" bestFit="1" customWidth="1" collapsed="1"/>
    <col min="5" max="6" width="20.1640625" style="1" bestFit="1" customWidth="1"/>
    <col min="7" max="9" width="9.33203125" style="1" customWidth="1"/>
    <col min="10" max="10" width="9.33203125" style="1"/>
    <col min="11" max="12" width="10.5" style="1" bestFit="1" customWidth="1"/>
    <col min="13" max="13" width="2.33203125" style="1" bestFit="1" customWidth="1"/>
    <col min="14" max="15" width="10.5" style="1" bestFit="1" customWidth="1"/>
    <col min="16" max="16" width="10.5" style="1" customWidth="1"/>
    <col min="17" max="17" width="10.5" style="1" bestFit="1" customWidth="1"/>
    <col min="18" max="18" width="11.6640625" style="1" bestFit="1" customWidth="1"/>
    <col min="19" max="19" width="11.33203125" style="1" customWidth="1"/>
    <col min="20" max="20" width="5.83203125" style="1" bestFit="1" customWidth="1"/>
    <col min="21" max="21" width="3.5" style="1" bestFit="1" customWidth="1"/>
    <col min="22" max="23" width="10.5" style="1" bestFit="1" customWidth="1"/>
    <col min="24" max="24" width="5.83203125" style="1" bestFit="1" customWidth="1"/>
    <col min="25" max="25" width="2.33203125" style="1" bestFit="1" customWidth="1"/>
    <col min="26" max="26" width="10.5" style="1" bestFit="1" customWidth="1"/>
    <col min="27" max="27" width="4.1640625" style="1" customWidth="1"/>
    <col min="28" max="28" width="9.33203125" style="1" bestFit="1"/>
    <col min="29" max="29" width="2.33203125" style="1" customWidth="1"/>
    <col min="30" max="32" width="10.5" style="1" bestFit="1" customWidth="1"/>
    <col min="33" max="33" width="1.83203125" style="1" customWidth="1"/>
    <col min="34" max="35" width="10.5" style="1" bestFit="1" customWidth="1"/>
    <col min="36" max="36" width="3.5" style="1" bestFit="1" customWidth="1"/>
    <col min="37" max="38" width="10.5" style="1" bestFit="1" customWidth="1"/>
    <col min="39" max="39" width="3.33203125" style="1" customWidth="1"/>
    <col min="40" max="41" width="10.5" style="1" bestFit="1" customWidth="1"/>
    <col min="42" max="16384" width="9.33203125" style="1"/>
  </cols>
  <sheetData>
    <row r="1" spans="1:34" x14ac:dyDescent="0.2">
      <c r="B1" s="17" t="s">
        <v>26</v>
      </c>
      <c r="C1" s="18"/>
      <c r="D1" s="17" t="s">
        <v>11</v>
      </c>
      <c r="E1" s="18" t="s">
        <v>7</v>
      </c>
      <c r="F1" s="19" t="s">
        <v>6</v>
      </c>
      <c r="G1" s="18" t="s">
        <v>25</v>
      </c>
      <c r="H1" s="18" t="s">
        <v>36</v>
      </c>
      <c r="I1" s="20" t="s">
        <v>41</v>
      </c>
      <c r="K1" s="58" t="s">
        <v>45</v>
      </c>
      <c r="L1" s="58" t="s">
        <v>44</v>
      </c>
      <c r="M1" s="58"/>
      <c r="N1" s="43" t="s">
        <v>37</v>
      </c>
      <c r="O1" s="43" t="s">
        <v>38</v>
      </c>
      <c r="P1" s="43" t="s">
        <v>39</v>
      </c>
    </row>
    <row r="2" spans="1:34" x14ac:dyDescent="0.2">
      <c r="A2" s="43">
        <v>1</v>
      </c>
      <c r="B2" s="28" t="str">
        <f>_xll.qlMakeDatedOIS(,E2,F2,OvernightIndex,0,,,,EvaluationDate)</f>
        <v>obj_003b9#0001</v>
      </c>
      <c r="C2" s="8" t="b">
        <f>_xll.qlInstrumentSetPricingEngine(B2,OisEngine)</f>
        <v>1</v>
      </c>
      <c r="D2" s="102" t="str">
        <f>Currency&amp;A3&amp;"D_Quote"</f>
        <v>JPY1MD_Quote</v>
      </c>
      <c r="E2" s="103">
        <f>SettlementDate</f>
        <v>41807</v>
      </c>
      <c r="F2" s="104">
        <f>_xll.qlCalendarAdvance(Calendar,E2,A3,"mf")</f>
        <v>41837</v>
      </c>
      <c r="G2" s="105">
        <f>_xll.qlQuoteValue($D2,AllTriggers)</f>
        <v>9.6429999999999997E-4</v>
      </c>
      <c r="H2" s="106">
        <f>_xll.qlOvernightIndexedSwapFairRate(B2,_xll.ohTrigger(C2,InterestRatesTrigger))</f>
        <v>6.4109589041194681E-4</v>
      </c>
      <c r="I2" s="107">
        <f>G2-H2</f>
        <v>3.2320410958805315E-4</v>
      </c>
      <c r="J2" s="108" t="b">
        <v>0</v>
      </c>
      <c r="K2" s="108"/>
      <c r="L2" s="108"/>
      <c r="M2" s="109"/>
      <c r="N2" s="111">
        <f t="shared" ref="N2:O4" si="0">E2-SettlementDate</f>
        <v>0</v>
      </c>
      <c r="O2" s="111">
        <f t="shared" si="0"/>
        <v>30</v>
      </c>
      <c r="P2" s="111">
        <f>(O2^2-N2^2)/(O2-N2)</f>
        <v>30</v>
      </c>
      <c r="Q2" s="108"/>
      <c r="R2" s="122">
        <f>(O2^3-N2^3)/3/(O2-N2)</f>
        <v>300</v>
      </c>
      <c r="S2" s="122">
        <f>(O2+N2)/2</f>
        <v>15</v>
      </c>
      <c r="T2" s="122">
        <v>1</v>
      </c>
    </row>
    <row r="3" spans="1:34" x14ac:dyDescent="0.2">
      <c r="A3" s="214" t="str">
        <f>_xll.qlPeriodEquivalent(A2&amp;"M")</f>
        <v>1M</v>
      </c>
      <c r="B3" s="56" t="str">
        <f>_xll.qlMakeDatedOIS(,E3,F3,OvernightIndex,0,,,,EvaluationDate)</f>
        <v>obj_00375#0002</v>
      </c>
      <c r="C3" s="12" t="b">
        <f>_xll.qlInstrumentSetPricingEngine(B3,OisEngine)</f>
        <v>1</v>
      </c>
      <c r="D3" s="95" t="str">
        <f>PROPER(Currency&amp;FamilyName)&amp;A3&amp;"LastFixing_Quote"</f>
        <v>Jpylibor1MLastFixing_Quote</v>
      </c>
      <c r="E3" s="96">
        <f>_xll.qlCalendarAdvance(Calendar,_xll.qlLastFixingQuoteReferenceDate(D3),_xll.qlInterestRateIndexFixingDays(A4)&amp;"D","f",,LastFixingsTrigger)</f>
        <v>41802</v>
      </c>
      <c r="F3" s="97">
        <f>F2</f>
        <v>41837</v>
      </c>
      <c r="G3" s="98">
        <f>_xll.qlQuoteValue(D3,AllTriggers)</f>
        <v>9.6429999999999997E-4</v>
      </c>
      <c r="H3" s="99" t="e">
        <f>_xll.qlOvernightIndexedSwapFairRate(B3,_xll.ohTrigger(C3,InterestRatesTrigger))</f>
        <v>#NUM!</v>
      </c>
      <c r="I3" s="100" t="e">
        <f t="shared" ref="I3:I27" si="1">G3-H3</f>
        <v>#NUM!</v>
      </c>
      <c r="J3" s="108" t="b">
        <f>NOT(ISERROR(I3))</f>
        <v>0</v>
      </c>
      <c r="K3" s="110" t="e">
        <f>K4</f>
        <v>#NUM!</v>
      </c>
      <c r="L3" s="99" t="e">
        <f>_xll.ohFilter($I$2:$I$3,$J$2:$J$3)-K3*_xll.ohFilter($P$2:$P$3,$J$2:$J$3)</f>
        <v>#NUM!</v>
      </c>
      <c r="M3" s="109"/>
      <c r="N3" s="111">
        <f t="shared" si="0"/>
        <v>-5</v>
      </c>
      <c r="O3" s="111">
        <f t="shared" si="0"/>
        <v>30</v>
      </c>
      <c r="P3" s="111">
        <f>(O3^2-N3^2)/(O3-N3)</f>
        <v>25</v>
      </c>
      <c r="Q3" s="108"/>
      <c r="R3" s="122">
        <f>(O3^3-N3^3)/3/(O3-N3)</f>
        <v>258.33333333333331</v>
      </c>
      <c r="S3" s="122">
        <f>(O3+N3)/2</f>
        <v>12.5</v>
      </c>
      <c r="T3" s="122">
        <v>1</v>
      </c>
    </row>
    <row r="4" spans="1:34" x14ac:dyDescent="0.2">
      <c r="A4" s="43" t="str">
        <f>PROPER(Currency)&amp;FamilyName&amp;A3</f>
        <v>JpyLibor1M</v>
      </c>
      <c r="B4" s="56" t="str">
        <f>_xll.qlMakeDatedOIS(,E4,F4,OvernightIndex,0,,,,EvaluationDate)</f>
        <v>obj_003bd#0001</v>
      </c>
      <c r="C4" s="12" t="b">
        <f>_xll.qlInstrumentSetPricingEngine(B4,OisEngine)</f>
        <v>1</v>
      </c>
      <c r="D4" s="11" t="s">
        <v>42</v>
      </c>
      <c r="E4" s="53">
        <f>F3</f>
        <v>41837</v>
      </c>
      <c r="F4" s="54">
        <f>F5</f>
        <v>41869</v>
      </c>
      <c r="G4" s="27" t="e">
        <f>((1+G5*(F5-E5)/360)/(1+G3*(F3-E3)/360)-1)/(F4-E4)*360</f>
        <v>#NUM!</v>
      </c>
      <c r="H4" s="15">
        <f>_xll.qlOvernightIndexedSwapFairRate(B4,_xll.ohTrigger(C4,InterestRatesTrigger))</f>
        <v>6.4106164191307657E-4</v>
      </c>
      <c r="I4" s="16" t="e">
        <f>G4-H4</f>
        <v>#NUM!</v>
      </c>
      <c r="J4" s="1" t="b">
        <f>NOT(ISERROR(I4))</f>
        <v>0</v>
      </c>
      <c r="K4" s="15" t="e">
        <f>(I4-_xll.ohFilter($I$2:$I$3,$J$2:$J$3))/(P4-_xll.ohFilter($P$2:$P$3,$J$2:$J$3))</f>
        <v>#NUM!</v>
      </c>
      <c r="L4" s="15" t="e">
        <f>_xll.ohFilter($I$2:$I$3,$J$2:$J$3)-K4*_xll.ohFilter($P$2:$P$3,$J$2:$J$3)</f>
        <v>#NUM!</v>
      </c>
      <c r="M4" s="5"/>
      <c r="N4" s="112">
        <f t="shared" si="0"/>
        <v>30</v>
      </c>
      <c r="O4" s="112">
        <f t="shared" si="0"/>
        <v>62</v>
      </c>
      <c r="P4" s="112">
        <f>(O4^2-N4^2)/(O4-N4)</f>
        <v>92</v>
      </c>
      <c r="R4" s="91">
        <f>(O4^3-N4^3)/3/(O4-N4)</f>
        <v>2201.3333333333335</v>
      </c>
      <c r="S4" s="91">
        <f>(O4+N4)/2</f>
        <v>46</v>
      </c>
      <c r="T4" s="91">
        <v>1</v>
      </c>
    </row>
    <row r="5" spans="1:34" x14ac:dyDescent="0.2">
      <c r="A5" s="43"/>
      <c r="B5" s="56"/>
      <c r="C5" s="12"/>
      <c r="D5" s="9" t="str">
        <f>Currency&amp;"2X1S"&amp;QuoteSuffix</f>
        <v>JPY2X1S_Quote</v>
      </c>
      <c r="E5" s="53">
        <f>SettlementDate</f>
        <v>41807</v>
      </c>
      <c r="F5" s="54">
        <f>_xll.qlCalendarAdvance(Calendar,E5,"2M","mf")</f>
        <v>41869</v>
      </c>
      <c r="G5" s="50" t="e">
        <f>_xll.qlQuoteValue(D5,AllTriggers)</f>
        <v>#NUM!</v>
      </c>
      <c r="H5" s="15"/>
      <c r="I5" s="16"/>
      <c r="J5" s="1" t="b">
        <v>0</v>
      </c>
      <c r="K5" s="113"/>
      <c r="L5" s="113"/>
      <c r="M5" s="114"/>
      <c r="N5" s="121"/>
      <c r="O5" s="112"/>
      <c r="P5" s="112"/>
      <c r="R5" s="91"/>
      <c r="S5" s="91"/>
      <c r="T5" s="91"/>
    </row>
    <row r="6" spans="1:34" x14ac:dyDescent="0.2">
      <c r="A6" s="43">
        <v>3</v>
      </c>
      <c r="B6" s="28" t="str">
        <f>_xll.qlMakeDatedOIS(,E6,F6,OvernightIndex,0,,,,EvaluationDate)</f>
        <v>obj_003b0#0001</v>
      </c>
      <c r="C6" s="8" t="b">
        <f>_xll.qlInstrumentSetPricingEngine(B6,OisEngine)</f>
        <v>1</v>
      </c>
      <c r="D6" s="102" t="str">
        <f>Currency&amp;A7&amp;"D_Quote"</f>
        <v>JPY3MD_Quote</v>
      </c>
      <c r="E6" s="103">
        <f>SettlementDate</f>
        <v>41807</v>
      </c>
      <c r="F6" s="104">
        <f>_xll.qlCalendarAdvance(Calendar,E6,A7,"mf")</f>
        <v>41899</v>
      </c>
      <c r="G6" s="105">
        <f>_xll.qlQuoteValue(D6,AllTriggers)</f>
        <v>1.3357E-3</v>
      </c>
      <c r="H6" s="106">
        <f>_xll.qlOvernightIndexedSwapFairRate(B6,_xll.ohTrigger(C6,InterestRatesTrigger))</f>
        <v>6.1643835616455366E-4</v>
      </c>
      <c r="I6" s="107">
        <f t="shared" si="1"/>
        <v>7.1926164383544634E-4</v>
      </c>
      <c r="J6" s="108" t="b">
        <v>0</v>
      </c>
      <c r="K6" s="109"/>
      <c r="L6" s="109"/>
      <c r="M6" s="109"/>
      <c r="N6" s="111">
        <f t="shared" ref="N6:N27" si="2">E6-SettlementDate</f>
        <v>0</v>
      </c>
      <c r="O6" s="111">
        <f t="shared" ref="O6:O27" si="3">F6-SettlementDate</f>
        <v>92</v>
      </c>
      <c r="P6" s="111">
        <f>(O6^2-N6^2)/(O6-N6)</f>
        <v>92</v>
      </c>
      <c r="Q6" s="108"/>
      <c r="R6" s="122">
        <f t="shared" ref="R6:R14" si="4">(O6^3-N6^3)/3/(O6-N6)</f>
        <v>2821.333333333333</v>
      </c>
      <c r="S6" s="122">
        <f t="shared" ref="S6:S14" si="5">(O6+N6)/2</f>
        <v>46</v>
      </c>
      <c r="T6" s="122">
        <v>1</v>
      </c>
    </row>
    <row r="7" spans="1:34" x14ac:dyDescent="0.2">
      <c r="A7" s="214" t="str">
        <f>_xll.qlPeriodEquivalent(A6&amp;"M")</f>
        <v>3M</v>
      </c>
      <c r="B7" s="56" t="str">
        <f>_xll.qlMakeDatedOIS(,E7,F7,OvernightIndex,0,,,,EvaluationDate)</f>
        <v>obj_00374#0002</v>
      </c>
      <c r="C7" s="12" t="b">
        <f>_xll.qlInstrumentSetPricingEngine(B7,OisEngine)</f>
        <v>1</v>
      </c>
      <c r="D7" s="95" t="str">
        <f>PROPER(Currency&amp;FamilyName)&amp;A7&amp;"LastFixing_Quote"</f>
        <v>Jpylibor3MLastFixing_Quote</v>
      </c>
      <c r="E7" s="96">
        <f>_xll.qlCalendarAdvance(Calendar,_xll.qlLastFixingQuoteReferenceDate(D7),_xll.qlInterestRateIndexFixingDays(A8)&amp;"D","f",,LastFixingsTrigger)</f>
        <v>41802</v>
      </c>
      <c r="F7" s="97">
        <f>F6</f>
        <v>41899</v>
      </c>
      <c r="G7" s="98">
        <f>_xll.qlQuoteValue(D7,AllTriggers)</f>
        <v>1.3357E-3</v>
      </c>
      <c r="H7" s="99" t="e">
        <f>_xll.qlOvernightIndexedSwapFairRate(B7,_xll.ohTrigger(C7,InterestRatesTrigger))</f>
        <v>#NUM!</v>
      </c>
      <c r="I7" s="100" t="e">
        <f t="shared" si="1"/>
        <v>#NUM!</v>
      </c>
      <c r="J7" s="108" t="b">
        <f>AND(ISERROR(I8),ISERROR(I9),NOT(ISERROR(I7)),E10&lt;&gt;SettlementDate)</f>
        <v>0</v>
      </c>
      <c r="K7" s="115"/>
      <c r="L7" s="109"/>
      <c r="M7" s="109"/>
      <c r="N7" s="111">
        <f t="shared" si="2"/>
        <v>-5</v>
      </c>
      <c r="O7" s="111">
        <f t="shared" si="3"/>
        <v>92</v>
      </c>
      <c r="P7" s="111">
        <f t="shared" ref="P7:P14" si="6">(O7^2-N7^2)/(O7-N7)</f>
        <v>87</v>
      </c>
      <c r="Q7" s="108"/>
      <c r="R7" s="122">
        <f t="shared" si="4"/>
        <v>2676.3333333333335</v>
      </c>
      <c r="S7" s="122">
        <f t="shared" si="5"/>
        <v>43.5</v>
      </c>
      <c r="T7" s="122">
        <v>1</v>
      </c>
    </row>
    <row r="8" spans="1:34" x14ac:dyDescent="0.2">
      <c r="A8" s="214" t="str">
        <f>PROPER(Currency)&amp;FamilyName&amp;A7</f>
        <v>JpyLibor3M</v>
      </c>
      <c r="B8" s="29"/>
      <c r="C8" s="12"/>
      <c r="D8" s="95"/>
      <c r="E8" s="96"/>
      <c r="F8" s="97"/>
      <c r="G8" s="101"/>
      <c r="H8" s="99"/>
      <c r="I8" s="100" t="e">
        <f>NA()</f>
        <v>#N/A</v>
      </c>
      <c r="J8" s="108" t="b">
        <f>AND(E8&gt;E7,NOT(ISERROR(I8)))</f>
        <v>0</v>
      </c>
      <c r="K8" s="108"/>
      <c r="L8" s="108"/>
      <c r="M8" s="109"/>
      <c r="N8" s="111">
        <f t="shared" si="2"/>
        <v>-41807</v>
      </c>
      <c r="O8" s="111">
        <f t="shared" si="3"/>
        <v>-41807</v>
      </c>
      <c r="P8" s="111" t="e">
        <f t="shared" si="6"/>
        <v>#DIV/0!</v>
      </c>
      <c r="Q8" s="108"/>
      <c r="R8" s="122" t="e">
        <f t="shared" si="4"/>
        <v>#DIV/0!</v>
      </c>
      <c r="S8" s="122">
        <f t="shared" si="5"/>
        <v>-41807</v>
      </c>
      <c r="T8" s="122">
        <v>1</v>
      </c>
      <c r="AD8" s="1" t="s">
        <v>50</v>
      </c>
      <c r="AH8" s="1" t="s">
        <v>49</v>
      </c>
    </row>
    <row r="9" spans="1:34" x14ac:dyDescent="0.2">
      <c r="A9" s="43"/>
      <c r="B9" s="29"/>
      <c r="C9" s="12"/>
      <c r="D9" s="95"/>
      <c r="E9" s="96"/>
      <c r="F9" s="97"/>
      <c r="G9" s="101"/>
      <c r="H9" s="99"/>
      <c r="I9" s="100" t="e">
        <f>NA()</f>
        <v>#N/A</v>
      </c>
      <c r="J9" s="108" t="b">
        <f>AND(NOT(J7),NOT(ISERROR(I9)))</f>
        <v>0</v>
      </c>
      <c r="K9" s="99">
        <f>AVERAGE(_xll.ohFilter(K10:K12,J10:J12))</f>
        <v>4.8791753016114797E-6</v>
      </c>
      <c r="L9" s="99">
        <f>_xll.ohFilter($I$6:$I$9,$J$6:$J$9)-K9*_xll.ohFilter($P$6:$P$9,$J$6:$J$9)</f>
        <v>0</v>
      </c>
      <c r="M9" s="109"/>
      <c r="N9" s="111">
        <f t="shared" si="2"/>
        <v>-41807</v>
      </c>
      <c r="O9" s="111">
        <f t="shared" si="3"/>
        <v>-41807</v>
      </c>
      <c r="P9" s="111" t="e">
        <f t="shared" si="6"/>
        <v>#DIV/0!</v>
      </c>
      <c r="Q9" s="108"/>
      <c r="R9" s="122" t="e">
        <f t="shared" si="4"/>
        <v>#DIV/0!</v>
      </c>
      <c r="S9" s="122">
        <f t="shared" si="5"/>
        <v>-41807</v>
      </c>
      <c r="T9" s="122">
        <v>1</v>
      </c>
      <c r="V9" s="82">
        <f t="array" ref="V9:V11">_xll.ohFilter(R6:R14,$J6:$J14)</f>
        <v>6481.333333333333</v>
      </c>
      <c r="W9" s="83">
        <f t="array" ref="W9:W11">_xll.ohFilter(S6:S14,$J6:$J14)</f>
        <v>76</v>
      </c>
      <c r="X9" s="84">
        <f t="array" ref="X9:X11">_xll.ohFilter(T6:T14,$J6:$J14)</f>
        <v>1</v>
      </c>
      <c r="Z9" s="67">
        <f t="array" ref="Z9:Z11">MMULT(AD9:AF11,AB9:AB11)</f>
        <v>-4.1480281861728213E-8</v>
      </c>
      <c r="AB9" s="67">
        <f t="array" ref="AB9:AB11">_xll.ohFilter(I6:I14,$J6:$J14)</f>
        <v>7.4163464584494493E-4</v>
      </c>
      <c r="AD9" s="73">
        <f t="array" ref="AD9:AF11">MINVERSE(V9:X11)</f>
        <v>5.124374652584775E-4</v>
      </c>
      <c r="AE9" s="74">
        <v>-1.0683018343524192E-3</v>
      </c>
      <c r="AF9" s="75">
        <v>5.5586436909394192E-4</v>
      </c>
      <c r="AH9" s="70">
        <f t="array" ref="AH9:AH11">MMULT(V9:X11,Z9:Z11)-AB9:AB11</f>
        <v>8.6736173798840355E-19</v>
      </c>
    </row>
    <row r="10" spans="1:34" x14ac:dyDescent="0.2">
      <c r="A10" s="214" t="str">
        <f>_xll.qlIMMNextCode(SettlementDate-1,FALSE)</f>
        <v>M4</v>
      </c>
      <c r="B10" s="29" t="str">
        <f>_xll.qlMakeDatedOIS(,E10,F10,OvernightIndex,0,,,,EvaluationDate)</f>
        <v>obj_003be#0001</v>
      </c>
      <c r="C10" s="12" t="b">
        <f>_xll.qlInstrumentSetPricingEngine(B10,OisEngine)</f>
        <v>1</v>
      </c>
      <c r="D10" s="11" t="str">
        <f>Currency&amp;"FUT3M"&amp;A10&amp;QuoteSuffix</f>
        <v>JPYFUT3MM4_Quote</v>
      </c>
      <c r="E10" s="53">
        <f>_xll.qlIMMdate(A10)</f>
        <v>41808</v>
      </c>
      <c r="F10" s="54">
        <f>_xll.qlCalendarAdvance(Calendar,E10,"3M","mf")</f>
        <v>41900</v>
      </c>
      <c r="G10" s="50" t="e">
        <f>1-_xll.qlQuoteValue($D10,AllTriggers)/100</f>
        <v>#NUM!</v>
      </c>
      <c r="H10" s="15">
        <f>_xll.qlOvernightIndexedSwapFairRate(B10,_xll.ohTrigger(C10,InterestRatesTrigger))</f>
        <v>6.1588920278960639E-4</v>
      </c>
      <c r="I10" s="16" t="e">
        <f t="shared" si="1"/>
        <v>#NUM!</v>
      </c>
      <c r="J10" s="1" t="b">
        <f>AND(NOT(ISERROR(I10)))</f>
        <v>0</v>
      </c>
      <c r="K10" s="15" t="e">
        <f>(I10-_xll.ohFilter($I$6:$I$9,$J$6:$J$9))/(P10-_xll.ohFilter($P$6:$P$9,$J$6:$J$9))</f>
        <v>#NUM!</v>
      </c>
      <c r="L10" s="15" t="e">
        <f>_xll.ohFilter($I$6:$I$9,$J$6:$J$9)-K10*_xll.ohFilter($P$6:$P$9,$J$6:$J$9)</f>
        <v>#NUM!</v>
      </c>
      <c r="M10" s="5"/>
      <c r="N10" s="112">
        <f t="shared" si="2"/>
        <v>1</v>
      </c>
      <c r="O10" s="112">
        <f t="shared" si="3"/>
        <v>93</v>
      </c>
      <c r="P10" s="112">
        <f t="shared" si="6"/>
        <v>94</v>
      </c>
      <c r="R10" s="91">
        <f t="shared" si="4"/>
        <v>2914.3333333333335</v>
      </c>
      <c r="S10" s="91">
        <f t="shared" si="5"/>
        <v>47</v>
      </c>
      <c r="T10" s="91">
        <v>1</v>
      </c>
      <c r="V10" s="85">
        <v>12369.333333333334</v>
      </c>
      <c r="W10" s="86">
        <v>108</v>
      </c>
      <c r="X10" s="87">
        <v>1</v>
      </c>
      <c r="Y10" s="58" t="s">
        <v>46</v>
      </c>
      <c r="Z10" s="68">
        <v>7.9030567392450658E-6</v>
      </c>
      <c r="AA10" s="58" t="s">
        <v>47</v>
      </c>
      <c r="AB10" s="68">
        <v>7.5029656189893039E-4</v>
      </c>
      <c r="AD10" s="76">
        <v>-0.12553849360755986</v>
      </c>
      <c r="AE10" s="77">
        <v>0.22781753752084516</v>
      </c>
      <c r="AF10" s="78">
        <v>-0.10227904391328532</v>
      </c>
      <c r="AH10" s="71">
        <v>1.8431436932253575E-18</v>
      </c>
    </row>
    <row r="11" spans="1:34" x14ac:dyDescent="0.2">
      <c r="A11" s="214" t="str">
        <f>_xll.qlIMMNextCode(E10,IF(_xll.qlIMMIsIMMdate(E10,TRUE),FALSE,TRUE))</f>
        <v>N4</v>
      </c>
      <c r="B11" s="29" t="str">
        <f>_xll.qlMakeDatedOIS(,E11,F11,OvernightIndex,0,,,,EvaluationDate)</f>
        <v>obj_003bf#0001</v>
      </c>
      <c r="C11" s="12" t="b">
        <f>_xll.qlInstrumentSetPricingEngine(B11,OisEngine)</f>
        <v>1</v>
      </c>
      <c r="D11" s="11" t="str">
        <f>Currency&amp;"FUT3M"&amp;A11&amp;QuoteSuffix</f>
        <v>JPYFUT3MN4_Quote</v>
      </c>
      <c r="E11" s="53">
        <f>_xll.qlIMMdate(A11)</f>
        <v>41836</v>
      </c>
      <c r="F11" s="54">
        <f>_xll.qlCalendarAdvance(Calendar,E11,"3M","mf")</f>
        <v>41928</v>
      </c>
      <c r="G11" s="50" t="e">
        <f>1-_xll.qlQuoteValue($D11,AllTriggers)/100</f>
        <v>#NUM!</v>
      </c>
      <c r="H11" s="15">
        <f>_xll.qlOvernightIndexedSwapFairRate(B11,_xll.ohTrigger(C11,InterestRatesTrigger))</f>
        <v>6.0865532577915858E-4</v>
      </c>
      <c r="I11" s="16" t="e">
        <f t="shared" si="1"/>
        <v>#NUM!</v>
      </c>
      <c r="J11" s="1" t="b">
        <f>NOT(ISERROR(I11))</f>
        <v>0</v>
      </c>
      <c r="K11" s="15" t="e">
        <f>(I11-_xll.ohFilter($I$6:$I$9,$J$6:$J$9))/(P11-_xll.ohFilter($P$6:$P$9,$J$6:$J$9))</f>
        <v>#NUM!</v>
      </c>
      <c r="L11" s="15" t="e">
        <f>_xll.ohFilter($I$6:$I$9,$J$6:$J$9)-K11*_xll.ohFilter($P$6:$P$9,$J$6:$J$9)</f>
        <v>#NUM!</v>
      </c>
      <c r="M11" s="5"/>
      <c r="N11" s="112">
        <f t="shared" si="2"/>
        <v>29</v>
      </c>
      <c r="O11" s="112">
        <f t="shared" si="3"/>
        <v>121</v>
      </c>
      <c r="P11" s="112">
        <f t="shared" si="6"/>
        <v>150</v>
      </c>
      <c r="R11" s="91">
        <f t="shared" si="4"/>
        <v>6330.333333333333</v>
      </c>
      <c r="S11" s="91">
        <f t="shared" si="5"/>
        <v>75</v>
      </c>
      <c r="T11" s="91">
        <v>1</v>
      </c>
      <c r="V11" s="88">
        <v>19596.333333333332</v>
      </c>
      <c r="W11" s="89">
        <v>137.5</v>
      </c>
      <c r="X11" s="90">
        <v>1</v>
      </c>
      <c r="Z11" s="69">
        <v>4.0984986716880193E-4</v>
      </c>
      <c r="AB11" s="69">
        <v>6.8365873869194894E-4</v>
      </c>
      <c r="AD11" s="79">
        <v>7.2196474893459364</v>
      </c>
      <c r="AE11" s="80">
        <v>-10.390112562534751</v>
      </c>
      <c r="AF11" s="81">
        <v>4.1704650731888151</v>
      </c>
      <c r="AH11" s="72">
        <v>3.0357660829594124E-18</v>
      </c>
    </row>
    <row r="12" spans="1:34" x14ac:dyDescent="0.2">
      <c r="A12" s="43">
        <v>1</v>
      </c>
      <c r="B12" s="29" t="str">
        <f>_xll.qlMakeDatedOIS(,E12,F12,OvernightIndex,0,,,,EvaluationDate)</f>
        <v>obj_003b6#0001</v>
      </c>
      <c r="C12" s="12" t="b">
        <f>_xll.qlInstrumentSetPricingEngine(B12,OisEngine)</f>
        <v>1</v>
      </c>
      <c r="D12" s="11" t="str">
        <f>Currency&amp;A12&amp;"x"&amp;A12+3&amp;"F"&amp;QuoteSuffix</f>
        <v>JPY1x4F_Quote</v>
      </c>
      <c r="E12" s="53">
        <f>_xll.qlCalendarAdvance(Calendar,SettlementDate,A12&amp;"M","mf")</f>
        <v>41837</v>
      </c>
      <c r="F12" s="54">
        <f>_xll.qlInterestRateIndexMaturity($A$8,E12)</f>
        <v>41929</v>
      </c>
      <c r="G12" s="50">
        <f>_xll.qlQuoteValue(D12,AllTriggers)</f>
        <v>1.3500000000000001E-3</v>
      </c>
      <c r="H12" s="15">
        <f>_xll.qlOvernightIndexedSwapFairRate(B12,_xll.ohTrigger(C12,InterestRatesTrigger))</f>
        <v>6.0836535415505514E-4</v>
      </c>
      <c r="I12" s="16">
        <f>G12-H12</f>
        <v>7.4163464584494493E-4</v>
      </c>
      <c r="J12" s="1" t="b">
        <f>AND(NOT(ISERROR(I12)),E12&lt;&gt;$E$11,E12&lt;&gt;$E$10)</f>
        <v>1</v>
      </c>
      <c r="K12" s="15">
        <f>(I12-_xll.ohFilter($I$6:$I$9,$J$6:$J$9))/(P12-_xll.ohFilter($P$6:$P$9,$J$6:$J$9))</f>
        <v>4.8791753016114797E-6</v>
      </c>
      <c r="L12" s="15">
        <f>_xll.ohFilter($I$6:$I$9,$J$6:$J$9)-K12*_xll.ohFilter($P$6:$P$9,$J$6:$J$9)</f>
        <v>0</v>
      </c>
      <c r="M12" s="5"/>
      <c r="N12" s="112">
        <f t="shared" si="2"/>
        <v>30</v>
      </c>
      <c r="O12" s="112">
        <f t="shared" si="3"/>
        <v>122</v>
      </c>
      <c r="P12" s="112">
        <f t="shared" si="6"/>
        <v>152</v>
      </c>
      <c r="R12" s="91">
        <f t="shared" si="4"/>
        <v>6481.333333333333</v>
      </c>
      <c r="S12" s="91">
        <f t="shared" si="5"/>
        <v>76</v>
      </c>
      <c r="T12" s="91">
        <v>1</v>
      </c>
      <c r="V12" s="91"/>
      <c r="W12" s="91"/>
      <c r="X12" s="91"/>
    </row>
    <row r="13" spans="1:34" x14ac:dyDescent="0.2">
      <c r="A13" s="43">
        <v>2</v>
      </c>
      <c r="B13" s="29" t="str">
        <f>_xll.qlMakeDatedOIS(,E13,F13,OvernightIndex,0,,,,EvaluationDate)</f>
        <v>obj_003af#0001</v>
      </c>
      <c r="C13" s="12" t="b">
        <f>_xll.qlInstrumentSetPricingEngine(B13,OisEngine)</f>
        <v>1</v>
      </c>
      <c r="D13" s="11" t="str">
        <f>Currency&amp;A13&amp;"x"&amp;A13+3&amp;"F"&amp;QuoteSuffix</f>
        <v>JPY2x5F_Quote</v>
      </c>
      <c r="E13" s="53">
        <f>_xll.qlCalendarAdvance(Calendar,SettlementDate,A13&amp;"M","mf")</f>
        <v>41869</v>
      </c>
      <c r="F13" s="54">
        <f>_xll.qlInterestRateIndexMaturity($A$8,E13)</f>
        <v>41961</v>
      </c>
      <c r="G13" s="50">
        <f>_xll.qlQuoteValue(D13,AllTriggers)</f>
        <v>1.3500000000000001E-3</v>
      </c>
      <c r="H13" s="15">
        <f>_xll.qlOvernightIndexedSwapFairRate(B13,_xll.ohTrigger(C13,InterestRatesTrigger))</f>
        <v>5.9970343810106968E-4</v>
      </c>
      <c r="I13" s="16">
        <f>G13-H13</f>
        <v>7.5029656189893039E-4</v>
      </c>
      <c r="J13" s="1" t="b">
        <f>AND(NOT(ISERROR(I13)),E13&lt;&gt;$E$11,E13&lt;&gt;$E$10)</f>
        <v>1</v>
      </c>
      <c r="K13" s="15">
        <f>(I13-_xll.ohFilter($I$6:$I$9,$J$6:$J$9))/(P13-_xll.ohFilter($P$6:$P$9,$J$6:$J$9))</f>
        <v>3.4735951939765298E-6</v>
      </c>
      <c r="L13" s="15">
        <f>_xll.ohFilter($I$6:$I$9,$J$6:$J$9)-K13*_xll.ohFilter($P$6:$P$9,$J$6:$J$9)</f>
        <v>0</v>
      </c>
      <c r="M13" s="5"/>
      <c r="N13" s="112">
        <f t="shared" si="2"/>
        <v>62</v>
      </c>
      <c r="O13" s="112">
        <f t="shared" si="3"/>
        <v>154</v>
      </c>
      <c r="P13" s="112">
        <f t="shared" si="6"/>
        <v>216</v>
      </c>
      <c r="R13" s="91">
        <f t="shared" si="4"/>
        <v>12369.333333333334</v>
      </c>
      <c r="S13" s="91">
        <f t="shared" si="5"/>
        <v>108</v>
      </c>
      <c r="T13" s="91">
        <v>1</v>
      </c>
      <c r="V13" s="91"/>
      <c r="W13" s="91"/>
      <c r="X13" s="91"/>
    </row>
    <row r="14" spans="1:34" x14ac:dyDescent="0.2">
      <c r="A14" s="43">
        <v>3</v>
      </c>
      <c r="B14" s="29" t="str">
        <f>_xll.qlMakeDatedOIS(,E14,F14,OvernightIndex,0,,,,EvaluationDate)</f>
        <v>obj_003ba#0001</v>
      </c>
      <c r="C14" s="12" t="b">
        <f>_xll.qlInstrumentSetPricingEngine(B14,OisEngine)</f>
        <v>1</v>
      </c>
      <c r="D14" s="9" t="str">
        <f>Currency&amp;A14&amp;"x"&amp;A14+3&amp;"F"&amp;QuoteSuffix</f>
        <v>JPY3x6F_Quote</v>
      </c>
      <c r="E14" s="53">
        <f>_xll.qlCalendarAdvance(Calendar,SettlementDate,A14&amp;"M","mf")</f>
        <v>41899</v>
      </c>
      <c r="F14" s="54">
        <f>_xll.qlInterestRateIndexMaturity($A$8,E14)</f>
        <v>41990</v>
      </c>
      <c r="G14" s="50">
        <f>_xll.qlQuoteValue(D14,AllTriggers)</f>
        <v>1.2999999999999999E-3</v>
      </c>
      <c r="H14" s="15">
        <f>_xll.qlOvernightIndexedSwapFairRate(B14,_xll.ohTrigger(C14,InterestRatesTrigger))</f>
        <v>6.16341261308051E-4</v>
      </c>
      <c r="I14" s="16">
        <f>G14-H14</f>
        <v>6.8365873869194894E-4</v>
      </c>
      <c r="J14" s="1" t="b">
        <f>AND(NOT(ISERROR(I14)),E14&lt;&gt;$E$11,E14&lt;&gt;$E$10)</f>
        <v>1</v>
      </c>
      <c r="K14" s="15">
        <f>(I14-_xll.ohFilter($I$6:$I$9,$J$6:$J$9))/(P14-_xll.ohFilter($P$6:$P$9,$J$6:$J$9))</f>
        <v>2.4860317770616326E-6</v>
      </c>
      <c r="L14" s="15">
        <f>_xll.ohFilter($I$6:$I$9,$J$6:$J$9)-K14*_xll.ohFilter($P$6:$P$9,$J$6:$J$9)</f>
        <v>0</v>
      </c>
      <c r="M14" s="5"/>
      <c r="N14" s="112">
        <f t="shared" si="2"/>
        <v>92</v>
      </c>
      <c r="O14" s="112">
        <f t="shared" si="3"/>
        <v>183</v>
      </c>
      <c r="P14" s="112">
        <f t="shared" si="6"/>
        <v>275</v>
      </c>
      <c r="R14" s="91">
        <f t="shared" si="4"/>
        <v>19596.333333333332</v>
      </c>
      <c r="S14" s="91">
        <f t="shared" si="5"/>
        <v>137.5</v>
      </c>
      <c r="T14" s="91">
        <v>1</v>
      </c>
      <c r="V14" s="91"/>
      <c r="W14" s="91"/>
      <c r="X14" s="91"/>
    </row>
    <row r="15" spans="1:34" x14ac:dyDescent="0.2">
      <c r="A15" s="43">
        <v>6</v>
      </c>
      <c r="B15" s="28" t="str">
        <f>_xll.qlMakeDatedOIS(,E15,F15,OvernightIndex,0,,,,EvaluationDate)</f>
        <v>obj_003b1#0001</v>
      </c>
      <c r="C15" s="8" t="b">
        <f>_xll.qlInstrumentSetPricingEngine(B15,OisEngine)</f>
        <v>1</v>
      </c>
      <c r="D15" s="102" t="str">
        <f>Currency&amp;A16&amp;"D_Quote"</f>
        <v>JPY6MD_Quote</v>
      </c>
      <c r="E15" s="103">
        <f>SettlementDate</f>
        <v>41807</v>
      </c>
      <c r="F15" s="104">
        <f>_xll.qlCalendarAdvance(Calendar,E15,A16,"mf")</f>
        <v>41990</v>
      </c>
      <c r="G15" s="105">
        <f>_xll.qlQuoteValue($D15,AllTriggers)</f>
        <v>1.7963999999999999E-3</v>
      </c>
      <c r="H15" s="106">
        <f>_xll.qlOvernightIndexedSwapFairRate(B15,_xll.ohTrigger(C15,InterestRatesTrigger))</f>
        <v>6.1643835616435904E-4</v>
      </c>
      <c r="I15" s="107">
        <f t="shared" si="1"/>
        <v>1.1799616438356408E-3</v>
      </c>
      <c r="J15" s="108" t="b">
        <v>0</v>
      </c>
      <c r="K15" s="109"/>
      <c r="L15" s="109"/>
      <c r="M15" s="109"/>
      <c r="N15" s="111">
        <f t="shared" si="2"/>
        <v>0</v>
      </c>
      <c r="O15" s="111">
        <f t="shared" si="3"/>
        <v>183</v>
      </c>
      <c r="P15" s="111">
        <f t="shared" ref="P15:P27" si="7">(O15^2-N15^2)/(O15-N15)</f>
        <v>183</v>
      </c>
      <c r="Q15" s="108"/>
      <c r="R15" s="122">
        <f t="shared" ref="R15:R27" si="8">(O15^3-N15^3)/3/(O15-N15)</f>
        <v>11163</v>
      </c>
      <c r="S15" s="122">
        <f t="shared" ref="S15:S27" si="9">(O15+N15)/2</f>
        <v>91.5</v>
      </c>
      <c r="T15" s="122">
        <v>1</v>
      </c>
    </row>
    <row r="16" spans="1:34" x14ac:dyDescent="0.2">
      <c r="A16" s="214" t="str">
        <f>_xll.qlPeriodEquivalent(A15&amp;"M")</f>
        <v>6M</v>
      </c>
      <c r="B16" s="56" t="str">
        <f>_xll.qlMakeDatedOIS(,E16,F16,OvernightIndex,0,,,,EvaluationDate)</f>
        <v>obj_00377#0002</v>
      </c>
      <c r="C16" s="12" t="b">
        <f>_xll.qlInstrumentSetPricingEngine(B16,OisEngine)</f>
        <v>1</v>
      </c>
      <c r="D16" s="95" t="str">
        <f>PROPER(Currency&amp;FamilyName)&amp;A16&amp;"LastFixing_Quote"</f>
        <v>Jpylibor6MLastFixing_Quote</v>
      </c>
      <c r="E16" s="96">
        <f>_xll.qlCalendarAdvance(Calendar,_xll.qlLastFixingQuoteReferenceDate(D16),_xll.qlInterestRateIndexFixingDays(A17)&amp;"D","f",,LastFixingsTrigger)</f>
        <v>41802</v>
      </c>
      <c r="F16" s="97">
        <f>_xll.qlInterestRateIndexMaturity(A17,E16)</f>
        <v>41985</v>
      </c>
      <c r="G16" s="98">
        <f>_xll.qlQuoteValue(D16,AllTriggers)</f>
        <v>1.7963999999999999E-3</v>
      </c>
      <c r="H16" s="99" t="e">
        <f>_xll.qlOvernightIndexedSwapFairRate(B16,_xll.ohTrigger(C16,InterestRatesTrigger))</f>
        <v>#NUM!</v>
      </c>
      <c r="I16" s="100" t="e">
        <f t="shared" si="1"/>
        <v>#NUM!</v>
      </c>
      <c r="J16" s="108" t="b">
        <f>AND(NOT(ISERROR(I16)))</f>
        <v>0</v>
      </c>
      <c r="K16" s="109"/>
      <c r="L16" s="109"/>
      <c r="M16" s="109"/>
      <c r="N16" s="111">
        <f t="shared" si="2"/>
        <v>-5</v>
      </c>
      <c r="O16" s="111">
        <f t="shared" si="3"/>
        <v>178</v>
      </c>
      <c r="P16" s="111">
        <f t="shared" si="7"/>
        <v>173</v>
      </c>
      <c r="Q16" s="108"/>
      <c r="R16" s="122">
        <f t="shared" si="8"/>
        <v>10273</v>
      </c>
      <c r="S16" s="122">
        <f t="shared" si="9"/>
        <v>86.5</v>
      </c>
      <c r="T16" s="122">
        <v>1</v>
      </c>
    </row>
    <row r="17" spans="1:34" x14ac:dyDescent="0.2">
      <c r="A17" s="214" t="str">
        <f>PROPER(Currency)&amp;FamilyName&amp;A16</f>
        <v>JpyLibor6M</v>
      </c>
      <c r="B17" s="29"/>
      <c r="C17" s="12"/>
      <c r="D17" s="95"/>
      <c r="E17" s="96"/>
      <c r="F17" s="97"/>
      <c r="G17" s="98"/>
      <c r="H17" s="99"/>
      <c r="I17" s="100" t="e">
        <f>NA()</f>
        <v>#N/A</v>
      </c>
      <c r="J17" s="108" t="b">
        <f>AND(E17&gt;E16,NOT(ISERROR(I17)))</f>
        <v>0</v>
      </c>
      <c r="K17" s="108"/>
      <c r="L17" s="108"/>
      <c r="M17" s="109"/>
      <c r="N17" s="111">
        <f t="shared" si="2"/>
        <v>-41807</v>
      </c>
      <c r="O17" s="111">
        <f t="shared" si="3"/>
        <v>-41807</v>
      </c>
      <c r="P17" s="111" t="e">
        <f t="shared" si="7"/>
        <v>#DIV/0!</v>
      </c>
      <c r="Q17" s="108"/>
      <c r="R17" s="122" t="e">
        <f t="shared" si="8"/>
        <v>#DIV/0!</v>
      </c>
      <c r="S17" s="122">
        <f t="shared" si="9"/>
        <v>-41807</v>
      </c>
      <c r="T17" s="122">
        <v>1</v>
      </c>
      <c r="AD17" s="1" t="s">
        <v>50</v>
      </c>
      <c r="AH17" s="1" t="s">
        <v>49</v>
      </c>
    </row>
    <row r="18" spans="1:34" x14ac:dyDescent="0.2">
      <c r="A18" s="43"/>
      <c r="B18" s="29"/>
      <c r="C18" s="12"/>
      <c r="D18" s="95"/>
      <c r="E18" s="96"/>
      <c r="F18" s="97"/>
      <c r="G18" s="98"/>
      <c r="H18" s="99"/>
      <c r="I18" s="100" t="e">
        <f>NA()</f>
        <v>#N/A</v>
      </c>
      <c r="J18" s="108" t="b">
        <f>AND(NOT(J16),NOT(ISERROR(I18)))</f>
        <v>0</v>
      </c>
      <c r="K18" s="99">
        <f>AVERAGE(_xll.ohFilter(K19:K21,J19:J21))</f>
        <v>3.8715050067928447E-6</v>
      </c>
      <c r="L18" s="99">
        <f>_xll.ohFilter($I$15:$I$18,$J$15:$J$18)-K18*_xll.ohFilter($P$15:$P$18,$J$15:$J$18)</f>
        <v>0</v>
      </c>
      <c r="M18" s="109"/>
      <c r="N18" s="111">
        <f t="shared" si="2"/>
        <v>-41807</v>
      </c>
      <c r="O18" s="111">
        <f t="shared" si="3"/>
        <v>-41807</v>
      </c>
      <c r="P18" s="111" t="e">
        <f t="shared" si="7"/>
        <v>#DIV/0!</v>
      </c>
      <c r="Q18" s="108"/>
      <c r="R18" s="122" t="e">
        <f t="shared" si="8"/>
        <v>#DIV/0!</v>
      </c>
      <c r="S18" s="122">
        <f t="shared" si="9"/>
        <v>-41807</v>
      </c>
      <c r="T18" s="122">
        <v>1</v>
      </c>
      <c r="V18" s="82">
        <f t="array" ref="V18:V20">_xll.ohFilter(R15:R24,$J15:$J24)</f>
        <v>18012</v>
      </c>
      <c r="W18" s="83">
        <f t="array" ref="W18:W20">_xll.ohFilter(S15:S24,$J15:$J24)</f>
        <v>123</v>
      </c>
      <c r="X18" s="84">
        <f t="array" ref="X18:X20">_xll.ohFilter(T15:T24,$J15:$J24)</f>
        <v>1</v>
      </c>
      <c r="Z18" s="67">
        <f t="array" ref="Z18:Z20">MMULT(AD18:AF20,AB18:AB20)</f>
        <v>2.3698871434684829E-8</v>
      </c>
      <c r="AB18" s="67">
        <f t="array" ref="AB18:AB20">_xll.ohFilter(I15:I24,$J15:$J24)</f>
        <v>1.1845672916027039E-3</v>
      </c>
      <c r="AD18" s="73">
        <f t="array" ref="AD18:AF20">MINVERSE(V18:X20)</f>
        <v>5.5343029691050274E-4</v>
      </c>
      <c r="AE18" s="74">
        <v>-1.1554071110938559E-3</v>
      </c>
      <c r="AF18" s="75">
        <v>6.0197681418335328E-4</v>
      </c>
      <c r="AH18" s="70">
        <f t="array" ref="AH18:AH20">MMULT(V18:X20,Z18:Z20)-AB18:AB20</f>
        <v>-2.1684043449710089E-18</v>
      </c>
    </row>
    <row r="19" spans="1:34" x14ac:dyDescent="0.2">
      <c r="A19" s="43">
        <v>1</v>
      </c>
      <c r="B19" s="29" t="str">
        <f>_xll.qlMakeDatedOIS(,E19,F19,OvernightIndex,0,,,,EvaluationDate)</f>
        <v>obj_003b3#0001</v>
      </c>
      <c r="C19" s="12" t="b">
        <f>_xll.qlInstrumentSetPricingEngine(B19,OisEngine)</f>
        <v>1</v>
      </c>
      <c r="D19" s="11" t="str">
        <f t="shared" ref="D19:D24" si="10">Currency&amp;A19&amp;"x"&amp;A19+6&amp;"F"&amp;QuoteSuffix</f>
        <v>JPY1x7F_Quote</v>
      </c>
      <c r="E19" s="53">
        <f>_xll.qlCalendarAdvance(Calendar,SettlementDate,A19&amp;"M","mf")</f>
        <v>41837</v>
      </c>
      <c r="F19" s="54">
        <f>_xll.qlInterestRateIndexMaturity($A$17,E19)</f>
        <v>42023</v>
      </c>
      <c r="G19" s="27">
        <f>_xll.qlQuoteValue(D19,AllTriggers)</f>
        <v>1.8E-3</v>
      </c>
      <c r="H19" s="15">
        <f>_xll.qlOvernightIndexedSwapFairRate(B19,_xll.ohTrigger(C19,InterestRatesTrigger))</f>
        <v>6.1543270839729597E-4</v>
      </c>
      <c r="I19" s="16">
        <f t="shared" ref="I19:I24" si="11">G19-H19</f>
        <v>1.1845672916027039E-3</v>
      </c>
      <c r="J19" s="1" t="b">
        <f t="shared" ref="J19:J24" si="12">NOT(ISERROR(I19))</f>
        <v>1</v>
      </c>
      <c r="K19" s="15">
        <f>(I19-_xll.ohFilter($I$15:$I$18,$J$15:$J$18))/(P19-_xll.ohFilter($P$15:$P$18,$J$15:$J$18))</f>
        <v>4.8153141935069259E-6</v>
      </c>
      <c r="L19" s="15">
        <f>_xll.ohFilter($I$15:$I$18,$J$15:$J$18)-K19*_xll.ohFilter($P$15:$P$18,$J$15:$J$18)</f>
        <v>0</v>
      </c>
      <c r="M19" s="5"/>
      <c r="N19" s="112">
        <f t="shared" si="2"/>
        <v>30</v>
      </c>
      <c r="O19" s="112">
        <f t="shared" si="3"/>
        <v>216</v>
      </c>
      <c r="P19" s="112">
        <f t="shared" si="7"/>
        <v>246</v>
      </c>
      <c r="R19" s="91">
        <f t="shared" si="8"/>
        <v>18012</v>
      </c>
      <c r="S19" s="91">
        <f t="shared" si="9"/>
        <v>123</v>
      </c>
      <c r="T19" s="91">
        <v>1</v>
      </c>
      <c r="V19" s="85">
        <v>26537.333333333332</v>
      </c>
      <c r="W19" s="86">
        <v>154</v>
      </c>
      <c r="X19" s="87">
        <v>1</v>
      </c>
      <c r="Y19" s="58" t="s">
        <v>46</v>
      </c>
      <c r="Z19" s="68">
        <v>-8.0347043911483534E-6</v>
      </c>
      <c r="AA19" s="58" t="s">
        <v>47</v>
      </c>
      <c r="AB19" s="68">
        <v>1.1375322340816054E-3</v>
      </c>
      <c r="AD19" s="76">
        <v>-0.18445734702992503</v>
      </c>
      <c r="AE19" s="77">
        <v>0.35000744379931692</v>
      </c>
      <c r="AF19" s="78">
        <v>-0.16555009676939192</v>
      </c>
      <c r="AH19" s="71">
        <v>-2.8189256484623115E-18</v>
      </c>
    </row>
    <row r="20" spans="1:34" x14ac:dyDescent="0.2">
      <c r="A20" s="43">
        <v>2</v>
      </c>
      <c r="B20" s="29" t="str">
        <f>_xll.qlMakeDatedOIS(,E20,F20,OvernightIndex,0,,,,EvaluationDate)</f>
        <v>obj_003b2#0001</v>
      </c>
      <c r="C20" s="12" t="b">
        <f>_xll.qlInstrumentSetPricingEngine(B20,OisEngine)</f>
        <v>1</v>
      </c>
      <c r="D20" s="11" t="str">
        <f t="shared" si="10"/>
        <v>JPY2x8F_Quote</v>
      </c>
      <c r="E20" s="53">
        <f>_xll.qlCalendarAdvance(Calendar,SettlementDate,A20&amp;"M","mf")</f>
        <v>41869</v>
      </c>
      <c r="F20" s="54">
        <f>_xll.qlInterestRateIndexMaturity($A$17,E20)</f>
        <v>42053</v>
      </c>
      <c r="G20" s="27">
        <f>_xll.qlQuoteValue(D20,AllTriggers)</f>
        <v>1.7499999999999998E-3</v>
      </c>
      <c r="H20" s="15">
        <f>_xll.qlOvernightIndexedSwapFairRate(B20,_xll.ohTrigger(C20,InterestRatesTrigger))</f>
        <v>6.1246776591839457E-4</v>
      </c>
      <c r="I20" s="16">
        <f t="shared" si="11"/>
        <v>1.1375322340816054E-3</v>
      </c>
      <c r="J20" s="1" t="b">
        <f t="shared" si="12"/>
        <v>1</v>
      </c>
      <c r="K20" s="15">
        <f>(I20-_xll.ohFilter($I$15:$I$18,$J$15:$J$18))/(P20-_xll.ohFilter($P$15:$P$18,$J$15:$J$18))</f>
        <v>3.6932864742909263E-6</v>
      </c>
      <c r="L20" s="15">
        <f>_xll.ohFilter($I$15:$I$18,$J$15:$J$18)-K20*_xll.ohFilter($P$15:$P$18,$J$15:$J$18)</f>
        <v>0</v>
      </c>
      <c r="M20" s="5"/>
      <c r="N20" s="112">
        <f t="shared" si="2"/>
        <v>62</v>
      </c>
      <c r="O20" s="112">
        <f t="shared" si="3"/>
        <v>246</v>
      </c>
      <c r="P20" s="112">
        <f t="shared" si="7"/>
        <v>308</v>
      </c>
      <c r="R20" s="91">
        <f t="shared" si="8"/>
        <v>26537.333333333332</v>
      </c>
      <c r="S20" s="91">
        <f t="shared" si="9"/>
        <v>154</v>
      </c>
      <c r="T20" s="91">
        <v>1</v>
      </c>
      <c r="V20" s="88">
        <v>36036.333333333328</v>
      </c>
      <c r="W20" s="89">
        <v>182.5</v>
      </c>
      <c r="X20" s="90">
        <v>1</v>
      </c>
      <c r="Z20" s="69">
        <v>1.7459718594324061E-3</v>
      </c>
      <c r="AB20" s="69">
        <v>1.1336587386919488E-3</v>
      </c>
      <c r="AD20" s="79">
        <v>13.719867176728803</v>
      </c>
      <c r="AE20" s="80">
        <v>-22.239722702293452</v>
      </c>
      <c r="AF20" s="81">
        <v>9.5198555255646493</v>
      </c>
      <c r="AH20" s="72">
        <v>-3.2526065174565133E-18</v>
      </c>
    </row>
    <row r="21" spans="1:34" x14ac:dyDescent="0.2">
      <c r="A21" s="43">
        <v>3</v>
      </c>
      <c r="B21" s="29" t="str">
        <f>_xll.qlMakeDatedOIS(,E21,F21,OvernightIndex,0,,,,EvaluationDate)</f>
        <v>obj_003b4#0001</v>
      </c>
      <c r="C21" s="12" t="b">
        <f>_xll.qlInstrumentSetPricingEngine(B21,OisEngine)</f>
        <v>1</v>
      </c>
      <c r="D21" s="11" t="str">
        <f t="shared" si="10"/>
        <v>JPY3x9F_Quote</v>
      </c>
      <c r="E21" s="53">
        <f>_xll.qlCalendarAdvance(Calendar,SettlementDate,A21&amp;"M","mf")</f>
        <v>41899</v>
      </c>
      <c r="F21" s="54">
        <f>_xll.qlInterestRateIndexMaturity($A$17,E21)</f>
        <v>42080</v>
      </c>
      <c r="G21" s="27">
        <f>_xll.qlQuoteValue(D21,AllTriggers)</f>
        <v>1.7499999999999998E-3</v>
      </c>
      <c r="H21" s="15">
        <f>_xll.qlOvernightIndexedSwapFairRate(B21,_xll.ohTrigger(C21,InterestRatesTrigger))</f>
        <v>6.1634126130805111E-4</v>
      </c>
      <c r="I21" s="16">
        <f t="shared" si="11"/>
        <v>1.1336587386919488E-3</v>
      </c>
      <c r="J21" s="1" t="b">
        <f t="shared" si="12"/>
        <v>1</v>
      </c>
      <c r="K21" s="15">
        <f>(I21-_xll.ohFilter($I$15:$I$18,$J$15:$J$18))/(P21-_xll.ohFilter($P$15:$P$18,$J$15:$J$18))</f>
        <v>3.1059143525806815E-6</v>
      </c>
      <c r="L21" s="15">
        <f>_xll.ohFilter($I$15:$I$18,$J$15:$J$18)-K21*_xll.ohFilter($P$15:$P$18,$J$15:$J$18)</f>
        <v>0</v>
      </c>
      <c r="M21" s="5"/>
      <c r="N21" s="112">
        <f t="shared" si="2"/>
        <v>92</v>
      </c>
      <c r="O21" s="112">
        <f t="shared" si="3"/>
        <v>273</v>
      </c>
      <c r="P21" s="112">
        <f t="shared" si="7"/>
        <v>365</v>
      </c>
      <c r="R21" s="91">
        <f t="shared" si="8"/>
        <v>36036.333333333328</v>
      </c>
      <c r="S21" s="91">
        <f t="shared" si="9"/>
        <v>182.5</v>
      </c>
      <c r="T21" s="91">
        <v>1</v>
      </c>
      <c r="V21" s="91"/>
      <c r="W21" s="91"/>
      <c r="X21" s="91"/>
      <c r="AB21" s="57"/>
    </row>
    <row r="22" spans="1:34" x14ac:dyDescent="0.2">
      <c r="A22" s="43">
        <v>4</v>
      </c>
      <c r="B22" s="29" t="str">
        <f>_xll.qlMakeDatedOIS(,E22,F22,OvernightIndex,0,,,,EvaluationDate)</f>
        <v>obj_003b8#0001</v>
      </c>
      <c r="C22" s="12" t="b">
        <f>_xll.qlInstrumentSetPricingEngine(B22,OisEngine)</f>
        <v>1</v>
      </c>
      <c r="D22" s="11" t="str">
        <f t="shared" si="10"/>
        <v>JPY4x10F_Quote</v>
      </c>
      <c r="E22" s="53">
        <f>_xll.qlCalendarAdvance(Calendar,SettlementDate,A22&amp;"M","mf")</f>
        <v>41929</v>
      </c>
      <c r="F22" s="54">
        <f>_xll.qlInterestRateIndexMaturity($A$17,E22)</f>
        <v>42111</v>
      </c>
      <c r="G22" s="27">
        <f>_xll.qlQuoteValue(D22,AllTriggers)</f>
        <v>1.7499999999999998E-3</v>
      </c>
      <c r="H22" s="15">
        <f>_xll.qlOvernightIndexedSwapFairRate(B22,_xll.ohTrigger(C22,InterestRatesTrigger))</f>
        <v>6.016299477639898E-4</v>
      </c>
      <c r="I22" s="16">
        <f t="shared" si="11"/>
        <v>1.1483700522360099E-3</v>
      </c>
      <c r="J22" s="1" t="b">
        <f t="shared" si="12"/>
        <v>1</v>
      </c>
      <c r="K22" s="15">
        <f>(I22-_xll.ohFilter($I$15:$I$18,$J$15:$J$18))/(P22-_xll.ohFilter($P$15:$P$18,$J$15:$J$18))</f>
        <v>2.6957043479718543E-6</v>
      </c>
      <c r="L22" s="15">
        <f>_xll.ohFilter($I$15:$I$18,$J$15:$J$18)-K22*_xll.ohFilter($P$15:$P$18,$J$15:$J$18)</f>
        <v>0</v>
      </c>
      <c r="M22" s="5"/>
      <c r="N22" s="112">
        <f t="shared" si="2"/>
        <v>122</v>
      </c>
      <c r="O22" s="112">
        <f t="shared" si="3"/>
        <v>304</v>
      </c>
      <c r="P22" s="112">
        <f t="shared" si="7"/>
        <v>426</v>
      </c>
      <c r="R22" s="91">
        <f t="shared" si="8"/>
        <v>48129.333333333328</v>
      </c>
      <c r="S22" s="91">
        <f t="shared" si="9"/>
        <v>213</v>
      </c>
      <c r="T22" s="91">
        <v>1</v>
      </c>
      <c r="V22" s="91"/>
      <c r="W22" s="91"/>
      <c r="X22" s="91"/>
      <c r="AB22" s="57"/>
    </row>
    <row r="23" spans="1:34" x14ac:dyDescent="0.2">
      <c r="A23" s="43">
        <v>5</v>
      </c>
      <c r="B23" s="29" t="str">
        <f>_xll.qlMakeDatedOIS(,E23,F23,OvernightIndex,0,,,,EvaluationDate)</f>
        <v>obj_003bb#0001</v>
      </c>
      <c r="C23" s="12" t="b">
        <f>_xll.qlInstrumentSetPricingEngine(B23,OisEngine)</f>
        <v>1</v>
      </c>
      <c r="D23" s="11" t="str">
        <f t="shared" si="10"/>
        <v>JPY5x11F_Quote</v>
      </c>
      <c r="E23" s="53">
        <f>_xll.qlCalendarAdvance(Calendar,SettlementDate,A23&amp;"M","mf")</f>
        <v>41960</v>
      </c>
      <c r="F23" s="54">
        <f>_xll.qlInterestRateIndexMaturity($A$17,E23)</f>
        <v>42142</v>
      </c>
      <c r="G23" s="27">
        <f>_xll.qlQuoteValue(D23,AllTriggers)</f>
        <v>1.7499999999999998E-3</v>
      </c>
      <c r="H23" s="15">
        <f>_xll.qlOvernightIndexedSwapFairRate(B23,_xll.ohTrigger(C23,InterestRatesTrigger))</f>
        <v>5.8236776008173743E-4</v>
      </c>
      <c r="I23" s="16">
        <f t="shared" si="11"/>
        <v>1.1676322399182624E-3</v>
      </c>
      <c r="J23" s="1" t="b">
        <f t="shared" si="12"/>
        <v>1</v>
      </c>
      <c r="K23" s="15">
        <f>(I23-_xll.ohFilter($I$15:$I$18,$J$15:$J$18))/(P23-_xll.ohFilter($P$15:$P$18,$J$15:$J$18))</f>
        <v>2.3926890162259477E-6</v>
      </c>
      <c r="L23" s="15">
        <f>_xll.ohFilter($I$15:$I$18,$J$15:$J$18)-K23*_xll.ohFilter($P$15:$P$18,$J$15:$J$18)</f>
        <v>0</v>
      </c>
      <c r="M23" s="5"/>
      <c r="N23" s="112">
        <f t="shared" si="2"/>
        <v>153</v>
      </c>
      <c r="O23" s="112">
        <f t="shared" si="3"/>
        <v>335</v>
      </c>
      <c r="P23" s="112">
        <f t="shared" si="7"/>
        <v>488</v>
      </c>
      <c r="R23" s="91">
        <f t="shared" si="8"/>
        <v>62296.333333333328</v>
      </c>
      <c r="S23" s="91">
        <f t="shared" si="9"/>
        <v>244</v>
      </c>
      <c r="T23" s="91">
        <v>1</v>
      </c>
      <c r="V23" s="91"/>
      <c r="W23" s="91"/>
      <c r="X23" s="91"/>
      <c r="AB23" s="57"/>
    </row>
    <row r="24" spans="1:34" x14ac:dyDescent="0.2">
      <c r="A24" s="43">
        <v>6</v>
      </c>
      <c r="B24" s="29" t="str">
        <f>_xll.qlMakeDatedOIS(,E24,F24,OvernightIndex,0,,,,EvaluationDate)</f>
        <v>obj_003b7#0001</v>
      </c>
      <c r="C24" s="12" t="b">
        <f>_xll.qlInstrumentSetPricingEngine(B24,OisEngine)</f>
        <v>1</v>
      </c>
      <c r="D24" s="11" t="str">
        <f t="shared" si="10"/>
        <v>JPY6x12F_Quote</v>
      </c>
      <c r="E24" s="53">
        <f>_xll.qlCalendarAdvance(Calendar,SettlementDate,A24&amp;"M","mf")</f>
        <v>41990</v>
      </c>
      <c r="F24" s="54">
        <f>_xll.qlInterestRateIndexMaturity($A$17,E24)</f>
        <v>42172</v>
      </c>
      <c r="G24" s="27">
        <f>_xll.qlQuoteValue(D24,AllTriggers)</f>
        <v>1.6999999999999999E-3</v>
      </c>
      <c r="H24" s="15">
        <f>_xll.qlOvernightIndexedSwapFairRate(B24,_xll.ohTrigger(C24,InterestRatesTrigger))</f>
        <v>5.6681019324605843E-4</v>
      </c>
      <c r="I24" s="16">
        <f t="shared" si="11"/>
        <v>1.1331898067539416E-3</v>
      </c>
      <c r="J24" s="1" t="b">
        <f t="shared" si="12"/>
        <v>1</v>
      </c>
      <c r="K24" s="15">
        <f>(I24-_xll.ohFilter($I$15:$I$18,$J$15:$J$18))/(P24-_xll.ohFilter($P$15:$P$18,$J$15:$J$18))</f>
        <v>2.0678646108648569E-6</v>
      </c>
      <c r="L24" s="15">
        <f>_xll.ohFilter($I$15:$I$18,$J$15:$J$18)-K24*_xll.ohFilter($P$15:$P$18,$J$15:$J$18)</f>
        <v>0</v>
      </c>
      <c r="M24" s="5"/>
      <c r="N24" s="112">
        <f t="shared" si="2"/>
        <v>183</v>
      </c>
      <c r="O24" s="112">
        <f t="shared" si="3"/>
        <v>365</v>
      </c>
      <c r="P24" s="112">
        <f t="shared" si="7"/>
        <v>548</v>
      </c>
      <c r="R24" s="91">
        <f t="shared" si="8"/>
        <v>77836.333333333328</v>
      </c>
      <c r="S24" s="91">
        <f t="shared" si="9"/>
        <v>274</v>
      </c>
      <c r="T24" s="91">
        <v>1</v>
      </c>
    </row>
    <row r="25" spans="1:34" x14ac:dyDescent="0.2">
      <c r="A25" s="43">
        <v>12</v>
      </c>
      <c r="B25" s="28" t="str">
        <f>_xll.qlMakeDatedOIS(,E25,F25,OvernightIndex,0,,,,EvaluationDate)</f>
        <v>obj_003bc#0001</v>
      </c>
      <c r="C25" s="8" t="b">
        <f>_xll.qlInstrumentSetPricingEngine(B25,OisEngine)</f>
        <v>1</v>
      </c>
      <c r="D25" s="102" t="str">
        <f>Currency&amp;A26&amp;"D_Quote"</f>
        <v>JPY1YD_Quote</v>
      </c>
      <c r="E25" s="103">
        <f>SettlementDate</f>
        <v>41807</v>
      </c>
      <c r="F25" s="104">
        <f>_xll.qlCalendarAdvance(Calendar,E25,A26,"mf")</f>
        <v>42172</v>
      </c>
      <c r="G25" s="105">
        <f>_xll.qlQuoteValue($D25,AllTriggers)</f>
        <v>3.3E-3</v>
      </c>
      <c r="H25" s="106">
        <f>_xll.qlOvernightIndexedSwapFairRate(B25,_xll.ohTrigger(C25,InterestRatesTrigger))</f>
        <v>5.9178082191796216E-4</v>
      </c>
      <c r="I25" s="107">
        <f t="shared" si="1"/>
        <v>2.7082191780820378E-3</v>
      </c>
      <c r="J25" s="108" t="b">
        <v>0</v>
      </c>
      <c r="K25" s="108"/>
      <c r="L25" s="108"/>
      <c r="M25" s="109"/>
      <c r="N25" s="111">
        <f t="shared" si="2"/>
        <v>0</v>
      </c>
      <c r="O25" s="111">
        <f t="shared" si="3"/>
        <v>365</v>
      </c>
      <c r="P25" s="111">
        <f t="shared" si="7"/>
        <v>365</v>
      </c>
      <c r="Q25" s="108"/>
      <c r="R25" s="122">
        <f t="shared" si="8"/>
        <v>44408.333333333328</v>
      </c>
      <c r="S25" s="122">
        <f t="shared" si="9"/>
        <v>182.5</v>
      </c>
      <c r="T25" s="122">
        <v>1</v>
      </c>
    </row>
    <row r="26" spans="1:34" x14ac:dyDescent="0.2">
      <c r="A26" s="214" t="str">
        <f>_xll.qlPeriodEquivalent(A25&amp;"M")</f>
        <v>1Y</v>
      </c>
      <c r="B26" s="29" t="str">
        <f>_xll.qlMakeDatedOIS(,E26,F26,OvernightIndex,0,,,,EvaluationDate)</f>
        <v>obj_00376#0002</v>
      </c>
      <c r="C26" s="12" t="b">
        <f>_xll.qlInstrumentSetPricingEngine(B26,OisEngine)</f>
        <v>1</v>
      </c>
      <c r="D26" s="95" t="str">
        <f>PROPER(Currency&amp;FamilyName)&amp;A26&amp;"LastFixing_Quote"</f>
        <v>Jpylibor1YLastFixing_Quote</v>
      </c>
      <c r="E26" s="96">
        <f>_xll.qlCalendarAdvance(Calendar,_xll.qlLastFixingQuoteReferenceDate(D26),_xll.qlInterestRateIndexFixingDays(A27)&amp;"D","f",,LastFixingsTrigger)</f>
        <v>41802</v>
      </c>
      <c r="F26" s="97">
        <f>_xll.qlInterestRateIndexMaturity(A27,E26)</f>
        <v>42167</v>
      </c>
      <c r="G26" s="98">
        <f>_xll.qlQuoteValue(D26,AllTriggers)</f>
        <v>3.3E-3</v>
      </c>
      <c r="H26" s="99" t="e">
        <f>_xll.qlOvernightIndexedSwapFairRate(B26,_xll.ohTrigger(C26,InterestRatesTrigger))</f>
        <v>#NUM!</v>
      </c>
      <c r="I26" s="100" t="e">
        <f t="shared" si="1"/>
        <v>#NUM!</v>
      </c>
      <c r="J26" s="108" t="b">
        <f>NOT(ISERROR(I26))</f>
        <v>0</v>
      </c>
      <c r="K26" s="110" t="e">
        <f>K27</f>
        <v>#NUM!</v>
      </c>
      <c r="L26" s="99" t="e">
        <f>L27</f>
        <v>#NUM!</v>
      </c>
      <c r="M26" s="109"/>
      <c r="N26" s="111">
        <f t="shared" si="2"/>
        <v>-5</v>
      </c>
      <c r="O26" s="111">
        <f t="shared" si="3"/>
        <v>360</v>
      </c>
      <c r="P26" s="111">
        <f t="shared" si="7"/>
        <v>355</v>
      </c>
      <c r="Q26" s="108"/>
      <c r="R26" s="122">
        <f t="shared" si="8"/>
        <v>42608.333333333328</v>
      </c>
      <c r="S26" s="122">
        <f t="shared" si="9"/>
        <v>177.5</v>
      </c>
      <c r="T26" s="122">
        <v>1</v>
      </c>
    </row>
    <row r="27" spans="1:34" x14ac:dyDescent="0.2">
      <c r="A27" s="214" t="str">
        <f>PROPER(Currency)&amp;FamilyName&amp;A26</f>
        <v>JpyLibor1Y</v>
      </c>
      <c r="B27" s="29" t="str">
        <f>_xll.qlMakeDatedOIS(,E27,F27,OvernightIndex,0,,,,EvaluationDate)</f>
        <v>obj_003b5#0001</v>
      </c>
      <c r="C27" s="12" t="b">
        <f>_xll.qlInstrumentSetPricingEngine(B27,OisEngine)</f>
        <v>1</v>
      </c>
      <c r="D27" s="11" t="str">
        <f>Currency&amp;"12x24F"&amp;QuoteSuffix</f>
        <v>JPY12x24F_Quote</v>
      </c>
      <c r="E27" s="53">
        <f>_xll.qlCalendarAdvance(Calendar,SettlementDate,"12M","mf")</f>
        <v>42172</v>
      </c>
      <c r="F27" s="54">
        <f>_xll.qlInterestRateIndexMaturity(A27,E27)</f>
        <v>42538</v>
      </c>
      <c r="G27" s="27" t="e">
        <f>_xll.qlQuoteValue(D27,AllTriggers)</f>
        <v>#NUM!</v>
      </c>
      <c r="H27" s="15">
        <f>_xll.qlOvernightIndexedSwapFairRate(B27,_xll.ohTrigger(C27,InterestRatesTrigger))</f>
        <v>6.903107338162947E-4</v>
      </c>
      <c r="I27" s="16" t="e">
        <f t="shared" si="1"/>
        <v>#NUM!</v>
      </c>
      <c r="J27" s="1" t="b">
        <f>NOT(ISERROR(I27))</f>
        <v>0</v>
      </c>
      <c r="K27" s="15" t="e">
        <f>(I27-_xll.ohFilter($I$25:$I$26,$J$25:$J$26))/(P27-_xll.ohFilter($P$25:$P$26,$J$25:$J$26))</f>
        <v>#NUM!</v>
      </c>
      <c r="L27" s="15" t="e">
        <f>_xll.ohFilter($I$25:$I$26,$J$25:$J$26)-K27*_xll.ohFilter($P$25:$P$26,$J$25:$J$26)</f>
        <v>#NUM!</v>
      </c>
      <c r="M27" s="5"/>
      <c r="N27" s="112">
        <f t="shared" si="2"/>
        <v>365</v>
      </c>
      <c r="O27" s="112">
        <f t="shared" si="3"/>
        <v>731</v>
      </c>
      <c r="P27" s="112">
        <f t="shared" si="7"/>
        <v>1096</v>
      </c>
      <c r="R27" s="91">
        <f t="shared" si="8"/>
        <v>311467</v>
      </c>
      <c r="S27" s="91">
        <f t="shared" si="9"/>
        <v>548</v>
      </c>
      <c r="T27" s="91">
        <v>1</v>
      </c>
      <c r="AA27" s="230"/>
    </row>
    <row r="28" spans="1:34" x14ac:dyDescent="0.2">
      <c r="B28" s="7"/>
      <c r="C28" s="7"/>
      <c r="D28" s="59"/>
      <c r="E28" s="59"/>
      <c r="F28" s="59"/>
      <c r="G28" s="59"/>
      <c r="H28" s="59"/>
      <c r="I28" s="60"/>
      <c r="O28" s="61"/>
      <c r="S28" s="61"/>
      <c r="T28" s="61"/>
      <c r="U28" s="61"/>
      <c r="V28" s="61"/>
      <c r="W28" s="61"/>
      <c r="X28" s="61"/>
      <c r="AA28" s="61"/>
    </row>
    <row r="29" spans="1:34" x14ac:dyDescent="0.2">
      <c r="G29" s="58" t="s">
        <v>40</v>
      </c>
      <c r="H29" s="58" t="s">
        <v>40</v>
      </c>
      <c r="I29" s="58" t="s">
        <v>40</v>
      </c>
      <c r="J29" s="58" t="s">
        <v>40</v>
      </c>
    </row>
    <row r="30" spans="1:34" x14ac:dyDescent="0.2">
      <c r="A30" s="6"/>
      <c r="B30" s="6"/>
      <c r="C30" s="6"/>
      <c r="D30" s="6"/>
      <c r="E30" s="6"/>
      <c r="F30" s="6"/>
      <c r="G30" s="58" t="b">
        <v>0</v>
      </c>
      <c r="H30" s="58" t="b">
        <v>0</v>
      </c>
      <c r="I30" s="58" t="b">
        <v>0</v>
      </c>
      <c r="J30" s="58" t="b">
        <v>0</v>
      </c>
      <c r="M30" s="94" t="s">
        <v>48</v>
      </c>
      <c r="O30" s="58" t="b">
        <v>1</v>
      </c>
      <c r="P30" s="58" t="b">
        <v>1</v>
      </c>
      <c r="U30" s="116" t="s">
        <v>48</v>
      </c>
      <c r="V30" s="117">
        <f>Z9</f>
        <v>-4.1480281861728213E-8</v>
      </c>
      <c r="W30" s="13">
        <f>Z18</f>
        <v>2.3698871434684829E-8</v>
      </c>
    </row>
    <row r="31" spans="1:34" x14ac:dyDescent="0.2">
      <c r="F31" s="43" t="s">
        <v>32</v>
      </c>
      <c r="G31" s="37">
        <f>_xll.ohFilter(I2:I3,J2:J3)</f>
        <v>0</v>
      </c>
      <c r="H31" s="38">
        <f>_xll.ohFilter(I6:I9,J6:J9)</f>
        <v>0</v>
      </c>
      <c r="I31" s="38">
        <f>_xll.ohFilter(I15:I18,J15:J18)</f>
        <v>0</v>
      </c>
      <c r="J31" s="39">
        <f>_xll.ohFilter(I25:I26,J25:J26)</f>
        <v>0</v>
      </c>
      <c r="M31" s="58" t="s">
        <v>45</v>
      </c>
      <c r="N31" s="57" t="e">
        <f>K4</f>
        <v>#NUM!</v>
      </c>
      <c r="O31" s="57">
        <f>K9</f>
        <v>4.8791753016114797E-6</v>
      </c>
      <c r="P31" s="57">
        <f>AVERAGE(K19:K21)</f>
        <v>3.8715050067928447E-6</v>
      </c>
      <c r="Q31" s="57" t="e">
        <f>K26</f>
        <v>#NUM!</v>
      </c>
      <c r="U31" s="118" t="s">
        <v>45</v>
      </c>
      <c r="V31" s="63">
        <f>Z10</f>
        <v>7.9030567392450658E-6</v>
      </c>
      <c r="W31" s="16">
        <f>Z19</f>
        <v>-8.0347043911483534E-6</v>
      </c>
    </row>
    <row r="32" spans="1:34" x14ac:dyDescent="0.2">
      <c r="F32" s="43" t="s">
        <v>31</v>
      </c>
      <c r="G32" s="37">
        <f>IF(G31&lt;H31,G31,H31)</f>
        <v>0</v>
      </c>
      <c r="H32" s="38">
        <f>H31</f>
        <v>0</v>
      </c>
      <c r="I32" s="38">
        <f>IF(I31&lt;H31,H31,I31)</f>
        <v>0</v>
      </c>
      <c r="J32" s="39">
        <f>IF(J31&lt;I31,I31,J31)</f>
        <v>0</v>
      </c>
      <c r="M32" s="58" t="s">
        <v>44</v>
      </c>
      <c r="N32" s="57" t="e">
        <f>L4</f>
        <v>#NUM!</v>
      </c>
      <c r="O32" s="57">
        <f>L9</f>
        <v>0</v>
      </c>
      <c r="P32" s="57">
        <f>L18</f>
        <v>0</v>
      </c>
      <c r="Q32" s="57" t="e">
        <f>L26</f>
        <v>#NUM!</v>
      </c>
      <c r="U32" s="118" t="s">
        <v>44</v>
      </c>
      <c r="V32" s="63">
        <f>Z11</f>
        <v>4.0984986716880193E-4</v>
      </c>
      <c r="W32" s="16">
        <f>Z20</f>
        <v>1.7459718594324061E-3</v>
      </c>
    </row>
    <row r="33" spans="2:23" x14ac:dyDescent="0.2">
      <c r="B33" s="17" t="s">
        <v>26</v>
      </c>
      <c r="C33" s="18"/>
      <c r="D33" s="17" t="s">
        <v>11</v>
      </c>
      <c r="E33" s="18" t="s">
        <v>7</v>
      </c>
      <c r="F33" s="19" t="s">
        <v>6</v>
      </c>
      <c r="G33" s="17" t="s">
        <v>9</v>
      </c>
      <c r="H33" s="18" t="s">
        <v>3</v>
      </c>
      <c r="I33" s="18" t="s">
        <v>15</v>
      </c>
      <c r="J33" s="20" t="s">
        <v>24</v>
      </c>
      <c r="K33" s="17" t="s">
        <v>43</v>
      </c>
      <c r="L33" s="20" t="s">
        <v>36</v>
      </c>
      <c r="N33" s="17" t="s">
        <v>9</v>
      </c>
      <c r="O33" s="18" t="s">
        <v>3</v>
      </c>
      <c r="P33" s="18" t="s">
        <v>15</v>
      </c>
      <c r="Q33" s="20" t="s">
        <v>24</v>
      </c>
      <c r="U33" s="119"/>
      <c r="V33" s="18" t="s">
        <v>3</v>
      </c>
      <c r="W33" s="20" t="s">
        <v>15</v>
      </c>
    </row>
    <row r="34" spans="2:23" x14ac:dyDescent="0.2">
      <c r="B34" s="123" t="str">
        <f>_xll.qlMakeDatedOIS(,E34,F34,OvernightIndex,0,,,,EvaluationDate)</f>
        <v>obj_0039f#0001</v>
      </c>
      <c r="C34" s="7" t="b">
        <f>_xll.qlInstrumentSetPricingEngine(B34,OisEngine)</f>
        <v>1</v>
      </c>
      <c r="D34" s="21" t="s">
        <v>14</v>
      </c>
      <c r="E34" s="51">
        <f t="shared" ref="E34:E49" si="13">SettlementDate</f>
        <v>41807</v>
      </c>
      <c r="F34" s="22">
        <f>_xll.qlCalendarAdvance(Calendar,SettlementDate,D34,"Following")</f>
        <v>41808</v>
      </c>
      <c r="G34" s="32" t="e">
        <f t="shared" ref="G34:J38" si="14">$L34+IF(G$30,G$32,N34)</f>
        <v>#NUM!</v>
      </c>
      <c r="H34" s="32">
        <f t="shared" si="14"/>
        <v>1.0480078345684817E-3</v>
      </c>
      <c r="I34" s="32">
        <f t="shared" si="14"/>
        <v>2.3761826726513215E-3</v>
      </c>
      <c r="J34" s="32" t="e">
        <f t="shared" si="14"/>
        <v>#NUM!</v>
      </c>
      <c r="K34" s="124">
        <f>F34-$E$6</f>
        <v>1</v>
      </c>
      <c r="L34" s="2">
        <f>L35</f>
        <v>6.3422026579067789E-4</v>
      </c>
      <c r="N34" s="62" t="e">
        <f>N$31*$K34+N$32</f>
        <v>#NUM!</v>
      </c>
      <c r="O34" s="63">
        <f t="shared" ref="O34:P40" si="15">IF(O$30,V34,O$31*$K34+O$32)</f>
        <v>4.1378756877780387E-4</v>
      </c>
      <c r="P34" s="63">
        <f t="shared" si="15"/>
        <v>1.7419624068606436E-3</v>
      </c>
      <c r="Q34" s="16" t="e">
        <f t="shared" ref="Q34:Q49" si="16">Q$31*$K34+Q$32</f>
        <v>#NUM!</v>
      </c>
      <c r="U34" s="21" t="s">
        <v>14</v>
      </c>
      <c r="V34" s="63">
        <f t="shared" ref="V34:W40" si="17">$K34*$K34/3*V$30+$K34/2*V$31+V$32</f>
        <v>4.1378756877780387E-4</v>
      </c>
      <c r="W34" s="16">
        <f t="shared" si="17"/>
        <v>1.7419624068606436E-3</v>
      </c>
    </row>
    <row r="35" spans="2:23" x14ac:dyDescent="0.2">
      <c r="B35" s="29" t="str">
        <f>_xll.qlMakeDatedOIS(,E35,F35,OvernightIndex,0,,,,EvaluationDate)</f>
        <v>obj_003a7#0001</v>
      </c>
      <c r="C35" s="5" t="b">
        <f>_xll.qlInstrumentSetPricingEngine(B35,OisEngine)</f>
        <v>1</v>
      </c>
      <c r="D35" s="23" t="s">
        <v>4</v>
      </c>
      <c r="E35" s="53">
        <f t="shared" si="13"/>
        <v>41807</v>
      </c>
      <c r="F35" s="24">
        <f>_xll.qlCalendarAdvance(Calendar,SettlementDate,D35,"Following")</f>
        <v>41814</v>
      </c>
      <c r="G35" s="32" t="e">
        <f t="shared" si="14"/>
        <v>#NUM!</v>
      </c>
      <c r="H35" s="32">
        <f t="shared" si="14"/>
        <v>1.0710533202764293E-3</v>
      </c>
      <c r="I35" s="32">
        <f t="shared" si="14"/>
        <v>2.3524577414208315E-3</v>
      </c>
      <c r="J35" s="32" t="e">
        <f t="shared" si="14"/>
        <v>#NUM!</v>
      </c>
      <c r="K35" s="125">
        <f t="shared" ref="K35:K49" si="18">F35-$E$6</f>
        <v>7</v>
      </c>
      <c r="L35" s="3">
        <f>_xll.qlOvernightIndexedSwapFairRate(B35,_xll.ohTrigger(C35,InterestRatesTrigger))</f>
        <v>6.3422026579067789E-4</v>
      </c>
      <c r="N35" s="62" t="e">
        <f>N$31*$K35+N$32</f>
        <v>#NUM!</v>
      </c>
      <c r="O35" s="63">
        <f t="shared" si="15"/>
        <v>4.3683305448575144E-4</v>
      </c>
      <c r="P35" s="63">
        <f t="shared" si="15"/>
        <v>1.7182374756301534E-3</v>
      </c>
      <c r="Q35" s="16" t="e">
        <f t="shared" si="16"/>
        <v>#NUM!</v>
      </c>
      <c r="U35" s="23" t="s">
        <v>4</v>
      </c>
      <c r="V35" s="63">
        <f t="shared" si="17"/>
        <v>4.3683305448575144E-4</v>
      </c>
      <c r="W35" s="16">
        <f t="shared" si="17"/>
        <v>1.7182374756301534E-3</v>
      </c>
    </row>
    <row r="36" spans="2:23" x14ac:dyDescent="0.2">
      <c r="B36" s="29" t="str">
        <f>_xll.qlMakeDatedOIS(,E36,F36,OvernightIndex,0,,,,EvaluationDate)</f>
        <v>obj_003ab#0001</v>
      </c>
      <c r="C36" s="5" t="b">
        <f>_xll.qlInstrumentSetPricingEngine(B36,OisEngine)</f>
        <v>1</v>
      </c>
      <c r="D36" s="23" t="s">
        <v>5</v>
      </c>
      <c r="E36" s="53">
        <f t="shared" si="13"/>
        <v>41807</v>
      </c>
      <c r="F36" s="24">
        <f>_xll.qlCalendarAdvance(Calendar,SettlementDate,D36,"Following")</f>
        <v>41821</v>
      </c>
      <c r="G36" s="32" t="e">
        <f t="shared" si="14"/>
        <v>#NUM!</v>
      </c>
      <c r="H36" s="32">
        <f t="shared" si="14"/>
        <v>1.0980920114739405E-3</v>
      </c>
      <c r="I36" s="32">
        <f t="shared" si="14"/>
        <v>2.3269080471734899E-3</v>
      </c>
      <c r="J36" s="32" t="e">
        <f t="shared" si="14"/>
        <v>#NUM!</v>
      </c>
      <c r="K36" s="125">
        <f t="shared" si="18"/>
        <v>14</v>
      </c>
      <c r="L36" s="3">
        <f>_xll.qlOvernightIndexedSwapFairRate(B36,_xll.ohTrigger(C36,InterestRatesTrigger))</f>
        <v>6.3563079221205603E-4</v>
      </c>
      <c r="N36" s="62" t="e">
        <f>N$31*$K36+N$32</f>
        <v>#NUM!</v>
      </c>
      <c r="O36" s="63">
        <f t="shared" si="15"/>
        <v>4.6246121926188448E-4</v>
      </c>
      <c r="P36" s="63">
        <f t="shared" si="15"/>
        <v>1.6912772549614336E-3</v>
      </c>
      <c r="Q36" s="16" t="e">
        <f t="shared" si="16"/>
        <v>#NUM!</v>
      </c>
      <c r="U36" s="23" t="s">
        <v>5</v>
      </c>
      <c r="V36" s="63">
        <f t="shared" si="17"/>
        <v>4.6246121926188448E-4</v>
      </c>
      <c r="W36" s="16">
        <f t="shared" si="17"/>
        <v>1.6912772549614336E-3</v>
      </c>
    </row>
    <row r="37" spans="2:23" x14ac:dyDescent="0.2">
      <c r="B37" s="30" t="str">
        <f>_xll.qlMakeDatedOIS(,E37,F37,OvernightIndex,0,,,,EvaluationDate)</f>
        <v>obj_003ae#0001</v>
      </c>
      <c r="C37" s="10" t="b">
        <f>_xll.qlInstrumentSetPricingEngine(B37,OisEngine)</f>
        <v>1</v>
      </c>
      <c r="D37" s="31" t="s">
        <v>8</v>
      </c>
      <c r="E37" s="52">
        <f t="shared" si="13"/>
        <v>41807</v>
      </c>
      <c r="F37" s="26">
        <f>_xll.qlCalendarAdvance(Calendar,SettlementDate,D37,"Following")</f>
        <v>41828</v>
      </c>
      <c r="G37" s="35" t="e">
        <f t="shared" si="14"/>
        <v>#NUM!</v>
      </c>
      <c r="H37" s="35">
        <f>$L37+IF(H$30,H$32,O37)</f>
        <v>1.1243724685512215E-3</v>
      </c>
      <c r="I37" s="35">
        <f t="shared" si="14"/>
        <v>2.3027293044802673E-3</v>
      </c>
      <c r="J37" s="35" t="e">
        <f t="shared" si="14"/>
        <v>#NUM!</v>
      </c>
      <c r="K37" s="126">
        <f t="shared" si="18"/>
        <v>21</v>
      </c>
      <c r="L37" s="4">
        <f>_xll.qlOvernightIndexedSwapFairRate(B37,_xll.ohTrigger(C37,InterestRatesTrigger))</f>
        <v>6.3763810705402032E-4</v>
      </c>
      <c r="N37" s="92" t="e">
        <f>N$31*$K37+N$32</f>
        <v>#NUM!</v>
      </c>
      <c r="O37" s="93">
        <f t="shared" si="15"/>
        <v>4.8673436149720105E-4</v>
      </c>
      <c r="P37" s="93">
        <f t="shared" si="15"/>
        <v>1.6650911974262471E-3</v>
      </c>
      <c r="Q37" s="14" t="e">
        <f t="shared" si="16"/>
        <v>#NUM!</v>
      </c>
      <c r="U37" s="31" t="s">
        <v>8</v>
      </c>
      <c r="V37" s="93">
        <f t="shared" si="17"/>
        <v>4.8673436149720105E-4</v>
      </c>
      <c r="W37" s="14">
        <f t="shared" si="17"/>
        <v>1.6650911974262471E-3</v>
      </c>
    </row>
    <row r="38" spans="2:23" x14ac:dyDescent="0.2">
      <c r="B38" s="29" t="str">
        <f>_xll.qlMakeDatedOIS(,E38,F38,OvernightIndex,0,,,,EvaluationDate)</f>
        <v>obj_003a9#0001</v>
      </c>
      <c r="C38" s="5" t="b">
        <f>_xll.qlInstrumentSetPricingEngine(B38,OisEngine)</f>
        <v>1</v>
      </c>
      <c r="D38" s="23" t="s">
        <v>9</v>
      </c>
      <c r="E38" s="53">
        <f t="shared" si="13"/>
        <v>41807</v>
      </c>
      <c r="F38" s="24">
        <f>_xll.qlCalendarAdvance(Calendar,SettlementDate,D38,"mf",TRUE)</f>
        <v>41837</v>
      </c>
      <c r="G38" s="34" t="e">
        <f t="shared" si="14"/>
        <v>#NUM!</v>
      </c>
      <c r="H38" s="34">
        <f t="shared" si="14"/>
        <v>1.1570475241109062E-3</v>
      </c>
      <c r="I38" s="34">
        <f t="shared" si="14"/>
        <v>2.2736568454075328E-3</v>
      </c>
      <c r="J38" s="34" t="e">
        <f t="shared" si="14"/>
        <v>#NUM!</v>
      </c>
      <c r="K38" s="124">
        <f t="shared" si="18"/>
        <v>30</v>
      </c>
      <c r="L38" s="3">
        <f>_xll.qlOvernightIndexedSwapFairRate(B38,_xll.ohTrigger(C38,InterestRatesTrigger))</f>
        <v>6.4109589041194681E-4</v>
      </c>
      <c r="N38" s="62" t="e">
        <f>N$31*$K38+N$32</f>
        <v>#NUM!</v>
      </c>
      <c r="O38" s="63">
        <f t="shared" si="15"/>
        <v>5.1595163369895947E-4</v>
      </c>
      <c r="P38" s="63">
        <f t="shared" si="15"/>
        <v>1.6325609549955862E-3</v>
      </c>
      <c r="Q38" s="16" t="e">
        <f t="shared" si="16"/>
        <v>#NUM!</v>
      </c>
      <c r="U38" s="23" t="s">
        <v>9</v>
      </c>
      <c r="V38" s="63">
        <f t="shared" si="17"/>
        <v>5.1595163369895947E-4</v>
      </c>
      <c r="W38" s="16">
        <f t="shared" si="17"/>
        <v>1.6325609549955862E-3</v>
      </c>
    </row>
    <row r="39" spans="2:23" x14ac:dyDescent="0.2">
      <c r="B39" s="29" t="str">
        <f>_xll.qlMakeDatedOIS(,E39,F39,OvernightIndex,0,,,,EvaluationDate)</f>
        <v>obj_003a4#0001</v>
      </c>
      <c r="C39" s="5" t="b">
        <f>_xll.qlInstrumentSetPricingEngine(B39,OisEngine)</f>
        <v>1</v>
      </c>
      <c r="D39" s="23" t="s">
        <v>10</v>
      </c>
      <c r="E39" s="53">
        <f t="shared" si="13"/>
        <v>41807</v>
      </c>
      <c r="F39" s="24">
        <f>_xll.qlCalendarAdvance(Calendar,SettlementDate,D39,"mf",TRUE)</f>
        <v>41869</v>
      </c>
      <c r="G39" s="47"/>
      <c r="H39" s="32">
        <f t="shared" ref="H39:J40" si="19">$L39+IF(H$30,H$32,O39)</f>
        <v>1.2427904486719374E-3</v>
      </c>
      <c r="I39" s="32">
        <f t="shared" si="19"/>
        <v>2.1683580676504829E-3</v>
      </c>
      <c r="J39" s="32" t="e">
        <f t="shared" si="19"/>
        <v>#NUM!</v>
      </c>
      <c r="K39" s="125">
        <f t="shared" si="18"/>
        <v>62</v>
      </c>
      <c r="L39" s="3">
        <f>_xll.qlOvernightIndexedSwapFairRate(B39,_xll.ohTrigger(C39,InterestRatesTrigger))</f>
        <v>6.410958904120329E-4</v>
      </c>
      <c r="N39" s="47"/>
      <c r="O39" s="63">
        <f t="shared" si="15"/>
        <v>6.0169455825990451E-4</v>
      </c>
      <c r="P39" s="63">
        <f t="shared" si="15"/>
        <v>1.52726217723845E-3</v>
      </c>
      <c r="Q39" s="16" t="e">
        <f t="shared" si="16"/>
        <v>#NUM!</v>
      </c>
      <c r="U39" s="23" t="s">
        <v>10</v>
      </c>
      <c r="V39" s="63">
        <f t="shared" si="17"/>
        <v>6.0169455825990451E-4</v>
      </c>
      <c r="W39" s="16">
        <f t="shared" si="17"/>
        <v>1.52726217723845E-3</v>
      </c>
    </row>
    <row r="40" spans="2:23" x14ac:dyDescent="0.2">
      <c r="B40" s="29" t="str">
        <f>_xll.qlMakeDatedOIS(,E40,F40,OvernightIndex,0,,,,EvaluationDate)</f>
        <v>obj_003a2#0001</v>
      </c>
      <c r="C40" s="5" t="b">
        <f>_xll.qlInstrumentSetPricingEngine(B40,OisEngine)</f>
        <v>1</v>
      </c>
      <c r="D40" s="23" t="s">
        <v>3</v>
      </c>
      <c r="E40" s="53">
        <f t="shared" si="13"/>
        <v>41807</v>
      </c>
      <c r="F40" s="24">
        <f>_xll.qlCalendarAdvance(Calendar,SettlementDate,D40,"mf",TRUE)</f>
        <v>41899</v>
      </c>
      <c r="G40" s="45"/>
      <c r="H40" s="32">
        <f t="shared" si="19"/>
        <v>1.2727991314460728E-3</v>
      </c>
      <c r="I40" s="32">
        <f t="shared" si="19"/>
        <v>2.0596762295451931E-3</v>
      </c>
      <c r="J40" s="32" t="e">
        <f t="shared" si="19"/>
        <v>#NUM!</v>
      </c>
      <c r="K40" s="125">
        <f t="shared" si="18"/>
        <v>92</v>
      </c>
      <c r="L40" s="3">
        <f>_xll.qlOvernightIndexedSwapFairRate(B40,_xll.ohTrigger(C40,InterestRatesTrigger))</f>
        <v>6.1643835616455366E-4</v>
      </c>
      <c r="N40" s="45"/>
      <c r="O40" s="63">
        <f t="shared" si="15"/>
        <v>6.5636077528151914E-4</v>
      </c>
      <c r="P40" s="63">
        <f t="shared" si="15"/>
        <v>1.4432378733806393E-3</v>
      </c>
      <c r="Q40" s="16" t="e">
        <f t="shared" si="16"/>
        <v>#NUM!</v>
      </c>
      <c r="U40" s="23" t="s">
        <v>3</v>
      </c>
      <c r="V40" s="63">
        <f t="shared" si="17"/>
        <v>6.5636077528151914E-4</v>
      </c>
      <c r="W40" s="16">
        <f t="shared" si="17"/>
        <v>1.4432378733806393E-3</v>
      </c>
    </row>
    <row r="41" spans="2:23" x14ac:dyDescent="0.2">
      <c r="B41" s="29" t="str">
        <f>_xll.qlMakeDatedOIS(,E41,F41,OvernightIndex,0,,,,EvaluationDate)</f>
        <v>obj_003aa#0001</v>
      </c>
      <c r="C41" s="5" t="b">
        <f>_xll.qlInstrumentSetPricingEngine(B41,OisEngine)</f>
        <v>1</v>
      </c>
      <c r="D41" s="23" t="s">
        <v>12</v>
      </c>
      <c r="E41" s="53">
        <f t="shared" si="13"/>
        <v>41807</v>
      </c>
      <c r="F41" s="24">
        <f>_xll.qlCalendarAdvance(Calendar,SettlementDate,D41,"mf",TRUE)</f>
        <v>41929</v>
      </c>
      <c r="G41" s="36"/>
      <c r="H41" s="46"/>
      <c r="I41" s="32">
        <f t="shared" ref="I41:J43" si="20">$L41+IF(I$30,I$32,P41)</f>
        <v>1.9898712485484351E-3</v>
      </c>
      <c r="J41" s="32" t="e">
        <f t="shared" si="20"/>
        <v>#NUM!</v>
      </c>
      <c r="K41" s="125">
        <f t="shared" si="18"/>
        <v>122</v>
      </c>
      <c r="L41" s="3">
        <f>_xll.qlOvernightIndexedSwapFairRate(B41,_xll.ohTrigger(C41,InterestRatesTrigger))</f>
        <v>6.1643835616479576E-4</v>
      </c>
      <c r="N41" s="36"/>
      <c r="O41" s="46"/>
      <c r="P41" s="63">
        <f>IF(P$30,W41,P$31*$K41+P$32)</f>
        <v>1.3734328923836396E-3</v>
      </c>
      <c r="Q41" s="16" t="e">
        <f t="shared" si="16"/>
        <v>#NUM!</v>
      </c>
      <c r="U41" s="23" t="s">
        <v>12</v>
      </c>
      <c r="V41" s="63"/>
      <c r="W41" s="16">
        <f>$K41*$K41/3*W$30+$K41/2*W$31+W$32</f>
        <v>1.3734328923836396E-3</v>
      </c>
    </row>
    <row r="42" spans="2:23" x14ac:dyDescent="0.2">
      <c r="B42" s="29" t="str">
        <f>_xll.qlMakeDatedOIS(,E42,F42,OvernightIndex,0,,,,EvaluationDate)</f>
        <v>obj_003a1#0001</v>
      </c>
      <c r="C42" s="5" t="b">
        <f>_xll.qlInstrumentSetPricingEngine(B42,OisEngine)</f>
        <v>1</v>
      </c>
      <c r="D42" s="23" t="s">
        <v>13</v>
      </c>
      <c r="E42" s="53">
        <f t="shared" si="13"/>
        <v>41807</v>
      </c>
      <c r="F42" s="24">
        <f>_xll.qlCalendarAdvance(Calendar,SettlementDate,D42,"mf",TRUE)</f>
        <v>41960</v>
      </c>
      <c r="G42" s="36"/>
      <c r="H42" s="44"/>
      <c r="I42" s="32">
        <f t="shared" si="20"/>
        <v>1.9326776234790529E-3</v>
      </c>
      <c r="J42" s="32" t="e">
        <f t="shared" si="20"/>
        <v>#NUM!</v>
      </c>
      <c r="K42" s="125">
        <f t="shared" si="18"/>
        <v>153</v>
      </c>
      <c r="L42" s="3">
        <f>_xll.qlOvernightIndexedSwapFairRate(B42,_xll.ohTrigger(C42,InterestRatesTrigger))</f>
        <v>6.1643835616465015E-4</v>
      </c>
      <c r="N42" s="36"/>
      <c r="O42" s="44"/>
      <c r="P42" s="63">
        <f>IF(P$30,W42,P$31*$K42+P$32)</f>
        <v>1.3162392673144027E-3</v>
      </c>
      <c r="Q42" s="16" t="e">
        <f t="shared" si="16"/>
        <v>#NUM!</v>
      </c>
      <c r="U42" s="23" t="s">
        <v>13</v>
      </c>
      <c r="V42" s="63"/>
      <c r="W42" s="16">
        <f>$K42*$K42/3*W$30+$K42/2*W$31+W$32</f>
        <v>1.3162392673144027E-3</v>
      </c>
    </row>
    <row r="43" spans="2:23" x14ac:dyDescent="0.2">
      <c r="B43" s="29" t="str">
        <f>_xll.qlMakeDatedOIS(,E43,F43,OvernightIndex,0,,,,EvaluationDate)</f>
        <v>obj_003a5#0001</v>
      </c>
      <c r="C43" s="5" t="b">
        <f>_xll.qlInstrumentSetPricingEngine(B43,OisEngine)</f>
        <v>1</v>
      </c>
      <c r="D43" s="25" t="s">
        <v>15</v>
      </c>
      <c r="E43" s="53">
        <f t="shared" si="13"/>
        <v>41807</v>
      </c>
      <c r="F43" s="24">
        <f>_xll.qlCalendarAdvance(Calendar,SettlementDate,D43,"mf",TRUE)</f>
        <v>41990</v>
      </c>
      <c r="G43" s="36"/>
      <c r="H43" s="44"/>
      <c r="I43" s="32">
        <f t="shared" si="20"/>
        <v>1.8917852656320775E-3</v>
      </c>
      <c r="J43" s="32" t="e">
        <f t="shared" si="20"/>
        <v>#NUM!</v>
      </c>
      <c r="K43" s="125">
        <f t="shared" si="18"/>
        <v>183</v>
      </c>
      <c r="L43" s="3">
        <f>_xll.qlOvernightIndexedSwapFairRate(B43,_xll.ohTrigger(C43,InterestRatesTrigger))</f>
        <v>6.1643835616435904E-4</v>
      </c>
      <c r="N43" s="36"/>
      <c r="O43" s="44"/>
      <c r="P43" s="63">
        <f>IF(P$30,W43,P$31*$K43+P$32)</f>
        <v>1.2753469094677185E-3</v>
      </c>
      <c r="Q43" s="16" t="e">
        <f t="shared" si="16"/>
        <v>#NUM!</v>
      </c>
      <c r="U43" s="120" t="s">
        <v>15</v>
      </c>
      <c r="V43" s="93"/>
      <c r="W43" s="14">
        <f>$K43*$K43/3*W$30+$K43/2*W$31+W$32</f>
        <v>1.2753469094677185E-3</v>
      </c>
    </row>
    <row r="44" spans="2:23" x14ac:dyDescent="0.2">
      <c r="B44" s="29" t="str">
        <f>_xll.qlMakeDatedOIS(,E44,F44,OvernightIndex,0,,,,EvaluationDate)</f>
        <v>obj_003ad#0001</v>
      </c>
      <c r="C44" s="5" t="b">
        <f>_xll.qlInstrumentSetPricingEngine(B44,OisEngine)</f>
        <v>1</v>
      </c>
      <c r="D44" s="25" t="s">
        <v>18</v>
      </c>
      <c r="E44" s="53">
        <f t="shared" si="13"/>
        <v>41807</v>
      </c>
      <c r="F44" s="24">
        <f>_xll.qlCalendarAdvance(Calendar,SettlementDate,D44,"mf",TRUE)</f>
        <v>42023</v>
      </c>
      <c r="G44" s="36"/>
      <c r="H44" s="33"/>
      <c r="I44" s="46"/>
      <c r="J44" s="32" t="e">
        <f t="shared" ref="J44:J49" si="21">$L44+IF(J$30,J$32,Q44)</f>
        <v>#NUM!</v>
      </c>
      <c r="K44" s="125">
        <f t="shared" si="18"/>
        <v>216</v>
      </c>
      <c r="L44" s="3">
        <f>_xll.qlOvernightIndexedSwapFairRate(B44,_xll.ohTrigger(C44,InterestRatesTrigger))</f>
        <v>6.1902535194779962E-4</v>
      </c>
      <c r="N44" s="36"/>
      <c r="O44" s="33"/>
      <c r="P44" s="46"/>
      <c r="Q44" s="16" t="e">
        <f t="shared" si="16"/>
        <v>#NUM!</v>
      </c>
    </row>
    <row r="45" spans="2:23" x14ac:dyDescent="0.2">
      <c r="B45" s="29" t="str">
        <f>_xll.qlMakeDatedOIS(,E45,F45,OvernightIndex,0,,,,EvaluationDate)</f>
        <v>obj_003a6#0001</v>
      </c>
      <c r="C45" s="5" t="b">
        <f>_xll.qlInstrumentSetPricingEngine(B45,OisEngine)</f>
        <v>1</v>
      </c>
      <c r="D45" s="25" t="s">
        <v>19</v>
      </c>
      <c r="E45" s="53">
        <f t="shared" si="13"/>
        <v>41807</v>
      </c>
      <c r="F45" s="24">
        <f>_xll.qlCalendarAdvance(Calendar,SettlementDate,D45,"mf",TRUE)</f>
        <v>42052</v>
      </c>
      <c r="G45" s="36"/>
      <c r="H45" s="33"/>
      <c r="I45" s="44"/>
      <c r="J45" s="32" t="e">
        <f t="shared" si="21"/>
        <v>#NUM!</v>
      </c>
      <c r="K45" s="125">
        <f t="shared" si="18"/>
        <v>245</v>
      </c>
      <c r="L45" s="3">
        <f>_xll.qlOvernightIndexedSwapFairRate(B45,_xll.ohTrigger(C45,InterestRatesTrigger))</f>
        <v>6.1977269886500806E-4</v>
      </c>
      <c r="N45" s="36"/>
      <c r="O45" s="33"/>
      <c r="P45" s="44"/>
      <c r="Q45" s="16" t="e">
        <f t="shared" si="16"/>
        <v>#NUM!</v>
      </c>
    </row>
    <row r="46" spans="2:23" x14ac:dyDescent="0.2">
      <c r="B46" s="29" t="str">
        <f>_xll.qlMakeDatedOIS(,E46,F46,OvernightIndex,0,,,,EvaluationDate)</f>
        <v>obj_003a0#0001</v>
      </c>
      <c r="C46" s="5" t="b">
        <f>_xll.qlInstrumentSetPricingEngine(B46,OisEngine)</f>
        <v>1</v>
      </c>
      <c r="D46" s="25" t="s">
        <v>20</v>
      </c>
      <c r="E46" s="53">
        <f t="shared" si="13"/>
        <v>41807</v>
      </c>
      <c r="F46" s="24">
        <f>_xll.qlCalendarAdvance(Calendar,SettlementDate,D46,"mf",TRUE)</f>
        <v>42080</v>
      </c>
      <c r="G46" s="36"/>
      <c r="H46" s="33"/>
      <c r="I46" s="44"/>
      <c r="J46" s="32" t="e">
        <f t="shared" si="21"/>
        <v>#NUM!</v>
      </c>
      <c r="K46" s="125">
        <f t="shared" si="18"/>
        <v>273</v>
      </c>
      <c r="L46" s="3">
        <f>_xll.qlOvernightIndexedSwapFairRate(B46,_xll.ohTrigger(C46,InterestRatesTrigger))</f>
        <v>6.164383561644551E-4</v>
      </c>
      <c r="N46" s="36"/>
      <c r="O46" s="33"/>
      <c r="P46" s="44"/>
      <c r="Q46" s="16" t="e">
        <f t="shared" si="16"/>
        <v>#NUM!</v>
      </c>
    </row>
    <row r="47" spans="2:23" x14ac:dyDescent="0.2">
      <c r="B47" s="29" t="str">
        <f>_xll.qlMakeDatedOIS(,E47,F47,OvernightIndex,0,,,,EvaluationDate)</f>
        <v>obj_003a3#0001</v>
      </c>
      <c r="C47" s="5" t="b">
        <f>_xll.qlInstrumentSetPricingEngine(B47,OisEngine)</f>
        <v>1</v>
      </c>
      <c r="D47" s="25" t="s">
        <v>21</v>
      </c>
      <c r="E47" s="53">
        <f t="shared" si="13"/>
        <v>41807</v>
      </c>
      <c r="F47" s="24">
        <f>_xll.qlCalendarAdvance(Calendar,SettlementDate,D47,"mf",TRUE)</f>
        <v>42111</v>
      </c>
      <c r="G47" s="36"/>
      <c r="H47" s="33"/>
      <c r="I47" s="44"/>
      <c r="J47" s="32" t="e">
        <f t="shared" si="21"/>
        <v>#NUM!</v>
      </c>
      <c r="K47" s="125">
        <f t="shared" si="18"/>
        <v>304</v>
      </c>
      <c r="L47" s="3">
        <f>_xll.qlOvernightIndexedSwapFairRate(B47,_xll.ohTrigger(C47,InterestRatesTrigger))</f>
        <v>6.076480402808066E-4</v>
      </c>
      <c r="N47" s="36"/>
      <c r="O47" s="33"/>
      <c r="P47" s="44"/>
      <c r="Q47" s="16" t="e">
        <f t="shared" si="16"/>
        <v>#NUM!</v>
      </c>
    </row>
    <row r="48" spans="2:23" x14ac:dyDescent="0.2">
      <c r="B48" s="29" t="str">
        <f>_xll.qlMakeDatedOIS(,E48,F48,OvernightIndex,0,,,,EvaluationDate)</f>
        <v>obj_003a8#0001</v>
      </c>
      <c r="C48" s="5" t="b">
        <f>_xll.qlInstrumentSetPricingEngine(B48,OisEngine)</f>
        <v>1</v>
      </c>
      <c r="D48" s="25" t="s">
        <v>22</v>
      </c>
      <c r="E48" s="53">
        <f t="shared" si="13"/>
        <v>41807</v>
      </c>
      <c r="F48" s="24">
        <f>_xll.qlCalendarAdvance(Calendar,SettlementDate,D48,"mf",TRUE)</f>
        <v>42142</v>
      </c>
      <c r="G48" s="36"/>
      <c r="H48" s="33"/>
      <c r="I48" s="44"/>
      <c r="J48" s="32" t="e">
        <f t="shared" si="21"/>
        <v>#NUM!</v>
      </c>
      <c r="K48" s="125">
        <f t="shared" si="18"/>
        <v>335</v>
      </c>
      <c r="L48" s="3">
        <f>_xll.qlOvernightIndexedSwapFairRate(B48,_xll.ohTrigger(C48,InterestRatesTrigger))</f>
        <v>5.980112507474306E-4</v>
      </c>
      <c r="N48" s="36"/>
      <c r="O48" s="33"/>
      <c r="P48" s="44"/>
      <c r="Q48" s="16" t="e">
        <f t="shared" si="16"/>
        <v>#NUM!</v>
      </c>
    </row>
    <row r="49" spans="2:17" x14ac:dyDescent="0.2">
      <c r="B49" s="30" t="str">
        <f>_xll.qlMakeDatedOIS(,E49,F49,OvernightIndex,0,,,,EvaluationDate)</f>
        <v>obj_003ac#0001</v>
      </c>
      <c r="C49" s="10" t="b">
        <f>_xll.qlInstrumentSetPricingEngine(B49,OisEngine)</f>
        <v>1</v>
      </c>
      <c r="D49" s="25" t="s">
        <v>23</v>
      </c>
      <c r="E49" s="53">
        <f t="shared" si="13"/>
        <v>41807</v>
      </c>
      <c r="F49" s="24">
        <f>_xll.qlCalendarAdvance(Calendar,SettlementDate,D49,"mf",TRUE)</f>
        <v>42172</v>
      </c>
      <c r="G49" s="36"/>
      <c r="H49" s="33"/>
      <c r="I49" s="44"/>
      <c r="J49" s="32" t="e">
        <f t="shared" si="21"/>
        <v>#NUM!</v>
      </c>
      <c r="K49" s="125">
        <f t="shared" si="18"/>
        <v>365</v>
      </c>
      <c r="L49" s="3">
        <f>_xll.qlOvernightIndexedSwapFairRate(B49,_xll.ohTrigger(C49,InterestRatesTrigger))</f>
        <v>5.9178082191796216E-4</v>
      </c>
      <c r="N49" s="64"/>
      <c r="O49" s="65"/>
      <c r="P49" s="66"/>
      <c r="Q49" s="14" t="e">
        <f t="shared" si="16"/>
        <v>#NUM!</v>
      </c>
    </row>
    <row r="50" spans="2:17" x14ac:dyDescent="0.2">
      <c r="D50" s="7"/>
      <c r="E50" s="7"/>
      <c r="F50" s="7"/>
      <c r="G50" s="7"/>
      <c r="H50" s="7"/>
      <c r="I50" s="7"/>
      <c r="J50" s="7"/>
      <c r="K50" s="7"/>
      <c r="L50" s="7"/>
    </row>
  </sheetData>
  <phoneticPr fontId="4" type="noConversion"/>
  <dataValidations count="1">
    <dataValidation type="list" allowBlank="1" showInputMessage="1" showErrorMessage="1" sqref="G30:J30 O30:P3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41"/>
  <sheetViews>
    <sheetView workbookViewId="0"/>
  </sheetViews>
  <sheetFormatPr defaultRowHeight="11.25" x14ac:dyDescent="0.2"/>
  <cols>
    <col min="1" max="1" width="4.33203125" style="1" customWidth="1"/>
    <col min="2" max="2" width="8.1640625" style="1" bestFit="1" customWidth="1"/>
    <col min="3" max="4" width="35.83203125" style="1" customWidth="1"/>
    <col min="5" max="5" width="25.83203125" style="1" customWidth="1"/>
    <col min="6" max="6" width="3.33203125" style="1" customWidth="1"/>
    <col min="7" max="7" width="2.83203125" style="1" customWidth="1"/>
    <col min="8" max="8" width="3.5" style="1" bestFit="1" customWidth="1"/>
    <col min="9" max="9" width="8.1640625" style="1" bestFit="1" customWidth="1"/>
    <col min="10" max="10" width="9.33203125" style="1"/>
    <col min="11" max="11" width="2.83203125" style="1" customWidth="1"/>
    <col min="12" max="12" width="9.33203125" style="1"/>
    <col min="13" max="13" width="2.83203125" style="1" customWidth="1"/>
    <col min="14" max="14" width="13.6640625" style="1" customWidth="1"/>
    <col min="15" max="15" width="10.83203125" style="1" customWidth="1"/>
    <col min="16" max="16" width="5.83203125" style="1" customWidth="1"/>
    <col min="17" max="16384" width="9.33203125" style="1"/>
  </cols>
  <sheetData>
    <row r="1" spans="1:16" ht="12" thickBot="1" x14ac:dyDescent="0.25">
      <c r="A1" s="175"/>
      <c r="B1" s="176"/>
      <c r="C1" s="177"/>
      <c r="D1" s="176"/>
      <c r="E1" s="176"/>
      <c r="F1" s="178"/>
      <c r="H1" s="141"/>
      <c r="I1" s="160"/>
      <c r="J1" s="160"/>
      <c r="K1" s="161"/>
      <c r="L1" s="161"/>
      <c r="M1" s="161"/>
      <c r="N1" s="160"/>
      <c r="O1" s="179"/>
      <c r="P1" s="162"/>
    </row>
    <row r="2" spans="1:16" ht="12.75" customHeight="1" x14ac:dyDescent="0.25">
      <c r="A2" s="180"/>
      <c r="B2" s="181"/>
      <c r="C2" s="182" t="str">
        <f>Currency&amp;"_015_SyntheticQuotes"&amp;".xml"</f>
        <v>JPY_015_SyntheticQuotes.xml</v>
      </c>
      <c r="D2" s="183" t="str">
        <f>IF(Serialize,_xll.ohObjectSave(D3:D7,SerializationPath&amp;C2,FileOverwrite,Serialize),"---")</f>
        <v>---</v>
      </c>
      <c r="E2" s="184"/>
      <c r="F2" s="185"/>
      <c r="H2" s="155"/>
      <c r="I2" s="158"/>
      <c r="J2" s="174" t="s">
        <v>69</v>
      </c>
      <c r="K2" s="157"/>
      <c r="L2" s="174" t="s">
        <v>70</v>
      </c>
      <c r="M2" s="157"/>
      <c r="N2" s="158" t="s">
        <v>71</v>
      </c>
      <c r="O2" s="159" t="s">
        <v>72</v>
      </c>
      <c r="P2" s="215">
        <f>_xll.ohTrigger(O3:O7)</f>
        <v>12</v>
      </c>
    </row>
    <row r="3" spans="1:16" x14ac:dyDescent="0.2">
      <c r="A3" s="201">
        <v>1</v>
      </c>
      <c r="B3" s="191" t="s">
        <v>54</v>
      </c>
      <c r="C3" s="186" t="str">
        <f t="shared" ref="C3:C7" si="0">Currency&amp;$B3&amp;"_SYNTH"&amp;Tenor1M&amp;QuoteSuffix</f>
        <v>JPYSND_SYNTH1M_Quote</v>
      </c>
      <c r="D3" s="187" t="str">
        <f>_xll.qlSimpleQuote(C3,,RateTickValue,Permanent,EvaluationDate,ObjectOverwrite)</f>
        <v>JPYSND_SYNTH1M_Quote#0001</v>
      </c>
      <c r="E3" s="188" t="str">
        <f>_xll.ohRangeRetrieveError(D3)</f>
        <v/>
      </c>
      <c r="F3" s="185"/>
      <c r="H3" s="189"/>
      <c r="I3" s="163" t="s">
        <v>54</v>
      </c>
      <c r="J3" s="218" t="e">
        <f>ROUND(Depo_Calculation!$G34,6)</f>
        <v>#NUM!</v>
      </c>
      <c r="K3" s="156"/>
      <c r="L3" s="166">
        <v>9.7300000000000002E-4</v>
      </c>
      <c r="M3" s="140"/>
      <c r="N3" s="169" t="e">
        <f t="array" ref="N3:N40">QuoteLive</f>
        <v>#NUM!</v>
      </c>
      <c r="O3" s="170" t="e">
        <f>_xll.qlSimpleQuoteSetValue(D3,ROUND(N3,6),EvaluationDate)</f>
        <v>#NUM!</v>
      </c>
      <c r="P3" s="190"/>
    </row>
    <row r="4" spans="1:16" ht="11.45" customHeight="1" x14ac:dyDescent="0.2">
      <c r="A4" s="201" t="str">
        <f>_xll.qlPeriodEquivalent(Months1M&amp;"M")</f>
        <v>1M</v>
      </c>
      <c r="B4" s="191" t="s">
        <v>55</v>
      </c>
      <c r="C4" s="186" t="str">
        <f t="shared" si="0"/>
        <v>JPYSWD_SYNTH1M_Quote</v>
      </c>
      <c r="D4" s="187" t="str">
        <f>_xll.qlSimpleQuote(C4,,RateTickValue,Permanent,EvaluationDate,ObjectOverwrite)</f>
        <v>JPYSWD_SYNTH1M_Quote#0001</v>
      </c>
      <c r="E4" s="188" t="str">
        <f>_xll.ohRangeRetrieveError(D4)</f>
        <v/>
      </c>
      <c r="F4" s="185"/>
      <c r="H4" s="189"/>
      <c r="I4" s="163" t="s">
        <v>55</v>
      </c>
      <c r="J4" s="218" t="e">
        <f>ROUND(Depo_Calculation!$G35,6)</f>
        <v>#NUM!</v>
      </c>
      <c r="K4" s="156"/>
      <c r="L4" s="166">
        <v>9.7300000000000002E-4</v>
      </c>
      <c r="M4" s="140"/>
      <c r="N4" s="169" t="e">
        <v>#NUM!</v>
      </c>
      <c r="O4" s="170" t="e">
        <f>_xll.qlSimpleQuoteSetValue(D4,ROUND(N4,6),EvaluationDate)</f>
        <v>#NUM!</v>
      </c>
      <c r="P4" s="190"/>
    </row>
    <row r="5" spans="1:16" x14ac:dyDescent="0.2">
      <c r="A5" s="202"/>
      <c r="B5" s="191" t="s">
        <v>56</v>
      </c>
      <c r="C5" s="186" t="str">
        <f t="shared" si="0"/>
        <v>JPY2WD_SYNTH1M_Quote</v>
      </c>
      <c r="D5" s="187" t="str">
        <f>_xll.qlSimpleQuote(C5,,RateTickValue,Permanent,EvaluationDate,ObjectOverwrite)</f>
        <v>JPY2WD_SYNTH1M_Quote#0001</v>
      </c>
      <c r="E5" s="188" t="str">
        <f>_xll.ohRangeRetrieveError(D5)</f>
        <v/>
      </c>
      <c r="F5" s="185"/>
      <c r="H5" s="189"/>
      <c r="I5" s="163" t="s">
        <v>56</v>
      </c>
      <c r="J5" s="218" t="e">
        <f>ROUND(Depo_Calculation!$G36,6)</f>
        <v>#NUM!</v>
      </c>
      <c r="K5" s="156"/>
      <c r="L5" s="166">
        <v>9.7400000000000004E-4</v>
      </c>
      <c r="M5" s="140"/>
      <c r="N5" s="169" t="e">
        <v>#NUM!</v>
      </c>
      <c r="O5" s="170" t="e">
        <f>_xll.qlSimpleQuoteSetValue(D5,ROUND(N5,6),EvaluationDate)</f>
        <v>#NUM!</v>
      </c>
      <c r="P5" s="190"/>
    </row>
    <row r="6" spans="1:16" x14ac:dyDescent="0.2">
      <c r="A6" s="202"/>
      <c r="B6" s="191" t="s">
        <v>57</v>
      </c>
      <c r="C6" s="186" t="str">
        <f t="shared" si="0"/>
        <v>JPY3WD_SYNTH1M_Quote</v>
      </c>
      <c r="D6" s="187" t="str">
        <f>_xll.qlSimpleQuote(C6,,RateTickValue,Permanent,EvaluationDate,ObjectOverwrite)</f>
        <v>JPY3WD_SYNTH1M_Quote#0001</v>
      </c>
      <c r="E6" s="188" t="str">
        <f>_xll.ohRangeRetrieveError(D6)</f>
        <v/>
      </c>
      <c r="F6" s="185"/>
      <c r="H6" s="189"/>
      <c r="I6" s="164" t="s">
        <v>57</v>
      </c>
      <c r="J6" s="220" t="e">
        <f>Depo_Calculation!$G37</f>
        <v>#NUM!</v>
      </c>
      <c r="K6" s="156"/>
      <c r="L6" s="167">
        <v>9.7565552719620723E-4</v>
      </c>
      <c r="M6" s="140"/>
      <c r="N6" s="171" t="e">
        <v>#NUM!</v>
      </c>
      <c r="O6" s="170" t="e">
        <f>_xll.qlSimpleQuoteSetValue(D6,ROUND(N6,6),EvaluationDate)</f>
        <v>#NUM!</v>
      </c>
      <c r="P6" s="190"/>
    </row>
    <row r="7" spans="1:16" ht="12" thickBot="1" x14ac:dyDescent="0.25">
      <c r="A7" s="202"/>
      <c r="B7" s="192" t="s">
        <v>58</v>
      </c>
      <c r="C7" s="193" t="str">
        <f t="shared" si="0"/>
        <v>JPY1MD_SYNTH1M_Quote</v>
      </c>
      <c r="D7" s="193" t="str">
        <f>_xll.qlSimpleQuote(C7,,RateTickValue,Permanent,EvaluationDate,ObjectOverwrite)</f>
        <v>JPY1MD_SYNTH1M_Quote#0001</v>
      </c>
      <c r="E7" s="194" t="str">
        <f>_xll.ohRangeRetrieveError(D7)</f>
        <v/>
      </c>
      <c r="F7" s="185"/>
      <c r="H7" s="189"/>
      <c r="I7" s="165" t="s">
        <v>58</v>
      </c>
      <c r="J7" s="219" t="e">
        <f>ROUND(Depo_Calculation!$G38,6)</f>
        <v>#NUM!</v>
      </c>
      <c r="K7" s="156"/>
      <c r="L7" s="168">
        <v>9.7900000000000005E-4</v>
      </c>
      <c r="M7" s="140"/>
      <c r="N7" s="172" t="e">
        <v>#NUM!</v>
      </c>
      <c r="O7" s="240" t="e">
        <f>_xll.qlSimpleQuoteSetValue(D7,ROUND(N7,6),EvaluationDate)</f>
        <v>#NUM!</v>
      </c>
      <c r="P7" s="190"/>
    </row>
    <row r="8" spans="1:16" x14ac:dyDescent="0.2">
      <c r="A8" s="203">
        <v>3</v>
      </c>
      <c r="B8" s="195" t="s">
        <v>54</v>
      </c>
      <c r="C8" s="186" t="str">
        <f t="shared" ref="C8:C14" si="1">Currency&amp;$B8&amp;"_SYNTH"&amp;Tenor3M&amp;QuoteSuffix</f>
        <v>JPYSND_SYNTH3M_Quote</v>
      </c>
      <c r="D8" s="196" t="str">
        <f>_xll.qlSimpleQuote(C8,,RateTickValue,Permanent,EvaluationDate,ObjectOverwrite)</f>
        <v>JPYSND_SYNTH3M_Quote#0001</v>
      </c>
      <c r="E8" s="197" t="str">
        <f>_xll.ohRangeRetrieveError(D8)</f>
        <v/>
      </c>
      <c r="F8" s="198"/>
      <c r="H8" s="189"/>
      <c r="I8" s="163" t="s">
        <v>54</v>
      </c>
      <c r="J8" s="217">
        <f>ROUND(Depo_Calculation!$H34,6)</f>
        <v>1.0480000000000001E-3</v>
      </c>
      <c r="K8" s="156"/>
      <c r="L8" s="166">
        <v>1.369E-3</v>
      </c>
      <c r="M8" s="140"/>
      <c r="N8" s="169">
        <v>1.0480000000000001E-3</v>
      </c>
      <c r="O8" s="239" t="e">
        <f>_xll.qlSimpleQuoteSetValue(D8,ROUND(N8,6),EvaluationDate)</f>
        <v>#N/A</v>
      </c>
      <c r="P8" s="216">
        <f>_xll.ohTrigger(O8:O14)</f>
        <v>12</v>
      </c>
    </row>
    <row r="9" spans="1:16" x14ac:dyDescent="0.2">
      <c r="A9" s="201" t="str">
        <f>_xll.qlPeriodEquivalent(Months3M&amp;"M")</f>
        <v>3M</v>
      </c>
      <c r="B9" s="191" t="s">
        <v>55</v>
      </c>
      <c r="C9" s="186" t="str">
        <f t="shared" si="1"/>
        <v>JPYSWD_SYNTH3M_Quote</v>
      </c>
      <c r="D9" s="186" t="str">
        <f>_xll.qlSimpleQuote(C9,,RateTickValue,Permanent,EvaluationDate,ObjectOverwrite)</f>
        <v>JPYSWD_SYNTH3M_Quote#0001</v>
      </c>
      <c r="E9" s="199" t="str">
        <f>_xll.ohRangeRetrieveError(D9)</f>
        <v/>
      </c>
      <c r="F9" s="198"/>
      <c r="H9" s="189"/>
      <c r="I9" s="163" t="s">
        <v>55</v>
      </c>
      <c r="J9" s="218">
        <f>ROUND(Depo_Calculation!$H35,6)</f>
        <v>1.0709999999999999E-3</v>
      </c>
      <c r="K9" s="156"/>
      <c r="L9" s="166">
        <v>1.369E-3</v>
      </c>
      <c r="M9" s="140"/>
      <c r="N9" s="169">
        <v>1.0709999999999999E-3</v>
      </c>
      <c r="O9" s="170" t="e">
        <f>_xll.qlSimpleQuoteSetValue(D9,ROUND(N9,6),EvaluationDate)</f>
        <v>#N/A</v>
      </c>
      <c r="P9" s="190"/>
    </row>
    <row r="10" spans="1:16" x14ac:dyDescent="0.2">
      <c r="A10" s="204"/>
      <c r="B10" s="200" t="s">
        <v>56</v>
      </c>
      <c r="C10" s="186" t="str">
        <f t="shared" si="1"/>
        <v>JPY2WD_SYNTH3M_Quote</v>
      </c>
      <c r="D10" s="186" t="str">
        <f>_xll.qlSimpleQuote(C10,,RateTickValue,Permanent,EvaluationDate,ObjectOverwrite)</f>
        <v>JPY2WD_SYNTH3M_Quote#0001</v>
      </c>
      <c r="E10" s="199" t="str">
        <f>_xll.ohRangeRetrieveError(D10)</f>
        <v/>
      </c>
      <c r="F10" s="198"/>
      <c r="H10" s="189"/>
      <c r="I10" s="163" t="s">
        <v>56</v>
      </c>
      <c r="J10" s="218">
        <f>ROUND(Depo_Calculation!$H36,6)</f>
        <v>1.098E-3</v>
      </c>
      <c r="K10" s="156"/>
      <c r="L10" s="166">
        <v>1.3699999999999999E-3</v>
      </c>
      <c r="M10" s="140"/>
      <c r="N10" s="169">
        <v>1.098E-3</v>
      </c>
      <c r="O10" s="170" t="e">
        <f>_xll.qlSimpleQuoteSetValue(D10,ROUND(N10,6),EvaluationDate)</f>
        <v>#N/A</v>
      </c>
      <c r="P10" s="190"/>
    </row>
    <row r="11" spans="1:16" x14ac:dyDescent="0.2">
      <c r="A11" s="205"/>
      <c r="B11" s="200" t="s">
        <v>57</v>
      </c>
      <c r="C11" s="186" t="str">
        <f t="shared" si="1"/>
        <v>JPY3WD_SYNTH3M_Quote</v>
      </c>
      <c r="D11" s="186" t="str">
        <f>_xll.qlSimpleQuote(C11,,RateTickValue,Permanent,EvaluationDate,ObjectOverwrite)</f>
        <v>JPY3WD_SYNTH3M_Quote#0001</v>
      </c>
      <c r="E11" s="199" t="str">
        <f>_xll.ohRangeRetrieveError(D11)</f>
        <v/>
      </c>
      <c r="F11" s="198"/>
      <c r="H11" s="189"/>
      <c r="I11" s="163" t="s">
        <v>57</v>
      </c>
      <c r="J11" s="218">
        <f>ROUND(Depo_Calculation!$H37,6)</f>
        <v>1.124E-3</v>
      </c>
      <c r="K11" s="156"/>
      <c r="L11" s="166">
        <v>1.371E-3</v>
      </c>
      <c r="M11" s="140"/>
      <c r="N11" s="169">
        <v>1.124E-3</v>
      </c>
      <c r="O11" s="170" t="e">
        <f>_xll.qlSimpleQuoteSetValue(D11,ROUND(N11,6),EvaluationDate)</f>
        <v>#N/A</v>
      </c>
      <c r="P11" s="190"/>
    </row>
    <row r="12" spans="1:16" x14ac:dyDescent="0.2">
      <c r="A12" s="205"/>
      <c r="B12" s="200" t="s">
        <v>58</v>
      </c>
      <c r="C12" s="186" t="str">
        <f t="shared" si="1"/>
        <v>JPY1MD_SYNTH3M_Quote</v>
      </c>
      <c r="D12" s="186" t="str">
        <f>_xll.qlSimpleQuote(C12,,RateTickValue,Permanent,EvaluationDate,ObjectOverwrite)</f>
        <v>JPY1MD_SYNTH3M_Quote#0001</v>
      </c>
      <c r="E12" s="199" t="str">
        <f>_xll.ohRangeRetrieveError(D12)</f>
        <v/>
      </c>
      <c r="F12" s="198"/>
      <c r="H12" s="189"/>
      <c r="I12" s="163" t="s">
        <v>58</v>
      </c>
      <c r="J12" s="218">
        <f>ROUND(Depo_Calculation!$H38,6)</f>
        <v>1.157E-3</v>
      </c>
      <c r="K12" s="156"/>
      <c r="L12" s="166">
        <v>1.374E-3</v>
      </c>
      <c r="M12" s="140"/>
      <c r="N12" s="169">
        <v>1.157E-3</v>
      </c>
      <c r="O12" s="170" t="e">
        <f>_xll.qlSimpleQuoteSetValue(D12,ROUND(N12,6),EvaluationDate)</f>
        <v>#N/A</v>
      </c>
      <c r="P12" s="190"/>
    </row>
    <row r="13" spans="1:16" x14ac:dyDescent="0.2">
      <c r="A13" s="205"/>
      <c r="B13" s="200" t="s">
        <v>73</v>
      </c>
      <c r="C13" s="186" t="str">
        <f t="shared" si="1"/>
        <v>JPY2MD_SYNTH3M_Quote</v>
      </c>
      <c r="D13" s="186" t="str">
        <f>_xll.qlSimpleQuote(C13,,RateTickValue,Permanent,EvaluationDate,ObjectOverwrite)</f>
        <v>JPY2MD_SYNTH3M_Quote#0001</v>
      </c>
      <c r="E13" s="199" t="str">
        <f>_xll.ohRangeRetrieveError(D13)</f>
        <v/>
      </c>
      <c r="F13" s="198"/>
      <c r="H13" s="189"/>
      <c r="I13" s="163" t="s">
        <v>73</v>
      </c>
      <c r="J13" s="218">
        <f>ROUND(Depo_Calculation!$H39,6)</f>
        <v>1.243E-3</v>
      </c>
      <c r="K13" s="156"/>
      <c r="L13" s="166">
        <v>1.374E-3</v>
      </c>
      <c r="M13" s="140"/>
      <c r="N13" s="169">
        <v>1.243E-3</v>
      </c>
      <c r="O13" s="170" t="e">
        <f>_xll.qlSimpleQuoteSetValue(D13,ROUND(N13,6),EvaluationDate)</f>
        <v>#N/A</v>
      </c>
      <c r="P13" s="190"/>
    </row>
    <row r="14" spans="1:16" ht="12" thickBot="1" x14ac:dyDescent="0.25">
      <c r="A14" s="207"/>
      <c r="B14" s="192" t="s">
        <v>74</v>
      </c>
      <c r="C14" s="193" t="str">
        <f t="shared" si="1"/>
        <v>JPY3MD_SYNTH3M_Quote</v>
      </c>
      <c r="D14" s="193" t="str">
        <f>_xll.qlSimpleQuote(C14,,RateTickValue,Permanent,EvaluationDate,ObjectOverwrite)</f>
        <v>JPY3MD_SYNTH3M_Quote#0001</v>
      </c>
      <c r="E14" s="208" t="str">
        <f>_xll.ohRangeRetrieveError(D14)</f>
        <v/>
      </c>
      <c r="F14" s="198"/>
      <c r="H14" s="206"/>
      <c r="I14" s="165" t="s">
        <v>74</v>
      </c>
      <c r="J14" s="219">
        <f>ROUND(Depo_Calculation!$H40,6)</f>
        <v>1.273E-3</v>
      </c>
      <c r="K14" s="206"/>
      <c r="L14" s="168">
        <v>1.3500000000000001E-3</v>
      </c>
      <c r="M14" s="206"/>
      <c r="N14" s="172">
        <v>1.273E-3</v>
      </c>
      <c r="O14" s="173" t="e">
        <f>_xll.qlSimpleQuoteSetValue(D14,ROUND(N14,6),EvaluationDate)</f>
        <v>#N/A</v>
      </c>
      <c r="P14" s="206"/>
    </row>
    <row r="15" spans="1:16" x14ac:dyDescent="0.2">
      <c r="A15" s="203">
        <v>6</v>
      </c>
      <c r="B15" s="195" t="s">
        <v>54</v>
      </c>
      <c r="C15" s="186" t="str">
        <f t="shared" ref="C15:C24" si="2">Currency&amp;$B15&amp;"_SYNTH"&amp;Tenor6M&amp;QuoteSuffix</f>
        <v>JPYSND_SYNTH6M_Quote</v>
      </c>
      <c r="D15" s="196" t="str">
        <f>_xll.qlSimpleQuote(C15,,RateTickValue,Permanent,EvaluationDate,ObjectOverwrite)</f>
        <v>JPYSND_SYNTH6M_Quote#0001</v>
      </c>
      <c r="E15" s="197" t="str">
        <f>_xll.ohRangeRetrieveError(D15)</f>
        <v/>
      </c>
      <c r="F15" s="198"/>
      <c r="H15" s="189"/>
      <c r="I15" s="163" t="s">
        <v>54</v>
      </c>
      <c r="J15" s="217">
        <f>ROUND(Depo_Calculation!$I34,6)</f>
        <v>2.3760000000000001E-3</v>
      </c>
      <c r="K15" s="156"/>
      <c r="L15" s="166">
        <v>1.8370000000000001E-3</v>
      </c>
      <c r="M15" s="140"/>
      <c r="N15" s="169">
        <v>2.3760000000000001E-3</v>
      </c>
      <c r="O15" s="170" t="e">
        <f>_xll.qlSimpleQuoteSetValue(D15,ROUND(N15,6),EvaluationDate)</f>
        <v>#N/A</v>
      </c>
      <c r="P15" s="190">
        <f>_xll.ohTrigger(O15:O24)</f>
        <v>12</v>
      </c>
    </row>
    <row r="16" spans="1:16" x14ac:dyDescent="0.2">
      <c r="A16" s="201" t="str">
        <f>_xll.qlPeriodEquivalent(Months6M&amp;"M")</f>
        <v>6M</v>
      </c>
      <c r="B16" s="191" t="s">
        <v>55</v>
      </c>
      <c r="C16" s="186" t="str">
        <f t="shared" si="2"/>
        <v>JPYSWD_SYNTH6M_Quote</v>
      </c>
      <c r="D16" s="186" t="str">
        <f>_xll.qlSimpleQuote(C16,,RateTickValue,Permanent,EvaluationDate,ObjectOverwrite)</f>
        <v>JPYSWD_SYNTH6M_Quote#0001</v>
      </c>
      <c r="E16" s="199" t="str">
        <f>_xll.ohRangeRetrieveError(D16)</f>
        <v/>
      </c>
      <c r="F16" s="198"/>
      <c r="H16" s="189"/>
      <c r="I16" s="163" t="s">
        <v>55</v>
      </c>
      <c r="J16" s="218">
        <f>ROUND(Depo_Calculation!$I35,6)</f>
        <v>2.3519999999999999E-3</v>
      </c>
      <c r="K16" s="156"/>
      <c r="L16" s="166">
        <v>1.8370000000000001E-3</v>
      </c>
      <c r="M16" s="140"/>
      <c r="N16" s="169">
        <v>2.3519999999999999E-3</v>
      </c>
      <c r="O16" s="170" t="e">
        <f>_xll.qlSimpleQuoteSetValue(D16,ROUND(N16,6),EvaluationDate)</f>
        <v>#N/A</v>
      </c>
      <c r="P16" s="190"/>
    </row>
    <row r="17" spans="1:16" x14ac:dyDescent="0.2">
      <c r="A17" s="204"/>
      <c r="B17" s="200" t="s">
        <v>56</v>
      </c>
      <c r="C17" s="186" t="str">
        <f t="shared" si="2"/>
        <v>JPY2WD_SYNTH6M_Quote</v>
      </c>
      <c r="D17" s="186" t="str">
        <f>_xll.qlSimpleQuote(C17,,RateTickValue,Permanent,EvaluationDate,ObjectOverwrite)</f>
        <v>JPY2WD_SYNTH6M_Quote#0001</v>
      </c>
      <c r="E17" s="199" t="str">
        <f>_xll.ohRangeRetrieveError(D17)</f>
        <v/>
      </c>
      <c r="F17" s="198"/>
      <c r="H17" s="189"/>
      <c r="I17" s="163" t="s">
        <v>56</v>
      </c>
      <c r="J17" s="218">
        <f>ROUND(Depo_Calculation!$I36,6)</f>
        <v>2.3270000000000001E-3</v>
      </c>
      <c r="K17" s="156"/>
      <c r="L17" s="166">
        <v>1.838E-3</v>
      </c>
      <c r="M17" s="140"/>
      <c r="N17" s="169">
        <v>2.3270000000000001E-3</v>
      </c>
      <c r="O17" s="170" t="e">
        <f>_xll.qlSimpleQuoteSetValue(D17,ROUND(N17,6),EvaluationDate)</f>
        <v>#N/A</v>
      </c>
      <c r="P17" s="190"/>
    </row>
    <row r="18" spans="1:16" x14ac:dyDescent="0.2">
      <c r="A18" s="205"/>
      <c r="B18" s="200" t="s">
        <v>57</v>
      </c>
      <c r="C18" s="186" t="str">
        <f t="shared" si="2"/>
        <v>JPY3WD_SYNTH6M_Quote</v>
      </c>
      <c r="D18" s="186" t="str">
        <f>_xll.qlSimpleQuote(C18,,RateTickValue,Permanent,EvaluationDate,ObjectOverwrite)</f>
        <v>JPY3WD_SYNTH6M_Quote#0001</v>
      </c>
      <c r="E18" s="199" t="str">
        <f>_xll.ohRangeRetrieveError(D18)</f>
        <v/>
      </c>
      <c r="F18" s="198"/>
      <c r="H18" s="189"/>
      <c r="I18" s="163" t="s">
        <v>57</v>
      </c>
      <c r="J18" s="218">
        <f>ROUND(Depo_Calculation!$I37,6)</f>
        <v>2.3029999999999999E-3</v>
      </c>
      <c r="K18" s="156"/>
      <c r="L18" s="166">
        <v>1.8389999999999999E-3</v>
      </c>
      <c r="M18" s="140"/>
      <c r="N18" s="169">
        <v>2.3029999999999999E-3</v>
      </c>
      <c r="O18" s="170" t="e">
        <f>_xll.qlSimpleQuoteSetValue(D18,ROUND(N18,6),EvaluationDate)</f>
        <v>#N/A</v>
      </c>
      <c r="P18" s="190"/>
    </row>
    <row r="19" spans="1:16" x14ac:dyDescent="0.2">
      <c r="A19" s="205"/>
      <c r="B19" s="200" t="s">
        <v>58</v>
      </c>
      <c r="C19" s="186" t="str">
        <f t="shared" si="2"/>
        <v>JPY1MD_SYNTH6M_Quote</v>
      </c>
      <c r="D19" s="186" t="str">
        <f>_xll.qlSimpleQuote(C19,,RateTickValue,Permanent,EvaluationDate,ObjectOverwrite)</f>
        <v>JPY1MD_SYNTH6M_Quote#0001</v>
      </c>
      <c r="E19" s="199" t="str">
        <f>_xll.ohRangeRetrieveError(D19)</f>
        <v/>
      </c>
      <c r="F19" s="198"/>
      <c r="H19" s="189"/>
      <c r="I19" s="163" t="s">
        <v>58</v>
      </c>
      <c r="J19" s="218">
        <f>ROUND(Depo_Calculation!$I38,6)</f>
        <v>2.274E-3</v>
      </c>
      <c r="K19" s="156"/>
      <c r="L19" s="166">
        <v>1.843E-3</v>
      </c>
      <c r="M19" s="140"/>
      <c r="N19" s="169">
        <v>2.274E-3</v>
      </c>
      <c r="O19" s="170" t="e">
        <f>_xll.qlSimpleQuoteSetValue(D19,ROUND(N19,6),EvaluationDate)</f>
        <v>#N/A</v>
      </c>
      <c r="P19" s="190"/>
    </row>
    <row r="20" spans="1:16" x14ac:dyDescent="0.2">
      <c r="A20" s="205"/>
      <c r="B20" s="200" t="s">
        <v>73</v>
      </c>
      <c r="C20" s="186" t="str">
        <f t="shared" si="2"/>
        <v>JPY2MD_SYNTH6M_Quote</v>
      </c>
      <c r="D20" s="186" t="str">
        <f>_xll.qlSimpleQuote(C20,,RateTickValue,Permanent,EvaluationDate,ObjectOverwrite)</f>
        <v>JPY2MD_SYNTH6M_Quote#0001</v>
      </c>
      <c r="E20" s="199" t="str">
        <f>_xll.ohRangeRetrieveError(D20)</f>
        <v/>
      </c>
      <c r="F20" s="198"/>
      <c r="H20" s="189"/>
      <c r="I20" s="163" t="s">
        <v>73</v>
      </c>
      <c r="J20" s="218">
        <f>ROUND(Depo_Calculation!$I39,6)</f>
        <v>2.1679999999999998E-3</v>
      </c>
      <c r="K20" s="156"/>
      <c r="L20" s="166">
        <v>1.843E-3</v>
      </c>
      <c r="M20" s="140"/>
      <c r="N20" s="169">
        <v>2.1679999999999998E-3</v>
      </c>
      <c r="O20" s="170" t="e">
        <f>_xll.qlSimpleQuoteSetValue(D20,ROUND(N20,6),EvaluationDate)</f>
        <v>#N/A</v>
      </c>
      <c r="P20" s="190"/>
    </row>
    <row r="21" spans="1:16" x14ac:dyDescent="0.2">
      <c r="A21" s="205"/>
      <c r="B21" s="200" t="s">
        <v>74</v>
      </c>
      <c r="C21" s="186" t="str">
        <f t="shared" si="2"/>
        <v>JPY3MD_SYNTH6M_Quote</v>
      </c>
      <c r="D21" s="186" t="str">
        <f>_xll.qlSimpleQuote(C21,,RateTickValue,Permanent,EvaluationDate,ObjectOverwrite)</f>
        <v>JPY3MD_SYNTH6M_Quote#0001</v>
      </c>
      <c r="E21" s="199" t="str">
        <f>_xll.ohRangeRetrieveError(D21)</f>
        <v/>
      </c>
      <c r="F21" s="198"/>
      <c r="H21" s="189"/>
      <c r="I21" s="163" t="s">
        <v>74</v>
      </c>
      <c r="J21" s="218">
        <f>ROUND(Depo_Calculation!$I40,6)</f>
        <v>2.0600000000000002E-3</v>
      </c>
      <c r="K21" s="156"/>
      <c r="L21" s="166">
        <v>1.818E-3</v>
      </c>
      <c r="M21" s="140"/>
      <c r="N21" s="169">
        <v>2.0600000000000002E-3</v>
      </c>
      <c r="O21" s="170" t="e">
        <f>_xll.qlSimpleQuoteSetValue(D21,ROUND(N21,6),EvaluationDate)</f>
        <v>#N/A</v>
      </c>
      <c r="P21" s="190"/>
    </row>
    <row r="22" spans="1:16" x14ac:dyDescent="0.2">
      <c r="A22" s="205"/>
      <c r="B22" s="200" t="s">
        <v>75</v>
      </c>
      <c r="C22" s="186" t="str">
        <f t="shared" si="2"/>
        <v>JPY4MD_SYNTH6M_Quote</v>
      </c>
      <c r="D22" s="186" t="str">
        <f>_xll.qlSimpleQuote(C22,,RateTickValue,Permanent,EvaluationDate,ObjectOverwrite)</f>
        <v>JPY4MD_SYNTH6M_Quote#0001</v>
      </c>
      <c r="E22" s="199" t="str">
        <f>_xll.ohRangeRetrieveError(D22)</f>
        <v/>
      </c>
      <c r="F22" s="198"/>
      <c r="H22" s="189"/>
      <c r="I22" s="163" t="s">
        <v>75</v>
      </c>
      <c r="J22" s="218">
        <f>ROUND(Depo_Calculation!$I41,6)</f>
        <v>1.99E-3</v>
      </c>
      <c r="K22" s="156"/>
      <c r="L22" s="166">
        <v>1.818E-3</v>
      </c>
      <c r="M22" s="140"/>
      <c r="N22" s="169">
        <v>1.99E-3</v>
      </c>
      <c r="O22" s="170" t="e">
        <f>_xll.qlSimpleQuoteSetValue(D22,ROUND(N22,6),EvaluationDate)</f>
        <v>#N/A</v>
      </c>
      <c r="P22" s="190"/>
    </row>
    <row r="23" spans="1:16" x14ac:dyDescent="0.2">
      <c r="A23" s="205"/>
      <c r="B23" s="200" t="s">
        <v>76</v>
      </c>
      <c r="C23" s="186" t="str">
        <f t="shared" si="2"/>
        <v>JPY5MD_SYNTH6M_Quote</v>
      </c>
      <c r="D23" s="186" t="str">
        <f>_xll.qlSimpleQuote(C23,,RateTickValue,Permanent,EvaluationDate,ObjectOverwrite)</f>
        <v>JPY5MD_SYNTH6M_Quote#0001</v>
      </c>
      <c r="E23" s="199" t="str">
        <f>_xll.ohRangeRetrieveError(D23)</f>
        <v/>
      </c>
      <c r="F23" s="198"/>
      <c r="H23" s="189"/>
      <c r="I23" s="163" t="s">
        <v>76</v>
      </c>
      <c r="J23" s="218">
        <f>ROUND(Depo_Calculation!$I42,6)</f>
        <v>1.933E-3</v>
      </c>
      <c r="K23" s="156"/>
      <c r="L23" s="166">
        <v>1.818E-3</v>
      </c>
      <c r="M23" s="140"/>
      <c r="N23" s="169">
        <v>1.933E-3</v>
      </c>
      <c r="O23" s="170" t="e">
        <f>_xll.qlSimpleQuoteSetValue(D23,ROUND(N23,6),EvaluationDate)</f>
        <v>#N/A</v>
      </c>
      <c r="P23" s="190"/>
    </row>
    <row r="24" spans="1:16" ht="12" thickBot="1" x14ac:dyDescent="0.25">
      <c r="A24" s="207"/>
      <c r="B24" s="192" t="s">
        <v>77</v>
      </c>
      <c r="C24" s="193" t="str">
        <f t="shared" si="2"/>
        <v>JPY6MD_SYNTH6M_Quote</v>
      </c>
      <c r="D24" s="186" t="str">
        <f>_xll.qlSimpleQuote(C24,,RateTickValue,Permanent,EvaluationDate,ObjectOverwrite)</f>
        <v>JPY6MD_SYNTH6M_Quote#0001</v>
      </c>
      <c r="E24" s="208" t="str">
        <f>_xll.ohRangeRetrieveError(D24)</f>
        <v/>
      </c>
      <c r="F24" s="209"/>
      <c r="H24" s="206"/>
      <c r="I24" s="165" t="s">
        <v>77</v>
      </c>
      <c r="J24" s="219">
        <f>ROUND(Depo_Calculation!$I43,6)</f>
        <v>1.892E-3</v>
      </c>
      <c r="K24" s="211"/>
      <c r="L24" s="168">
        <v>1.818E-3</v>
      </c>
      <c r="M24" s="212"/>
      <c r="N24" s="172">
        <v>1.892E-3</v>
      </c>
      <c r="O24" s="170" t="e">
        <f>_xll.qlSimpleQuoteSetValue(D24,ROUND(N24,6),EvaluationDate)</f>
        <v>#N/A</v>
      </c>
      <c r="P24" s="213"/>
    </row>
    <row r="25" spans="1:16" s="231" customFormat="1" x14ac:dyDescent="0.2">
      <c r="A25" s="203">
        <v>12</v>
      </c>
      <c r="B25" s="195" t="s">
        <v>54</v>
      </c>
      <c r="C25" s="186" t="str">
        <f t="shared" ref="C25:C40" si="3">Currency&amp;$B25&amp;"_SYNTH"&amp;Tenor12M&amp;QuoteSuffix</f>
        <v>JPYSND_SYNTH1Y_Quote</v>
      </c>
      <c r="D25" s="196" t="str">
        <f>_xll.qlSimpleQuote(C25,,RateTickValue,Permanent,EvaluationDate,ObjectOverwrite)</f>
        <v>JPYSND_SYNTH1Y_Quote#0001</v>
      </c>
      <c r="E25" s="197" t="str">
        <f>_xll.ohRangeRetrieveError(D25)</f>
        <v/>
      </c>
      <c r="F25" s="234"/>
      <c r="G25" s="1"/>
      <c r="H25" s="235"/>
      <c r="I25" s="236" t="s">
        <v>54</v>
      </c>
      <c r="J25" s="217" t="e">
        <f>ROUND(Depo_Calculation!$J34,6)</f>
        <v>#NUM!</v>
      </c>
      <c r="K25" s="156"/>
      <c r="L25" s="237">
        <v>3.3790000000000001E-3</v>
      </c>
      <c r="M25" s="140"/>
      <c r="N25" s="238" t="e">
        <v>#NUM!</v>
      </c>
      <c r="O25" s="239" t="e">
        <f>_xll.qlSimpleQuoteSetValue(D25,ROUND(N25,6),EvaluationDate)</f>
        <v>#NUM!</v>
      </c>
      <c r="P25" s="190">
        <f>_xll.ohTrigger(O25:O40)</f>
        <v>12</v>
      </c>
    </row>
    <row r="26" spans="1:16" s="231" customFormat="1" x14ac:dyDescent="0.2">
      <c r="A26" s="201" t="str">
        <f>_xll.qlPeriodEquivalent(Months12M&amp;"M")</f>
        <v>1Y</v>
      </c>
      <c r="B26" s="191" t="s">
        <v>55</v>
      </c>
      <c r="C26" s="186" t="str">
        <f t="shared" si="3"/>
        <v>JPYSWD_SYNTH1Y_Quote</v>
      </c>
      <c r="D26" s="186" t="str">
        <f>_xll.qlSimpleQuote(C26,,RateTickValue,Permanent,EvaluationDate,ObjectOverwrite)</f>
        <v>JPYSWD_SYNTH1Y_Quote#0001</v>
      </c>
      <c r="E26" s="199" t="str">
        <f>_xll.ohRangeRetrieveError(D26)</f>
        <v/>
      </c>
      <c r="F26" s="198"/>
      <c r="G26" s="1"/>
      <c r="H26" s="189"/>
      <c r="I26" s="163" t="s">
        <v>55</v>
      </c>
      <c r="J26" s="218" t="e">
        <f>ROUND(Depo_Calculation!$J35,6)</f>
        <v>#NUM!</v>
      </c>
      <c r="K26" s="156"/>
      <c r="L26" s="166">
        <v>3.3790000000000001E-3</v>
      </c>
      <c r="M26" s="140"/>
      <c r="N26" s="169" t="e">
        <v>#NUM!</v>
      </c>
      <c r="O26" s="170" t="e">
        <f>_xll.qlSimpleQuoteSetValue(D26,ROUND(N26,6),EvaluationDate)</f>
        <v>#NUM!</v>
      </c>
      <c r="P26" s="190"/>
    </row>
    <row r="27" spans="1:16" s="231" customFormat="1" x14ac:dyDescent="0.2">
      <c r="A27" s="205"/>
      <c r="B27" s="200" t="s">
        <v>56</v>
      </c>
      <c r="C27" s="186" t="str">
        <f t="shared" si="3"/>
        <v>JPY2WD_SYNTH1Y_Quote</v>
      </c>
      <c r="D27" s="186" t="str">
        <f>_xll.qlSimpleQuote(C27,,RateTickValue,Permanent,EvaluationDate,ObjectOverwrite)</f>
        <v>JPY2WD_SYNTH1Y_Quote#0001</v>
      </c>
      <c r="E27" s="199" t="str">
        <f>_xll.ohRangeRetrieveError(D27)</f>
        <v/>
      </c>
      <c r="F27" s="198"/>
      <c r="G27" s="1"/>
      <c r="H27" s="189"/>
      <c r="I27" s="163" t="s">
        <v>56</v>
      </c>
      <c r="J27" s="218" t="e">
        <f>ROUND(Depo_Calculation!$J36,6)</f>
        <v>#NUM!</v>
      </c>
      <c r="K27" s="156"/>
      <c r="L27" s="166">
        <v>3.3800000000000002E-3</v>
      </c>
      <c r="M27" s="140"/>
      <c r="N27" s="169" t="e">
        <v>#NUM!</v>
      </c>
      <c r="O27" s="170" t="e">
        <f>_xll.qlSimpleQuoteSetValue(D27,ROUND(N27,6),EvaluationDate)</f>
        <v>#NUM!</v>
      </c>
      <c r="P27" s="190"/>
    </row>
    <row r="28" spans="1:16" x14ac:dyDescent="0.2">
      <c r="A28" s="205"/>
      <c r="B28" s="200" t="s">
        <v>57</v>
      </c>
      <c r="C28" s="186" t="str">
        <f t="shared" si="3"/>
        <v>JPY3WD_SYNTH1Y_Quote</v>
      </c>
      <c r="D28" s="186" t="str">
        <f>_xll.qlSimpleQuote(C28,,RateTickValue,Permanent,EvaluationDate,ObjectOverwrite)</f>
        <v>JPY3WD_SYNTH1Y_Quote#0001</v>
      </c>
      <c r="E28" s="199" t="str">
        <f>_xll.ohRangeRetrieveError(D28)</f>
        <v/>
      </c>
      <c r="F28" s="198"/>
      <c r="H28" s="189"/>
      <c r="I28" s="163" t="s">
        <v>57</v>
      </c>
      <c r="J28" s="218" t="e">
        <f>ROUND(Depo_Calculation!$J37,6)</f>
        <v>#NUM!</v>
      </c>
      <c r="K28" s="156"/>
      <c r="L28" s="166">
        <v>3.3809999999999999E-3</v>
      </c>
      <c r="M28" s="140"/>
      <c r="N28" s="169" t="e">
        <v>#NUM!</v>
      </c>
      <c r="O28" s="170" t="e">
        <f>_xll.qlSimpleQuoteSetValue(D28,ROUND(N28,6),EvaluationDate)</f>
        <v>#NUM!</v>
      </c>
      <c r="P28" s="190"/>
    </row>
    <row r="29" spans="1:16" x14ac:dyDescent="0.2">
      <c r="A29" s="205"/>
      <c r="B29" s="200" t="s">
        <v>58</v>
      </c>
      <c r="C29" s="186" t="str">
        <f t="shared" si="3"/>
        <v>JPY1MD_SYNTH1Y_Quote</v>
      </c>
      <c r="D29" s="186" t="str">
        <f>_xll.qlSimpleQuote(C29,,RateTickValue,Permanent,EvaluationDate,ObjectOverwrite)</f>
        <v>JPY1MD_SYNTH1Y_Quote#0001</v>
      </c>
      <c r="E29" s="199" t="str">
        <f>_xll.ohRangeRetrieveError(D29)</f>
        <v/>
      </c>
      <c r="F29" s="198"/>
      <c r="H29" s="189"/>
      <c r="I29" s="163" t="s">
        <v>58</v>
      </c>
      <c r="J29" s="218" t="e">
        <f>ROUND(Depo_Calculation!$J38,6)</f>
        <v>#NUM!</v>
      </c>
      <c r="K29" s="156"/>
      <c r="L29" s="166">
        <v>3.385E-3</v>
      </c>
      <c r="M29" s="140"/>
      <c r="N29" s="169" t="e">
        <v>#NUM!</v>
      </c>
      <c r="O29" s="170" t="e">
        <f>_xll.qlSimpleQuoteSetValue(D29,ROUND(N29,6),EvaluationDate)</f>
        <v>#NUM!</v>
      </c>
      <c r="P29" s="190"/>
    </row>
    <row r="30" spans="1:16" x14ac:dyDescent="0.2">
      <c r="A30" s="205"/>
      <c r="B30" s="200" t="s">
        <v>73</v>
      </c>
      <c r="C30" s="186" t="str">
        <f t="shared" si="3"/>
        <v>JPY2MD_SYNTH1Y_Quote</v>
      </c>
      <c r="D30" s="186" t="str">
        <f>_xll.qlSimpleQuote(C30,,RateTickValue,Permanent,EvaluationDate,ObjectOverwrite)</f>
        <v>JPY2MD_SYNTH1Y_Quote#0001</v>
      </c>
      <c r="E30" s="199" t="str">
        <f>_xll.ohRangeRetrieveError(D30)</f>
        <v/>
      </c>
      <c r="F30" s="198"/>
      <c r="H30" s="189"/>
      <c r="I30" s="163" t="s">
        <v>73</v>
      </c>
      <c r="J30" s="218" t="e">
        <f>ROUND(Depo_Calculation!$J39,6)</f>
        <v>#NUM!</v>
      </c>
      <c r="K30" s="156"/>
      <c r="L30" s="166">
        <v>3.385E-3</v>
      </c>
      <c r="M30" s="140"/>
      <c r="N30" s="169" t="e">
        <v>#NUM!</v>
      </c>
      <c r="O30" s="170" t="e">
        <f>_xll.qlSimpleQuoteSetValue(D30,ROUND(N30,6),EvaluationDate)</f>
        <v>#NUM!</v>
      </c>
      <c r="P30" s="190"/>
    </row>
    <row r="31" spans="1:16" x14ac:dyDescent="0.2">
      <c r="A31" s="205"/>
      <c r="B31" s="200" t="s">
        <v>74</v>
      </c>
      <c r="C31" s="186" t="str">
        <f t="shared" si="3"/>
        <v>JPY3MD_SYNTH1Y_Quote</v>
      </c>
      <c r="D31" s="186" t="str">
        <f>_xll.qlSimpleQuote(C31,,RateTickValue,Permanent,EvaluationDate,ObjectOverwrite)</f>
        <v>JPY3MD_SYNTH1Y_Quote#0001</v>
      </c>
      <c r="E31" s="199" t="str">
        <f>_xll.ohRangeRetrieveError(D31)</f>
        <v/>
      </c>
      <c r="F31" s="198"/>
      <c r="H31" s="189"/>
      <c r="I31" s="163" t="s">
        <v>74</v>
      </c>
      <c r="J31" s="218" t="e">
        <f>ROUND(Depo_Calculation!$J40,6)</f>
        <v>#NUM!</v>
      </c>
      <c r="K31" s="156"/>
      <c r="L31" s="166">
        <v>3.3600000000000001E-3</v>
      </c>
      <c r="M31" s="140"/>
      <c r="N31" s="169" t="e">
        <v>#NUM!</v>
      </c>
      <c r="O31" s="170" t="e">
        <f>_xll.qlSimpleQuoteSetValue(D31,ROUND(N31,6),EvaluationDate)</f>
        <v>#NUM!</v>
      </c>
      <c r="P31" s="190"/>
    </row>
    <row r="32" spans="1:16" x14ac:dyDescent="0.2">
      <c r="A32" s="205"/>
      <c r="B32" s="200" t="s">
        <v>75</v>
      </c>
      <c r="C32" s="186" t="str">
        <f t="shared" si="3"/>
        <v>JPY4MD_SYNTH1Y_Quote</v>
      </c>
      <c r="D32" s="186" t="str">
        <f>_xll.qlSimpleQuote(C32,,RateTickValue,Permanent,EvaluationDate,ObjectOverwrite)</f>
        <v>JPY4MD_SYNTH1Y_Quote#0001</v>
      </c>
      <c r="E32" s="199" t="str">
        <f>_xll.ohRangeRetrieveError(D32)</f>
        <v/>
      </c>
      <c r="F32" s="198"/>
      <c r="H32" s="189"/>
      <c r="I32" s="163" t="s">
        <v>75</v>
      </c>
      <c r="J32" s="218" t="e">
        <f>ROUND(Depo_Calculation!$J41,6)</f>
        <v>#NUM!</v>
      </c>
      <c r="K32" s="156"/>
      <c r="L32" s="166">
        <v>3.3600000000000001E-3</v>
      </c>
      <c r="M32" s="140"/>
      <c r="N32" s="169" t="e">
        <v>#NUM!</v>
      </c>
      <c r="O32" s="170" t="e">
        <f>_xll.qlSimpleQuoteSetValue(D32,ROUND(N32,6),EvaluationDate)</f>
        <v>#NUM!</v>
      </c>
      <c r="P32" s="190"/>
    </row>
    <row r="33" spans="1:16" x14ac:dyDescent="0.2">
      <c r="A33" s="205"/>
      <c r="B33" s="200" t="s">
        <v>76</v>
      </c>
      <c r="C33" s="186" t="str">
        <f t="shared" si="3"/>
        <v>JPY5MD_SYNTH1Y_Quote</v>
      </c>
      <c r="D33" s="186" t="str">
        <f>_xll.qlSimpleQuote(C33,,RateTickValue,Permanent,EvaluationDate,ObjectOverwrite)</f>
        <v>JPY5MD_SYNTH1Y_Quote#0001</v>
      </c>
      <c r="E33" s="199" t="str">
        <f>_xll.ohRangeRetrieveError(D33)</f>
        <v/>
      </c>
      <c r="F33" s="198"/>
      <c r="H33" s="189"/>
      <c r="I33" s="163" t="s">
        <v>76</v>
      </c>
      <c r="J33" s="218" t="e">
        <f>ROUND(Depo_Calculation!$J42,6)</f>
        <v>#NUM!</v>
      </c>
      <c r="K33" s="156"/>
      <c r="L33" s="166">
        <v>3.3600000000000001E-3</v>
      </c>
      <c r="M33" s="140"/>
      <c r="N33" s="169" t="e">
        <v>#NUM!</v>
      </c>
      <c r="O33" s="170" t="e">
        <f>_xll.qlSimpleQuoteSetValue(D33,ROUND(N33,6),EvaluationDate)</f>
        <v>#NUM!</v>
      </c>
      <c r="P33" s="190"/>
    </row>
    <row r="34" spans="1:16" x14ac:dyDescent="0.2">
      <c r="A34" s="205"/>
      <c r="B34" s="200" t="s">
        <v>77</v>
      </c>
      <c r="C34" s="186" t="str">
        <f t="shared" si="3"/>
        <v>JPY6MD_SYNTH1Y_Quote</v>
      </c>
      <c r="D34" s="186" t="str">
        <f>_xll.qlSimpleQuote(C34,,RateTickValue,Permanent,EvaluationDate,ObjectOverwrite)</f>
        <v>JPY6MD_SYNTH1Y_Quote#0001</v>
      </c>
      <c r="E34" s="199" t="str">
        <f>_xll.ohRangeRetrieveError(D34)</f>
        <v/>
      </c>
      <c r="F34" s="198"/>
      <c r="H34" s="189"/>
      <c r="I34" s="163" t="s">
        <v>77</v>
      </c>
      <c r="J34" s="218" t="e">
        <f>ROUND(Depo_Calculation!$J43,6)</f>
        <v>#NUM!</v>
      </c>
      <c r="K34" s="156"/>
      <c r="L34" s="166">
        <v>3.3600000000000001E-3</v>
      </c>
      <c r="M34" s="140"/>
      <c r="N34" s="169" t="e">
        <v>#NUM!</v>
      </c>
      <c r="O34" s="170" t="e">
        <f>_xll.qlSimpleQuoteSetValue(D34,ROUND(N34,6),EvaluationDate)</f>
        <v>#NUM!</v>
      </c>
      <c r="P34" s="190"/>
    </row>
    <row r="35" spans="1:16" x14ac:dyDescent="0.2">
      <c r="A35" s="205"/>
      <c r="B35" s="200" t="s">
        <v>78</v>
      </c>
      <c r="C35" s="186" t="str">
        <f t="shared" si="3"/>
        <v>JPY7MD_SYNTH1Y_Quote</v>
      </c>
      <c r="D35" s="186" t="str">
        <f>_xll.qlSimpleQuote(C35,,RateTickValue,Permanent,EvaluationDate,ObjectOverwrite)</f>
        <v>JPY7MD_SYNTH1Y_Quote#0001</v>
      </c>
      <c r="E35" s="199" t="str">
        <f>_xll.ohRangeRetrieveError(D35)</f>
        <v/>
      </c>
      <c r="F35" s="198"/>
      <c r="H35" s="189"/>
      <c r="I35" s="163" t="s">
        <v>78</v>
      </c>
      <c r="J35" s="218" t="e">
        <f>ROUND(Depo_Calculation!$J44,6)</f>
        <v>#NUM!</v>
      </c>
      <c r="K35" s="156"/>
      <c r="L35" s="166">
        <v>3.362E-3</v>
      </c>
      <c r="M35" s="140"/>
      <c r="N35" s="169" t="e">
        <v>#NUM!</v>
      </c>
      <c r="O35" s="170" t="e">
        <f>_xll.qlSimpleQuoteSetValue(D35,ROUND(N35,6),EvaluationDate)</f>
        <v>#NUM!</v>
      </c>
      <c r="P35" s="190"/>
    </row>
    <row r="36" spans="1:16" x14ac:dyDescent="0.2">
      <c r="A36" s="205"/>
      <c r="B36" s="200" t="s">
        <v>79</v>
      </c>
      <c r="C36" s="186" t="str">
        <f t="shared" si="3"/>
        <v>JPY8MD_SYNTH1Y_Quote</v>
      </c>
      <c r="D36" s="186" t="str">
        <f>_xll.qlSimpleQuote(C36,,RateTickValue,Permanent,EvaluationDate,ObjectOverwrite)</f>
        <v>JPY8MD_SYNTH1Y_Quote#0001</v>
      </c>
      <c r="E36" s="199" t="str">
        <f>_xll.ohRangeRetrieveError(D36)</f>
        <v/>
      </c>
      <c r="F36" s="198"/>
      <c r="H36" s="189"/>
      <c r="I36" s="163" t="s">
        <v>79</v>
      </c>
      <c r="J36" s="218" t="e">
        <f>ROUND(Depo_Calculation!$J45,6)</f>
        <v>#NUM!</v>
      </c>
      <c r="K36" s="156"/>
      <c r="L36" s="166">
        <v>3.3630000000000001E-3</v>
      </c>
      <c r="M36" s="140"/>
      <c r="N36" s="169" t="e">
        <v>#NUM!</v>
      </c>
      <c r="O36" s="170" t="e">
        <f>_xll.qlSimpleQuoteSetValue(D36,ROUND(N36,6),EvaluationDate)</f>
        <v>#NUM!</v>
      </c>
      <c r="P36" s="190"/>
    </row>
    <row r="37" spans="1:16" x14ac:dyDescent="0.2">
      <c r="A37" s="205"/>
      <c r="B37" s="200" t="s">
        <v>80</v>
      </c>
      <c r="C37" s="186" t="str">
        <f t="shared" si="3"/>
        <v>JPY9MD_SYNTH1Y_Quote</v>
      </c>
      <c r="D37" s="186" t="str">
        <f>_xll.qlSimpleQuote(C37,,RateTickValue,Permanent,EvaluationDate,ObjectOverwrite)</f>
        <v>JPY9MD_SYNTH1Y_Quote#0001</v>
      </c>
      <c r="E37" s="199" t="str">
        <f>_xll.ohRangeRetrieveError(D37)</f>
        <v/>
      </c>
      <c r="F37" s="198"/>
      <c r="H37" s="189"/>
      <c r="I37" s="163" t="s">
        <v>80</v>
      </c>
      <c r="J37" s="218" t="e">
        <f>ROUND(Depo_Calculation!$J46,6)</f>
        <v>#NUM!</v>
      </c>
      <c r="K37" s="156"/>
      <c r="L37" s="166">
        <v>3.3600000000000001E-3</v>
      </c>
      <c r="M37" s="140"/>
      <c r="N37" s="169" t="e">
        <v>#NUM!</v>
      </c>
      <c r="O37" s="170" t="e">
        <f>_xll.qlSimpleQuoteSetValue(D37,ROUND(N37,6),EvaluationDate)</f>
        <v>#NUM!</v>
      </c>
      <c r="P37" s="190"/>
    </row>
    <row r="38" spans="1:16" x14ac:dyDescent="0.2">
      <c r="A38" s="205"/>
      <c r="B38" s="200" t="s">
        <v>81</v>
      </c>
      <c r="C38" s="186" t="str">
        <f t="shared" si="3"/>
        <v>JPY10MD_SYNTH1Y_Quote</v>
      </c>
      <c r="D38" s="186" t="str">
        <f>_xll.qlSimpleQuote(C38,,RateTickValue,Permanent,EvaluationDate,ObjectOverwrite)</f>
        <v>JPY10MD_SYNTH1Y_Quote#0001</v>
      </c>
      <c r="E38" s="199" t="str">
        <f>_xll.ohRangeRetrieveError(D38)</f>
        <v/>
      </c>
      <c r="F38" s="198"/>
      <c r="H38" s="189"/>
      <c r="I38" s="163" t="s">
        <v>81</v>
      </c>
      <c r="J38" s="218" t="e">
        <f>ROUND(Depo_Calculation!$J47,6)</f>
        <v>#NUM!</v>
      </c>
      <c r="K38" s="156"/>
      <c r="L38" s="166">
        <v>3.3509999999999998E-3</v>
      </c>
      <c r="M38" s="140"/>
      <c r="N38" s="169" t="e">
        <v>#NUM!</v>
      </c>
      <c r="O38" s="170" t="e">
        <f>_xll.qlSimpleQuoteSetValue(D38,ROUND(N38,6),EvaluationDate)</f>
        <v>#NUM!</v>
      </c>
      <c r="P38" s="190"/>
    </row>
    <row r="39" spans="1:16" x14ac:dyDescent="0.2">
      <c r="A39" s="205"/>
      <c r="B39" s="200" t="s">
        <v>82</v>
      </c>
      <c r="C39" s="186" t="str">
        <f t="shared" si="3"/>
        <v>JPY11MD_SYNTH1Y_Quote</v>
      </c>
      <c r="D39" s="186" t="str">
        <f>_xll.qlSimpleQuote(C39,,RateTickValue,Permanent,EvaluationDate,ObjectOverwrite)</f>
        <v>JPY11MD_SYNTH1Y_Quote#0001</v>
      </c>
      <c r="E39" s="199" t="str">
        <f>_xll.ohRangeRetrieveError(D39)</f>
        <v/>
      </c>
      <c r="F39" s="198"/>
      <c r="H39" s="189"/>
      <c r="I39" s="163" t="s">
        <v>82</v>
      </c>
      <c r="J39" s="218" t="e">
        <f>ROUND(Depo_Calculation!$J48,6)</f>
        <v>#NUM!</v>
      </c>
      <c r="K39" s="156"/>
      <c r="L39" s="166">
        <v>3.3419999999999999E-3</v>
      </c>
      <c r="M39" s="140"/>
      <c r="N39" s="169" t="e">
        <v>#NUM!</v>
      </c>
      <c r="O39" s="170" t="e">
        <f>_xll.qlSimpleQuoteSetValue(D39,ROUND(N39,6),EvaluationDate)</f>
        <v>#NUM!</v>
      </c>
      <c r="P39" s="190"/>
    </row>
    <row r="40" spans="1:16" ht="12" thickBot="1" x14ac:dyDescent="0.25">
      <c r="A40" s="207"/>
      <c r="B40" s="192" t="s">
        <v>83</v>
      </c>
      <c r="C40" s="193" t="str">
        <f t="shared" si="3"/>
        <v>JPY1YD_SYNTH1Y_Quote</v>
      </c>
      <c r="D40" s="193" t="str">
        <f>_xll.qlSimpleQuote(C40,,RateTickValue,Permanent,EvaluationDate,ObjectOverwrite)</f>
        <v>JPY1YD_SYNTH1Y_Quote#0001</v>
      </c>
      <c r="E40" s="208" t="str">
        <f>_xll.ohRangeRetrieveError(D40)</f>
        <v/>
      </c>
      <c r="F40" s="209"/>
      <c r="H40" s="210"/>
      <c r="I40" s="165" t="s">
        <v>83</v>
      </c>
      <c r="J40" s="219" t="e">
        <f>ROUND(Depo_Calculation!$J49,6)</f>
        <v>#NUM!</v>
      </c>
      <c r="K40" s="211"/>
      <c r="L40" s="168">
        <v>3.3349999999999999E-3</v>
      </c>
      <c r="M40" s="212"/>
      <c r="N40" s="172" t="e">
        <v>#NUM!</v>
      </c>
      <c r="O40" s="170" t="e">
        <f>_xll.qlSimpleQuoteSetValue(D40,ROUND(N40,6),EvaluationDate)</f>
        <v>#NUM!</v>
      </c>
      <c r="P40" s="190"/>
    </row>
    <row r="41" spans="1:16" x14ac:dyDescent="0.2">
      <c r="A41" s="233"/>
      <c r="B41" s="233"/>
      <c r="C41" s="233"/>
      <c r="D41" s="233"/>
      <c r="E41" s="233"/>
      <c r="F41" s="233"/>
      <c r="G41" s="232"/>
      <c r="H41" s="233"/>
      <c r="I41" s="233"/>
      <c r="J41" s="233"/>
      <c r="K41" s="233"/>
      <c r="L41" s="233"/>
      <c r="M41" s="233"/>
      <c r="N41" s="233"/>
      <c r="O41" s="233"/>
      <c r="P41" s="2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General Settings</vt:lpstr>
      <vt:lpstr>Depo_Calculation</vt:lpstr>
      <vt:lpstr>Contribution</vt:lpstr>
      <vt:lpstr>AllTriggers</vt:lpstr>
      <vt:lpstr>Calendar</vt:lpstr>
      <vt:lpstr>Currency</vt:lpstr>
      <vt:lpstr>EvaluationDate</vt:lpstr>
      <vt:lpstr>FamilyName</vt:lpstr>
      <vt:lpstr>FileOverwrite</vt:lpstr>
      <vt:lpstr>InterestRatesTrigger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2008-10-02T09:42:40Z</cp:lastPrinted>
  <dcterms:created xsi:type="dcterms:W3CDTF">2007-10-30T15:41:10Z</dcterms:created>
  <dcterms:modified xsi:type="dcterms:W3CDTF">2014-06-13T13:59:09Z</dcterms:modified>
</cp:coreProperties>
</file>