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1010" tabRatio="695"/>
  </bookViews>
  <sheets>
    <sheet name="General Settings" sheetId="29" r:id="rId1"/>
    <sheet name="basis 3M" sheetId="42" r:id="rId2"/>
    <sheet name="3MSynthDepo" sheetId="43" r:id="rId3"/>
    <sheet name="6MSynthDepo" sheetId="39" r:id="rId4"/>
    <sheet name="1MSynthDepo" sheetId="45" r:id="rId5"/>
    <sheet name="Contribution" sheetId="33" r:id="rId6"/>
    <sheet name="6M BBSWSwapForBasisCalc" sheetId="44" r:id="rId7"/>
    <sheet name="1M BBSWSwapForBasisCalc" sheetId="46" r:id="rId8"/>
    <sheet name="Swap1M" sheetId="47" r:id="rId9"/>
  </sheets>
  <externalReferences>
    <externalReference r:id="rId10"/>
  </externalReferences>
  <definedNames>
    <definedName name="AllTriggers">'General Settings'!$J$18:$J$22</definedName>
    <definedName name="Calendar">'General Settings'!$D$5</definedName>
    <definedName name="Currency">'General Settings'!$D$4</definedName>
    <definedName name="DayCounter3M" localSheetId="2">'3MSynthDepo'!$E$10</definedName>
    <definedName name="DayCounter6M" localSheetId="4">'1MSynthDepo'!$E$12</definedName>
    <definedName name="DayCounter6M" localSheetId="3">'6MSynthDepo'!$E$10</definedName>
    <definedName name="DayCounterOIS" localSheetId="4">'1MSynthDepo'!$E$13</definedName>
    <definedName name="DayCounterOIS" localSheetId="2">'3MSynthDepo'!$E$11</definedName>
    <definedName name="DayCounterOIS" localSheetId="3">'6MSynthDepo'!$E$11</definedName>
    <definedName name="DayCounterON" localSheetId="4">'1MSynthDepo'!$E$14</definedName>
    <definedName name="DayCounterON" localSheetId="2">'3MSynthDepo'!$E$12</definedName>
    <definedName name="DayCounterON" localSheetId="3">'6MSynthDepo'!$E$12</definedName>
    <definedName name="Discounting">'General Settings'!$D$8</definedName>
    <definedName name="EvaluationDate">'General Settings'!$J$19</definedName>
    <definedName name="FileOverwrite">'General Settings'!$J$8</definedName>
    <definedName name="FRASeries" localSheetId="7">IF(Check=FALSE,FRANull,FRAQuotes)</definedName>
    <definedName name="FRASeries">IF(Check=FALSE,FRANull,FRAQuotes)</definedName>
    <definedName name="GENERAL_SETTINGS">'General Settings'!$B$2</definedName>
    <definedName name="IborType">'General Settings'!$D$6</definedName>
    <definedName name="IMMFutSeries" localSheetId="7">IF(CheckIMMFut=FALSE,IMMFutNull,IMMFutQuotes)</definedName>
    <definedName name="IMMFutSeries" localSheetId="4">IF(CheckIMMFut=FALSE,IMMFutNull,IMMFutQuotes)</definedName>
    <definedName name="IMMFutSeries">IF(CheckIMMFut=FALSE,IMMFutNull,IMMFutQuotes)</definedName>
    <definedName name="index">Swap1M!$F$18</definedName>
    <definedName name="InterestRatesTrigger">'General Settings'!$J$20</definedName>
    <definedName name="LastDayInNextYear">'General Settings'!$D$21</definedName>
    <definedName name="LastDayInYear">'General Settings'!$D$20</definedName>
    <definedName name="LastFixingsTrigger">'General Settings'!$J$21</definedName>
    <definedName name="LastUpdate">'General Settings'!$D$10</definedName>
    <definedName name="LiveDataFeed">'General Settings'!$D$11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ObjectOverwrite">'General Settings'!$J$5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5">Contribution!$N$3:$N$24</definedName>
    <definedName name="QuoteLive" localSheetId="5">Contribution!$J$3:$J$24</definedName>
    <definedName name="QuoteStatic" localSheetId="5">Contribution!$L$3:$L$24</definedName>
    <definedName name="QuoteSuffix">'General Settings'!$J$10</definedName>
    <definedName name="RateTickValue">'General Settings'!$J$11</definedName>
    <definedName name="SerialFutSeries" localSheetId="7">IF(CheckSerialFut=FALSE,SerialFutNull,SerialFutQuotes)</definedName>
    <definedName name="SerialFutSeries" localSheetId="4">IF(CheckSerialFut=FALSE,SerialFutNull,SerialFutQuotes)</definedName>
    <definedName name="SerialFutSeries">IF(CheckSerialFut=FALSE,SerialFutNull,SerialFutQuotes)</definedName>
    <definedName name="SerializationPath">'General Settings'!$J$7</definedName>
    <definedName name="Serialize">'General Settings'!$J$6</definedName>
    <definedName name="SettlementDate">'General Settings'!$D$18</definedName>
    <definedName name="startdate">Swap1M!$F$3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igger">'General Settings'!$J$18</definedName>
    <definedName name="TriggerCounter">'General Settings'!$J$22</definedName>
  </definedNames>
  <calcPr calcId="145621"/>
</workbook>
</file>

<file path=xl/calcChain.xml><?xml version="1.0" encoding="utf-8"?>
<calcChain xmlns="http://schemas.openxmlformats.org/spreadsheetml/2006/main">
  <c r="J14" i="47" l="1"/>
  <c r="J11" i="47"/>
  <c r="J8" i="47"/>
  <c r="J5" i="47"/>
  <c r="I14" i="47"/>
  <c r="I11" i="47"/>
  <c r="I8" i="47"/>
  <c r="I5" i="47"/>
  <c r="H4" i="47"/>
  <c r="H12" i="47"/>
  <c r="H5" i="47"/>
  <c r="H13" i="47"/>
  <c r="H6" i="47"/>
  <c r="H14" i="47"/>
  <c r="H7" i="47"/>
  <c r="H8" i="47"/>
  <c r="H9" i="47"/>
  <c r="H10" i="47"/>
  <c r="H11" i="47"/>
  <c r="H3" i="47"/>
  <c r="G5" i="47"/>
  <c r="G13" i="47"/>
  <c r="G6" i="47"/>
  <c r="G14" i="47"/>
  <c r="G7" i="47"/>
  <c r="G8" i="47"/>
  <c r="G9" i="47"/>
  <c r="G10" i="47"/>
  <c r="G11" i="47"/>
  <c r="G12" i="47"/>
  <c r="G4" i="47"/>
  <c r="G3" i="47"/>
  <c r="F5" i="47"/>
  <c r="F13" i="47"/>
  <c r="F6" i="47"/>
  <c r="F14" i="47"/>
  <c r="F7" i="47"/>
  <c r="F11" i="47"/>
  <c r="F8" i="47"/>
  <c r="F9" i="47"/>
  <c r="F10" i="47"/>
  <c r="F12" i="47"/>
  <c r="F4" i="47"/>
  <c r="F3" i="47"/>
  <c r="E3" i="47"/>
  <c r="N3" i="33" l="1" a="1"/>
  <c r="P16" i="45" l="1"/>
  <c r="D5" i="45"/>
  <c r="C6" i="45"/>
  <c r="C7" i="45" s="1"/>
  <c r="A6" i="45"/>
  <c r="A7" i="45" s="1"/>
  <c r="D7" i="45" s="1"/>
  <c r="D31" i="47"/>
  <c r="A33" i="47"/>
  <c r="C32" i="47"/>
  <c r="D32" i="47" s="1"/>
  <c r="A32" i="47"/>
  <c r="E6" i="47"/>
  <c r="E7" i="47"/>
  <c r="E4" i="47"/>
  <c r="E8" i="47"/>
  <c r="E5" i="47"/>
  <c r="E14" i="47"/>
  <c r="E11" i="47"/>
  <c r="E9" i="47"/>
  <c r="E13" i="47"/>
  <c r="E12" i="47"/>
  <c r="E10" i="47"/>
  <c r="C33" i="47" l="1"/>
  <c r="D33" i="47" s="1"/>
  <c r="D6" i="45"/>
  <c r="I4" i="46" l="1"/>
  <c r="I5" i="46"/>
  <c r="I6" i="46"/>
  <c r="I7" i="46"/>
  <c r="I8" i="46"/>
  <c r="I9" i="46"/>
  <c r="I10" i="46"/>
  <c r="I11" i="46"/>
  <c r="I12" i="46"/>
  <c r="I13" i="46"/>
  <c r="I14" i="46"/>
  <c r="I15" i="46"/>
  <c r="I16" i="46"/>
  <c r="I17" i="46"/>
  <c r="I18" i="46"/>
  <c r="I19" i="46"/>
  <c r="I20" i="46"/>
  <c r="I21" i="46"/>
  <c r="I22" i="46"/>
  <c r="I23" i="46"/>
  <c r="I24" i="46"/>
  <c r="I25" i="46"/>
  <c r="I26" i="46"/>
  <c r="I27" i="46"/>
  <c r="I28" i="46"/>
  <c r="I29" i="46"/>
  <c r="I30" i="46"/>
  <c r="I31" i="46"/>
  <c r="I32" i="46"/>
  <c r="I33" i="46"/>
  <c r="I34" i="46"/>
  <c r="I35" i="46"/>
  <c r="I3" i="46"/>
  <c r="J35" i="46"/>
  <c r="J34" i="46"/>
  <c r="J33" i="46"/>
  <c r="J32" i="46"/>
  <c r="J31" i="46"/>
  <c r="J30" i="46"/>
  <c r="J29" i="46"/>
  <c r="J28" i="46"/>
  <c r="J27" i="46"/>
  <c r="J26" i="46"/>
  <c r="J25" i="46"/>
  <c r="J24" i="46"/>
  <c r="J23" i="46"/>
  <c r="J22" i="46"/>
  <c r="J21" i="46"/>
  <c r="J20" i="46"/>
  <c r="J19" i="46"/>
  <c r="J18" i="46"/>
  <c r="J17" i="46"/>
  <c r="J16" i="46"/>
  <c r="J15" i="46"/>
  <c r="J14" i="46"/>
  <c r="J13" i="46"/>
  <c r="J12" i="46"/>
  <c r="J11" i="46"/>
  <c r="J10" i="46"/>
  <c r="J9" i="46"/>
  <c r="J8" i="46"/>
  <c r="J7" i="46"/>
  <c r="J6" i="46"/>
  <c r="J5" i="46"/>
  <c r="J4" i="46"/>
  <c r="J3" i="46"/>
  <c r="K2" i="46"/>
  <c r="J2" i="46"/>
  <c r="K27" i="46"/>
  <c r="K11" i="46"/>
  <c r="K16" i="46"/>
  <c r="K24" i="46"/>
  <c r="K20" i="46"/>
  <c r="K7" i="46"/>
  <c r="K12" i="46"/>
  <c r="K21" i="46"/>
  <c r="K35" i="46"/>
  <c r="L16" i="46"/>
  <c r="K17" i="46"/>
  <c r="K31" i="46"/>
  <c r="K30" i="46"/>
  <c r="K22" i="46"/>
  <c r="K26" i="46"/>
  <c r="K25" i="46"/>
  <c r="K9" i="46"/>
  <c r="K10" i="46"/>
  <c r="L10" i="46" s="1"/>
  <c r="K18" i="46"/>
  <c r="K14" i="46"/>
  <c r="K23" i="46"/>
  <c r="K4" i="46"/>
  <c r="L4" i="46" s="1"/>
  <c r="K8" i="46"/>
  <c r="K5" i="46"/>
  <c r="L5" i="46"/>
  <c r="K19" i="46"/>
  <c r="K3" i="46"/>
  <c r="L3" i="46" s="1"/>
  <c r="K33" i="46"/>
  <c r="L2" i="46"/>
  <c r="K15" i="46"/>
  <c r="K29" i="46"/>
  <c r="K32" i="46"/>
  <c r="K6" i="46"/>
  <c r="L18" i="46"/>
  <c r="K34" i="46"/>
  <c r="L34" i="46" s="1"/>
  <c r="K28" i="46"/>
  <c r="K13" i="46"/>
  <c r="I4" i="44" l="1"/>
  <c r="I5" i="44"/>
  <c r="I6" i="44"/>
  <c r="I3" i="44"/>
  <c r="L13" i="46"/>
  <c r="L8" i="46"/>
  <c r="L31" i="46"/>
  <c r="L11" i="46"/>
  <c r="L28" i="46"/>
  <c r="L23" i="46"/>
  <c r="L17" i="46"/>
  <c r="L27" i="46"/>
  <c r="L6" i="46"/>
  <c r="L14" i="46"/>
  <c r="L35" i="46"/>
  <c r="L32" i="46"/>
  <c r="L9" i="46"/>
  <c r="L21" i="46"/>
  <c r="L29" i="46"/>
  <c r="L25" i="46"/>
  <c r="L12" i="46"/>
  <c r="L15" i="46"/>
  <c r="L26" i="46"/>
  <c r="L7" i="46"/>
  <c r="L33" i="46"/>
  <c r="L22" i="46"/>
  <c r="L20" i="46"/>
  <c r="L19" i="46"/>
  <c r="L30" i="46"/>
  <c r="L24" i="46"/>
  <c r="E11" i="45" l="1"/>
  <c r="D3" i="45" s="1"/>
  <c r="P15" i="45"/>
  <c r="P13" i="45"/>
  <c r="P5" i="45"/>
  <c r="P14" i="45" s="1"/>
  <c r="P3" i="45"/>
  <c r="P12" i="45" s="1"/>
  <c r="P3" i="39"/>
  <c r="P5" i="39"/>
  <c r="D6" i="39"/>
  <c r="E9" i="39"/>
  <c r="H3" i="44"/>
  <c r="J3" i="44" s="1"/>
  <c r="H6" i="44"/>
  <c r="J6" i="44" s="1"/>
  <c r="E6" i="44"/>
  <c r="H5" i="44"/>
  <c r="J5" i="44" s="1"/>
  <c r="E5" i="44"/>
  <c r="H4" i="44"/>
  <c r="J2" i="44" s="1"/>
  <c r="K2" i="44"/>
  <c r="E9" i="43"/>
  <c r="D8" i="29"/>
  <c r="K3" i="44"/>
  <c r="L3" i="44"/>
  <c r="L2" i="44"/>
  <c r="K6" i="44"/>
  <c r="K5" i="44"/>
  <c r="D5" i="39" l="1"/>
  <c r="J4" i="44"/>
  <c r="L6" i="44"/>
  <c r="L5" i="44"/>
  <c r="K4" i="44"/>
  <c r="D7" i="39" l="1"/>
  <c r="L4" i="44"/>
  <c r="P7" i="43" l="1"/>
  <c r="P14" i="43" s="1"/>
  <c r="P4" i="43"/>
  <c r="P11" i="43" s="1"/>
  <c r="P3" i="43"/>
  <c r="P10" i="43" s="1"/>
  <c r="P13" i="43"/>
  <c r="P12" i="43"/>
  <c r="X4" i="43"/>
  <c r="V4" i="43"/>
  <c r="D3" i="43"/>
  <c r="P11" i="39" l="1"/>
  <c r="P10" i="39"/>
  <c r="P12" i="39"/>
  <c r="P13" i="39"/>
  <c r="D3" i="39"/>
  <c r="X4" i="39" l="1"/>
  <c r="V4" i="39"/>
  <c r="J19" i="29"/>
  <c r="E5" i="45"/>
  <c r="D18" i="29"/>
  <c r="E20" i="45"/>
  <c r="F20" i="45" s="1"/>
  <c r="E23" i="39"/>
  <c r="F23" i="39" s="1"/>
  <c r="E22" i="45"/>
  <c r="F22" i="45" s="1"/>
  <c r="E22" i="43"/>
  <c r="F22" i="43" s="1"/>
  <c r="E19" i="43"/>
  <c r="F19" i="43" s="1"/>
  <c r="E20" i="39"/>
  <c r="F20" i="39" s="1"/>
  <c r="E31" i="47"/>
  <c r="E24" i="45"/>
  <c r="F24" i="45" s="1"/>
  <c r="E25" i="39"/>
  <c r="F25" i="39" s="1"/>
  <c r="E21" i="43"/>
  <c r="F21" i="43" s="1"/>
  <c r="E20" i="43"/>
  <c r="F20" i="43" s="1"/>
  <c r="E24" i="43"/>
  <c r="F24" i="43" s="1"/>
  <c r="E22" i="39"/>
  <c r="F22" i="39" s="1"/>
  <c r="E18" i="39"/>
  <c r="F18" i="39" s="1"/>
  <c r="E27" i="39"/>
  <c r="F27" i="39" s="1"/>
  <c r="E23" i="45"/>
  <c r="F23" i="45" s="1"/>
  <c r="E23" i="43"/>
  <c r="F23" i="43" s="1"/>
  <c r="J14" i="45"/>
  <c r="E24" i="39"/>
  <c r="F24" i="39" s="1"/>
  <c r="E5" i="39"/>
  <c r="E26" i="45"/>
  <c r="F26" i="45" s="1"/>
  <c r="E21" i="39"/>
  <c r="F21" i="39" s="1"/>
  <c r="E25" i="45"/>
  <c r="F25" i="45" s="1"/>
  <c r="E18" i="43"/>
  <c r="E26" i="39"/>
  <c r="F26" i="39" s="1"/>
  <c r="E19" i="39"/>
  <c r="F19" i="39" s="1"/>
  <c r="E21" i="45"/>
  <c r="F21" i="45" s="1"/>
  <c r="E6" i="39"/>
  <c r="F18" i="43"/>
  <c r="G18" i="43" s="1"/>
  <c r="E7" i="39" l="1"/>
  <c r="E4" i="45"/>
  <c r="C2" i="33"/>
  <c r="A9" i="33"/>
  <c r="F31" i="47"/>
  <c r="J13" i="45"/>
  <c r="F4" i="45"/>
  <c r="H31" i="47"/>
  <c r="G31" i="47"/>
  <c r="E32" i="47" l="1"/>
  <c r="C9" i="33"/>
  <c r="C12" i="33"/>
  <c r="C13" i="33"/>
  <c r="C8" i="33"/>
  <c r="C14" i="33"/>
  <c r="C11" i="33"/>
  <c r="C10" i="33"/>
  <c r="A4" i="33"/>
  <c r="A16" i="33"/>
  <c r="F32" i="47"/>
  <c r="G32" i="47"/>
  <c r="H32" i="47"/>
  <c r="E33" i="47" l="1"/>
  <c r="C5" i="33"/>
  <c r="C3" i="33"/>
  <c r="C6" i="33"/>
  <c r="C4" i="33"/>
  <c r="C7" i="33"/>
  <c r="C20" i="33"/>
  <c r="C22" i="33"/>
  <c r="C21" i="33"/>
  <c r="C23" i="33"/>
  <c r="C18" i="33"/>
  <c r="C24" i="33"/>
  <c r="C16" i="33"/>
  <c r="C15" i="33"/>
  <c r="C19" i="33"/>
  <c r="C17" i="33"/>
  <c r="D2" i="42"/>
  <c r="D14" i="33"/>
  <c r="D24" i="33"/>
  <c r="B1" i="29"/>
  <c r="F33" i="47"/>
  <c r="D20" i="33"/>
  <c r="D9" i="33"/>
  <c r="D19" i="29"/>
  <c r="D7" i="33"/>
  <c r="D15" i="33"/>
  <c r="D11" i="33"/>
  <c r="D4" i="33"/>
  <c r="D13" i="33"/>
  <c r="D23" i="33"/>
  <c r="D18" i="33"/>
  <c r="D22" i="33"/>
  <c r="D17" i="33"/>
  <c r="D6" i="33"/>
  <c r="D5" i="33"/>
  <c r="D12" i="33"/>
  <c r="D21" i="33"/>
  <c r="D3" i="33"/>
  <c r="D10" i="33"/>
  <c r="D19" i="33"/>
  <c r="D8" i="33"/>
  <c r="D16" i="33"/>
  <c r="G33" i="47"/>
  <c r="H33" i="47"/>
  <c r="AF3" i="45" l="1"/>
  <c r="AF3" i="43"/>
  <c r="E4" i="43"/>
  <c r="E4" i="39"/>
  <c r="M2" i="42"/>
  <c r="E2" i="42"/>
  <c r="AF3" i="39"/>
  <c r="F5" i="45"/>
  <c r="K26" i="45"/>
  <c r="AG3" i="45"/>
  <c r="L20" i="43"/>
  <c r="K23" i="45"/>
  <c r="J24" i="43"/>
  <c r="K24" i="45"/>
  <c r="K23" i="43"/>
  <c r="J19" i="43"/>
  <c r="AG3" i="43"/>
  <c r="L22" i="43"/>
  <c r="F2" i="42"/>
  <c r="F4" i="39"/>
  <c r="J20" i="45"/>
  <c r="L20" i="45"/>
  <c r="J25" i="45"/>
  <c r="AF4" i="39"/>
  <c r="L23" i="43"/>
  <c r="J21" i="45"/>
  <c r="J26" i="45"/>
  <c r="C5" i="43"/>
  <c r="J22" i="45"/>
  <c r="G24" i="45"/>
  <c r="G23" i="43"/>
  <c r="L19" i="43"/>
  <c r="L22" i="45"/>
  <c r="K22" i="45"/>
  <c r="G19" i="43"/>
  <c r="L23" i="45"/>
  <c r="K19" i="43"/>
  <c r="F4" i="43"/>
  <c r="K21" i="45"/>
  <c r="N2" i="42"/>
  <c r="G25" i="45"/>
  <c r="G22" i="45"/>
  <c r="C3" i="42"/>
  <c r="K18" i="43"/>
  <c r="J18" i="43"/>
  <c r="J11" i="43"/>
  <c r="K20" i="45"/>
  <c r="G20" i="45"/>
  <c r="J23" i="45"/>
  <c r="F6" i="39"/>
  <c r="K25" i="45"/>
  <c r="L24" i="43"/>
  <c r="L24" i="45"/>
  <c r="K21" i="43"/>
  <c r="L26" i="45"/>
  <c r="F5" i="39"/>
  <c r="F7" i="39"/>
  <c r="G7" i="39" s="1"/>
  <c r="J22" i="43"/>
  <c r="G5" i="45"/>
  <c r="J23" i="43"/>
  <c r="L25" i="45"/>
  <c r="J11" i="39"/>
  <c r="J21" i="43"/>
  <c r="G20" i="43"/>
  <c r="G26" i="45"/>
  <c r="L18" i="43"/>
  <c r="AF4" i="45"/>
  <c r="AF5" i="45" s="1"/>
  <c r="AG5" i="45" s="1"/>
  <c r="G24" i="43"/>
  <c r="G4" i="45"/>
  <c r="K22" i="43"/>
  <c r="K24" i="43"/>
  <c r="G21" i="45"/>
  <c r="L21" i="45"/>
  <c r="K13" i="45"/>
  <c r="L21" i="43"/>
  <c r="K20" i="43"/>
  <c r="J20" i="43"/>
  <c r="J24" i="45"/>
  <c r="AF4" i="43"/>
  <c r="AF5" i="43" s="1"/>
  <c r="G22" i="43"/>
  <c r="G21" i="43"/>
  <c r="H21" i="43" s="1"/>
  <c r="G23" i="45"/>
  <c r="H2" i="42"/>
  <c r="E6" i="45" l="1"/>
  <c r="M13" i="45"/>
  <c r="N13" i="45"/>
  <c r="L13" i="45"/>
  <c r="D5" i="43"/>
  <c r="H20" i="43"/>
  <c r="G4" i="39"/>
  <c r="AG5" i="43"/>
  <c r="H18" i="43"/>
  <c r="H22" i="45"/>
  <c r="H7" i="39"/>
  <c r="G5" i="39"/>
  <c r="H5" i="45"/>
  <c r="AF5" i="39"/>
  <c r="H25" i="45"/>
  <c r="H23" i="43"/>
  <c r="E5" i="43"/>
  <c r="H23" i="45"/>
  <c r="AF6" i="45"/>
  <c r="H21" i="45"/>
  <c r="K14" i="45"/>
  <c r="H22" i="43"/>
  <c r="K11" i="39"/>
  <c r="J12" i="43"/>
  <c r="H19" i="43"/>
  <c r="C6" i="43"/>
  <c r="AG6" i="45"/>
  <c r="H24" i="43"/>
  <c r="AG4" i="45"/>
  <c r="H20" i="45"/>
  <c r="AF6" i="43"/>
  <c r="J15" i="45"/>
  <c r="F6" i="45"/>
  <c r="AG4" i="43"/>
  <c r="G4" i="43"/>
  <c r="G6" i="39"/>
  <c r="H4" i="45"/>
  <c r="I2" i="42"/>
  <c r="H6" i="39"/>
  <c r="K11" i="43"/>
  <c r="H24" i="45"/>
  <c r="H26" i="45"/>
  <c r="H4" i="39"/>
  <c r="AG6" i="43"/>
  <c r="AF7" i="43"/>
  <c r="G6" i="45"/>
  <c r="H6" i="45" s="1"/>
  <c r="K15" i="45"/>
  <c r="AF8" i="43"/>
  <c r="AG7" i="43"/>
  <c r="AG8" i="43"/>
  <c r="AF9" i="43"/>
  <c r="AG9" i="43"/>
  <c r="AF10" i="43"/>
  <c r="AF11" i="43"/>
  <c r="AG10" i="43"/>
  <c r="AG11" i="43"/>
  <c r="AF12" i="43"/>
  <c r="AF13" i="43"/>
  <c r="AG12" i="43"/>
  <c r="AF14" i="43"/>
  <c r="AG13" i="43"/>
  <c r="AF15" i="43"/>
  <c r="AG14" i="43"/>
  <c r="AG15" i="43"/>
  <c r="AF16" i="43"/>
  <c r="AG16" i="43"/>
  <c r="AF17" i="43"/>
  <c r="AF18" i="43"/>
  <c r="AG17" i="43"/>
  <c r="AG18" i="43"/>
  <c r="AF19" i="43"/>
  <c r="AF20" i="43"/>
  <c r="AG19" i="43"/>
  <c r="AG20" i="43"/>
  <c r="AF21" i="43"/>
  <c r="AG21" i="43"/>
  <c r="AF22" i="43"/>
  <c r="AF23" i="43"/>
  <c r="AG22" i="43"/>
  <c r="AG23" i="43"/>
  <c r="AF24" i="43"/>
  <c r="AG24" i="43"/>
  <c r="AF25" i="43"/>
  <c r="AF26" i="43"/>
  <c r="AG25" i="43"/>
  <c r="AG26" i="43"/>
  <c r="AF27" i="43"/>
  <c r="AG27" i="43"/>
  <c r="AF28" i="43"/>
  <c r="AF29" i="43"/>
  <c r="AG28" i="43"/>
  <c r="AF30" i="43"/>
  <c r="AG29" i="43"/>
  <c r="AF31" i="43"/>
  <c r="AG30" i="43"/>
  <c r="AF32" i="43"/>
  <c r="AG31" i="43"/>
  <c r="AF33" i="43"/>
  <c r="AG32" i="43"/>
  <c r="AG33" i="43"/>
  <c r="AF34" i="43"/>
  <c r="AG34" i="43"/>
  <c r="AF35" i="43"/>
  <c r="AG35" i="43"/>
  <c r="AF36" i="43"/>
  <c r="AF37" i="43"/>
  <c r="AG36" i="43"/>
  <c r="AG37" i="43"/>
  <c r="AF38" i="43"/>
  <c r="AG38" i="43"/>
  <c r="AF39" i="43"/>
  <c r="AF40" i="43"/>
  <c r="AG39" i="43"/>
  <c r="AF41" i="43"/>
  <c r="AG40" i="43"/>
  <c r="AG41" i="43"/>
  <c r="AF42" i="43"/>
  <c r="AF43" i="43"/>
  <c r="AG42" i="43"/>
  <c r="AF44" i="43"/>
  <c r="AG43" i="43"/>
  <c r="AF45" i="43"/>
  <c r="AG44" i="43"/>
  <c r="AG45" i="43"/>
  <c r="AF46" i="43"/>
  <c r="AF47" i="43"/>
  <c r="AG46" i="43"/>
  <c r="AF48" i="43"/>
  <c r="AG47" i="43"/>
  <c r="AF49" i="43"/>
  <c r="AG48" i="43"/>
  <c r="AF50" i="43"/>
  <c r="AG49" i="43"/>
  <c r="AF51" i="43"/>
  <c r="AG50" i="43"/>
  <c r="AF52" i="43"/>
  <c r="AG51" i="43"/>
  <c r="AG52" i="43"/>
  <c r="AF53" i="43"/>
  <c r="AG53" i="43"/>
  <c r="AF54" i="43"/>
  <c r="AG54" i="43"/>
  <c r="AF55" i="43"/>
  <c r="AF56" i="43"/>
  <c r="AG55" i="43"/>
  <c r="AG56" i="43"/>
  <c r="AF57" i="43"/>
  <c r="AF58" i="43"/>
  <c r="AG57" i="43"/>
  <c r="AG58" i="43"/>
  <c r="AF59" i="43"/>
  <c r="AF60" i="43"/>
  <c r="AG59" i="43"/>
  <c r="AG60" i="43"/>
  <c r="AF61" i="43"/>
  <c r="AF62" i="43"/>
  <c r="AG61" i="43"/>
  <c r="AG62" i="43"/>
  <c r="AF63" i="43"/>
  <c r="AF64" i="43"/>
  <c r="AG63" i="43"/>
  <c r="AG64" i="43"/>
  <c r="AF65" i="43"/>
  <c r="AG65" i="43"/>
  <c r="AF66" i="43"/>
  <c r="AG66" i="43"/>
  <c r="AF67" i="43"/>
  <c r="L15" i="45" l="1"/>
  <c r="N15" i="45"/>
  <c r="M15" i="45"/>
  <c r="E7" i="45"/>
  <c r="D6" i="43"/>
  <c r="M14" i="45"/>
  <c r="N14" i="45"/>
  <c r="L14" i="45"/>
  <c r="L11" i="43"/>
  <c r="M11" i="43"/>
  <c r="N11" i="43"/>
  <c r="D2" i="33"/>
  <c r="H4" i="43"/>
  <c r="J16" i="45"/>
  <c r="F7" i="45"/>
  <c r="G7" i="45"/>
  <c r="H7" i="45" s="1"/>
  <c r="AF7" i="45"/>
  <c r="E6" i="43"/>
  <c r="AG67" i="43"/>
  <c r="F5" i="43"/>
  <c r="H5" i="39"/>
  <c r="K16" i="45"/>
  <c r="AF8" i="45"/>
  <c r="AG7" i="45"/>
  <c r="F6" i="43"/>
  <c r="K13" i="43" s="1"/>
  <c r="J13" i="43"/>
  <c r="G6" i="43"/>
  <c r="H6" i="43" s="1"/>
  <c r="C7" i="43"/>
  <c r="K12" i="43"/>
  <c r="G5" i="43"/>
  <c r="H5" i="43" s="1"/>
  <c r="AG8" i="45"/>
  <c r="AF9" i="45"/>
  <c r="E7" i="43"/>
  <c r="AG9" i="45"/>
  <c r="AF10" i="45"/>
  <c r="J14" i="43"/>
  <c r="F7" i="43"/>
  <c r="AG10" i="45"/>
  <c r="AF11" i="45"/>
  <c r="G7" i="43"/>
  <c r="K14" i="43"/>
  <c r="AF12" i="45"/>
  <c r="AG11" i="45"/>
  <c r="AF13" i="45"/>
  <c r="AG12" i="45"/>
  <c r="AF14" i="45"/>
  <c r="AG13" i="45"/>
  <c r="AF15" i="45"/>
  <c r="AG14" i="45"/>
  <c r="AG15" i="45"/>
  <c r="AF16" i="45"/>
  <c r="AF17" i="45"/>
  <c r="AG16" i="45"/>
  <c r="AF18" i="45"/>
  <c r="AG17" i="45"/>
  <c r="AG18" i="45"/>
  <c r="AF19" i="45"/>
  <c r="AF20" i="45"/>
  <c r="AG19" i="45"/>
  <c r="AF21" i="45"/>
  <c r="AG20" i="45"/>
  <c r="AF22" i="45"/>
  <c r="AG21" i="45"/>
  <c r="AG22" i="45"/>
  <c r="AF23" i="45"/>
  <c r="AF24" i="45"/>
  <c r="AG23" i="45"/>
  <c r="AF25" i="45"/>
  <c r="AG24" i="45"/>
  <c r="AG25" i="45"/>
  <c r="AF26" i="45"/>
  <c r="AF27" i="45"/>
  <c r="AG26" i="45"/>
  <c r="AF28" i="45"/>
  <c r="AG27" i="45"/>
  <c r="AG28" i="45"/>
  <c r="AF29" i="45"/>
  <c r="AG29" i="45"/>
  <c r="AF30" i="45"/>
  <c r="AG30" i="45"/>
  <c r="AF31" i="45"/>
  <c r="AF32" i="45"/>
  <c r="AG31" i="45"/>
  <c r="AF33" i="45"/>
  <c r="AG32" i="45"/>
  <c r="AF34" i="45"/>
  <c r="AG33" i="45"/>
  <c r="AG34" i="45"/>
  <c r="AF35" i="45"/>
  <c r="AG35" i="45"/>
  <c r="AF36" i="45"/>
  <c r="AF37" i="45"/>
  <c r="AG36" i="45"/>
  <c r="AF38" i="45"/>
  <c r="AG37" i="45"/>
  <c r="AF39" i="45"/>
  <c r="AG38" i="45"/>
  <c r="AG39" i="45"/>
  <c r="AF40" i="45"/>
  <c r="AF41" i="45"/>
  <c r="AG40" i="45"/>
  <c r="AF42" i="45"/>
  <c r="AG41" i="45"/>
  <c r="AF43" i="45"/>
  <c r="AG42" i="45"/>
  <c r="AF44" i="45"/>
  <c r="AG43" i="45"/>
  <c r="AF45" i="45"/>
  <c r="AG44" i="45"/>
  <c r="AG45" i="45"/>
  <c r="AF46" i="45"/>
  <c r="AF47" i="45"/>
  <c r="AG46" i="45"/>
  <c r="AF48" i="45"/>
  <c r="AG47" i="45"/>
  <c r="AF49" i="45"/>
  <c r="AG48" i="45"/>
  <c r="AF50" i="45"/>
  <c r="AG49" i="45"/>
  <c r="AG50" i="45"/>
  <c r="AF51" i="45"/>
  <c r="AF52" i="45"/>
  <c r="AG51" i="45"/>
  <c r="AF53" i="45"/>
  <c r="AG52" i="45"/>
  <c r="AG53" i="45"/>
  <c r="AF54" i="45"/>
  <c r="AG54" i="45"/>
  <c r="AF55" i="45"/>
  <c r="AG55" i="45"/>
  <c r="AF56" i="45"/>
  <c r="AG56" i="45"/>
  <c r="AF57" i="45"/>
  <c r="AG57" i="45"/>
  <c r="AF58" i="45"/>
  <c r="AG58" i="45"/>
  <c r="AF59" i="45"/>
  <c r="AG59" i="45"/>
  <c r="AF60" i="45"/>
  <c r="AF61" i="45"/>
  <c r="AG60" i="45"/>
  <c r="AF62" i="45"/>
  <c r="AG61" i="45"/>
  <c r="AF63" i="45"/>
  <c r="AG62" i="45"/>
  <c r="AF64" i="45"/>
  <c r="AG63" i="45"/>
  <c r="AF65" i="45"/>
  <c r="AG64" i="45"/>
  <c r="AG65" i="45"/>
  <c r="AF66" i="45"/>
  <c r="AG66" i="45"/>
  <c r="AF67" i="45"/>
  <c r="AF68" i="45"/>
  <c r="AG67" i="45"/>
  <c r="AF69" i="45"/>
  <c r="AG69" i="45" s="1"/>
  <c r="AG68" i="45"/>
  <c r="D7" i="43" l="1"/>
  <c r="L16" i="45"/>
  <c r="M16" i="45"/>
  <c r="N16" i="45"/>
  <c r="M12" i="43"/>
  <c r="L12" i="43"/>
  <c r="N12" i="43"/>
  <c r="L13" i="43"/>
  <c r="N13" i="43"/>
  <c r="M13" i="43"/>
  <c r="L14" i="43"/>
  <c r="M14" i="43"/>
  <c r="N14" i="43"/>
  <c r="L11" i="39"/>
  <c r="N11" i="39"/>
  <c r="M11" i="39"/>
  <c r="H7" i="43"/>
  <c r="E23" i="33"/>
  <c r="E20" i="33"/>
  <c r="E16" i="33"/>
  <c r="E2" i="33"/>
  <c r="J19" i="39"/>
  <c r="G26" i="39"/>
  <c r="E19" i="33"/>
  <c r="G21" i="39"/>
  <c r="J23" i="39"/>
  <c r="D21" i="29"/>
  <c r="K14" i="39"/>
  <c r="K18" i="39"/>
  <c r="L21" i="39"/>
  <c r="J27" i="39"/>
  <c r="K20" i="39"/>
  <c r="L20" i="39"/>
  <c r="O2" i="42"/>
  <c r="K13" i="39"/>
  <c r="K25" i="39"/>
  <c r="E6" i="33"/>
  <c r="L24" i="39"/>
  <c r="M3" i="42"/>
  <c r="J13" i="39"/>
  <c r="K26" i="39"/>
  <c r="E24" i="33"/>
  <c r="AG3" i="39"/>
  <c r="G27" i="39"/>
  <c r="AG4" i="39"/>
  <c r="E22" i="33"/>
  <c r="K19" i="39"/>
  <c r="J14" i="39"/>
  <c r="G20" i="39"/>
  <c r="K27" i="39"/>
  <c r="G19" i="39"/>
  <c r="G25" i="39"/>
  <c r="J20" i="39"/>
  <c r="K22" i="39"/>
  <c r="L23" i="39"/>
  <c r="E7" i="33"/>
  <c r="L25" i="39"/>
  <c r="J24" i="39"/>
  <c r="D20" i="29"/>
  <c r="K24" i="39"/>
  <c r="E18" i="33"/>
  <c r="L22" i="39"/>
  <c r="E17" i="33"/>
  <c r="J18" i="39"/>
  <c r="J21" i="39"/>
  <c r="G22" i="39"/>
  <c r="E15" i="33"/>
  <c r="G18" i="39"/>
  <c r="L26" i="39"/>
  <c r="J25" i="39"/>
  <c r="E21" i="33"/>
  <c r="G23" i="39"/>
  <c r="L27" i="39"/>
  <c r="J12" i="39"/>
  <c r="E4" i="33"/>
  <c r="J22" i="39"/>
  <c r="AG5" i="39"/>
  <c r="K12" i="39"/>
  <c r="J26" i="39"/>
  <c r="E3" i="33"/>
  <c r="E5" i="33"/>
  <c r="AF6" i="39"/>
  <c r="L18" i="39"/>
  <c r="G24" i="39"/>
  <c r="L19" i="39"/>
  <c r="K23" i="39"/>
  <c r="K21" i="39"/>
  <c r="M13" i="39" l="1"/>
  <c r="L13" i="39"/>
  <c r="N13" i="39"/>
  <c r="M14" i="39"/>
  <c r="L14" i="39"/>
  <c r="N14" i="39"/>
  <c r="M12" i="39"/>
  <c r="L12" i="39"/>
  <c r="N12" i="39"/>
  <c r="H25" i="39"/>
  <c r="H19" i="39"/>
  <c r="H24" i="39"/>
  <c r="E3" i="42"/>
  <c r="AG6" i="39"/>
  <c r="H21" i="39"/>
  <c r="H23" i="39"/>
  <c r="H20" i="39"/>
  <c r="M4" i="42"/>
  <c r="H26" i="39"/>
  <c r="N3" i="42"/>
  <c r="P2" i="42"/>
  <c r="H18" i="39"/>
  <c r="H22" i="39"/>
  <c r="AF7" i="39"/>
  <c r="H27" i="39"/>
  <c r="AF8" i="39"/>
  <c r="AG8" i="39" s="1"/>
  <c r="AG7" i="39"/>
  <c r="D3" i="42" l="1"/>
  <c r="M5" i="42"/>
  <c r="M6" i="42"/>
  <c r="AF9" i="39"/>
  <c r="F3" i="42"/>
  <c r="C4" i="42"/>
  <c r="AF10" i="39"/>
  <c r="AF11" i="39" s="1"/>
  <c r="AG11" i="39" s="1"/>
  <c r="O3" i="42"/>
  <c r="AF12" i="39"/>
  <c r="M7" i="42"/>
  <c r="N7" i="42" s="1"/>
  <c r="N4" i="42"/>
  <c r="AG10" i="39"/>
  <c r="N5" i="42"/>
  <c r="N6" i="42"/>
  <c r="AG12" i="39"/>
  <c r="AF13" i="39"/>
  <c r="AG13" i="39"/>
  <c r="AF14" i="39"/>
  <c r="AG14" i="39"/>
  <c r="AF15" i="39"/>
  <c r="AG15" i="39"/>
  <c r="AF16" i="39"/>
  <c r="AG16" i="39"/>
  <c r="AF17" i="39"/>
  <c r="AG17" i="39"/>
  <c r="AF18" i="39"/>
  <c r="AF19" i="39"/>
  <c r="AG18" i="39"/>
  <c r="AF20" i="39"/>
  <c r="AG19" i="39"/>
  <c r="AG20" i="39"/>
  <c r="AF21" i="39"/>
  <c r="AF22" i="39"/>
  <c r="AG21" i="39"/>
  <c r="AG22" i="39"/>
  <c r="AF23" i="39"/>
  <c r="AG23" i="39"/>
  <c r="AF24" i="39"/>
  <c r="AF25" i="39"/>
  <c r="AG24" i="39"/>
  <c r="AG25" i="39"/>
  <c r="AF26" i="39"/>
  <c r="AG26" i="39"/>
  <c r="AF27" i="39"/>
  <c r="AG27" i="39"/>
  <c r="AF28" i="39"/>
  <c r="AG28" i="39"/>
  <c r="AF29" i="39"/>
  <c r="AG29" i="39"/>
  <c r="AF30" i="39"/>
  <c r="AG30" i="39"/>
  <c r="AF31" i="39"/>
  <c r="AG31" i="39"/>
  <c r="AF32" i="39"/>
  <c r="AF33" i="39"/>
  <c r="AG32" i="39"/>
  <c r="AG33" i="39"/>
  <c r="AF34" i="39"/>
  <c r="AF35" i="39"/>
  <c r="AG34" i="39"/>
  <c r="AF36" i="39"/>
  <c r="AG35" i="39"/>
  <c r="AF37" i="39"/>
  <c r="AG36" i="39"/>
  <c r="AG37" i="39"/>
  <c r="AF38" i="39"/>
  <c r="AG38" i="39"/>
  <c r="AF39" i="39"/>
  <c r="AG39" i="39"/>
  <c r="AF40" i="39"/>
  <c r="AG40" i="39"/>
  <c r="AF41" i="39"/>
  <c r="AF42" i="39"/>
  <c r="AG41" i="39"/>
  <c r="AG42" i="39"/>
  <c r="AF43" i="39"/>
  <c r="AF44" i="39"/>
  <c r="AG43" i="39"/>
  <c r="AF45" i="39"/>
  <c r="AG44" i="39"/>
  <c r="AG45" i="39"/>
  <c r="AF46" i="39"/>
  <c r="AF47" i="39"/>
  <c r="AG46" i="39"/>
  <c r="AG47" i="39"/>
  <c r="AF48" i="39"/>
  <c r="AF49" i="39"/>
  <c r="AG48" i="39"/>
  <c r="AG49" i="39"/>
  <c r="AF50" i="39"/>
  <c r="AG50" i="39"/>
  <c r="AF51" i="39"/>
  <c r="AG51" i="39"/>
  <c r="AF52" i="39"/>
  <c r="AF53" i="39"/>
  <c r="AG52" i="39"/>
  <c r="AF54" i="39"/>
  <c r="AG53" i="39"/>
  <c r="AF55" i="39"/>
  <c r="AG54" i="39"/>
  <c r="AG55" i="39"/>
  <c r="AF56" i="39"/>
  <c r="AG56" i="39"/>
  <c r="AF57" i="39"/>
  <c r="AF58" i="39"/>
  <c r="AG57" i="39"/>
  <c r="AG58" i="39"/>
  <c r="AF59" i="39"/>
  <c r="AG59" i="39"/>
  <c r="AF60" i="39"/>
  <c r="AG60" i="39"/>
  <c r="AF61" i="39"/>
  <c r="AF62" i="39"/>
  <c r="AG61" i="39"/>
  <c r="AG62" i="39"/>
  <c r="AF63" i="39"/>
  <c r="AG63" i="39"/>
  <c r="AF64" i="39"/>
  <c r="AG64" i="39"/>
  <c r="AF65" i="39"/>
  <c r="AF66" i="39"/>
  <c r="AG65" i="39"/>
  <c r="AF67" i="39"/>
  <c r="AG66" i="39"/>
  <c r="AF68" i="39"/>
  <c r="AG67" i="39"/>
  <c r="AF69" i="39"/>
  <c r="AG68" i="39"/>
  <c r="AG69" i="39"/>
  <c r="AF70" i="39"/>
  <c r="AG70" i="39"/>
  <c r="AF71" i="39"/>
  <c r="AG71" i="39"/>
  <c r="AF72" i="39"/>
  <c r="AF73" i="39"/>
  <c r="AG72" i="39"/>
  <c r="AF74" i="39"/>
  <c r="AG73" i="39"/>
  <c r="AG74" i="39"/>
  <c r="AF75" i="39"/>
  <c r="AG75" i="39"/>
  <c r="AF76" i="39"/>
  <c r="AF77" i="39"/>
  <c r="AG76" i="39"/>
  <c r="AF78" i="39"/>
  <c r="AG77" i="39"/>
  <c r="AF79" i="39"/>
  <c r="AG78" i="39"/>
  <c r="AG79" i="39"/>
  <c r="AF80" i="39"/>
  <c r="AG80" i="39"/>
  <c r="AF81" i="39"/>
  <c r="AG81" i="39"/>
  <c r="AF82" i="39"/>
  <c r="AF83" i="39"/>
  <c r="AG82" i="39"/>
  <c r="AG83" i="39"/>
  <c r="AF84" i="39"/>
  <c r="AF85" i="39"/>
  <c r="AG84" i="39"/>
  <c r="AG85" i="39"/>
  <c r="AF86" i="39"/>
  <c r="AG86" i="39"/>
  <c r="AF87" i="39"/>
  <c r="AF88" i="39"/>
  <c r="AG87" i="39"/>
  <c r="AG88" i="39"/>
  <c r="AF89" i="39"/>
  <c r="AG89" i="39"/>
  <c r="AF90" i="39"/>
  <c r="AG90" i="39"/>
  <c r="AF91" i="39"/>
  <c r="AG91" i="39"/>
  <c r="AF92" i="39"/>
  <c r="AG92" i="39"/>
  <c r="AF93" i="39"/>
  <c r="AG93" i="39"/>
  <c r="AF94" i="39"/>
  <c r="AG94" i="39"/>
  <c r="AF95" i="39"/>
  <c r="AG95" i="39"/>
  <c r="AF96" i="39"/>
  <c r="AF97" i="39"/>
  <c r="AG96" i="39"/>
  <c r="AG97" i="39"/>
  <c r="AF98" i="39"/>
  <c r="AG98" i="39"/>
  <c r="AF99" i="39"/>
  <c r="AF100" i="39"/>
  <c r="AG99" i="39"/>
  <c r="AG100" i="39"/>
  <c r="AF101" i="39"/>
  <c r="AF102" i="39"/>
  <c r="AG101" i="39"/>
  <c r="AG102" i="39"/>
  <c r="AF103" i="39"/>
  <c r="AG103" i="39"/>
  <c r="AF104" i="39"/>
  <c r="AG104" i="39"/>
  <c r="AF105" i="39"/>
  <c r="AG105" i="39"/>
  <c r="AF106" i="39"/>
  <c r="AF107" i="39"/>
  <c r="AG106" i="39"/>
  <c r="AG107" i="39"/>
  <c r="AF108" i="39"/>
  <c r="AF109" i="39"/>
  <c r="AG108" i="39"/>
  <c r="AF110" i="39"/>
  <c r="AG109" i="39"/>
  <c r="AG110" i="39"/>
  <c r="AF111" i="39"/>
  <c r="AG111" i="39"/>
  <c r="AF112" i="39"/>
  <c r="AF113" i="39"/>
  <c r="AG112" i="39"/>
  <c r="AG113" i="39"/>
  <c r="AF114" i="39"/>
  <c r="AG114" i="39"/>
  <c r="AF115" i="39"/>
  <c r="AG115" i="39"/>
  <c r="AF116" i="39"/>
  <c r="AG116" i="39"/>
  <c r="AF117" i="39"/>
  <c r="AF118" i="39"/>
  <c r="AG117" i="39"/>
  <c r="AF119" i="39"/>
  <c r="AG118" i="39"/>
  <c r="AG119" i="39"/>
  <c r="AF120" i="39"/>
  <c r="AF121" i="39"/>
  <c r="AG120" i="39"/>
  <c r="AF122" i="39"/>
  <c r="AG121" i="39"/>
  <c r="AG122" i="39"/>
  <c r="AF123" i="39"/>
  <c r="AF124" i="39"/>
  <c r="AG123" i="39"/>
  <c r="AG124" i="39"/>
  <c r="AF125" i="39"/>
  <c r="AG125" i="39"/>
  <c r="AF126" i="39"/>
  <c r="AG126" i="39"/>
  <c r="AF127" i="39"/>
  <c r="AG127" i="39"/>
  <c r="AF128" i="39"/>
  <c r="AF129" i="39"/>
  <c r="AG128" i="39"/>
  <c r="AG129" i="39"/>
  <c r="AF130" i="39"/>
  <c r="AF131" i="39"/>
  <c r="AG130" i="39"/>
  <c r="AG131" i="39"/>
  <c r="AF132" i="39"/>
  <c r="D4" i="42" l="1"/>
  <c r="O7" i="42"/>
  <c r="AG132" i="39"/>
  <c r="P3" i="42"/>
  <c r="O4" i="42"/>
  <c r="H3" i="42"/>
  <c r="I3" i="42" s="1"/>
  <c r="O6" i="42"/>
  <c r="P6" i="42" s="1"/>
  <c r="E4" i="42"/>
  <c r="M8" i="42"/>
  <c r="AG9" i="39"/>
  <c r="O5" i="42"/>
  <c r="P5" i="42" s="1"/>
  <c r="F4" i="42"/>
  <c r="N8" i="42"/>
  <c r="M9" i="42"/>
  <c r="C5" i="42"/>
  <c r="P7" i="42"/>
  <c r="P4" i="42"/>
  <c r="O8" i="42"/>
  <c r="E5" i="42"/>
  <c r="H4" i="42"/>
  <c r="P8" i="42"/>
  <c r="M10" i="42"/>
  <c r="I4" i="42"/>
  <c r="M11" i="42"/>
  <c r="M12" i="42"/>
  <c r="M13" i="42"/>
  <c r="N13" i="42" s="1"/>
  <c r="M14" i="42"/>
  <c r="N14" i="42"/>
  <c r="O14" i="42"/>
  <c r="M15" i="42"/>
  <c r="M16" i="42"/>
  <c r="P14" i="42"/>
  <c r="N15" i="42"/>
  <c r="O15" i="42" s="1"/>
  <c r="P15" i="42" s="1"/>
  <c r="M17" i="42"/>
  <c r="N16" i="42"/>
  <c r="O16" i="42" s="1"/>
  <c r="P16" i="42" s="1"/>
  <c r="C6" i="42"/>
  <c r="F5" i="42"/>
  <c r="H5" i="42" s="1"/>
  <c r="M18" i="42"/>
  <c r="N17" i="42"/>
  <c r="E6" i="42"/>
  <c r="I5" i="42"/>
  <c r="M19" i="42"/>
  <c r="N18" i="42"/>
  <c r="O18" i="42" s="1"/>
  <c r="F6" i="42"/>
  <c r="H6" i="42" s="1"/>
  <c r="M20" i="42"/>
  <c r="N19" i="42"/>
  <c r="O19" i="42" s="1"/>
  <c r="P18" i="42"/>
  <c r="I6" i="42"/>
  <c r="N20" i="42"/>
  <c r="M21" i="42"/>
  <c r="P19" i="42"/>
  <c r="N21" i="42"/>
  <c r="O21" i="42" s="1"/>
  <c r="M22" i="42"/>
  <c r="P21" i="42"/>
  <c r="M23" i="42"/>
  <c r="M24" i="42"/>
  <c r="N23" i="42"/>
  <c r="O23" i="42" s="1"/>
  <c r="M25" i="42"/>
  <c r="N24" i="42"/>
  <c r="O24" i="42" s="1"/>
  <c r="P23" i="42"/>
  <c r="M26" i="42"/>
  <c r="M27" i="42"/>
  <c r="N26" i="42"/>
  <c r="O26" i="42"/>
  <c r="M28" i="42"/>
  <c r="N27" i="42"/>
  <c r="O27" i="42" s="1"/>
  <c r="P26" i="42"/>
  <c r="M29" i="42"/>
  <c r="N28" i="42"/>
  <c r="O28" i="42" s="1"/>
  <c r="P27" i="42"/>
  <c r="N29" i="42"/>
  <c r="M30" i="42"/>
  <c r="M31" i="42"/>
  <c r="N30" i="42"/>
  <c r="M32" i="42"/>
  <c r="N31" i="42"/>
  <c r="O31" i="42"/>
  <c r="M33" i="42"/>
  <c r="N32" i="42"/>
  <c r="O32" i="42"/>
  <c r="N33" i="42"/>
  <c r="M34" i="42"/>
  <c r="P32" i="42"/>
  <c r="N34" i="42"/>
  <c r="O34" i="42" s="1"/>
  <c r="M35" i="42"/>
  <c r="P34" i="42"/>
  <c r="M36" i="42"/>
  <c r="N35" i="42"/>
  <c r="O35" i="42" s="1"/>
  <c r="M37" i="42"/>
  <c r="N36" i="42"/>
  <c r="O36" i="42" s="1"/>
  <c r="P35" i="42"/>
  <c r="M38" i="42"/>
  <c r="P36" i="42"/>
  <c r="M39" i="42"/>
  <c r="N38" i="42"/>
  <c r="O38" i="42" s="1"/>
  <c r="N39" i="42"/>
  <c r="M40" i="42"/>
  <c r="O39" i="42"/>
  <c r="P38" i="42"/>
  <c r="M41" i="42"/>
  <c r="N40" i="42"/>
  <c r="O40" i="42" s="1"/>
  <c r="P39" i="42"/>
  <c r="M42" i="42"/>
  <c r="N41" i="42"/>
  <c r="O41" i="42" s="1"/>
  <c r="P40" i="42"/>
  <c r="M43" i="42"/>
  <c r="N42" i="42"/>
  <c r="O42" i="42"/>
  <c r="N43" i="42"/>
  <c r="M44" i="42"/>
  <c r="O43" i="42"/>
  <c r="P42" i="42"/>
  <c r="N44" i="42"/>
  <c r="M45" i="42"/>
  <c r="O44" i="42"/>
  <c r="P43" i="42"/>
  <c r="N45" i="42"/>
  <c r="M46" i="42"/>
  <c r="O45" i="42"/>
  <c r="P44" i="42"/>
  <c r="M47" i="42"/>
  <c r="N46" i="42"/>
  <c r="O46" i="42" s="1"/>
  <c r="P45" i="42"/>
  <c r="N47" i="42"/>
  <c r="M48" i="42"/>
  <c r="P46" i="42"/>
  <c r="M49" i="42"/>
  <c r="N48" i="42"/>
  <c r="O48" i="42" s="1"/>
  <c r="M50" i="42"/>
  <c r="N49" i="42"/>
  <c r="P48" i="42"/>
  <c r="N50" i="42"/>
  <c r="O50" i="42"/>
  <c r="M51" i="42"/>
  <c r="P50" i="42"/>
  <c r="M52" i="42"/>
  <c r="N51" i="42"/>
  <c r="N52" i="42"/>
  <c r="M53" i="42"/>
  <c r="O52" i="42"/>
  <c r="M54" i="42"/>
  <c r="N53" i="42"/>
  <c r="O53" i="42" s="1"/>
  <c r="P52" i="42"/>
  <c r="M55" i="42"/>
  <c r="N54" i="42"/>
  <c r="O54" i="42" s="1"/>
  <c r="P53" i="42"/>
  <c r="M56" i="42"/>
  <c r="P54" i="42"/>
  <c r="N56" i="42"/>
  <c r="O56" i="42"/>
  <c r="D6" i="42" l="1"/>
  <c r="D5" i="42"/>
  <c r="P56" i="42"/>
  <c r="O33" i="42"/>
  <c r="O20" i="42"/>
  <c r="M57" i="42"/>
  <c r="C7" i="42"/>
  <c r="N9" i="42"/>
  <c r="O9" i="42" s="1"/>
  <c r="N55" i="42"/>
  <c r="O55" i="42" s="1"/>
  <c r="O17" i="42"/>
  <c r="O51" i="42"/>
  <c r="O49" i="42"/>
  <c r="O13" i="42"/>
  <c r="P24" i="42"/>
  <c r="N12" i="42"/>
  <c r="O12" i="42" s="1"/>
  <c r="P41" i="42"/>
  <c r="P31" i="42"/>
  <c r="O30" i="42"/>
  <c r="O29" i="42"/>
  <c r="P28" i="42"/>
  <c r="O47" i="42"/>
  <c r="N25" i="42"/>
  <c r="O25" i="42" s="1"/>
  <c r="N11" i="42"/>
  <c r="O11" i="42" s="1"/>
  <c r="N22" i="42"/>
  <c r="O22" i="42" s="1"/>
  <c r="N10" i="42"/>
  <c r="O10" i="42" s="1"/>
  <c r="N37" i="42"/>
  <c r="O37" i="42" s="1"/>
  <c r="P33" i="42"/>
  <c r="P20" i="42"/>
  <c r="M58" i="42"/>
  <c r="N57" i="42"/>
  <c r="O57" i="42" s="1"/>
  <c r="E7" i="42"/>
  <c r="P9" i="42"/>
  <c r="P55" i="42"/>
  <c r="P51" i="42"/>
  <c r="P49" i="42"/>
  <c r="P12" i="42"/>
  <c r="P30" i="42"/>
  <c r="P29" i="42"/>
  <c r="P47" i="42"/>
  <c r="P25" i="42"/>
  <c r="P22" i="42"/>
  <c r="P10" i="42"/>
  <c r="P37" i="42"/>
  <c r="N58" i="42"/>
  <c r="O58" i="42" s="1"/>
  <c r="M59" i="42"/>
  <c r="C8" i="42"/>
  <c r="P58" i="42"/>
  <c r="M60" i="42"/>
  <c r="N59" i="42"/>
  <c r="O59" i="42" s="1"/>
  <c r="E8" i="42"/>
  <c r="M61" i="42"/>
  <c r="N60" i="42"/>
  <c r="O60" i="42" s="1"/>
  <c r="P59" i="42"/>
  <c r="C9" i="42"/>
  <c r="F8" i="42"/>
  <c r="H8" i="42" s="1"/>
  <c r="M62" i="42"/>
  <c r="P60" i="42"/>
  <c r="E9" i="42"/>
  <c r="I8" i="42"/>
  <c r="M63" i="42"/>
  <c r="N62" i="42"/>
  <c r="O62" i="42" s="1"/>
  <c r="F9" i="42"/>
  <c r="H9" i="42" s="1"/>
  <c r="M64" i="42"/>
  <c r="P62" i="42"/>
  <c r="I9" i="42"/>
  <c r="M65" i="42"/>
  <c r="N64" i="42"/>
  <c r="O64" i="42" s="1"/>
  <c r="M66" i="42"/>
  <c r="N65" i="42"/>
  <c r="O65" i="42"/>
  <c r="M67" i="42"/>
  <c r="P65" i="42"/>
  <c r="M68" i="42"/>
  <c r="N67" i="42"/>
  <c r="M69" i="42"/>
  <c r="N68" i="42"/>
  <c r="O68" i="42"/>
  <c r="M70" i="42"/>
  <c r="M71" i="42"/>
  <c r="N70" i="42"/>
  <c r="O70" i="42"/>
  <c r="M72" i="42"/>
  <c r="P70" i="42"/>
  <c r="N72" i="42"/>
  <c r="M73" i="42"/>
  <c r="O72" i="42"/>
  <c r="M74" i="42"/>
  <c r="N73" i="42"/>
  <c r="P72" i="42"/>
  <c r="N74" i="42"/>
  <c r="O74" i="42"/>
  <c r="M75" i="42"/>
  <c r="P74" i="42"/>
  <c r="M76" i="42"/>
  <c r="N75" i="42"/>
  <c r="O75" i="42" s="1"/>
  <c r="M77" i="42"/>
  <c r="N76" i="42"/>
  <c r="O76" i="42" s="1"/>
  <c r="P75" i="42"/>
  <c r="M78" i="42"/>
  <c r="N77" i="42"/>
  <c r="O77" i="42" s="1"/>
  <c r="P76" i="42"/>
  <c r="M79" i="42"/>
  <c r="N78" i="42"/>
  <c r="O78" i="42"/>
  <c r="P77" i="42"/>
  <c r="N79" i="42"/>
  <c r="O79" i="42" s="1"/>
  <c r="M80" i="42"/>
  <c r="P78" i="42"/>
  <c r="M81" i="42"/>
  <c r="N80" i="42"/>
  <c r="O80" i="42" s="1"/>
  <c r="M82" i="42"/>
  <c r="P80" i="42"/>
  <c r="M83" i="42"/>
  <c r="M84" i="42"/>
  <c r="N83" i="42"/>
  <c r="O83" i="42" s="1"/>
  <c r="M85" i="42"/>
  <c r="P83" i="42"/>
  <c r="M86" i="42"/>
  <c r="M87" i="42"/>
  <c r="N86" i="42"/>
  <c r="O86" i="42"/>
  <c r="M88" i="42"/>
  <c r="N87" i="42"/>
  <c r="O87" i="42" s="1"/>
  <c r="P86" i="42"/>
  <c r="M89" i="42"/>
  <c r="P87" i="42"/>
  <c r="M90" i="42"/>
  <c r="N89" i="42"/>
  <c r="O89" i="42"/>
  <c r="M91" i="42"/>
  <c r="N90" i="42"/>
  <c r="O90" i="42" s="1"/>
  <c r="P89" i="42"/>
  <c r="N91" i="42"/>
  <c r="M92" i="42"/>
  <c r="M93" i="42"/>
  <c r="N92" i="42"/>
  <c r="O92" i="42" s="1"/>
  <c r="M94" i="42"/>
  <c r="N93" i="42"/>
  <c r="O93" i="42" s="1"/>
  <c r="P92" i="42"/>
  <c r="M95" i="42"/>
  <c r="P93" i="42"/>
  <c r="N95" i="42"/>
  <c r="M96" i="42"/>
  <c r="O95" i="42"/>
  <c r="M97" i="42"/>
  <c r="N96" i="42"/>
  <c r="P95" i="42"/>
  <c r="M98" i="42"/>
  <c r="N97" i="42"/>
  <c r="O97" i="42" s="1"/>
  <c r="M99" i="42"/>
  <c r="P97" i="42"/>
  <c r="M100" i="42"/>
  <c r="N99" i="42"/>
  <c r="N100" i="42"/>
  <c r="O100" i="42" s="1"/>
  <c r="M101" i="42"/>
  <c r="P100" i="42"/>
  <c r="M102" i="42"/>
  <c r="N101" i="42"/>
  <c r="M103" i="42"/>
  <c r="N102" i="42"/>
  <c r="O102" i="42" s="1"/>
  <c r="M104" i="42"/>
  <c r="N103" i="42"/>
  <c r="O103" i="42" s="1"/>
  <c r="P102" i="42"/>
  <c r="M105" i="42"/>
  <c r="P103" i="42"/>
  <c r="M106" i="42"/>
  <c r="N105" i="42"/>
  <c r="O105" i="42" s="1"/>
  <c r="M107" i="42"/>
  <c r="N106" i="42"/>
  <c r="O106" i="42"/>
  <c r="M108" i="42"/>
  <c r="N107" i="42"/>
  <c r="O107" i="42" s="1"/>
  <c r="P106" i="42"/>
  <c r="N108" i="42"/>
  <c r="M109" i="42"/>
  <c r="O108" i="42"/>
  <c r="P107" i="42"/>
  <c r="M110" i="42"/>
  <c r="P108" i="42"/>
  <c r="N110" i="42"/>
  <c r="O110" i="42"/>
  <c r="M111" i="42"/>
  <c r="M112" i="42"/>
  <c r="N111" i="42"/>
  <c r="O111" i="42" s="1"/>
  <c r="M113" i="42"/>
  <c r="P111" i="42"/>
  <c r="M114" i="42"/>
  <c r="M115" i="42"/>
  <c r="M116" i="42"/>
  <c r="N115" i="42"/>
  <c r="N116" i="42"/>
  <c r="O116" i="42" s="1"/>
  <c r="M117" i="42"/>
  <c r="M118" i="42"/>
  <c r="N117" i="42"/>
  <c r="O117" i="42" s="1"/>
  <c r="M119" i="42"/>
  <c r="N118" i="42"/>
  <c r="O118" i="42" s="1"/>
  <c r="P117" i="42"/>
  <c r="M120" i="42"/>
  <c r="P118" i="42"/>
  <c r="M121" i="42"/>
  <c r="N120" i="42"/>
  <c r="O120" i="42" s="1"/>
  <c r="M122" i="42"/>
  <c r="P120" i="42"/>
  <c r="M123" i="42"/>
  <c r="M124" i="42"/>
  <c r="N123" i="42"/>
  <c r="O123" i="42" s="1"/>
  <c r="M125" i="42"/>
  <c r="P123" i="42"/>
  <c r="M126" i="42"/>
  <c r="N125" i="42"/>
  <c r="O125" i="42" s="1"/>
  <c r="M127" i="42"/>
  <c r="P125" i="42"/>
  <c r="M128" i="42"/>
  <c r="M129" i="42"/>
  <c r="N128" i="42"/>
  <c r="O128" i="42" s="1"/>
  <c r="M130" i="42"/>
  <c r="M131" i="42"/>
  <c r="N130" i="42"/>
  <c r="O130" i="42" s="1"/>
  <c r="M132" i="42"/>
  <c r="P130" i="42"/>
  <c r="M133" i="42"/>
  <c r="N132" i="42"/>
  <c r="N133" i="42"/>
  <c r="M134" i="42"/>
  <c r="O133" i="42"/>
  <c r="M135" i="42"/>
  <c r="P133" i="42"/>
  <c r="M136" i="42"/>
  <c r="M137" i="42"/>
  <c r="M138" i="42"/>
  <c r="N137" i="42"/>
  <c r="O137" i="42" s="1"/>
  <c r="M139" i="42"/>
  <c r="N138" i="42"/>
  <c r="O138" i="42" s="1"/>
  <c r="P137" i="42"/>
  <c r="N139" i="42"/>
  <c r="M140" i="42"/>
  <c r="N140" i="42"/>
  <c r="O140" i="42" s="1"/>
  <c r="M141" i="42"/>
  <c r="P140" i="42"/>
  <c r="N141" i="42"/>
  <c r="M142" i="42"/>
  <c r="N142" i="42"/>
  <c r="M143" i="42"/>
  <c r="N143" i="42"/>
  <c r="M144" i="42"/>
  <c r="M145" i="42"/>
  <c r="N144" i="42"/>
  <c r="N145" i="42"/>
  <c r="M146" i="42"/>
  <c r="N146" i="42"/>
  <c r="M147" i="42"/>
  <c r="O146" i="42"/>
  <c r="N147" i="42"/>
  <c r="M148" i="42"/>
  <c r="P146" i="42"/>
  <c r="N148" i="42"/>
  <c r="O148" i="42" s="1"/>
  <c r="M149" i="42"/>
  <c r="P148" i="42"/>
  <c r="N149" i="42"/>
  <c r="M150" i="42"/>
  <c r="N150" i="42"/>
  <c r="M151" i="42"/>
  <c r="O150" i="42"/>
  <c r="M152" i="42"/>
  <c r="N151" i="42"/>
  <c r="P150" i="42"/>
  <c r="N152" i="42"/>
  <c r="O152" i="42" s="1"/>
  <c r="M153" i="42"/>
  <c r="P152" i="42"/>
  <c r="N153" i="42"/>
  <c r="O153" i="42" s="1"/>
  <c r="M154" i="42"/>
  <c r="P153" i="42"/>
  <c r="N154" i="42"/>
  <c r="M155" i="42"/>
  <c r="N155" i="42"/>
  <c r="O155" i="42"/>
  <c r="M156" i="42"/>
  <c r="P155" i="42"/>
  <c r="M157" i="42"/>
  <c r="N156" i="42"/>
  <c r="N157" i="42"/>
  <c r="M158" i="42"/>
  <c r="O157" i="42"/>
  <c r="N158" i="42"/>
  <c r="O158" i="42"/>
  <c r="M159" i="42"/>
  <c r="P157" i="42"/>
  <c r="P158" i="42"/>
  <c r="N159" i="42"/>
  <c r="M160" i="42"/>
  <c r="N160" i="42"/>
  <c r="M161" i="42"/>
  <c r="M162" i="42"/>
  <c r="N161" i="42"/>
  <c r="N162" i="42"/>
  <c r="M163" i="42"/>
  <c r="N163" i="42"/>
  <c r="M164" i="42"/>
  <c r="O163" i="42"/>
  <c r="N164" i="42"/>
  <c r="M165" i="42"/>
  <c r="P163" i="42"/>
  <c r="N165" i="42"/>
  <c r="M166" i="42"/>
  <c r="N166" i="42"/>
  <c r="M167" i="42"/>
  <c r="N167" i="42"/>
  <c r="M168" i="42"/>
  <c r="N168" i="42"/>
  <c r="M169" i="42"/>
  <c r="N169" i="42"/>
  <c r="M170" i="42"/>
  <c r="N170" i="42"/>
  <c r="O170" i="42" s="1"/>
  <c r="M171" i="42"/>
  <c r="P170" i="42"/>
  <c r="N171" i="42"/>
  <c r="M172" i="42"/>
  <c r="N172" i="42"/>
  <c r="M173" i="42"/>
  <c r="O172" i="42"/>
  <c r="N173" i="42"/>
  <c r="M174" i="42"/>
  <c r="P172" i="42"/>
  <c r="N174" i="42"/>
  <c r="M175" i="42"/>
  <c r="O174" i="42"/>
  <c r="N175" i="42"/>
  <c r="M176" i="42"/>
  <c r="P174" i="42"/>
  <c r="M177" i="42"/>
  <c r="N176" i="42"/>
  <c r="N177" i="42"/>
  <c r="M178" i="42"/>
  <c r="N178" i="42"/>
  <c r="M179" i="42"/>
  <c r="O178" i="42"/>
  <c r="N179" i="42"/>
  <c r="M180" i="42"/>
  <c r="P178" i="42"/>
  <c r="N180" i="42"/>
  <c r="M181" i="42"/>
  <c r="N181" i="42"/>
  <c r="O181" i="42" s="1"/>
  <c r="M182" i="42"/>
  <c r="P181" i="42"/>
  <c r="N182" i="42"/>
  <c r="M183" i="42"/>
  <c r="O182" i="42"/>
  <c r="N183" i="42"/>
  <c r="M184" i="42"/>
  <c r="O183" i="42"/>
  <c r="P182" i="42"/>
  <c r="M185" i="42"/>
  <c r="N184" i="42"/>
  <c r="P183" i="42"/>
  <c r="N185" i="42"/>
  <c r="M186" i="42"/>
  <c r="N186" i="42"/>
  <c r="M187" i="42"/>
  <c r="M188" i="42"/>
  <c r="N187" i="42"/>
  <c r="O187" i="42" s="1"/>
  <c r="N188" i="42"/>
  <c r="M189" i="42"/>
  <c r="P187" i="42"/>
  <c r="N189" i="42"/>
  <c r="O189" i="42" s="1"/>
  <c r="M190" i="42"/>
  <c r="P189" i="42"/>
  <c r="M191" i="42"/>
  <c r="N190" i="42"/>
  <c r="O190" i="42" s="1"/>
  <c r="N191" i="42"/>
  <c r="M192" i="42"/>
  <c r="P190" i="42"/>
  <c r="N192" i="42"/>
  <c r="M193" i="42"/>
  <c r="N193" i="42"/>
  <c r="M194" i="42"/>
  <c r="N194" i="42"/>
  <c r="O194" i="42" s="1"/>
  <c r="M195" i="42"/>
  <c r="P194" i="42"/>
  <c r="N195" i="42"/>
  <c r="M196" i="42"/>
  <c r="N196" i="42"/>
  <c r="M197" i="42"/>
  <c r="N197" i="42"/>
  <c r="O197" i="42"/>
  <c r="M198" i="42"/>
  <c r="P197" i="42"/>
  <c r="M199" i="42"/>
  <c r="N198" i="42"/>
  <c r="M200" i="42"/>
  <c r="N199" i="42"/>
  <c r="M201" i="42"/>
  <c r="N200" i="42"/>
  <c r="M202" i="42"/>
  <c r="N201" i="42"/>
  <c r="N202" i="42"/>
  <c r="M203" i="42"/>
  <c r="N203" i="42"/>
  <c r="O203" i="42" s="1"/>
  <c r="M204" i="42"/>
  <c r="P203" i="42"/>
  <c r="N204" i="42"/>
  <c r="M205" i="42"/>
  <c r="N205" i="42"/>
  <c r="M206" i="42"/>
  <c r="N206" i="42"/>
  <c r="O206" i="42"/>
  <c r="M207" i="42"/>
  <c r="P206" i="42"/>
  <c r="N207" i="42"/>
  <c r="O207" i="42" s="1"/>
  <c r="M208" i="42"/>
  <c r="P207" i="42"/>
  <c r="N208" i="42"/>
  <c r="M209" i="42"/>
  <c r="N209" i="42"/>
  <c r="M210" i="42"/>
  <c r="N210" i="42"/>
  <c r="M211" i="42"/>
  <c r="M212" i="42"/>
  <c r="N211" i="42"/>
  <c r="N212" i="42"/>
  <c r="M213" i="42"/>
  <c r="O212" i="42"/>
  <c r="N213" i="42"/>
  <c r="M214" i="42"/>
  <c r="P212" i="42"/>
  <c r="N214" i="42"/>
  <c r="M215" i="42"/>
  <c r="N215" i="42"/>
  <c r="M216" i="42"/>
  <c r="N216" i="42"/>
  <c r="M217" i="42"/>
  <c r="N217" i="42"/>
  <c r="M218" i="42"/>
  <c r="M219" i="42"/>
  <c r="N218" i="42"/>
  <c r="O218" i="42" s="1"/>
  <c r="N219" i="42"/>
  <c r="O219" i="42" s="1"/>
  <c r="M220" i="42"/>
  <c r="P218" i="42"/>
  <c r="P219" i="42"/>
  <c r="N220" i="42"/>
  <c r="M221" i="42"/>
  <c r="N221" i="42"/>
  <c r="O221" i="42" s="1"/>
  <c r="M222" i="42"/>
  <c r="P221" i="42"/>
  <c r="M223" i="42"/>
  <c r="N222" i="42"/>
  <c r="O222" i="42" s="1"/>
  <c r="N223" i="42"/>
  <c r="M224" i="42"/>
  <c r="P222" i="42"/>
  <c r="M225" i="42"/>
  <c r="N224" i="42"/>
  <c r="N225" i="42"/>
  <c r="M226" i="42"/>
  <c r="M227" i="42"/>
  <c r="N226" i="42"/>
  <c r="N227" i="42"/>
  <c r="M228" i="42"/>
  <c r="N228" i="42"/>
  <c r="M229" i="42"/>
  <c r="O228" i="42"/>
  <c r="N229" i="42"/>
  <c r="M230" i="42"/>
  <c r="P228" i="42"/>
  <c r="N230" i="42"/>
  <c r="O230" i="42" s="1"/>
  <c r="M231" i="42"/>
  <c r="P230" i="42"/>
  <c r="N231" i="42"/>
  <c r="M232" i="42"/>
  <c r="N232" i="42"/>
  <c r="M233" i="42"/>
  <c r="N233" i="42"/>
  <c r="M234" i="42"/>
  <c r="M235" i="42"/>
  <c r="N234" i="42"/>
  <c r="O234" i="42"/>
  <c r="M236" i="42"/>
  <c r="N235" i="42"/>
  <c r="P234" i="42"/>
  <c r="N236" i="42"/>
  <c r="M237" i="42"/>
  <c r="N237" i="42"/>
  <c r="M238" i="42"/>
  <c r="N238" i="42"/>
  <c r="M239" i="42"/>
  <c r="O238" i="42"/>
  <c r="N239" i="42"/>
  <c r="O239" i="42" s="1"/>
  <c r="M240" i="42"/>
  <c r="P238" i="42"/>
  <c r="P239" i="42"/>
  <c r="N240" i="42"/>
  <c r="M241" i="42"/>
  <c r="N241" i="42"/>
  <c r="M242" i="42"/>
  <c r="N242" i="42"/>
  <c r="M243" i="42"/>
  <c r="N243" i="42"/>
  <c r="M244" i="42"/>
  <c r="N244" i="42"/>
  <c r="M245" i="42"/>
  <c r="N245" i="42"/>
  <c r="M246" i="42"/>
  <c r="N246" i="42"/>
  <c r="M247" i="42"/>
  <c r="M248" i="42"/>
  <c r="N247" i="42"/>
  <c r="O247" i="42" s="1"/>
  <c r="N248" i="42"/>
  <c r="M249" i="42"/>
  <c r="P247" i="42"/>
  <c r="N249" i="42"/>
  <c r="M250" i="42"/>
  <c r="M251" i="42"/>
  <c r="N250" i="42"/>
  <c r="O250" i="42" s="1"/>
  <c r="N251" i="42"/>
  <c r="M252" i="42"/>
  <c r="P250" i="42"/>
  <c r="N252" i="42"/>
  <c r="O252" i="42" s="1"/>
  <c r="M253" i="42"/>
  <c r="P252" i="42"/>
  <c r="N253" i="42"/>
  <c r="M254" i="42"/>
  <c r="M255" i="42"/>
  <c r="N254" i="42"/>
  <c r="O254" i="42" s="1"/>
  <c r="M256" i="42"/>
  <c r="N255" i="42"/>
  <c r="N256" i="42"/>
  <c r="O256" i="42" s="1"/>
  <c r="M257" i="42"/>
  <c r="P256" i="42"/>
  <c r="M258" i="42"/>
  <c r="N257" i="42"/>
  <c r="O257" i="42" s="1"/>
  <c r="M259" i="42"/>
  <c r="N258" i="42"/>
  <c r="O258" i="42" s="1"/>
  <c r="P257" i="42"/>
  <c r="N259" i="42"/>
  <c r="O259" i="42" s="1"/>
  <c r="P258" i="42"/>
  <c r="P259" i="42"/>
  <c r="D9" i="42" l="1"/>
  <c r="D8" i="42"/>
  <c r="D7" i="42"/>
  <c r="O244" i="42"/>
  <c r="O240" i="42"/>
  <c r="O235" i="42"/>
  <c r="O211" i="42"/>
  <c r="O177" i="42"/>
  <c r="O159" i="42"/>
  <c r="O143" i="42"/>
  <c r="P110" i="42"/>
  <c r="O99" i="42"/>
  <c r="N84" i="42"/>
  <c r="O84" i="42" s="1"/>
  <c r="O67" i="42"/>
  <c r="N63" i="42"/>
  <c r="O63" i="42" s="1"/>
  <c r="N134" i="42"/>
  <c r="O134" i="42" s="1"/>
  <c r="N94" i="42"/>
  <c r="O94" i="42" s="1"/>
  <c r="F7" i="42"/>
  <c r="H7" i="42" s="1"/>
  <c r="O229" i="42"/>
  <c r="O205" i="42"/>
  <c r="O196" i="42"/>
  <c r="O171" i="42"/>
  <c r="O162" i="42"/>
  <c r="O142" i="42"/>
  <c r="N124" i="42"/>
  <c r="O124" i="42" s="1"/>
  <c r="N114" i="42"/>
  <c r="O114" i="42" s="1"/>
  <c r="N71" i="42"/>
  <c r="O71" i="42" s="1"/>
  <c r="O233" i="42"/>
  <c r="O214" i="42"/>
  <c r="O200" i="42"/>
  <c r="O180" i="42"/>
  <c r="O151" i="42"/>
  <c r="N82" i="42"/>
  <c r="O82" i="42" s="1"/>
  <c r="O242" i="42"/>
  <c r="O237" i="42"/>
  <c r="O209" i="42"/>
  <c r="O195" i="42"/>
  <c r="O156" i="42"/>
  <c r="O141" i="42"/>
  <c r="N113" i="42"/>
  <c r="O113" i="42" s="1"/>
  <c r="O232" i="42"/>
  <c r="O223" i="42"/>
  <c r="O213" i="42"/>
  <c r="O179" i="42"/>
  <c r="N136" i="42"/>
  <c r="O136" i="42" s="1"/>
  <c r="P116" i="42"/>
  <c r="O101" i="42"/>
  <c r="N61" i="42"/>
  <c r="O61" i="42" s="1"/>
  <c r="O236" i="42"/>
  <c r="O208" i="42"/>
  <c r="O149" i="42"/>
  <c r="N112" i="42"/>
  <c r="O112" i="42" s="1"/>
  <c r="N85" i="42"/>
  <c r="O85" i="42" s="1"/>
  <c r="O231" i="42"/>
  <c r="O193" i="42"/>
  <c r="O164" i="42"/>
  <c r="N121" i="42"/>
  <c r="O121" i="42" s="1"/>
  <c r="P105" i="42"/>
  <c r="M260" i="42"/>
  <c r="O253" i="42"/>
  <c r="O248" i="42"/>
  <c r="O225" i="42"/>
  <c r="O220" i="42"/>
  <c r="O215" i="42"/>
  <c r="O201" i="42"/>
  <c r="O192" i="42"/>
  <c r="O167" i="42"/>
  <c r="O147" i="42"/>
  <c r="P138" i="42"/>
  <c r="P128" i="42"/>
  <c r="P17" i="42"/>
  <c r="O243" i="42"/>
  <c r="O210" i="42"/>
  <c r="O186" i="42"/>
  <c r="O176" i="42"/>
  <c r="N129" i="42"/>
  <c r="O129" i="42" s="1"/>
  <c r="N119" i="42"/>
  <c r="O119" i="42" s="1"/>
  <c r="N104" i="42"/>
  <c r="O104" i="42" s="1"/>
  <c r="N88" i="42"/>
  <c r="O88" i="42" s="1"/>
  <c r="C10" i="42"/>
  <c r="P57" i="42"/>
  <c r="O224" i="42"/>
  <c r="O191" i="42"/>
  <c r="O166" i="42"/>
  <c r="O132" i="42"/>
  <c r="N98" i="42"/>
  <c r="O98" i="42" s="1"/>
  <c r="O251" i="42"/>
  <c r="O204" i="42"/>
  <c r="O175" i="42"/>
  <c r="O145" i="42"/>
  <c r="O255" i="42"/>
  <c r="O217" i="42"/>
  <c r="O199" i="42"/>
  <c r="O165" i="42"/>
  <c r="N127" i="42"/>
  <c r="O127" i="42" s="1"/>
  <c r="O96" i="42"/>
  <c r="P68" i="42"/>
  <c r="O245" i="42"/>
  <c r="O184" i="42"/>
  <c r="O144" i="42"/>
  <c r="P90" i="42"/>
  <c r="P254" i="42"/>
  <c r="O226" i="42"/>
  <c r="O198" i="42"/>
  <c r="O168" i="42"/>
  <c r="N135" i="42"/>
  <c r="O135" i="42" s="1"/>
  <c r="O115" i="42"/>
  <c r="N109" i="42"/>
  <c r="O109" i="42" s="1"/>
  <c r="N66" i="42"/>
  <c r="O66" i="42" s="1"/>
  <c r="O246" i="42"/>
  <c r="O185" i="42"/>
  <c r="O161" i="42"/>
  <c r="O91" i="42"/>
  <c r="O227" i="42"/>
  <c r="O169" i="42"/>
  <c r="N122" i="42"/>
  <c r="O122" i="42" s="1"/>
  <c r="N81" i="42"/>
  <c r="O81" i="42" s="1"/>
  <c r="P64" i="42"/>
  <c r="O241" i="42"/>
  <c r="O160" i="42"/>
  <c r="N131" i="42"/>
  <c r="O131" i="42" s="1"/>
  <c r="O73" i="42"/>
  <c r="P11" i="42"/>
  <c r="O249" i="42"/>
  <c r="O202" i="42"/>
  <c r="O188" i="42"/>
  <c r="O154" i="42"/>
  <c r="N126" i="42"/>
  <c r="O126" i="42" s="1"/>
  <c r="P13" i="42"/>
  <c r="N69" i="42"/>
  <c r="O69" i="42" s="1"/>
  <c r="O216" i="42"/>
  <c r="O173" i="42"/>
  <c r="O139" i="42"/>
  <c r="P79" i="42"/>
  <c r="P244" i="42"/>
  <c r="P240" i="42"/>
  <c r="P235" i="42"/>
  <c r="P211" i="42"/>
  <c r="P177" i="42"/>
  <c r="P159" i="42"/>
  <c r="P143" i="42"/>
  <c r="P84" i="42"/>
  <c r="P63" i="42"/>
  <c r="P134" i="42"/>
  <c r="P94" i="42"/>
  <c r="I7" i="42"/>
  <c r="P229" i="42"/>
  <c r="P205" i="42"/>
  <c r="P196" i="42"/>
  <c r="P171" i="42"/>
  <c r="P162" i="42"/>
  <c r="P142" i="42"/>
  <c r="P124" i="42"/>
  <c r="P114" i="42"/>
  <c r="P233" i="42"/>
  <c r="P214" i="42"/>
  <c r="P200" i="42"/>
  <c r="P180" i="42"/>
  <c r="P151" i="42"/>
  <c r="P82" i="42"/>
  <c r="P242" i="42"/>
  <c r="P237" i="42"/>
  <c r="P209" i="42"/>
  <c r="P195" i="42"/>
  <c r="P156" i="42"/>
  <c r="P141" i="42"/>
  <c r="P113" i="42"/>
  <c r="P232" i="42"/>
  <c r="P223" i="42"/>
  <c r="P213" i="42"/>
  <c r="P179" i="42"/>
  <c r="P136" i="42"/>
  <c r="P101" i="42"/>
  <c r="P61" i="42"/>
  <c r="P236" i="42"/>
  <c r="P208" i="42"/>
  <c r="P149" i="42"/>
  <c r="P112" i="42"/>
  <c r="P85" i="42"/>
  <c r="P231" i="42"/>
  <c r="P193" i="42"/>
  <c r="P164" i="42"/>
  <c r="M261" i="42"/>
  <c r="P253" i="42"/>
  <c r="P248" i="42"/>
  <c r="P225" i="42"/>
  <c r="P220" i="42"/>
  <c r="P215" i="42"/>
  <c r="P201" i="42"/>
  <c r="P192" i="42"/>
  <c r="P167" i="42"/>
  <c r="P147" i="42"/>
  <c r="P243" i="42"/>
  <c r="P210" i="42"/>
  <c r="P186" i="42"/>
  <c r="P176" i="42"/>
  <c r="P129" i="42"/>
  <c r="P119" i="42"/>
  <c r="P88" i="42"/>
  <c r="E10" i="42"/>
  <c r="P224" i="42"/>
  <c r="P191" i="42"/>
  <c r="P166" i="42"/>
  <c r="P132" i="42"/>
  <c r="P98" i="42"/>
  <c r="P251" i="42"/>
  <c r="P204" i="42"/>
  <c r="P175" i="42"/>
  <c r="P145" i="42"/>
  <c r="P255" i="42"/>
  <c r="P217" i="42"/>
  <c r="P199" i="42"/>
  <c r="P165" i="42"/>
  <c r="P96" i="42"/>
  <c r="P245" i="42"/>
  <c r="P184" i="42"/>
  <c r="P144" i="42"/>
  <c r="P226" i="42"/>
  <c r="P198" i="42"/>
  <c r="P168" i="42"/>
  <c r="P135" i="42"/>
  <c r="P115" i="42"/>
  <c r="P66" i="42"/>
  <c r="P246" i="42"/>
  <c r="P185" i="42"/>
  <c r="P161" i="42"/>
  <c r="P91" i="42"/>
  <c r="P227" i="42"/>
  <c r="P169" i="42"/>
  <c r="P122" i="42"/>
  <c r="P81" i="42"/>
  <c r="P241" i="42"/>
  <c r="P160" i="42"/>
  <c r="P131" i="42"/>
  <c r="P73" i="42"/>
  <c r="P249" i="42"/>
  <c r="P202" i="42"/>
  <c r="P188" i="42"/>
  <c r="P154" i="42"/>
  <c r="P126" i="42"/>
  <c r="P216" i="42"/>
  <c r="P173" i="42"/>
  <c r="P139" i="42"/>
  <c r="M262" i="42"/>
  <c r="N261" i="42"/>
  <c r="O261" i="42" s="1"/>
  <c r="F10" i="42"/>
  <c r="H10" i="42" s="1"/>
  <c r="C11" i="42"/>
  <c r="M263" i="42"/>
  <c r="P261" i="42"/>
  <c r="I10" i="42"/>
  <c r="E11" i="42"/>
  <c r="F11" i="42" s="1"/>
  <c r="N263" i="42"/>
  <c r="O263" i="42"/>
  <c r="M264" i="42"/>
  <c r="P263" i="42"/>
  <c r="M265" i="42"/>
  <c r="N264" i="42"/>
  <c r="O264" i="42" s="1"/>
  <c r="M266" i="42"/>
  <c r="P264" i="42"/>
  <c r="M267" i="42"/>
  <c r="N266" i="42"/>
  <c r="O266" i="42" s="1"/>
  <c r="N267" i="42"/>
  <c r="O267" i="42" s="1"/>
  <c r="P266" i="42"/>
  <c r="P267" i="42"/>
  <c r="D11" i="42" l="1"/>
  <c r="D10" i="42"/>
  <c r="P71" i="42"/>
  <c r="M268" i="42"/>
  <c r="P109" i="42"/>
  <c r="N262" i="42"/>
  <c r="O262" i="42" s="1"/>
  <c r="P127" i="42"/>
  <c r="P67" i="42"/>
  <c r="P99" i="42"/>
  <c r="N265" i="42"/>
  <c r="O265" i="42" s="1"/>
  <c r="P104" i="42"/>
  <c r="N260" i="42"/>
  <c r="O260" i="42" s="1"/>
  <c r="P121" i="42"/>
  <c r="H11" i="42"/>
  <c r="P69" i="42"/>
  <c r="N268" i="42"/>
  <c r="M269" i="42"/>
  <c r="P262" i="42"/>
  <c r="P265" i="42"/>
  <c r="P260" i="42"/>
  <c r="I11" i="42"/>
  <c r="N269" i="42"/>
  <c r="O269" i="42" s="1"/>
  <c r="M270" i="42"/>
  <c r="P269" i="42"/>
  <c r="M271" i="42"/>
  <c r="N270" i="42"/>
  <c r="O270" i="42" s="1"/>
  <c r="M272" i="42"/>
  <c r="N271" i="42"/>
  <c r="O271" i="42" s="1"/>
  <c r="P270" i="42"/>
  <c r="M273" i="42"/>
  <c r="N272" i="42"/>
  <c r="O272" i="42" s="1"/>
  <c r="P271" i="42"/>
  <c r="M274" i="42"/>
  <c r="N273" i="42"/>
  <c r="O273" i="42" s="1"/>
  <c r="P272" i="42"/>
  <c r="M275" i="42"/>
  <c r="N274" i="42"/>
  <c r="O274" i="42"/>
  <c r="P273" i="42"/>
  <c r="M276" i="42"/>
  <c r="N275" i="42"/>
  <c r="O275" i="42" s="1"/>
  <c r="P274" i="42"/>
  <c r="M277" i="42"/>
  <c r="N276" i="42"/>
  <c r="O276" i="42" s="1"/>
  <c r="P275" i="42"/>
  <c r="N277" i="42"/>
  <c r="O277" i="42" s="1"/>
  <c r="M278" i="42"/>
  <c r="P276" i="42"/>
  <c r="P277" i="42"/>
  <c r="M279" i="42"/>
  <c r="N278" i="42"/>
  <c r="O278" i="42" s="1"/>
  <c r="N279" i="42"/>
  <c r="O279" i="42" s="1"/>
  <c r="M280" i="42"/>
  <c r="P278" i="42"/>
  <c r="N280" i="42"/>
  <c r="O280" i="42"/>
  <c r="M281" i="42"/>
  <c r="P280" i="42"/>
  <c r="M282" i="42"/>
  <c r="N281" i="42"/>
  <c r="O281" i="42" s="1"/>
  <c r="M283" i="42"/>
  <c r="N282" i="42"/>
  <c r="O282" i="42"/>
  <c r="P281" i="42"/>
  <c r="M284" i="42"/>
  <c r="N283" i="42"/>
  <c r="P282" i="42"/>
  <c r="N284" i="42"/>
  <c r="O284" i="42"/>
  <c r="M285" i="42"/>
  <c r="P284" i="42"/>
  <c r="M286" i="42"/>
  <c r="N285" i="42"/>
  <c r="O285" i="42" s="1"/>
  <c r="N286" i="42"/>
  <c r="O286" i="42" s="1"/>
  <c r="M287" i="42"/>
  <c r="P285" i="42"/>
  <c r="P286" i="42"/>
  <c r="M288" i="42"/>
  <c r="N287" i="42"/>
  <c r="O287" i="42" s="1"/>
  <c r="N288" i="42"/>
  <c r="O288" i="42" s="1"/>
  <c r="M289" i="42"/>
  <c r="P287" i="42"/>
  <c r="P288" i="42"/>
  <c r="M290" i="42"/>
  <c r="N289" i="42"/>
  <c r="O289" i="42" s="1"/>
  <c r="M291" i="42"/>
  <c r="N290" i="42"/>
  <c r="O290" i="42" s="1"/>
  <c r="P289" i="42"/>
  <c r="M292" i="42"/>
  <c r="N291" i="42"/>
  <c r="O291" i="42"/>
  <c r="P290" i="42"/>
  <c r="N292" i="42"/>
  <c r="O292" i="42" s="1"/>
  <c r="M293" i="42"/>
  <c r="P291" i="42"/>
  <c r="P292" i="42"/>
  <c r="M294" i="42"/>
  <c r="N293" i="42"/>
  <c r="O293" i="42" s="1"/>
  <c r="N294" i="42"/>
  <c r="O294" i="42"/>
  <c r="M295" i="42"/>
  <c r="P293" i="42"/>
  <c r="P294" i="42"/>
  <c r="M296" i="42"/>
  <c r="N295" i="42"/>
  <c r="O295" i="42" s="1"/>
  <c r="M297" i="42"/>
  <c r="N296" i="42"/>
  <c r="O296" i="42"/>
  <c r="P295" i="42"/>
  <c r="M298" i="42"/>
  <c r="N297" i="42"/>
  <c r="O297" i="42" s="1"/>
  <c r="P296" i="42"/>
  <c r="M299" i="42"/>
  <c r="N298" i="42"/>
  <c r="O298" i="42"/>
  <c r="P297" i="42"/>
  <c r="M300" i="42"/>
  <c r="P298" i="42"/>
  <c r="M301" i="42"/>
  <c r="N301" i="42"/>
  <c r="M302" i="42"/>
  <c r="O301" i="42"/>
  <c r="M303" i="42"/>
  <c r="N302" i="42"/>
  <c r="O302" i="42" s="1"/>
  <c r="P301" i="42"/>
  <c r="N303" i="42"/>
  <c r="M304" i="42"/>
  <c r="O303" i="42"/>
  <c r="P302" i="42"/>
  <c r="M305" i="42"/>
  <c r="N304" i="42"/>
  <c r="O304" i="42" s="1"/>
  <c r="P303" i="42"/>
  <c r="N305" i="42"/>
  <c r="M306" i="42"/>
  <c r="O305" i="42"/>
  <c r="P304" i="42"/>
  <c r="M307" i="42"/>
  <c r="N306" i="42"/>
  <c r="P305" i="42"/>
  <c r="N307" i="42"/>
  <c r="O307" i="42" s="1"/>
  <c r="P307" i="42"/>
  <c r="O268" i="42"/>
  <c r="O306" i="42"/>
  <c r="P279" i="42"/>
  <c r="M308" i="42"/>
  <c r="N300" i="42"/>
  <c r="O300" i="42" s="1"/>
  <c r="N299" i="42"/>
  <c r="O299" i="42" s="1"/>
  <c r="O283" i="42"/>
  <c r="P268" i="42"/>
  <c r="P306" i="42"/>
  <c r="N308" i="42"/>
  <c r="M309" i="42"/>
  <c r="P299" i="42"/>
  <c r="P283" i="42"/>
  <c r="N309" i="42"/>
  <c r="O309" i="42" s="1"/>
  <c r="M310" i="42"/>
  <c r="M311" i="42"/>
  <c r="N310" i="42"/>
  <c r="O310" i="42" s="1"/>
  <c r="M312" i="42"/>
  <c r="N311" i="42"/>
  <c r="O311" i="42" s="1"/>
  <c r="P310" i="42"/>
  <c r="M313" i="42"/>
  <c r="P311" i="42"/>
  <c r="M314" i="42"/>
  <c r="N313" i="42"/>
  <c r="O313" i="42" s="1"/>
  <c r="M315" i="42"/>
  <c r="P313" i="42"/>
  <c r="N315" i="42"/>
  <c r="O315" i="42" s="1"/>
  <c r="M316" i="42"/>
  <c r="P315" i="42"/>
  <c r="M317" i="42"/>
  <c r="N316" i="42"/>
  <c r="O316" i="42"/>
  <c r="N317" i="42"/>
  <c r="O317" i="42" s="1"/>
  <c r="M318" i="42"/>
  <c r="P316" i="42"/>
  <c r="P317" i="42"/>
  <c r="M319" i="42"/>
  <c r="N318" i="42"/>
  <c r="O318" i="42"/>
  <c r="M320" i="42"/>
  <c r="P318" i="42"/>
  <c r="M321" i="42"/>
  <c r="N320" i="42"/>
  <c r="O320" i="42" s="1"/>
  <c r="M322" i="42"/>
  <c r="N321" i="42"/>
  <c r="P320" i="42"/>
  <c r="M323" i="42"/>
  <c r="N322" i="42"/>
  <c r="O322" i="42" s="1"/>
  <c r="N323" i="42"/>
  <c r="M324" i="42"/>
  <c r="O323" i="42"/>
  <c r="N324" i="42"/>
  <c r="O324" i="42" s="1"/>
  <c r="M325" i="42"/>
  <c r="P323" i="42"/>
  <c r="P324" i="42"/>
  <c r="M326" i="42"/>
  <c r="N325" i="42"/>
  <c r="O325" i="42"/>
  <c r="N326" i="42"/>
  <c r="O326" i="42" s="1"/>
  <c r="M327" i="42"/>
  <c r="N327" i="42"/>
  <c r="O327" i="42" s="1"/>
  <c r="M328" i="42"/>
  <c r="P327" i="42"/>
  <c r="M329" i="42"/>
  <c r="N328" i="42"/>
  <c r="N329" i="42"/>
  <c r="O329" i="42"/>
  <c r="M330" i="42"/>
  <c r="P329" i="42"/>
  <c r="N330" i="42"/>
  <c r="M331" i="42"/>
  <c r="O330" i="42"/>
  <c r="N331" i="42"/>
  <c r="O331" i="42"/>
  <c r="M332" i="42"/>
  <c r="P330" i="42"/>
  <c r="P331" i="42"/>
  <c r="M333" i="42"/>
  <c r="N332" i="42"/>
  <c r="O332" i="42"/>
  <c r="N333" i="42"/>
  <c r="M334" i="42"/>
  <c r="O333" i="42"/>
  <c r="P332" i="42"/>
  <c r="N334" i="42"/>
  <c r="M335" i="42"/>
  <c r="O334" i="42"/>
  <c r="P333" i="42"/>
  <c r="M336" i="42"/>
  <c r="N335" i="42"/>
  <c r="O335" i="42" s="1"/>
  <c r="P334" i="42"/>
  <c r="M337" i="42"/>
  <c r="N336" i="42"/>
  <c r="O336" i="42"/>
  <c r="P335" i="42"/>
  <c r="M338" i="42"/>
  <c r="N337" i="42"/>
  <c r="O337" i="42"/>
  <c r="P336" i="42"/>
  <c r="M339" i="42"/>
  <c r="P337" i="42"/>
  <c r="N339" i="42"/>
  <c r="O339" i="42" s="1"/>
  <c r="M340" i="42"/>
  <c r="P339" i="42"/>
  <c r="M341" i="42"/>
  <c r="N340" i="42"/>
  <c r="O340" i="42" s="1"/>
  <c r="N341" i="42"/>
  <c r="M342" i="42"/>
  <c r="O341" i="42"/>
  <c r="P340" i="42"/>
  <c r="M343" i="42"/>
  <c r="N342" i="42"/>
  <c r="O342" i="42"/>
  <c r="P341" i="42"/>
  <c r="N343" i="42"/>
  <c r="M344" i="42"/>
  <c r="O343" i="42"/>
  <c r="P342" i="42"/>
  <c r="M345" i="42"/>
  <c r="N344" i="42"/>
  <c r="O344" i="42" s="1"/>
  <c r="P343" i="42"/>
  <c r="N345" i="42"/>
  <c r="M346" i="42"/>
  <c r="O345" i="42"/>
  <c r="P344" i="42"/>
  <c r="N346" i="42"/>
  <c r="M347" i="42"/>
  <c r="O346" i="42"/>
  <c r="M348" i="42"/>
  <c r="N347" i="42"/>
  <c r="O347" i="42" s="1"/>
  <c r="P346" i="42"/>
  <c r="M349" i="42"/>
  <c r="N348" i="42"/>
  <c r="O348" i="42" s="1"/>
  <c r="P347" i="42"/>
  <c r="N349" i="42"/>
  <c r="O349" i="42" s="1"/>
  <c r="M350" i="42"/>
  <c r="P348" i="42"/>
  <c r="P349" i="42"/>
  <c r="N350" i="42"/>
  <c r="O350" i="42"/>
  <c r="P350" i="42"/>
  <c r="O328" i="42"/>
  <c r="N312" i="42"/>
  <c r="O312" i="42" s="1"/>
  <c r="O308" i="42"/>
  <c r="P322" i="42"/>
  <c r="P326" i="42"/>
  <c r="O321" i="42"/>
  <c r="P309" i="42"/>
  <c r="P300" i="42"/>
  <c r="P345" i="42"/>
  <c r="P325" i="42"/>
  <c r="N314" i="42"/>
  <c r="O314" i="42" s="1"/>
  <c r="N338" i="42"/>
  <c r="O338" i="42" s="1"/>
  <c r="N319" i="42"/>
  <c r="O319" i="42" s="1"/>
  <c r="P328" i="42"/>
  <c r="P312" i="42"/>
  <c r="P308" i="42"/>
  <c r="P321" i="42"/>
  <c r="P314" i="42"/>
  <c r="P338" i="42"/>
  <c r="P319" i="42"/>
  <c r="J20" i="29" l="1"/>
  <c r="J21" i="29"/>
  <c r="K3" i="47"/>
  <c r="K11" i="47"/>
  <c r="K10" i="47"/>
  <c r="K9" i="47"/>
  <c r="K8" i="47"/>
  <c r="K7" i="47"/>
  <c r="K14" i="47"/>
  <c r="K6" i="47"/>
  <c r="K13" i="47"/>
  <c r="K5" i="47"/>
  <c r="K12" i="47"/>
  <c r="K4" i="47"/>
  <c r="I20" i="43"/>
  <c r="I22" i="39"/>
  <c r="J7" i="43"/>
  <c r="L7" i="43" s="1"/>
  <c r="I21" i="43"/>
  <c r="J5" i="45"/>
  <c r="L5" i="45" s="1"/>
  <c r="I18" i="39"/>
  <c r="I22" i="43"/>
  <c r="I21" i="45"/>
  <c r="I23" i="45"/>
  <c r="I24" i="45"/>
  <c r="I25" i="45"/>
  <c r="J5" i="43"/>
  <c r="L5" i="43" s="1"/>
  <c r="I20" i="39"/>
  <c r="I23" i="39"/>
  <c r="I19" i="43"/>
  <c r="J5" i="39"/>
  <c r="L5" i="39" s="1"/>
  <c r="J6" i="39"/>
  <c r="L6" i="39" s="1"/>
  <c r="I19" i="39"/>
  <c r="I26" i="39"/>
  <c r="I18" i="43"/>
  <c r="I26" i="45"/>
  <c r="I24" i="43"/>
  <c r="I24" i="39"/>
  <c r="I22" i="45"/>
  <c r="J22" i="29"/>
  <c r="I20" i="45"/>
  <c r="J6" i="43"/>
  <c r="L6" i="43" s="1"/>
  <c r="I21" i="39"/>
  <c r="I27" i="39"/>
  <c r="I25" i="39"/>
  <c r="I23" i="43"/>
  <c r="J6" i="45"/>
  <c r="L6" i="45" s="1"/>
  <c r="J7" i="45"/>
  <c r="L7" i="45" s="1"/>
  <c r="G2" i="42"/>
  <c r="E3" i="39"/>
  <c r="E3" i="43"/>
  <c r="E3" i="45"/>
  <c r="I3" i="43"/>
  <c r="Q13" i="42"/>
  <c r="J3" i="42"/>
  <c r="Q14" i="42"/>
  <c r="I3" i="39"/>
  <c r="Q9" i="42"/>
  <c r="R15" i="42"/>
  <c r="Q17" i="42"/>
  <c r="R14" i="42"/>
  <c r="Q6" i="42"/>
  <c r="G3" i="42"/>
  <c r="I3" i="45"/>
  <c r="Q16" i="42"/>
  <c r="J4" i="42"/>
  <c r="Q10" i="42"/>
  <c r="I5" i="39"/>
  <c r="K5" i="39" s="1"/>
  <c r="R2" i="42"/>
  <c r="R8" i="42"/>
  <c r="Q5" i="42"/>
  <c r="Q8" i="42"/>
  <c r="Q2" i="42"/>
  <c r="I7" i="43"/>
  <c r="K7" i="43" s="1"/>
  <c r="J2" i="42"/>
  <c r="Q15" i="42"/>
  <c r="R6" i="42"/>
  <c r="R5" i="42"/>
  <c r="I6" i="43"/>
  <c r="K6" i="43" s="1"/>
  <c r="G4" i="42"/>
  <c r="R16" i="42"/>
  <c r="Q4" i="42"/>
  <c r="R4" i="42"/>
  <c r="R3" i="42"/>
  <c r="Q7" i="42"/>
  <c r="Q12" i="42"/>
  <c r="I7" i="39"/>
  <c r="K7" i="39" s="1"/>
  <c r="I6" i="39" s="1"/>
  <c r="K6" i="39" s="1"/>
  <c r="R7" i="42"/>
  <c r="Q11" i="42"/>
  <c r="Q3" i="42"/>
  <c r="I5" i="43"/>
  <c r="K5" i="43" s="1"/>
  <c r="J5" i="42"/>
  <c r="Q18" i="42"/>
  <c r="Q19" i="42"/>
  <c r="R18" i="42"/>
  <c r="J6" i="42"/>
  <c r="Q20" i="42"/>
  <c r="R19" i="42"/>
  <c r="Q21" i="42"/>
  <c r="R21" i="42"/>
  <c r="Q22" i="42"/>
  <c r="Q23" i="42"/>
  <c r="Q24" i="42"/>
  <c r="R23" i="42"/>
  <c r="Q25" i="42"/>
  <c r="R24" i="42"/>
  <c r="Q26" i="42"/>
  <c r="Q27" i="42"/>
  <c r="R26" i="42"/>
  <c r="Q28" i="42"/>
  <c r="R27" i="42"/>
  <c r="Q29" i="42"/>
  <c r="R28" i="42"/>
  <c r="Q30" i="42"/>
  <c r="Q31" i="42"/>
  <c r="Q32" i="42"/>
  <c r="R31" i="42"/>
  <c r="Q33" i="42"/>
  <c r="R32" i="42"/>
  <c r="Q34" i="42"/>
  <c r="R34" i="42"/>
  <c r="Q35" i="42"/>
  <c r="Q36" i="42"/>
  <c r="R35" i="42"/>
  <c r="Q37" i="42"/>
  <c r="R36" i="42"/>
  <c r="Q38" i="42"/>
  <c r="Q39" i="42"/>
  <c r="R38" i="42"/>
  <c r="Q40" i="42"/>
  <c r="R39" i="42"/>
  <c r="Q41" i="42"/>
  <c r="R40" i="42"/>
  <c r="Q42" i="42"/>
  <c r="R41" i="42"/>
  <c r="Q43" i="42"/>
  <c r="R42" i="42"/>
  <c r="Q44" i="42"/>
  <c r="R43" i="42"/>
  <c r="Q45" i="42"/>
  <c r="R44" i="42"/>
  <c r="Q46" i="42"/>
  <c r="R45" i="42"/>
  <c r="Q47" i="42"/>
  <c r="R46" i="42"/>
  <c r="Q48" i="42"/>
  <c r="Q49" i="42"/>
  <c r="R48" i="42"/>
  <c r="Q50" i="42"/>
  <c r="R50" i="42"/>
  <c r="Q51" i="42"/>
  <c r="Q52" i="42"/>
  <c r="Q53" i="42"/>
  <c r="R52" i="42"/>
  <c r="Q54" i="42"/>
  <c r="R53" i="42"/>
  <c r="Q55" i="42"/>
  <c r="R54" i="42"/>
  <c r="Q56" i="42"/>
  <c r="R56" i="42"/>
  <c r="G5" i="42"/>
  <c r="G6" i="42"/>
  <c r="R33" i="42"/>
  <c r="R20" i="42"/>
  <c r="Q57" i="42"/>
  <c r="R9" i="42"/>
  <c r="R55" i="42"/>
  <c r="R17" i="42"/>
  <c r="R51" i="42"/>
  <c r="R49" i="42"/>
  <c r="R13" i="42"/>
  <c r="R12" i="42"/>
  <c r="R30" i="42"/>
  <c r="R29" i="42"/>
  <c r="R47" i="42"/>
  <c r="R25" i="42"/>
  <c r="R11" i="42"/>
  <c r="R22" i="42"/>
  <c r="R10" i="42"/>
  <c r="R37" i="42"/>
  <c r="Q58" i="42"/>
  <c r="R57" i="42"/>
  <c r="R58" i="42"/>
  <c r="Q59" i="42"/>
  <c r="Q60" i="42"/>
  <c r="R59" i="42"/>
  <c r="Q61" i="42"/>
  <c r="R60" i="42"/>
  <c r="J8" i="42"/>
  <c r="Q62" i="42"/>
  <c r="Q63" i="42"/>
  <c r="R62" i="42"/>
  <c r="J9" i="42"/>
  <c r="Q64" i="42"/>
  <c r="Q65" i="42"/>
  <c r="R64" i="42"/>
  <c r="Q66" i="42"/>
  <c r="R65" i="42"/>
  <c r="Q67" i="42"/>
  <c r="Q68" i="42"/>
  <c r="Q69" i="42"/>
  <c r="R68" i="42"/>
  <c r="Q70" i="42"/>
  <c r="Q71" i="42"/>
  <c r="R70" i="42"/>
  <c r="Q72" i="42"/>
  <c r="Q73" i="42"/>
  <c r="R72" i="42"/>
  <c r="Q74" i="42"/>
  <c r="R74" i="42"/>
  <c r="Q75" i="42"/>
  <c r="Q76" i="42"/>
  <c r="R75" i="42"/>
  <c r="Q77" i="42"/>
  <c r="R76" i="42"/>
  <c r="Q78" i="42"/>
  <c r="R77" i="42"/>
  <c r="Q79" i="42"/>
  <c r="R78" i="42"/>
  <c r="R79" i="42"/>
  <c r="Q80" i="42"/>
  <c r="Q81" i="42"/>
  <c r="R80" i="42"/>
  <c r="Q82" i="42"/>
  <c r="Q83" i="42"/>
  <c r="Q84" i="42"/>
  <c r="R83" i="42"/>
  <c r="Q85" i="42"/>
  <c r="Q86" i="42"/>
  <c r="Q87" i="42"/>
  <c r="R86" i="42"/>
  <c r="Q88" i="42"/>
  <c r="R87" i="42"/>
  <c r="Q89" i="42"/>
  <c r="Q90" i="42"/>
  <c r="R89" i="42"/>
  <c r="Q91" i="42"/>
  <c r="R90" i="42"/>
  <c r="Q92" i="42"/>
  <c r="Q93" i="42"/>
  <c r="R92" i="42"/>
  <c r="Q94" i="42"/>
  <c r="R93" i="42"/>
  <c r="Q95" i="42"/>
  <c r="Q96" i="42"/>
  <c r="R95" i="42"/>
  <c r="Q97" i="42"/>
  <c r="Q98" i="42"/>
  <c r="R97" i="42"/>
  <c r="Q99" i="42"/>
  <c r="Q100" i="42"/>
  <c r="R100" i="42"/>
  <c r="Q101" i="42"/>
  <c r="Q102" i="42"/>
  <c r="Q103" i="42"/>
  <c r="R102" i="42"/>
  <c r="Q104" i="42"/>
  <c r="R103" i="42"/>
  <c r="Q105" i="42"/>
  <c r="Q106" i="42"/>
  <c r="R105" i="42"/>
  <c r="Q107" i="42"/>
  <c r="R106" i="42"/>
  <c r="Q108" i="42"/>
  <c r="R107" i="42"/>
  <c r="Q109" i="42"/>
  <c r="R108" i="42"/>
  <c r="Q110" i="42"/>
  <c r="R110" i="42"/>
  <c r="Q111" i="42"/>
  <c r="Q112" i="42"/>
  <c r="R111" i="42"/>
  <c r="Q113" i="42"/>
  <c r="Q114" i="42"/>
  <c r="Q115" i="42"/>
  <c r="Q116" i="42"/>
  <c r="R116" i="42"/>
  <c r="Q117" i="42"/>
  <c r="Q118" i="42"/>
  <c r="R117" i="42"/>
  <c r="Q119" i="42"/>
  <c r="R118" i="42"/>
  <c r="Q120" i="42"/>
  <c r="Q121" i="42"/>
  <c r="R120" i="42"/>
  <c r="Q122" i="42"/>
  <c r="Q123" i="42"/>
  <c r="Q124" i="42"/>
  <c r="R123" i="42"/>
  <c r="Q125" i="42"/>
  <c r="Q126" i="42"/>
  <c r="R125" i="42"/>
  <c r="Q127" i="42"/>
  <c r="Q128" i="42"/>
  <c r="Q129" i="42"/>
  <c r="R128" i="42"/>
  <c r="Q130" i="42"/>
  <c r="Q131" i="42"/>
  <c r="R130" i="42"/>
  <c r="Q132" i="42"/>
  <c r="Q133" i="42"/>
  <c r="Q134" i="42"/>
  <c r="R133" i="42"/>
  <c r="Q135" i="42"/>
  <c r="Q136" i="42"/>
  <c r="Q137" i="42"/>
  <c r="Q138" i="42"/>
  <c r="R137" i="42"/>
  <c r="Q139" i="42"/>
  <c r="R138" i="42"/>
  <c r="Q140" i="42"/>
  <c r="R140" i="42"/>
  <c r="Q141" i="42"/>
  <c r="Q142" i="42"/>
  <c r="Q143" i="42"/>
  <c r="Q144" i="42"/>
  <c r="Q145" i="42"/>
  <c r="Q146" i="42"/>
  <c r="Q147" i="42"/>
  <c r="R146" i="42"/>
  <c r="Q148" i="42"/>
  <c r="R148" i="42"/>
  <c r="Q149" i="42"/>
  <c r="Q150" i="42"/>
  <c r="Q151" i="42"/>
  <c r="R150" i="42"/>
  <c r="Q152" i="42"/>
  <c r="R152" i="42"/>
  <c r="Q153" i="42"/>
  <c r="R153" i="42"/>
  <c r="Q154" i="42"/>
  <c r="Q155" i="42"/>
  <c r="R155" i="42"/>
  <c r="Q156" i="42"/>
  <c r="Q157" i="42"/>
  <c r="Q158" i="42"/>
  <c r="R157" i="42"/>
  <c r="R158" i="42"/>
  <c r="Q159" i="42"/>
  <c r="Q160" i="42"/>
  <c r="Q161" i="42"/>
  <c r="Q162" i="42"/>
  <c r="Q163" i="42"/>
  <c r="Q164" i="42"/>
  <c r="R163" i="42"/>
  <c r="Q165" i="42"/>
  <c r="Q166" i="42"/>
  <c r="Q167" i="42"/>
  <c r="Q168" i="42"/>
  <c r="Q169" i="42"/>
  <c r="Q170" i="42"/>
  <c r="R170" i="42"/>
  <c r="Q171" i="42"/>
  <c r="Q172" i="42"/>
  <c r="Q173" i="42"/>
  <c r="R172" i="42"/>
  <c r="Q174" i="42"/>
  <c r="Q175" i="42"/>
  <c r="R174" i="42"/>
  <c r="Q176" i="42"/>
  <c r="Q177" i="42"/>
  <c r="Q178" i="42"/>
  <c r="Q179" i="42"/>
  <c r="R178" i="42"/>
  <c r="Q180" i="42"/>
  <c r="Q181" i="42"/>
  <c r="R181" i="42"/>
  <c r="Q182" i="42"/>
  <c r="Q183" i="42"/>
  <c r="R182" i="42"/>
  <c r="Q184" i="42"/>
  <c r="R183" i="42"/>
  <c r="Q185" i="42"/>
  <c r="Q186" i="42"/>
  <c r="Q187" i="42"/>
  <c r="Q188" i="42"/>
  <c r="R187" i="42"/>
  <c r="Q189" i="42"/>
  <c r="R189" i="42"/>
  <c r="Q190" i="42"/>
  <c r="Q191" i="42"/>
  <c r="R190" i="42"/>
  <c r="Q192" i="42"/>
  <c r="Q193" i="42"/>
  <c r="Q194" i="42"/>
  <c r="R194" i="42"/>
  <c r="Q195" i="42"/>
  <c r="Q196" i="42"/>
  <c r="Q197" i="42"/>
  <c r="R197" i="42"/>
  <c r="Q198" i="42"/>
  <c r="Q199" i="42"/>
  <c r="Q200" i="42"/>
  <c r="Q201" i="42"/>
  <c r="Q202" i="42"/>
  <c r="Q203" i="42"/>
  <c r="R203" i="42"/>
  <c r="Q204" i="42"/>
  <c r="Q205" i="42"/>
  <c r="Q206" i="42"/>
  <c r="R206" i="42"/>
  <c r="Q207" i="42"/>
  <c r="R207" i="42"/>
  <c r="Q208" i="42"/>
  <c r="Q209" i="42"/>
  <c r="Q210" i="42"/>
  <c r="Q211" i="42"/>
  <c r="Q212" i="42"/>
  <c r="Q213" i="42"/>
  <c r="R212" i="42"/>
  <c r="Q214" i="42"/>
  <c r="Q215" i="42"/>
  <c r="Q216" i="42"/>
  <c r="Q217" i="42"/>
  <c r="Q218" i="42"/>
  <c r="Q219" i="42"/>
  <c r="R218" i="42"/>
  <c r="R219" i="42"/>
  <c r="Q220" i="42"/>
  <c r="Q221" i="42"/>
  <c r="R221" i="42"/>
  <c r="Q222" i="42"/>
  <c r="Q223" i="42"/>
  <c r="R222" i="42"/>
  <c r="Q224" i="42"/>
  <c r="Q225" i="42"/>
  <c r="Q226" i="42"/>
  <c r="Q227" i="42"/>
  <c r="Q228" i="42"/>
  <c r="Q229" i="42"/>
  <c r="R228" i="42"/>
  <c r="Q230" i="42"/>
  <c r="R230" i="42"/>
  <c r="Q231" i="42"/>
  <c r="Q232" i="42"/>
  <c r="Q233" i="42"/>
  <c r="Q234" i="42"/>
  <c r="Q235" i="42"/>
  <c r="R234" i="42"/>
  <c r="Q236" i="42"/>
  <c r="Q237" i="42"/>
  <c r="Q238" i="42"/>
  <c r="Q239" i="42"/>
  <c r="R238" i="42"/>
  <c r="R239" i="42"/>
  <c r="Q240" i="42"/>
  <c r="Q241" i="42"/>
  <c r="Q242" i="42"/>
  <c r="Q243" i="42"/>
  <c r="Q244" i="42"/>
  <c r="Q245" i="42"/>
  <c r="Q246" i="42"/>
  <c r="Q247" i="42"/>
  <c r="Q248" i="42"/>
  <c r="R247" i="42"/>
  <c r="Q249" i="42"/>
  <c r="Q250" i="42"/>
  <c r="Q251" i="42"/>
  <c r="R250" i="42"/>
  <c r="Q252" i="42"/>
  <c r="R252" i="42"/>
  <c r="Q253" i="42"/>
  <c r="Q254" i="42"/>
  <c r="Q255" i="42"/>
  <c r="R254" i="42"/>
  <c r="Q256" i="42"/>
  <c r="R256" i="42"/>
  <c r="Q257" i="42"/>
  <c r="Q258" i="42"/>
  <c r="R257" i="42"/>
  <c r="Q259" i="42"/>
  <c r="R258" i="42"/>
  <c r="R259" i="42"/>
  <c r="G8" i="42"/>
  <c r="G7" i="42"/>
  <c r="G9" i="42"/>
  <c r="R244" i="42"/>
  <c r="R240" i="42"/>
  <c r="R235" i="42"/>
  <c r="R211" i="42"/>
  <c r="R177" i="42"/>
  <c r="R159" i="42"/>
  <c r="R143" i="42"/>
  <c r="R99" i="42"/>
  <c r="R84" i="42"/>
  <c r="R67" i="42"/>
  <c r="R63" i="42"/>
  <c r="R134" i="42"/>
  <c r="R94" i="42"/>
  <c r="J7" i="42"/>
  <c r="R229" i="42"/>
  <c r="R205" i="42"/>
  <c r="R196" i="42"/>
  <c r="R171" i="42"/>
  <c r="R162" i="42"/>
  <c r="R142" i="42"/>
  <c r="R124" i="42"/>
  <c r="R114" i="42"/>
  <c r="R71" i="42"/>
  <c r="R233" i="42"/>
  <c r="R214" i="42"/>
  <c r="R200" i="42"/>
  <c r="R180" i="42"/>
  <c r="R151" i="42"/>
  <c r="R82" i="42"/>
  <c r="R242" i="42"/>
  <c r="R237" i="42"/>
  <c r="R209" i="42"/>
  <c r="R195" i="42"/>
  <c r="R156" i="42"/>
  <c r="R141" i="42"/>
  <c r="R113" i="42"/>
  <c r="R232" i="42"/>
  <c r="R223" i="42"/>
  <c r="R213" i="42"/>
  <c r="R179" i="42"/>
  <c r="R136" i="42"/>
  <c r="R101" i="42"/>
  <c r="R61" i="42"/>
  <c r="R236" i="42"/>
  <c r="R208" i="42"/>
  <c r="R149" i="42"/>
  <c r="R112" i="42"/>
  <c r="R85" i="42"/>
  <c r="R231" i="42"/>
  <c r="R193" i="42"/>
  <c r="R164" i="42"/>
  <c r="R121" i="42"/>
  <c r="Q260" i="42"/>
  <c r="R253" i="42"/>
  <c r="R248" i="42"/>
  <c r="R225" i="42"/>
  <c r="R220" i="42"/>
  <c r="R215" i="42"/>
  <c r="R201" i="42"/>
  <c r="R192" i="42"/>
  <c r="R167" i="42"/>
  <c r="R147" i="42"/>
  <c r="R243" i="42"/>
  <c r="R210" i="42"/>
  <c r="R186" i="42"/>
  <c r="R176" i="42"/>
  <c r="R129" i="42"/>
  <c r="R119" i="42"/>
  <c r="R104" i="42"/>
  <c r="R88" i="42"/>
  <c r="R224" i="42"/>
  <c r="R191" i="42"/>
  <c r="R166" i="42"/>
  <c r="R132" i="42"/>
  <c r="R98" i="42"/>
  <c r="R251" i="42"/>
  <c r="R204" i="42"/>
  <c r="R175" i="42"/>
  <c r="R145" i="42"/>
  <c r="R255" i="42"/>
  <c r="R217" i="42"/>
  <c r="R199" i="42"/>
  <c r="R165" i="42"/>
  <c r="R127" i="42"/>
  <c r="R96" i="42"/>
  <c r="R245" i="42"/>
  <c r="R184" i="42"/>
  <c r="R144" i="42"/>
  <c r="R226" i="42"/>
  <c r="R198" i="42"/>
  <c r="R168" i="42"/>
  <c r="R135" i="42"/>
  <c r="R115" i="42"/>
  <c r="R109" i="42"/>
  <c r="R66" i="42"/>
  <c r="R246" i="42"/>
  <c r="R185" i="42"/>
  <c r="R161" i="42"/>
  <c r="R91" i="42"/>
  <c r="R227" i="42"/>
  <c r="R169" i="42"/>
  <c r="R122" i="42"/>
  <c r="R81" i="42"/>
  <c r="R241" i="42"/>
  <c r="R160" i="42"/>
  <c r="R131" i="42"/>
  <c r="R73" i="42"/>
  <c r="R249" i="42"/>
  <c r="R202" i="42"/>
  <c r="R188" i="42"/>
  <c r="R154" i="42"/>
  <c r="R126" i="42"/>
  <c r="R69" i="42"/>
  <c r="R216" i="42"/>
  <c r="R173" i="42"/>
  <c r="R139" i="42"/>
  <c r="Q261" i="42"/>
  <c r="Q262" i="42"/>
  <c r="R261" i="42"/>
  <c r="J10" i="42"/>
  <c r="Q263" i="42"/>
  <c r="R263" i="42"/>
  <c r="Q264" i="42"/>
  <c r="Q265" i="42"/>
  <c r="R264" i="42"/>
  <c r="Q266" i="42"/>
  <c r="Q267" i="42"/>
  <c r="R266" i="42"/>
  <c r="R267" i="42"/>
  <c r="G11" i="42"/>
  <c r="G10" i="42"/>
  <c r="Q268" i="42"/>
  <c r="R262" i="42"/>
  <c r="R265" i="42"/>
  <c r="R260" i="42"/>
  <c r="J11" i="42"/>
  <c r="Q269" i="42"/>
  <c r="R269" i="42"/>
  <c r="Q270" i="42"/>
  <c r="Q271" i="42"/>
  <c r="R270" i="42"/>
  <c r="Q272" i="42"/>
  <c r="R271" i="42"/>
  <c r="Q273" i="42"/>
  <c r="R272" i="42"/>
  <c r="Q274" i="42"/>
  <c r="R273" i="42"/>
  <c r="Q275" i="42"/>
  <c r="R274" i="42"/>
  <c r="Q276" i="42"/>
  <c r="R275" i="42"/>
  <c r="Q277" i="42"/>
  <c r="R276" i="42"/>
  <c r="R277" i="42"/>
  <c r="Q278" i="42"/>
  <c r="Q279" i="42"/>
  <c r="R278" i="42"/>
  <c r="R279" i="42"/>
  <c r="Q280" i="42"/>
  <c r="R280" i="42"/>
  <c r="Q281" i="42"/>
  <c r="Q282" i="42"/>
  <c r="R281" i="42"/>
  <c r="Q283" i="42"/>
  <c r="R282" i="42"/>
  <c r="Q284" i="42"/>
  <c r="R284" i="42"/>
  <c r="Q285" i="42"/>
  <c r="Q286" i="42"/>
  <c r="R285" i="42"/>
  <c r="R286" i="42"/>
  <c r="Q287" i="42"/>
  <c r="Q288" i="42"/>
  <c r="R287" i="42"/>
  <c r="R288" i="42"/>
  <c r="Q289" i="42"/>
  <c r="Q290" i="42"/>
  <c r="R289" i="42"/>
  <c r="Q291" i="42"/>
  <c r="R290" i="42"/>
  <c r="Q292" i="42"/>
  <c r="R291" i="42"/>
  <c r="R292" i="42"/>
  <c r="Q293" i="42"/>
  <c r="Q294" i="42"/>
  <c r="R293" i="42"/>
  <c r="R294" i="42"/>
  <c r="Q295" i="42"/>
  <c r="Q296" i="42"/>
  <c r="R295" i="42"/>
  <c r="Q297" i="42"/>
  <c r="R296" i="42"/>
  <c r="Q298" i="42"/>
  <c r="R297" i="42"/>
  <c r="Q299" i="42"/>
  <c r="R298" i="42"/>
  <c r="Q300" i="42"/>
  <c r="Q301" i="42"/>
  <c r="Q302" i="42"/>
  <c r="R301" i="42"/>
  <c r="Q303" i="42"/>
  <c r="R302" i="42"/>
  <c r="Q304" i="42"/>
  <c r="R303" i="42"/>
  <c r="Q305" i="42"/>
  <c r="R304" i="42"/>
  <c r="Q306" i="42"/>
  <c r="R305" i="42"/>
  <c r="Q307" i="42"/>
  <c r="R307" i="42"/>
  <c r="R268" i="42"/>
  <c r="R306" i="42"/>
  <c r="Q308" i="42"/>
  <c r="R300" i="42"/>
  <c r="R299" i="42"/>
  <c r="R283" i="42"/>
  <c r="Q309" i="42"/>
  <c r="R309" i="42"/>
  <c r="Q310" i="42"/>
  <c r="Q311" i="42"/>
  <c r="R310" i="42"/>
  <c r="Q312" i="42"/>
  <c r="R311" i="42"/>
  <c r="Q313" i="42"/>
  <c r="Q314" i="42"/>
  <c r="R313" i="42"/>
  <c r="Q315" i="42"/>
  <c r="R315" i="42"/>
  <c r="Q316" i="42"/>
  <c r="Q317" i="42"/>
  <c r="R316" i="42"/>
  <c r="R317" i="42"/>
  <c r="Q318" i="42"/>
  <c r="Q319" i="42"/>
  <c r="R318" i="42"/>
  <c r="Q320" i="42"/>
  <c r="Q321" i="42"/>
  <c r="R320" i="42"/>
  <c r="Q322" i="42"/>
  <c r="Q323" i="42"/>
  <c r="R322" i="42"/>
  <c r="Q324" i="42"/>
  <c r="R323" i="42"/>
  <c r="R324" i="42"/>
  <c r="Q325" i="42"/>
  <c r="Q326" i="42"/>
  <c r="R325" i="42"/>
  <c r="R326" i="42"/>
  <c r="Q327" i="42"/>
  <c r="R327" i="42"/>
  <c r="Q328" i="42"/>
  <c r="Q329" i="42"/>
  <c r="R329" i="42"/>
  <c r="Q330" i="42"/>
  <c r="Q331" i="42"/>
  <c r="R330" i="42"/>
  <c r="R331" i="42"/>
  <c r="Q332" i="42"/>
  <c r="Q333" i="42"/>
  <c r="R332" i="42"/>
  <c r="Q334" i="42"/>
  <c r="R333" i="42"/>
  <c r="Q335" i="42"/>
  <c r="R334" i="42"/>
  <c r="Q336" i="42"/>
  <c r="R335" i="42"/>
  <c r="Q337" i="42"/>
  <c r="R336" i="42"/>
  <c r="Q338" i="42"/>
  <c r="R337" i="42"/>
  <c r="Q339" i="42"/>
  <c r="R339" i="42"/>
  <c r="Q340" i="42"/>
  <c r="Q341" i="42"/>
  <c r="R340" i="42"/>
  <c r="Q342" i="42"/>
  <c r="R341" i="42"/>
  <c r="Q343" i="42"/>
  <c r="R342" i="42"/>
  <c r="Q344" i="42"/>
  <c r="R343" i="42"/>
  <c r="Q345" i="42"/>
  <c r="R344" i="42"/>
  <c r="Q346" i="42"/>
  <c r="R345" i="42"/>
  <c r="Q347" i="42"/>
  <c r="R346" i="42"/>
  <c r="Q348" i="42"/>
  <c r="R347" i="42"/>
  <c r="Q349" i="42"/>
  <c r="R348" i="42"/>
  <c r="R349" i="42"/>
  <c r="Q350" i="42"/>
  <c r="R350" i="42"/>
  <c r="R328" i="42"/>
  <c r="R312" i="42"/>
  <c r="R308" i="42"/>
  <c r="R321" i="42"/>
  <c r="R314" i="42"/>
  <c r="R338" i="42"/>
  <c r="R319" i="42"/>
  <c r="F3" i="39"/>
  <c r="J10" i="39"/>
  <c r="F3" i="43"/>
  <c r="J10" i="43"/>
  <c r="F3" i="45"/>
  <c r="J12" i="45"/>
  <c r="G3" i="39"/>
  <c r="H3" i="39" s="1"/>
  <c r="J3" i="39" s="1"/>
  <c r="L3" i="39" s="1"/>
  <c r="K3" i="39"/>
  <c r="K10" i="39"/>
  <c r="G3" i="43"/>
  <c r="H3" i="43" s="1"/>
  <c r="J3" i="43" s="1"/>
  <c r="L3" i="43" s="1"/>
  <c r="K3" i="43"/>
  <c r="K10" i="43"/>
  <c r="G3" i="45"/>
  <c r="H3" i="45" s="1"/>
  <c r="J3" i="45" s="1"/>
  <c r="L3" i="45" s="1"/>
  <c r="K3" i="45"/>
  <c r="K12" i="45"/>
  <c r="F26" i="47"/>
  <c r="F27" i="47"/>
  <c r="F28" i="47"/>
  <c r="F25" i="47"/>
  <c r="E28" i="47"/>
  <c r="E26" i="47"/>
  <c r="E27" i="47"/>
  <c r="E25" i="47"/>
  <c r="G25" i="47" l="1"/>
  <c r="I31" i="47" s="1"/>
  <c r="I5" i="45" s="1"/>
  <c r="G27" i="47"/>
  <c r="G26" i="47"/>
  <c r="I32" i="47" s="1"/>
  <c r="I6" i="45" s="1"/>
  <c r="G28" i="47"/>
  <c r="N12" i="45"/>
  <c r="M12" i="45"/>
  <c r="L12" i="45"/>
  <c r="M3" i="45"/>
  <c r="N3" i="45" s="1"/>
  <c r="M10" i="43"/>
  <c r="L10" i="43"/>
  <c r="N10" i="43"/>
  <c r="M3" i="43"/>
  <c r="N3" i="43" s="1"/>
  <c r="L10" i="39"/>
  <c r="M10" i="39"/>
  <c r="N10" i="39"/>
  <c r="M3" i="39"/>
  <c r="N3" i="39" s="1"/>
  <c r="S350" i="42"/>
  <c r="S349" i="42"/>
  <c r="S348" i="42"/>
  <c r="S347" i="42"/>
  <c r="S346" i="42"/>
  <c r="S345" i="42"/>
  <c r="S344" i="42"/>
  <c r="S343" i="42"/>
  <c r="S342" i="42"/>
  <c r="S341" i="42"/>
  <c r="S340" i="42"/>
  <c r="S339" i="42"/>
  <c r="S338" i="42"/>
  <c r="S337" i="42"/>
  <c r="S336" i="42"/>
  <c r="S335" i="42"/>
  <c r="S334" i="42"/>
  <c r="S333" i="42"/>
  <c r="S332" i="42"/>
  <c r="S331" i="42"/>
  <c r="S330" i="42"/>
  <c r="S329" i="42"/>
  <c r="S328" i="42"/>
  <c r="S327" i="42"/>
  <c r="S326" i="42"/>
  <c r="S325" i="42"/>
  <c r="S324" i="42"/>
  <c r="S323" i="42"/>
  <c r="S322" i="42"/>
  <c r="S321" i="42"/>
  <c r="S320" i="42"/>
  <c r="S319" i="42"/>
  <c r="S318" i="42"/>
  <c r="S317" i="42"/>
  <c r="S316" i="42"/>
  <c r="S315" i="42"/>
  <c r="S314" i="42"/>
  <c r="S313" i="42"/>
  <c r="S312" i="42"/>
  <c r="S311" i="42"/>
  <c r="S310" i="42"/>
  <c r="S309" i="42"/>
  <c r="S308" i="42"/>
  <c r="S307" i="42"/>
  <c r="S306" i="42"/>
  <c r="S305" i="42"/>
  <c r="S304" i="42"/>
  <c r="S303" i="42"/>
  <c r="S302" i="42"/>
  <c r="S301" i="42"/>
  <c r="S300" i="42"/>
  <c r="S299" i="42"/>
  <c r="S298" i="42"/>
  <c r="S297" i="42"/>
  <c r="S296" i="42"/>
  <c r="S295" i="42"/>
  <c r="S294" i="42"/>
  <c r="S293" i="42"/>
  <c r="S292" i="42"/>
  <c r="S291" i="42"/>
  <c r="S290" i="42"/>
  <c r="S289" i="42"/>
  <c r="S288" i="42"/>
  <c r="S287" i="42"/>
  <c r="S286" i="42"/>
  <c r="S285" i="42"/>
  <c r="S284" i="42"/>
  <c r="S283" i="42"/>
  <c r="S282" i="42"/>
  <c r="S281" i="42"/>
  <c r="S280" i="42"/>
  <c r="S279" i="42"/>
  <c r="S278" i="42"/>
  <c r="S277" i="42"/>
  <c r="S276" i="42"/>
  <c r="S275" i="42"/>
  <c r="S274" i="42"/>
  <c r="S273" i="42"/>
  <c r="S272" i="42"/>
  <c r="S271" i="42"/>
  <c r="S270" i="42"/>
  <c r="S269" i="42"/>
  <c r="S268" i="42"/>
  <c r="K10" i="42"/>
  <c r="K11" i="42"/>
  <c r="S267" i="42"/>
  <c r="S266" i="42"/>
  <c r="S265" i="42"/>
  <c r="S264" i="42"/>
  <c r="S263" i="42"/>
  <c r="S262" i="42"/>
  <c r="S261" i="42"/>
  <c r="S260" i="42"/>
  <c r="K9" i="42"/>
  <c r="K7" i="42"/>
  <c r="K8" i="42"/>
  <c r="S259" i="42"/>
  <c r="S258" i="42"/>
  <c r="S257" i="42"/>
  <c r="S256" i="42"/>
  <c r="S255" i="42"/>
  <c r="S254" i="42"/>
  <c r="S253" i="42"/>
  <c r="S252" i="42"/>
  <c r="S251" i="42"/>
  <c r="S250" i="42"/>
  <c r="S249" i="42"/>
  <c r="S248" i="42"/>
  <c r="S247" i="42"/>
  <c r="S246" i="42"/>
  <c r="S245" i="42"/>
  <c r="S244" i="42"/>
  <c r="S243" i="42"/>
  <c r="S242" i="42"/>
  <c r="S241" i="42"/>
  <c r="S240" i="42"/>
  <c r="S239" i="42"/>
  <c r="S238" i="42"/>
  <c r="S237" i="42"/>
  <c r="S236" i="42"/>
  <c r="S235" i="42"/>
  <c r="S234" i="42"/>
  <c r="S233" i="42"/>
  <c r="S232" i="42"/>
  <c r="S231" i="42"/>
  <c r="S230" i="42"/>
  <c r="S229" i="42"/>
  <c r="S228" i="42"/>
  <c r="S227" i="42"/>
  <c r="S226" i="42"/>
  <c r="S225" i="42"/>
  <c r="S224" i="42"/>
  <c r="S223" i="42"/>
  <c r="S222" i="42"/>
  <c r="S221" i="42"/>
  <c r="S220" i="42"/>
  <c r="S219" i="42"/>
  <c r="S218" i="42"/>
  <c r="S217" i="42"/>
  <c r="S216" i="42"/>
  <c r="S215" i="42"/>
  <c r="S214" i="42"/>
  <c r="S213" i="42"/>
  <c r="S212" i="42"/>
  <c r="S211" i="42"/>
  <c r="S210" i="42"/>
  <c r="S209" i="42"/>
  <c r="S208" i="42"/>
  <c r="S207" i="42"/>
  <c r="S206" i="42"/>
  <c r="S205" i="42"/>
  <c r="S204" i="42"/>
  <c r="S203" i="42"/>
  <c r="S202" i="42"/>
  <c r="S201" i="42"/>
  <c r="S200" i="42"/>
  <c r="S199" i="42"/>
  <c r="S198" i="42"/>
  <c r="S197" i="42"/>
  <c r="S196" i="42"/>
  <c r="S195" i="42"/>
  <c r="S194" i="42"/>
  <c r="S193" i="42"/>
  <c r="S192" i="42"/>
  <c r="S191" i="42"/>
  <c r="S190" i="42"/>
  <c r="S189" i="42"/>
  <c r="S188" i="42"/>
  <c r="S187" i="42"/>
  <c r="S186" i="42"/>
  <c r="S185" i="42"/>
  <c r="S184" i="42"/>
  <c r="S183" i="42"/>
  <c r="S182" i="42"/>
  <c r="S181" i="42"/>
  <c r="S180" i="42"/>
  <c r="S179" i="42"/>
  <c r="S178" i="42"/>
  <c r="S177" i="42"/>
  <c r="S176" i="42"/>
  <c r="S175" i="42"/>
  <c r="S174" i="42"/>
  <c r="S173" i="42"/>
  <c r="S172" i="42"/>
  <c r="S171" i="42"/>
  <c r="S170" i="42"/>
  <c r="S169" i="42"/>
  <c r="S168" i="42"/>
  <c r="S167" i="42"/>
  <c r="S166" i="42"/>
  <c r="S165" i="42"/>
  <c r="S164" i="42"/>
  <c r="S163" i="42"/>
  <c r="S162" i="42"/>
  <c r="S161" i="42"/>
  <c r="S160" i="42"/>
  <c r="S159" i="42"/>
  <c r="S158" i="42"/>
  <c r="S157" i="42"/>
  <c r="S156" i="42"/>
  <c r="S155" i="42"/>
  <c r="S154" i="42"/>
  <c r="S153" i="42"/>
  <c r="S152" i="42"/>
  <c r="S151" i="42"/>
  <c r="S150" i="42"/>
  <c r="S149" i="42"/>
  <c r="S148" i="42"/>
  <c r="S147" i="42"/>
  <c r="S146" i="42"/>
  <c r="S145" i="42"/>
  <c r="S144" i="42"/>
  <c r="S143" i="42"/>
  <c r="S142" i="42"/>
  <c r="S141" i="42"/>
  <c r="S140" i="42"/>
  <c r="S139" i="42"/>
  <c r="S138" i="42"/>
  <c r="S137" i="42"/>
  <c r="S136" i="42"/>
  <c r="S135" i="42"/>
  <c r="S134" i="42"/>
  <c r="S133" i="42"/>
  <c r="S132" i="42"/>
  <c r="S131" i="42"/>
  <c r="S130" i="42"/>
  <c r="S129" i="42"/>
  <c r="S128" i="42"/>
  <c r="S127" i="42"/>
  <c r="S126" i="42"/>
  <c r="S125" i="42"/>
  <c r="S124" i="42"/>
  <c r="S123" i="42"/>
  <c r="S122" i="42"/>
  <c r="S121" i="42"/>
  <c r="S120" i="42"/>
  <c r="S119" i="42"/>
  <c r="S118" i="42"/>
  <c r="S117" i="42"/>
  <c r="S116" i="42"/>
  <c r="S115" i="42"/>
  <c r="S114" i="42"/>
  <c r="S113" i="42"/>
  <c r="S112" i="42"/>
  <c r="S111" i="42"/>
  <c r="S110" i="42"/>
  <c r="S109" i="42"/>
  <c r="S108" i="42"/>
  <c r="S107" i="42"/>
  <c r="S106" i="42"/>
  <c r="S105" i="42"/>
  <c r="S104" i="42"/>
  <c r="S103" i="42"/>
  <c r="S102" i="42"/>
  <c r="S101" i="42"/>
  <c r="S100" i="42"/>
  <c r="S99" i="42"/>
  <c r="S98" i="42"/>
  <c r="S97" i="42"/>
  <c r="S96" i="42"/>
  <c r="S95" i="42"/>
  <c r="S94" i="42"/>
  <c r="S93" i="42"/>
  <c r="S92" i="42"/>
  <c r="S91" i="42"/>
  <c r="S90" i="42"/>
  <c r="S89" i="42"/>
  <c r="S88" i="42"/>
  <c r="S87" i="42"/>
  <c r="S86" i="42"/>
  <c r="S85" i="42"/>
  <c r="S84" i="42"/>
  <c r="S83" i="42"/>
  <c r="S82" i="42"/>
  <c r="S81" i="42"/>
  <c r="S80" i="42"/>
  <c r="S79" i="42"/>
  <c r="S78" i="42"/>
  <c r="S77" i="42"/>
  <c r="S76" i="42"/>
  <c r="S75" i="42"/>
  <c r="S74" i="42"/>
  <c r="S73" i="42"/>
  <c r="S72" i="42"/>
  <c r="S71" i="42"/>
  <c r="S70" i="42"/>
  <c r="S69" i="42"/>
  <c r="S68" i="42"/>
  <c r="S67" i="42"/>
  <c r="S66" i="42"/>
  <c r="S65" i="42"/>
  <c r="S64" i="42"/>
  <c r="S63" i="42"/>
  <c r="S62" i="42"/>
  <c r="S61" i="42"/>
  <c r="S60" i="42"/>
  <c r="S59" i="42"/>
  <c r="S58" i="42"/>
  <c r="S57" i="42"/>
  <c r="K6" i="42"/>
  <c r="K5" i="42"/>
  <c r="S56" i="42"/>
  <c r="S55" i="42"/>
  <c r="S54" i="42"/>
  <c r="S53" i="42"/>
  <c r="S52" i="42"/>
  <c r="S51" i="42"/>
  <c r="S50" i="42"/>
  <c r="S49" i="42"/>
  <c r="S48" i="42"/>
  <c r="S47" i="42"/>
  <c r="S46" i="42"/>
  <c r="S45" i="42"/>
  <c r="S44" i="42"/>
  <c r="S43" i="42"/>
  <c r="S42" i="42"/>
  <c r="S41" i="42"/>
  <c r="S40" i="42"/>
  <c r="S39" i="42"/>
  <c r="S38" i="42"/>
  <c r="S37" i="42"/>
  <c r="S36" i="42"/>
  <c r="S35" i="42"/>
  <c r="S34" i="42"/>
  <c r="S33" i="42"/>
  <c r="S32" i="42"/>
  <c r="S31" i="42"/>
  <c r="S30" i="42"/>
  <c r="S29" i="42"/>
  <c r="S28" i="42"/>
  <c r="S27" i="42"/>
  <c r="S26" i="42"/>
  <c r="S25" i="42"/>
  <c r="S24" i="42"/>
  <c r="S23" i="42"/>
  <c r="S22" i="42"/>
  <c r="S21" i="42"/>
  <c r="S20" i="42"/>
  <c r="S19" i="42"/>
  <c r="S18" i="42"/>
  <c r="M5" i="43"/>
  <c r="N5" i="43" s="1"/>
  <c r="S3" i="42"/>
  <c r="S11" i="42"/>
  <c r="M6" i="39"/>
  <c r="N6" i="39" s="1"/>
  <c r="S12" i="42"/>
  <c r="S7" i="42"/>
  <c r="S4" i="42"/>
  <c r="K4" i="42"/>
  <c r="M6" i="43"/>
  <c r="N6" i="43" s="1"/>
  <c r="S15" i="42"/>
  <c r="M7" i="43"/>
  <c r="N7" i="43" s="1"/>
  <c r="S2" i="42"/>
  <c r="S8" i="42"/>
  <c r="S5" i="42"/>
  <c r="M5" i="39"/>
  <c r="N5" i="39" s="1"/>
  <c r="S10" i="42"/>
  <c r="S16" i="42"/>
  <c r="K3" i="42"/>
  <c r="S6" i="42"/>
  <c r="S17" i="42"/>
  <c r="S9" i="42"/>
  <c r="S14" i="42"/>
  <c r="S13" i="42"/>
  <c r="K2" i="42"/>
  <c r="K5" i="45"/>
  <c r="K6" i="45"/>
  <c r="S3" i="45" a="1"/>
  <c r="U13" i="39" a="1"/>
  <c r="U9" i="39" a="1"/>
  <c r="U3" i="39" a="1"/>
  <c r="T9" i="45" a="1"/>
  <c r="T3" i="45" a="1"/>
  <c r="T3" i="39" a="1"/>
  <c r="T9" i="39" a="1"/>
  <c r="U3" i="45" a="1"/>
  <c r="U9" i="45" a="1"/>
  <c r="U13" i="45" a="1"/>
  <c r="S3" i="39" a="1"/>
  <c r="U9" i="43" a="1"/>
  <c r="U13" i="43" a="1"/>
  <c r="U3" i="43" a="1"/>
  <c r="T3" i="43" a="1"/>
  <c r="T9" i="43" a="1"/>
  <c r="S3" i="43" a="1"/>
  <c r="M6" i="45" l="1"/>
  <c r="N6" i="45" s="1"/>
  <c r="M5" i="45"/>
  <c r="N5" i="45" s="1"/>
  <c r="I33" i="47"/>
  <c r="I7" i="45" s="1"/>
  <c r="S5" i="43"/>
  <c r="S3" i="43"/>
  <c r="S4" i="43"/>
  <c r="T9" i="43"/>
  <c r="T10" i="43"/>
  <c r="T5" i="43"/>
  <c r="T3" i="43"/>
  <c r="T4" i="43"/>
  <c r="U4" i="43"/>
  <c r="U5" i="43"/>
  <c r="U3" i="43"/>
  <c r="U13" i="43"/>
  <c r="AA13" i="43" s="1"/>
  <c r="U10" i="43"/>
  <c r="U9" i="43"/>
  <c r="S5" i="39"/>
  <c r="S3" i="39"/>
  <c r="S4" i="39"/>
  <c r="U13" i="45"/>
  <c r="AA13" i="45" s="1"/>
  <c r="U10" i="45"/>
  <c r="U9" i="45"/>
  <c r="U5" i="45"/>
  <c r="U3" i="45"/>
  <c r="U4" i="45"/>
  <c r="T10" i="39"/>
  <c r="T9" i="39"/>
  <c r="T3" i="39"/>
  <c r="T5" i="39"/>
  <c r="T4" i="39"/>
  <c r="T5" i="45"/>
  <c r="T3" i="45"/>
  <c r="T4" i="45"/>
  <c r="T10" i="45"/>
  <c r="T9" i="45"/>
  <c r="U3" i="39"/>
  <c r="U5" i="39"/>
  <c r="U4" i="39"/>
  <c r="U9" i="39"/>
  <c r="U10" i="39"/>
  <c r="U13" i="39"/>
  <c r="AA13" i="39" s="1"/>
  <c r="S5" i="45"/>
  <c r="S4" i="45"/>
  <c r="S3" i="45"/>
  <c r="K7" i="45"/>
  <c r="M7" i="45" l="1"/>
  <c r="N7" i="45" s="1"/>
  <c r="AA3" i="39" a="1"/>
  <c r="AA9" i="43" a="1"/>
  <c r="AA3" i="45" a="1"/>
  <c r="AA3" i="43" a="1"/>
  <c r="AA9" i="45" a="1"/>
  <c r="AA9" i="39" a="1"/>
  <c r="AA9" i="39" l="1"/>
  <c r="AB9" i="39"/>
  <c r="AB10" i="39"/>
  <c r="AA10" i="39"/>
  <c r="AA9" i="45"/>
  <c r="AB10" i="45"/>
  <c r="AB9" i="45"/>
  <c r="AA10" i="45"/>
  <c r="AA4" i="43"/>
  <c r="AB4" i="43"/>
  <c r="AC4" i="43"/>
  <c r="AB3" i="43"/>
  <c r="AA3" i="43"/>
  <c r="AA5" i="43"/>
  <c r="AC5" i="43"/>
  <c r="AC3" i="43"/>
  <c r="AB5" i="43"/>
  <c r="AB4" i="45"/>
  <c r="AA5" i="45"/>
  <c r="AA4" i="45"/>
  <c r="AC3" i="45"/>
  <c r="AB3" i="45"/>
  <c r="AC5" i="45"/>
  <c r="AC4" i="45"/>
  <c r="AB5" i="45"/>
  <c r="AA3" i="45"/>
  <c r="AB10" i="43"/>
  <c r="AB9" i="43"/>
  <c r="AA9" i="43"/>
  <c r="AA10" i="43"/>
  <c r="AA3" i="39"/>
  <c r="AC4" i="39"/>
  <c r="AA5" i="39"/>
  <c r="AB5" i="39"/>
  <c r="AC3" i="39"/>
  <c r="AA4" i="39"/>
  <c r="AB4" i="39"/>
  <c r="AB3" i="39"/>
  <c r="AC5" i="39"/>
  <c r="H13" i="39"/>
  <c r="N4" i="39"/>
  <c r="H13" i="43"/>
  <c r="N4" i="43"/>
  <c r="Y13" i="43"/>
  <c r="Y3" i="43" a="1"/>
  <c r="Y9" i="43" a="1"/>
  <c r="Y10" i="43"/>
  <c r="Y4" i="43"/>
  <c r="Y5" i="43"/>
  <c r="Y3" i="43"/>
  <c r="Y9" i="43"/>
  <c r="W9" i="43" a="1"/>
  <c r="W9" i="43" s="1"/>
  <c r="H15" i="45"/>
  <c r="N4" i="45"/>
  <c r="Y3" i="45" a="1"/>
  <c r="Y9" i="45" a="1"/>
  <c r="W10" i="43" l="1"/>
  <c r="Y9" i="45"/>
  <c r="Y10" i="45"/>
  <c r="W9" i="45" a="1"/>
  <c r="W9" i="45" s="1"/>
  <c r="Y3" i="45"/>
  <c r="Y4" i="45"/>
  <c r="Y5" i="45"/>
  <c r="Y13" i="45"/>
  <c r="AI52" i="43" l="1"/>
  <c r="AI51" i="43"/>
  <c r="AI22" i="43"/>
  <c r="AI5" i="43"/>
  <c r="AI41" i="43"/>
  <c r="AI59" i="43"/>
  <c r="AI18" i="43"/>
  <c r="AI15" i="43"/>
  <c r="AI17" i="43"/>
  <c r="AI67" i="43"/>
  <c r="AI44" i="43"/>
  <c r="AI30" i="43"/>
  <c r="AI49" i="43"/>
  <c r="AI34" i="43"/>
  <c r="AI47" i="43"/>
  <c r="AI29" i="43"/>
  <c r="AI8" i="43"/>
  <c r="AI27" i="43"/>
  <c r="AI19" i="43"/>
  <c r="AI58" i="43"/>
  <c r="AI55" i="43"/>
  <c r="AI56" i="43"/>
  <c r="AI45" i="43"/>
  <c r="AI48" i="43"/>
  <c r="AI60" i="43"/>
  <c r="AI38" i="43"/>
  <c r="AI50" i="43"/>
  <c r="AI57" i="43"/>
  <c r="AI4" i="43"/>
  <c r="AI65" i="43"/>
  <c r="AI26" i="43"/>
  <c r="AI33" i="43"/>
  <c r="AI64" i="43"/>
  <c r="AI32" i="43"/>
  <c r="AI12" i="43"/>
  <c r="AI35" i="43"/>
  <c r="AI63" i="43"/>
  <c r="AI54" i="43"/>
  <c r="AI9" i="43"/>
  <c r="AI25" i="43"/>
  <c r="AI36" i="43"/>
  <c r="AI37" i="43"/>
  <c r="AI21" i="43"/>
  <c r="AI20" i="43"/>
  <c r="AI43" i="43"/>
  <c r="AI31" i="43"/>
  <c r="AI14" i="43"/>
  <c r="AI11" i="43"/>
  <c r="AI62" i="43"/>
  <c r="AI40" i="43"/>
  <c r="AI10" i="43"/>
  <c r="AI23" i="43"/>
  <c r="AI3" i="43"/>
  <c r="AI24" i="43"/>
  <c r="AI61" i="43"/>
  <c r="AI16" i="43"/>
  <c r="AI13" i="43"/>
  <c r="AI39" i="43"/>
  <c r="AI53" i="43"/>
  <c r="AI7" i="43"/>
  <c r="AI42" i="43"/>
  <c r="AI66" i="43"/>
  <c r="AI6" i="43"/>
  <c r="AI28" i="43"/>
  <c r="AI46" i="43"/>
  <c r="W10" i="45"/>
  <c r="AI22" i="45" s="1"/>
  <c r="AI65" i="45"/>
  <c r="AI42" i="45"/>
  <c r="AI56" i="45"/>
  <c r="AI7" i="45"/>
  <c r="AI37" i="45"/>
  <c r="AI64" i="45"/>
  <c r="AI31" i="45"/>
  <c r="AI43" i="45"/>
  <c r="AI67" i="45"/>
  <c r="AI68" i="45"/>
  <c r="N22" i="43"/>
  <c r="N19" i="43"/>
  <c r="N24" i="43"/>
  <c r="N23" i="43"/>
  <c r="N18" i="43"/>
  <c r="N20" i="43"/>
  <c r="N21" i="43"/>
  <c r="Y9" i="39" a="1"/>
  <c r="N20" i="45" l="1"/>
  <c r="AI45" i="45"/>
  <c r="AI14" i="45"/>
  <c r="AI20" i="45"/>
  <c r="AI49" i="45"/>
  <c r="AI66" i="45"/>
  <c r="AI59" i="45"/>
  <c r="AI24" i="45"/>
  <c r="AI47" i="45"/>
  <c r="AI39" i="45"/>
  <c r="AI51" i="45"/>
  <c r="N26" i="45"/>
  <c r="AI40" i="45"/>
  <c r="AI9" i="45"/>
  <c r="AI17" i="45"/>
  <c r="AI8" i="45"/>
  <c r="AI19" i="45"/>
  <c r="AI32" i="45"/>
  <c r="AI25" i="45"/>
  <c r="AI53" i="45"/>
  <c r="AI26" i="45"/>
  <c r="AI57" i="45"/>
  <c r="AI41" i="45"/>
  <c r="AI62" i="45"/>
  <c r="N23" i="45"/>
  <c r="AI18" i="45"/>
  <c r="AI44" i="45"/>
  <c r="AI29" i="45"/>
  <c r="AI10" i="45"/>
  <c r="N21" i="45"/>
  <c r="AI4" i="45"/>
  <c r="AI69" i="45"/>
  <c r="AI30" i="45"/>
  <c r="AI50" i="45"/>
  <c r="AI23" i="45"/>
  <c r="N22" i="45"/>
  <c r="AI48" i="45"/>
  <c r="AI63" i="45"/>
  <c r="AI35" i="45"/>
  <c r="AI16" i="45"/>
  <c r="AI46" i="45"/>
  <c r="N24" i="45"/>
  <c r="AI21" i="45"/>
  <c r="AI60" i="45"/>
  <c r="AI38" i="45"/>
  <c r="AI6" i="45"/>
  <c r="AI34" i="45"/>
  <c r="AI52" i="45"/>
  <c r="AI11" i="45"/>
  <c r="AI58" i="45"/>
  <c r="AI36" i="45"/>
  <c r="AI12" i="45"/>
  <c r="AI28" i="45"/>
  <c r="AI3" i="45"/>
  <c r="AI13" i="45"/>
  <c r="N25" i="45"/>
  <c r="AI33" i="45"/>
  <c r="AI15" i="45"/>
  <c r="AI5" i="45"/>
  <c r="AI61" i="45"/>
  <c r="AI54" i="45"/>
  <c r="AI55" i="45"/>
  <c r="AI27" i="45"/>
  <c r="Y10" i="39"/>
  <c r="W9" i="39" s="1" a="1"/>
  <c r="Y9" i="39"/>
  <c r="W10" i="39" l="1"/>
  <c r="W9" i="39"/>
  <c r="N18" i="39"/>
  <c r="D32" i="39"/>
  <c r="J15" i="33" s="1"/>
  <c r="N15" i="33" s="1"/>
  <c r="O15" i="33"/>
  <c r="N25" i="39" l="1"/>
  <c r="D39" i="39" s="1"/>
  <c r="J22" i="33" s="1"/>
  <c r="N22" i="33" s="1"/>
  <c r="N21" i="39"/>
  <c r="D35" i="39"/>
  <c r="J18" i="33" s="1"/>
  <c r="N18" i="33" s="1"/>
  <c r="O22" i="33"/>
  <c r="O18" i="33"/>
  <c r="N23" i="39"/>
  <c r="D37" i="39"/>
  <c r="J20" i="33" s="1"/>
  <c r="N20" i="33" s="1"/>
  <c r="O20" i="33"/>
  <c r="N26" i="39"/>
  <c r="D40" i="39" s="1"/>
  <c r="J23" i="33" s="1"/>
  <c r="N23" i="33" s="1"/>
  <c r="O23" i="33"/>
  <c r="N22" i="39"/>
  <c r="D36" i="39"/>
  <c r="J19" i="33" s="1"/>
  <c r="N19" i="33" s="1"/>
  <c r="O19" i="33"/>
  <c r="N20" i="39"/>
  <c r="D34" i="39" s="1"/>
  <c r="J17" i="33" s="1"/>
  <c r="N17" i="33" s="1"/>
  <c r="O17" i="33"/>
  <c r="N19" i="39"/>
  <c r="D33" i="39"/>
  <c r="J16" i="33" s="1"/>
  <c r="N16" i="33" s="1"/>
  <c r="O16" i="33"/>
  <c r="N24" i="39"/>
  <c r="D38" i="39"/>
  <c r="J21" i="33" s="1"/>
  <c r="N21" i="33" s="1"/>
  <c r="O21" i="33"/>
  <c r="N27" i="39"/>
  <c r="D41" i="39" s="1"/>
  <c r="J24" i="33" s="1"/>
  <c r="N24" i="33" s="1"/>
  <c r="O24" i="33"/>
  <c r="P15" i="33"/>
  <c r="AI56" i="39"/>
  <c r="AI59" i="39"/>
  <c r="AI70" i="39"/>
  <c r="AI45" i="39"/>
  <c r="AI111" i="39"/>
  <c r="AI91" i="39"/>
  <c r="AI113" i="39"/>
  <c r="AI61" i="39"/>
  <c r="AI9" i="39"/>
  <c r="AI17" i="39"/>
  <c r="AI122" i="39"/>
  <c r="AI87" i="39"/>
  <c r="AI20" i="39"/>
  <c r="AI106" i="39"/>
  <c r="AI26" i="39"/>
  <c r="AI40" i="39"/>
  <c r="AI25" i="39"/>
  <c r="AI112" i="39"/>
  <c r="AI55" i="39"/>
  <c r="AI6" i="39"/>
  <c r="AI85" i="39"/>
  <c r="AI132" i="39"/>
  <c r="AI8" i="39"/>
  <c r="AI69" i="39"/>
  <c r="AI50" i="39"/>
  <c r="AI103" i="39"/>
  <c r="AI96" i="39"/>
  <c r="AI74" i="39"/>
  <c r="AI63" i="39"/>
  <c r="AI68" i="39"/>
  <c r="AI129" i="39"/>
  <c r="AI51" i="39"/>
  <c r="AI116" i="39"/>
  <c r="AI64" i="39"/>
  <c r="AI100" i="39"/>
  <c r="AI24" i="39"/>
  <c r="AI36" i="39"/>
  <c r="AI82" i="39"/>
  <c r="AI127" i="39"/>
  <c r="AI128" i="39"/>
  <c r="AI79" i="39"/>
  <c r="AI94" i="39"/>
  <c r="AI12" i="39"/>
  <c r="AI10" i="39"/>
  <c r="AI22" i="39"/>
  <c r="AI49" i="39"/>
  <c r="AI72" i="39"/>
  <c r="AI84" i="39"/>
  <c r="AI77" i="39"/>
  <c r="AI13" i="39"/>
  <c r="AI37" i="39"/>
  <c r="AI99" i="39"/>
  <c r="AI67" i="39"/>
  <c r="AI54" i="39"/>
  <c r="AI52" i="39"/>
  <c r="AI62" i="39"/>
  <c r="AI19" i="39"/>
  <c r="AI46" i="39"/>
  <c r="AI124" i="39"/>
  <c r="AI4" i="39"/>
  <c r="AI53" i="39"/>
  <c r="AI109" i="39"/>
  <c r="AI75" i="39"/>
  <c r="AI47" i="39"/>
  <c r="AI21" i="39"/>
  <c r="AI108" i="39"/>
  <c r="AI102" i="39"/>
  <c r="AI123" i="39"/>
  <c r="AI42" i="39"/>
  <c r="AI18" i="39"/>
  <c r="AI97" i="39"/>
  <c r="AI121" i="39"/>
  <c r="AI41" i="39"/>
  <c r="AI27" i="39"/>
  <c r="AI44" i="39"/>
  <c r="AI71" i="39"/>
  <c r="AI60" i="39"/>
  <c r="AI89" i="39"/>
  <c r="AI57" i="39"/>
  <c r="AI86" i="39"/>
  <c r="AI126" i="39"/>
  <c r="AI15" i="39"/>
  <c r="AI131" i="39"/>
  <c r="AI95" i="39"/>
  <c r="AI43" i="39"/>
  <c r="AI92" i="39"/>
  <c r="AI39" i="39"/>
  <c r="AI81" i="39"/>
  <c r="AI101" i="39"/>
  <c r="AI76" i="39"/>
  <c r="AI117" i="39"/>
  <c r="AI88" i="39"/>
  <c r="AI16" i="39"/>
  <c r="AI119" i="39"/>
  <c r="AI110" i="39"/>
  <c r="AI93" i="39"/>
  <c r="AI90" i="39"/>
  <c r="AI65" i="39"/>
  <c r="AI130" i="39"/>
  <c r="AI114" i="39"/>
  <c r="AI14" i="39"/>
  <c r="AI29" i="39"/>
  <c r="AI120" i="39"/>
  <c r="AI5" i="39"/>
  <c r="AI66" i="39"/>
  <c r="AI48" i="39"/>
  <c r="AI35" i="39"/>
  <c r="AI32" i="39"/>
  <c r="AI118" i="39"/>
  <c r="AI105" i="39"/>
  <c r="AI38" i="39"/>
  <c r="AI115" i="39"/>
  <c r="AI30" i="39"/>
  <c r="AI80" i="39"/>
  <c r="AI11" i="39"/>
  <c r="AI7" i="39"/>
  <c r="AI3" i="39"/>
  <c r="AI83" i="39"/>
  <c r="AI107" i="39"/>
  <c r="AI34" i="39"/>
  <c r="AI98" i="39"/>
  <c r="AI23" i="39"/>
  <c r="AI28" i="39"/>
  <c r="AI58" i="39"/>
  <c r="AI33" i="39"/>
  <c r="AI104" i="39"/>
  <c r="AI73" i="39"/>
  <c r="AI78" i="39"/>
  <c r="AI125" i="39"/>
  <c r="AI31" i="39"/>
  <c r="Y3" i="39" a="1"/>
  <c r="Y5" i="39"/>
  <c r="Y3" i="39"/>
  <c r="Y4" i="39"/>
  <c r="Y13" i="39"/>
  <c r="W13" i="45"/>
  <c r="M24" i="45" s="1"/>
  <c r="W13" i="43"/>
  <c r="M23" i="43" s="1"/>
  <c r="M20" i="43"/>
  <c r="AH11" i="43"/>
  <c r="AH37" i="43"/>
  <c r="AH38" i="43"/>
  <c r="AH50" i="43"/>
  <c r="AH66" i="43"/>
  <c r="AH29" i="43"/>
  <c r="AH10" i="43"/>
  <c r="AH55" i="43"/>
  <c r="AH14" i="43"/>
  <c r="AH67" i="43"/>
  <c r="AH9" i="43"/>
  <c r="AH42" i="43"/>
  <c r="AH25" i="43"/>
  <c r="AH6" i="43"/>
  <c r="AH56" i="43"/>
  <c r="AH65" i="43"/>
  <c r="AH23" i="43"/>
  <c r="M21" i="43"/>
  <c r="W13" i="39"/>
  <c r="M19" i="39" s="1"/>
  <c r="M20" i="39"/>
  <c r="AH123" i="39"/>
  <c r="AH75" i="39"/>
  <c r="AH48" i="39"/>
  <c r="AH125" i="39"/>
  <c r="AH115" i="39"/>
  <c r="AH120" i="39"/>
  <c r="AH22" i="39"/>
  <c r="AH61" i="39"/>
  <c r="AH12" i="39"/>
  <c r="AH24" i="39"/>
  <c r="AH34" i="39"/>
  <c r="AH83" i="39"/>
  <c r="W3" i="45" a="1"/>
  <c r="W3" i="45" s="1"/>
  <c r="AH45" i="39" l="1"/>
  <c r="AH74" i="39"/>
  <c r="AH132" i="39"/>
  <c r="M25" i="39"/>
  <c r="AH89" i="39"/>
  <c r="AH31" i="39"/>
  <c r="AH5" i="39"/>
  <c r="AH131" i="39"/>
  <c r="AH93" i="39"/>
  <c r="AH97" i="39"/>
  <c r="AH41" i="39"/>
  <c r="AH52" i="39"/>
  <c r="AH77" i="39"/>
  <c r="AH44" i="39"/>
  <c r="AH86" i="39"/>
  <c r="AH34" i="45"/>
  <c r="AH39" i="45"/>
  <c r="AH12" i="45"/>
  <c r="AH33" i="45"/>
  <c r="AH69" i="45"/>
  <c r="AH31" i="45"/>
  <c r="AH20" i="45"/>
  <c r="AH52" i="45"/>
  <c r="AH49" i="45"/>
  <c r="AH21" i="45"/>
  <c r="AH56" i="45"/>
  <c r="AH6" i="45"/>
  <c r="AH25" i="45"/>
  <c r="AH23" i="45"/>
  <c r="AH17" i="45"/>
  <c r="AH5" i="45"/>
  <c r="AH28" i="45"/>
  <c r="AH44" i="45"/>
  <c r="AH3" i="45"/>
  <c r="AH54" i="45"/>
  <c r="AH38" i="45"/>
  <c r="AH22" i="45"/>
  <c r="AH43" i="45"/>
  <c r="AH67" i="45"/>
  <c r="AH10" i="45"/>
  <c r="AH50" i="45"/>
  <c r="AH19" i="45"/>
  <c r="AH37" i="45"/>
  <c r="AH58" i="45"/>
  <c r="AH42" i="45"/>
  <c r="AH63" i="45"/>
  <c r="AH48" i="45"/>
  <c r="AH59" i="45"/>
  <c r="AH9" i="45"/>
  <c r="AH29" i="45"/>
  <c r="AH13" i="45"/>
  <c r="AH18" i="45"/>
  <c r="AH51" i="45"/>
  <c r="AH4" i="45"/>
  <c r="AH40" i="45"/>
  <c r="AH35" i="45"/>
  <c r="AH65" i="45"/>
  <c r="AH62" i="45"/>
  <c r="AH32" i="45"/>
  <c r="AH15" i="45"/>
  <c r="AH68" i="45"/>
  <c r="AH16" i="45"/>
  <c r="AH57" i="45"/>
  <c r="AH64" i="45"/>
  <c r="AH24" i="45"/>
  <c r="AH41" i="45"/>
  <c r="AH27" i="45"/>
  <c r="AH46" i="45"/>
  <c r="AH11" i="45"/>
  <c r="AH55" i="45"/>
  <c r="AH66" i="45"/>
  <c r="AH26" i="45"/>
  <c r="AH36" i="45"/>
  <c r="AH14" i="45"/>
  <c r="AH30" i="45"/>
  <c r="AH8" i="45"/>
  <c r="AH53" i="45"/>
  <c r="AH47" i="45"/>
  <c r="AH45" i="45"/>
  <c r="M22" i="45"/>
  <c r="AH61" i="45"/>
  <c r="M26" i="45"/>
  <c r="M23" i="45"/>
  <c r="M20" i="45"/>
  <c r="W4" i="45"/>
  <c r="W5" i="45"/>
  <c r="M25" i="45"/>
  <c r="M21" i="45"/>
  <c r="AH122" i="39"/>
  <c r="AH130" i="39"/>
  <c r="AH8" i="39"/>
  <c r="AH107" i="39"/>
  <c r="AH69" i="39"/>
  <c r="AH110" i="39"/>
  <c r="AH112" i="39"/>
  <c r="AH105" i="39"/>
  <c r="AH17" i="39"/>
  <c r="AH108" i="39"/>
  <c r="AH78" i="39"/>
  <c r="AH95" i="39"/>
  <c r="AH46" i="39"/>
  <c r="AH32" i="39"/>
  <c r="AH92" i="39"/>
  <c r="AH4" i="39"/>
  <c r="AH30" i="39"/>
  <c r="AH57" i="39"/>
  <c r="AH72" i="39"/>
  <c r="AH58" i="39"/>
  <c r="AH36" i="39"/>
  <c r="AH90" i="39"/>
  <c r="AH103" i="39"/>
  <c r="AH118" i="39"/>
  <c r="AH14" i="39"/>
  <c r="AH43" i="39"/>
  <c r="AH101" i="39"/>
  <c r="AH129" i="39"/>
  <c r="AH37" i="39"/>
  <c r="AH80" i="39"/>
  <c r="AH25" i="39"/>
  <c r="AH68" i="39"/>
  <c r="AH85" i="39"/>
  <c r="AH33" i="39"/>
  <c r="AH67" i="39"/>
  <c r="M21" i="39"/>
  <c r="AH7" i="43"/>
  <c r="AH40" i="43"/>
  <c r="AH63" i="43"/>
  <c r="AH21" i="43"/>
  <c r="AH12" i="43"/>
  <c r="AH48" i="43"/>
  <c r="AH57" i="43"/>
  <c r="M19" i="43"/>
  <c r="AH71" i="39"/>
  <c r="AH128" i="39"/>
  <c r="AH65" i="39"/>
  <c r="AH104" i="39"/>
  <c r="AH102" i="39"/>
  <c r="AH26" i="39"/>
  <c r="AH62" i="39"/>
  <c r="AH27" i="39"/>
  <c r="M27" i="39"/>
  <c r="M26" i="39"/>
  <c r="AH34" i="43"/>
  <c r="AH45" i="43"/>
  <c r="AH36" i="43"/>
  <c r="AH15" i="43"/>
  <c r="AH41" i="43"/>
  <c r="AH51" i="43"/>
  <c r="AH33" i="43"/>
  <c r="AH24" i="43"/>
  <c r="M18" i="43"/>
  <c r="AH13" i="43"/>
  <c r="AH54" i="43"/>
  <c r="AH8" i="43"/>
  <c r="AH46" i="43"/>
  <c r="AH44" i="43"/>
  <c r="AH52" i="43"/>
  <c r="AH60" i="43"/>
  <c r="AH62" i="43"/>
  <c r="M24" i="43"/>
  <c r="M22" i="39"/>
  <c r="AH106" i="39"/>
  <c r="AH116" i="39"/>
  <c r="AH73" i="39"/>
  <c r="AH3" i="43"/>
  <c r="AH19" i="43"/>
  <c r="AH53" i="43"/>
  <c r="AH59" i="43"/>
  <c r="AH39" i="43"/>
  <c r="AH58" i="43"/>
  <c r="AH19" i="39"/>
  <c r="AH127" i="39"/>
  <c r="AH10" i="39"/>
  <c r="AH87" i="39"/>
  <c r="AH20" i="39"/>
  <c r="AH84" i="39"/>
  <c r="AH109" i="39"/>
  <c r="AH63" i="39"/>
  <c r="AH96" i="39"/>
  <c r="AH98" i="39"/>
  <c r="AH38" i="39"/>
  <c r="AH7" i="39"/>
  <c r="AH18" i="39"/>
  <c r="AH13" i="39"/>
  <c r="AH82" i="39"/>
  <c r="AH64" i="39"/>
  <c r="AH53" i="39"/>
  <c r="AH51" i="39"/>
  <c r="AH39" i="39"/>
  <c r="AH88" i="39"/>
  <c r="AH55" i="39"/>
  <c r="M18" i="39"/>
  <c r="AH31" i="43"/>
  <c r="AH47" i="43"/>
  <c r="AH35" i="43"/>
  <c r="AH27" i="43"/>
  <c r="AH30" i="43"/>
  <c r="AH5" i="43"/>
  <c r="AH49" i="43"/>
  <c r="AH61" i="43"/>
  <c r="M22" i="43"/>
  <c r="AH60" i="45"/>
  <c r="AH7" i="45"/>
  <c r="AH70" i="39"/>
  <c r="AH23" i="39"/>
  <c r="AH42" i="39"/>
  <c r="AH47" i="39"/>
  <c r="AH121" i="39"/>
  <c r="AH11" i="39"/>
  <c r="AH76" i="39"/>
  <c r="AH35" i="39"/>
  <c r="AH28" i="39"/>
  <c r="AH124" i="39"/>
  <c r="AH40" i="39"/>
  <c r="AH54" i="39"/>
  <c r="AH16" i="39"/>
  <c r="AH6" i="39"/>
  <c r="AH79" i="39"/>
  <c r="AH81" i="39"/>
  <c r="AH91" i="39"/>
  <c r="AH60" i="39"/>
  <c r="AH117" i="39"/>
  <c r="AH66" i="39"/>
  <c r="AH94" i="39"/>
  <c r="M24" i="39"/>
  <c r="AH16" i="43"/>
  <c r="AH22" i="43"/>
  <c r="AH17" i="43"/>
  <c r="M23" i="39"/>
  <c r="AH50" i="39"/>
  <c r="AH111" i="39"/>
  <c r="AH29" i="39"/>
  <c r="AH114" i="39"/>
  <c r="AH99" i="39"/>
  <c r="AH3" i="39"/>
  <c r="AH59" i="39"/>
  <c r="AH9" i="39"/>
  <c r="AH119" i="39"/>
  <c r="AH21" i="39"/>
  <c r="AH126" i="39"/>
  <c r="AH56" i="39"/>
  <c r="AH49" i="39"/>
  <c r="AH100" i="39"/>
  <c r="AH15" i="39"/>
  <c r="AH113" i="39"/>
  <c r="AH32" i="43"/>
  <c r="AH20" i="43"/>
  <c r="AH64" i="43"/>
  <c r="AH26" i="43"/>
  <c r="AH4" i="43"/>
  <c r="AH43" i="43"/>
  <c r="AH18" i="43"/>
  <c r="AH28" i="43"/>
  <c r="O25" i="45" l="1"/>
  <c r="D39" i="45" s="1"/>
  <c r="O21" i="45"/>
  <c r="D35" i="45" s="1"/>
  <c r="J4" i="33" s="1"/>
  <c r="N4" i="33" s="1"/>
  <c r="O23" i="45"/>
  <c r="D37" i="45" s="1"/>
  <c r="J6" i="33" s="1"/>
  <c r="N6" i="33" s="1"/>
  <c r="O24" i="45"/>
  <c r="D38" i="45" s="1"/>
  <c r="J7" i="33" s="1"/>
  <c r="N7" i="33" s="1"/>
  <c r="O4" i="33"/>
  <c r="O6" i="33"/>
  <c r="O7" i="33"/>
  <c r="O26" i="45"/>
  <c r="D40" i="45" s="1"/>
  <c r="O22" i="45"/>
  <c r="D36" i="45" s="1"/>
  <c r="J5" i="33" s="1"/>
  <c r="N5" i="33" s="1"/>
  <c r="O5" i="33"/>
  <c r="AJ39" i="45"/>
  <c r="AJ42" i="45"/>
  <c r="AJ41" i="45"/>
  <c r="AJ58" i="45"/>
  <c r="AJ3" i="45"/>
  <c r="AJ10" i="45"/>
  <c r="AJ52" i="45"/>
  <c r="AJ20" i="45"/>
  <c r="AJ57" i="45"/>
  <c r="AJ45" i="45"/>
  <c r="AJ18" i="45"/>
  <c r="AJ66" i="45"/>
  <c r="AJ25" i="45"/>
  <c r="AJ46" i="45"/>
  <c r="AJ16" i="45"/>
  <c r="AJ44" i="45"/>
  <c r="AJ43" i="45"/>
  <c r="AJ28" i="45"/>
  <c r="AJ40" i="45"/>
  <c r="AJ65" i="45"/>
  <c r="AJ64" i="45"/>
  <c r="AJ53" i="45"/>
  <c r="AJ27" i="45"/>
  <c r="AJ22" i="45"/>
  <c r="AJ51" i="45"/>
  <c r="AJ32" i="45"/>
  <c r="AJ33" i="45"/>
  <c r="AJ8" i="45"/>
  <c r="AJ7" i="45"/>
  <c r="AJ17" i="45"/>
  <c r="AJ23" i="45"/>
  <c r="AJ9" i="45"/>
  <c r="AJ48" i="45"/>
  <c r="AJ56" i="45"/>
  <c r="AJ67" i="45"/>
  <c r="AJ4" i="45"/>
  <c r="AJ31" i="45"/>
  <c r="AJ61" i="45"/>
  <c r="AJ35" i="45"/>
  <c r="AJ47" i="45"/>
  <c r="AJ38" i="45"/>
  <c r="AJ37" i="45"/>
  <c r="AJ55" i="45"/>
  <c r="AJ62" i="45"/>
  <c r="AJ34" i="45"/>
  <c r="AJ68" i="45"/>
  <c r="AJ19" i="45"/>
  <c r="AJ29" i="45"/>
  <c r="AJ15" i="45"/>
  <c r="AJ13" i="45"/>
  <c r="AJ50" i="45"/>
  <c r="AJ26" i="45"/>
  <c r="AJ59" i="45"/>
  <c r="AJ14" i="45"/>
  <c r="AJ69" i="45"/>
  <c r="AJ54" i="45"/>
  <c r="AJ30" i="45"/>
  <c r="AJ60" i="45"/>
  <c r="AJ36" i="45"/>
  <c r="AJ49" i="45"/>
  <c r="AJ63" i="45"/>
  <c r="AJ24" i="45"/>
  <c r="AJ12" i="45"/>
  <c r="AJ21" i="45"/>
  <c r="AJ5" i="45"/>
  <c r="AJ6" i="45"/>
  <c r="AJ11" i="45"/>
  <c r="O20" i="45"/>
  <c r="D34" i="45" s="1"/>
  <c r="J3" i="33" s="1"/>
  <c r="N3" i="33" s="1"/>
  <c r="O3" i="33"/>
  <c r="W3" i="43" a="1"/>
  <c r="W5" i="43" s="1"/>
  <c r="W3" i="43" l="1"/>
  <c r="W4" i="43"/>
  <c r="O20" i="43" s="1"/>
  <c r="D34" i="43" s="1"/>
  <c r="J10" i="33" s="1"/>
  <c r="N10" i="33" s="1"/>
  <c r="O19" i="43"/>
  <c r="D33" i="43" s="1"/>
  <c r="J9" i="33" s="1"/>
  <c r="N9" i="33" s="1"/>
  <c r="O10" i="33"/>
  <c r="O9" i="33"/>
  <c r="O18" i="43"/>
  <c r="D32" i="43" s="1"/>
  <c r="J8" i="33" s="1"/>
  <c r="N8" i="33" s="1"/>
  <c r="O8" i="33"/>
  <c r="O21" i="43"/>
  <c r="D35" i="43"/>
  <c r="J11" i="33" s="1"/>
  <c r="N11" i="33" s="1"/>
  <c r="O11" i="33"/>
  <c r="O22" i="43"/>
  <c r="D36" i="43" s="1"/>
  <c r="J12" i="33" s="1"/>
  <c r="N12" i="33" s="1"/>
  <c r="O12" i="33"/>
  <c r="O23" i="43"/>
  <c r="D37" i="43"/>
  <c r="J13" i="33" s="1"/>
  <c r="N13" i="33" s="1"/>
  <c r="O13" i="33"/>
  <c r="O24" i="43"/>
  <c r="D38" i="43"/>
  <c r="J14" i="33" s="1"/>
  <c r="N14" i="33" s="1"/>
  <c r="O14" i="33"/>
  <c r="P8" i="33"/>
  <c r="AJ57" i="43"/>
  <c r="AJ5" i="43"/>
  <c r="AJ15" i="43"/>
  <c r="AJ53" i="43"/>
  <c r="AJ67" i="43"/>
  <c r="AJ46" i="43"/>
  <c r="AJ9" i="43"/>
  <c r="AJ8" i="43"/>
  <c r="AJ22" i="43"/>
  <c r="AJ62" i="43"/>
  <c r="AJ35" i="43"/>
  <c r="AJ36" i="43"/>
  <c r="AJ66" i="43"/>
  <c r="AJ39" i="43"/>
  <c r="AJ18" i="43"/>
  <c r="AJ24" i="43"/>
  <c r="AJ7" i="43"/>
  <c r="AJ29" i="43"/>
  <c r="AJ17" i="43"/>
  <c r="AJ61" i="43"/>
  <c r="AJ21" i="43"/>
  <c r="AJ33" i="43"/>
  <c r="AJ11" i="43"/>
  <c r="AJ58" i="43"/>
  <c r="AJ37" i="43"/>
  <c r="AJ49" i="43"/>
  <c r="AJ34" i="43"/>
  <c r="AJ51" i="43"/>
  <c r="AJ45" i="43"/>
  <c r="AJ31" i="43"/>
  <c r="AJ25" i="43"/>
  <c r="AJ47" i="43"/>
  <c r="AJ50" i="43"/>
  <c r="AJ54" i="43"/>
  <c r="AJ32" i="43"/>
  <c r="AJ10" i="43"/>
  <c r="AJ38" i="43"/>
  <c r="AJ4" i="43"/>
  <c r="AJ41" i="43"/>
  <c r="AJ26" i="43"/>
  <c r="AJ3" i="43"/>
  <c r="AJ60" i="43"/>
  <c r="AJ19" i="43"/>
  <c r="AJ59" i="43"/>
  <c r="AJ30" i="43"/>
  <c r="AJ48" i="43"/>
  <c r="AJ14" i="43"/>
  <c r="AJ27" i="43"/>
  <c r="AJ64" i="43"/>
  <c r="AJ13" i="43"/>
  <c r="AJ20" i="43"/>
  <c r="AJ12" i="43"/>
  <c r="AJ16" i="43"/>
  <c r="AJ42" i="43"/>
  <c r="AJ28" i="43"/>
  <c r="AJ23" i="43"/>
  <c r="AJ40" i="43"/>
  <c r="AJ56" i="43"/>
  <c r="AJ44" i="43"/>
  <c r="AJ6" i="43"/>
  <c r="AJ63" i="43"/>
  <c r="AJ43" i="43"/>
  <c r="AJ55" i="43"/>
  <c r="AJ52" i="43"/>
  <c r="AJ65" i="43"/>
  <c r="W3" i="39" a="1"/>
  <c r="W3" i="39"/>
  <c r="W5" i="39"/>
  <c r="AJ66" i="39" s="1"/>
  <c r="W4" i="39"/>
  <c r="O26" i="39" s="1"/>
  <c r="O18" i="39"/>
  <c r="O20" i="39"/>
  <c r="AJ120" i="39"/>
  <c r="AJ131" i="39"/>
  <c r="AJ106" i="39"/>
  <c r="AJ110" i="39"/>
  <c r="AJ108" i="39"/>
  <c r="AJ95" i="39"/>
  <c r="AJ31" i="39"/>
  <c r="AJ127" i="39"/>
  <c r="AJ48" i="39"/>
  <c r="AJ112" i="39"/>
  <c r="AJ130" i="39"/>
  <c r="AJ26" i="39"/>
  <c r="AJ98" i="39"/>
  <c r="AJ68" i="39"/>
  <c r="AJ119" i="39"/>
  <c r="AJ69" i="39"/>
  <c r="AJ71" i="39"/>
  <c r="AJ132" i="39"/>
  <c r="AJ116" i="39"/>
  <c r="P2" i="33"/>
  <c r="AJ20" i="39" l="1"/>
  <c r="AJ80" i="39"/>
  <c r="AJ103" i="39"/>
  <c r="AJ28" i="39"/>
  <c r="AJ29" i="39"/>
  <c r="AJ77" i="39"/>
  <c r="O25" i="39"/>
  <c r="AJ45" i="39"/>
  <c r="AJ105" i="39"/>
  <c r="AJ87" i="39"/>
  <c r="AJ115" i="39"/>
  <c r="AJ91" i="39"/>
  <c r="AJ33" i="39"/>
  <c r="AJ64" i="39"/>
  <c r="AJ76" i="39"/>
  <c r="AJ4" i="39"/>
  <c r="AJ6" i="39"/>
  <c r="AJ104" i="39"/>
  <c r="AJ53" i="39"/>
  <c r="AJ81" i="39"/>
  <c r="AJ129" i="39"/>
  <c r="AJ84" i="39"/>
  <c r="AJ34" i="39"/>
  <c r="AJ38" i="39"/>
  <c r="AJ67" i="39"/>
  <c r="AJ92" i="39"/>
  <c r="AJ10" i="39"/>
  <c r="AJ43" i="39"/>
  <c r="AJ70" i="39"/>
  <c r="AJ62" i="39"/>
  <c r="AJ73" i="39"/>
  <c r="AJ97" i="39"/>
  <c r="AJ114" i="39"/>
  <c r="AJ25" i="39"/>
  <c r="AJ65" i="39"/>
  <c r="O21" i="39"/>
  <c r="AJ15" i="39"/>
  <c r="AJ8" i="39"/>
  <c r="AJ51" i="39"/>
  <c r="AJ7" i="39"/>
  <c r="O23" i="39"/>
  <c r="AJ128" i="39"/>
  <c r="AJ94" i="39"/>
  <c r="AJ13" i="39"/>
  <c r="AJ12" i="39"/>
  <c r="AJ123" i="39"/>
  <c r="AJ61" i="39"/>
  <c r="AJ58" i="39"/>
  <c r="AJ37" i="39"/>
  <c r="AJ40" i="39"/>
  <c r="AJ99" i="39"/>
  <c r="AJ113" i="39"/>
  <c r="AJ24" i="39"/>
  <c r="AJ59" i="39"/>
  <c r="AJ3" i="39"/>
  <c r="AJ18" i="39"/>
  <c r="AJ17" i="39"/>
  <c r="AJ96" i="39"/>
  <c r="AJ82" i="39"/>
  <c r="AJ9" i="39"/>
  <c r="AJ86" i="39"/>
  <c r="AJ101" i="39"/>
  <c r="AJ60" i="39"/>
  <c r="AJ78" i="39"/>
  <c r="AJ109" i="39"/>
  <c r="O27" i="39"/>
  <c r="AJ75" i="39"/>
  <c r="AJ54" i="39"/>
  <c r="AJ100" i="39"/>
  <c r="AJ16" i="39"/>
  <c r="AJ47" i="39"/>
  <c r="AJ74" i="39"/>
  <c r="AJ42" i="39"/>
  <c r="AJ57" i="39"/>
  <c r="AJ11" i="39"/>
  <c r="AJ63" i="39"/>
  <c r="AJ102" i="39"/>
  <c r="AJ5" i="39"/>
  <c r="O19" i="39"/>
  <c r="AJ83" i="39"/>
  <c r="O22" i="39"/>
  <c r="AJ27" i="39"/>
  <c r="AJ52" i="39"/>
  <c r="AJ89" i="39"/>
  <c r="AJ122" i="39"/>
  <c r="AJ88" i="39"/>
  <c r="AJ36" i="39"/>
  <c r="AJ30" i="39"/>
  <c r="AJ126" i="39"/>
  <c r="AJ125" i="39"/>
  <c r="AJ22" i="39"/>
  <c r="AJ79" i="39"/>
  <c r="AJ44" i="39"/>
  <c r="AJ90" i="39"/>
  <c r="AJ21" i="39"/>
  <c r="AJ117" i="39"/>
  <c r="AJ118" i="39"/>
  <c r="O24" i="39"/>
  <c r="AJ85" i="39"/>
  <c r="AJ23" i="39"/>
  <c r="AJ46" i="39"/>
  <c r="AJ72" i="39"/>
  <c r="AJ124" i="39"/>
  <c r="AJ49" i="39"/>
  <c r="AJ39" i="39"/>
  <c r="AJ50" i="39"/>
  <c r="AJ111" i="39"/>
  <c r="AJ93" i="39"/>
  <c r="AJ35" i="39"/>
  <c r="AJ55" i="39"/>
  <c r="AJ107" i="39"/>
  <c r="AJ121" i="39"/>
  <c r="AJ32" i="39"/>
  <c r="AJ19" i="39"/>
  <c r="AJ14" i="39"/>
  <c r="AJ56" i="39"/>
  <c r="AJ41" i="39"/>
</calcChain>
</file>

<file path=xl/sharedStrings.xml><?xml version="1.0" encoding="utf-8"?>
<sst xmlns="http://schemas.openxmlformats.org/spreadsheetml/2006/main" count="549" uniqueCount="170">
  <si>
    <t>General Settings</t>
  </si>
  <si>
    <t>Currency</t>
  </si>
  <si>
    <t>Calendar</t>
  </si>
  <si>
    <t>ADDITIONAL SETTINGS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</si>
  <si>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</si>
  <si>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</si>
  <si>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</si>
  <si>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</si>
  <si>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</si>
  <si>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</si>
  <si>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</si>
  <si>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</si>
  <si>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</si>
  <si>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</si>
  <si>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</si>
  <si>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</si>
  <si>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</si>
  <si>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</si>
  <si>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</si>
  <si>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</si>
  <si>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</si>
  <si>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</si>
  <si>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</si>
  <si>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</si>
  <si>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</si>
  <si>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1Y</t>
  </si>
  <si>
    <t>TriggerCounter</t>
  </si>
  <si>
    <t>OIS</t>
  </si>
  <si>
    <t>α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</si>
  <si>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</si>
  <si>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</si>
  <si>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</si>
  <si>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</si>
  <si>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</si>
  <si>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</si>
  <si>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</si>
  <si>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</si>
  <si>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</si>
  <si>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</si>
  <si>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</si>
  <si>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</si>
  <si>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</si>
  <si>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</si>
  <si>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</si>
  <si>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</si>
  <si>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</si>
  <si>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</si>
  <si>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</si>
  <si>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</si>
  <si>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</si>
  <si>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</si>
  <si>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</si>
  <si>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</si>
  <si>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</si>
  <si>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</si>
  <si>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</si>
  <si>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</si>
  <si>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Quote Value</t>
  </si>
  <si>
    <t>3Y</t>
  </si>
  <si>
    <t>Value Date</t>
  </si>
  <si>
    <t>Maturity Date</t>
  </si>
  <si>
    <t>FRA</t>
  </si>
  <si>
    <t>Depo Settings</t>
  </si>
  <si>
    <t>MonotonicCubicNaturalSpline</t>
  </si>
  <si>
    <t>Triggers</t>
  </si>
  <si>
    <t>Linear</t>
  </si>
  <si>
    <t>Quadratic</t>
  </si>
  <si>
    <t>Instruments</t>
  </si>
  <si>
    <t>quadratic</t>
  </si>
  <si>
    <t>linear</t>
  </si>
  <si>
    <t>flat</t>
  </si>
  <si>
    <t>OIS day counter</t>
  </si>
  <si>
    <t>ON-Curve Day counter</t>
  </si>
  <si>
    <t>Actual/365 (Fixed)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</si>
  <si>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</si>
  <si>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</si>
  <si>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</si>
  <si>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</si>
  <si>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</si>
  <si>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</si>
  <si>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</si>
  <si>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</si>
  <si>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</si>
  <si>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</si>
  <si>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6M Instruments</t>
  </si>
  <si>
    <t>3M Curve</t>
  </si>
  <si>
    <t>OIS 3M Curve</t>
  </si>
  <si>
    <t>diff</t>
  </si>
  <si>
    <t>3M Market quote</t>
  </si>
  <si>
    <t xml:space="preserve">OIS 3M </t>
  </si>
  <si>
    <t xml:space="preserve">   </t>
  </si>
  <si>
    <t>6M market day counter</t>
  </si>
  <si>
    <t>interp. basis</t>
  </si>
  <si>
    <t>Index</t>
  </si>
  <si>
    <t>Interpolated 6M basis</t>
  </si>
  <si>
    <t>OIS constructor</t>
  </si>
  <si>
    <t>Interpolator</t>
  </si>
  <si>
    <t>selected</t>
  </si>
  <si>
    <t>Basis Interpolation</t>
  </si>
  <si>
    <t>OIS Constructor</t>
  </si>
  <si>
    <t>Synthetic Deposits 6M</t>
  </si>
  <si>
    <t>Instruments Selection</t>
  </si>
  <si>
    <t>Contributions</t>
  </si>
  <si>
    <t>INTERP+FUT</t>
  </si>
  <si>
    <t>Synthetic Deposits 3M</t>
  </si>
  <si>
    <t>Interpolated 3M basis</t>
  </si>
  <si>
    <t>AUD</t>
  </si>
  <si>
    <t>Australia</t>
  </si>
  <si>
    <t>Aonia</t>
  </si>
  <si>
    <t>BBSW</t>
  </si>
  <si>
    <t>3M market day counter</t>
  </si>
  <si>
    <t xml:space="preserve"> </t>
  </si>
  <si>
    <t>Fwd start</t>
  </si>
  <si>
    <t>Spread</t>
  </si>
  <si>
    <t>Swap index</t>
  </si>
  <si>
    <t>QM</t>
  </si>
  <si>
    <t>3AB</t>
  </si>
  <si>
    <t>3BR</t>
  </si>
  <si>
    <t>6BR</t>
  </si>
  <si>
    <t>2Y</t>
  </si>
  <si>
    <t>Interpolated 1M basis</t>
  </si>
  <si>
    <t>0D</t>
  </si>
  <si>
    <t>1BR</t>
  </si>
  <si>
    <t>9M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</si>
  <si>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</si>
  <si>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</si>
  <si>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</si>
  <si>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</si>
  <si>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</si>
  <si>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</si>
  <si>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</si>
  <si>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</si>
  <si>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</si>
  <si>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</si>
  <si>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</si>
  <si>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</si>
  <si>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</si>
  <si>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</si>
  <si>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</si>
  <si>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</si>
  <si>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</si>
  <si>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</si>
  <si>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</si>
  <si>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</si>
  <si>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</si>
  <si>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</si>
  <si>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</si>
  <si>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</si>
  <si>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</si>
  <si>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</si>
  <si>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</si>
  <si>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7M</t>
  </si>
  <si>
    <t>8M</t>
  </si>
  <si>
    <t>Fixing Dates</t>
  </si>
  <si>
    <t>Accrual Start Date</t>
  </si>
  <si>
    <t>Accrual End Date</t>
  </si>
  <si>
    <t>10M</t>
  </si>
  <si>
    <t>11M</t>
  </si>
  <si>
    <t>12M</t>
  </si>
  <si>
    <t>fix days</t>
  </si>
  <si>
    <t>index</t>
  </si>
  <si>
    <t>AUDBBSW3M</t>
  </si>
  <si>
    <t>day count fix</t>
  </si>
  <si>
    <t>day count float</t>
  </si>
  <si>
    <t>spread</t>
  </si>
  <si>
    <t>r fix 3M</t>
  </si>
  <si>
    <t>r fix 1M</t>
  </si>
  <si>
    <t>Start date</t>
  </si>
  <si>
    <t>End date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</si>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</sst>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[$-409]d\-mmm\-yy;@"/>
    <numFmt numFmtId="176" formatCode="0.0000E+00"/>
    <numFmt numFmtId="177" formatCode="0.000000000"/>
  </numFmts>
  <fonts count="27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b/>
      <sz val="12"/>
      <name val="MS Sans Serif"/>
      <family val="2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theme="0"/>
      <name val="Arial"/>
      <family val="2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0" fontId="1" fillId="0" borderId="0"/>
  </cellStyleXfs>
  <cellXfs count="339">
    <xf numFmtId="0" fontId="0" fillId="0" borderId="0" xfId="0"/>
    <xf numFmtId="0" fontId="11" fillId="3" borderId="0" xfId="15" applyFont="1" applyFill="1"/>
    <xf numFmtId="0" fontId="11" fillId="5" borderId="4" xfId="15" applyFont="1" applyFill="1" applyBorder="1"/>
    <xf numFmtId="0" fontId="11" fillId="5" borderId="0" xfId="15" applyFont="1" applyFill="1" applyBorder="1"/>
    <xf numFmtId="0" fontId="11" fillId="5" borderId="5" xfId="15" applyFont="1" applyFill="1" applyBorder="1"/>
    <xf numFmtId="0" fontId="11" fillId="6" borderId="6" xfId="15" applyFont="1" applyFill="1" applyBorder="1" applyAlignment="1">
      <alignment horizontal="right"/>
    </xf>
    <xf numFmtId="0" fontId="11" fillId="5" borderId="6" xfId="15" applyFont="1" applyFill="1" applyBorder="1" applyAlignment="1">
      <alignment horizontal="center"/>
    </xf>
    <xf numFmtId="168" fontId="11" fillId="5" borderId="6" xfId="15" applyNumberFormat="1" applyFont="1" applyFill="1" applyBorder="1" applyAlignment="1">
      <alignment horizontal="center"/>
    </xf>
    <xf numFmtId="0" fontId="11" fillId="3" borderId="0" xfId="16" applyFont="1" applyFill="1"/>
    <xf numFmtId="0" fontId="15" fillId="5" borderId="4" xfId="14" applyFont="1" applyFill="1" applyBorder="1"/>
    <xf numFmtId="0" fontId="15" fillId="5" borderId="0" xfId="14" applyFont="1" applyFill="1" applyBorder="1"/>
    <xf numFmtId="0" fontId="15" fillId="5" borderId="5" xfId="14" applyFont="1" applyFill="1" applyBorder="1"/>
    <xf numFmtId="169" fontId="11" fillId="5" borderId="6" xfId="17" applyNumberFormat="1" applyFont="1" applyFill="1" applyBorder="1" applyAlignment="1">
      <alignment horizontal="center"/>
    </xf>
    <xf numFmtId="0" fontId="15" fillId="6" borderId="6" xfId="14" applyNumberFormat="1" applyFont="1" applyFill="1" applyBorder="1"/>
    <xf numFmtId="170" fontId="15" fillId="7" borderId="7" xfId="14" applyNumberFormat="1" applyFont="1" applyFill="1" applyBorder="1" applyAlignment="1" applyProtection="1">
      <alignment horizontal="center"/>
    </xf>
    <xf numFmtId="15" fontId="15" fillId="5" borderId="5" xfId="14" applyNumberFormat="1" applyFont="1" applyFill="1" applyBorder="1"/>
    <xf numFmtId="171" fontId="11" fillId="5" borderId="7" xfId="17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/>
    </xf>
    <xf numFmtId="170" fontId="15" fillId="7" borderId="7" xfId="14" quotePrefix="1" applyNumberFormat="1" applyFont="1" applyFill="1" applyBorder="1" applyAlignment="1" applyProtection="1">
      <alignment horizontal="left"/>
    </xf>
    <xf numFmtId="170" fontId="15" fillId="7" borderId="7" xfId="14" quotePrefix="1" applyNumberFormat="1" applyFont="1" applyFill="1" applyBorder="1" applyAlignment="1" applyProtection="1">
      <alignment horizontal="center"/>
    </xf>
    <xf numFmtId="172" fontId="15" fillId="7" borderId="7" xfId="14" quotePrefix="1" applyNumberFormat="1" applyFont="1" applyFill="1" applyBorder="1" applyAlignment="1" applyProtection="1">
      <alignment horizontal="center"/>
    </xf>
    <xf numFmtId="0" fontId="11" fillId="5" borderId="0" xfId="15" applyFont="1" applyFill="1" applyBorder="1" applyAlignment="1">
      <alignment horizontal="center"/>
    </xf>
    <xf numFmtId="173" fontId="15" fillId="7" borderId="7" xfId="14" quotePrefix="1" applyNumberFormat="1" applyFont="1" applyFill="1" applyBorder="1" applyAlignment="1" applyProtection="1">
      <alignment horizontal="center"/>
    </xf>
    <xf numFmtId="0" fontId="15" fillId="5" borderId="10" xfId="14" applyFont="1" applyFill="1" applyBorder="1"/>
    <xf numFmtId="0" fontId="15" fillId="5" borderId="11" xfId="14" applyFont="1" applyFill="1" applyBorder="1"/>
    <xf numFmtId="0" fontId="15" fillId="5" borderId="12" xfId="14" applyFont="1" applyFill="1" applyBorder="1"/>
    <xf numFmtId="0" fontId="11" fillId="5" borderId="10" xfId="15" applyFont="1" applyFill="1" applyBorder="1"/>
    <xf numFmtId="0" fontId="11" fillId="5" borderId="11" xfId="15" applyFont="1" applyFill="1" applyBorder="1"/>
    <xf numFmtId="0" fontId="11" fillId="5" borderId="12" xfId="15" applyFont="1" applyFill="1" applyBorder="1"/>
    <xf numFmtId="0" fontId="11" fillId="3" borderId="0" xfId="15" applyFont="1" applyFill="1" applyBorder="1"/>
    <xf numFmtId="0" fontId="11" fillId="5" borderId="0" xfId="0" applyFont="1" applyFill="1" applyBorder="1"/>
    <xf numFmtId="0" fontId="11" fillId="5" borderId="18" xfId="14" applyFont="1" applyFill="1" applyBorder="1"/>
    <xf numFmtId="0" fontId="11" fillId="5" borderId="19" xfId="14" applyFont="1" applyFill="1" applyBorder="1"/>
    <xf numFmtId="0" fontId="11" fillId="5" borderId="20" xfId="14" applyFont="1" applyFill="1" applyBorder="1"/>
    <xf numFmtId="0" fontId="11" fillId="0" borderId="0" xfId="14" applyFont="1"/>
    <xf numFmtId="0" fontId="11" fillId="5" borderId="18" xfId="19" applyFont="1" applyFill="1" applyBorder="1" applyAlignment="1">
      <alignment horizontal="center"/>
    </xf>
    <xf numFmtId="0" fontId="11" fillId="5" borderId="19" xfId="19" applyFont="1" applyFill="1" applyBorder="1"/>
    <xf numFmtId="0" fontId="11" fillId="5" borderId="19" xfId="19" applyFont="1" applyFill="1" applyBorder="1" applyAlignment="1">
      <alignment horizontal="center"/>
    </xf>
    <xf numFmtId="0" fontId="11" fillId="5" borderId="20" xfId="18" applyFont="1" applyFill="1" applyBorder="1"/>
    <xf numFmtId="0" fontId="12" fillId="0" borderId="0" xfId="14" applyFont="1"/>
    <xf numFmtId="0" fontId="11" fillId="5" borderId="5" xfId="14" applyFont="1" applyFill="1" applyBorder="1" applyAlignment="1">
      <alignment horizontal="center"/>
    </xf>
    <xf numFmtId="0" fontId="11" fillId="5" borderId="4" xfId="19" applyFont="1" applyFill="1" applyBorder="1" applyAlignment="1">
      <alignment horizontal="center"/>
    </xf>
    <xf numFmtId="0" fontId="11" fillId="5" borderId="0" xfId="19" applyFont="1" applyFill="1" applyBorder="1" applyAlignment="1">
      <alignment horizontal="center"/>
    </xf>
    <xf numFmtId="0" fontId="11" fillId="5" borderId="5" xfId="18" applyFont="1" applyFill="1" applyBorder="1"/>
    <xf numFmtId="0" fontId="11" fillId="5" borderId="0" xfId="19" quotePrefix="1" applyFont="1" applyFill="1" applyBorder="1" applyAlignment="1">
      <alignment horizontal="center"/>
    </xf>
    <xf numFmtId="0" fontId="11" fillId="5" borderId="8" xfId="14" applyNumberFormat="1" applyFont="1" applyFill="1" applyBorder="1" applyAlignment="1"/>
    <xf numFmtId="0" fontId="12" fillId="5" borderId="4" xfId="14" applyFont="1" applyFill="1" applyBorder="1" applyAlignment="1">
      <alignment horizontal="center"/>
    </xf>
    <xf numFmtId="0" fontId="12" fillId="5" borderId="5" xfId="14" applyFont="1" applyFill="1" applyBorder="1" applyAlignment="1">
      <alignment horizontal="center"/>
    </xf>
    <xf numFmtId="0" fontId="11" fillId="5" borderId="4" xfId="0" applyFont="1" applyFill="1" applyBorder="1"/>
    <xf numFmtId="0" fontId="11" fillId="5" borderId="0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0" xfId="0" quotePrefix="1" applyFont="1" applyFill="1" applyBorder="1" applyAlignment="1">
      <alignment horizontal="center"/>
    </xf>
    <xf numFmtId="0" fontId="11" fillId="5" borderId="5" xfId="0" applyFont="1" applyFill="1" applyBorder="1"/>
    <xf numFmtId="0" fontId="11" fillId="5" borderId="10" xfId="0" applyFont="1" applyFill="1" applyBorder="1"/>
    <xf numFmtId="0" fontId="11" fillId="5" borderId="11" xfId="0" applyFont="1" applyFill="1" applyBorder="1"/>
    <xf numFmtId="0" fontId="11" fillId="5" borderId="12" xfId="0" applyFont="1" applyFill="1" applyBorder="1"/>
    <xf numFmtId="0" fontId="12" fillId="5" borderId="10" xfId="14" applyFont="1" applyFill="1" applyBorder="1" applyAlignment="1">
      <alignment horizontal="center"/>
    </xf>
    <xf numFmtId="0" fontId="5" fillId="5" borderId="12" xfId="14" applyFont="1" applyFill="1" applyBorder="1"/>
    <xf numFmtId="0" fontId="11" fillId="8" borderId="4" xfId="15" applyFont="1" applyFill="1" applyBorder="1"/>
    <xf numFmtId="0" fontId="11" fillId="8" borderId="0" xfId="15" applyFont="1" applyFill="1" applyBorder="1" applyAlignment="1">
      <alignment horizontal="right"/>
    </xf>
    <xf numFmtId="171" fontId="11" fillId="8" borderId="0" xfId="17" applyNumberFormat="1" applyFont="1" applyFill="1" applyBorder="1" applyAlignment="1">
      <alignment horizontal="center"/>
    </xf>
    <xf numFmtId="0" fontId="11" fillId="8" borderId="0" xfId="15" applyFont="1" applyFill="1" applyBorder="1"/>
    <xf numFmtId="0" fontId="11" fillId="8" borderId="5" xfId="15" applyFont="1" applyFill="1" applyBorder="1"/>
    <xf numFmtId="169" fontId="12" fillId="5" borderId="7" xfId="17" applyNumberFormat="1" applyFont="1" applyFill="1" applyBorder="1" applyAlignment="1">
      <alignment horizontal="center" vertical="center"/>
    </xf>
    <xf numFmtId="0" fontId="11" fillId="6" borderId="6" xfId="15" applyFont="1" applyFill="1" applyBorder="1" applyAlignment="1">
      <alignment horizontal="right" vertical="center"/>
    </xf>
    <xf numFmtId="0" fontId="20" fillId="5" borderId="11" xfId="14" applyFont="1" applyFill="1" applyBorder="1" applyAlignment="1"/>
    <xf numFmtId="0" fontId="12" fillId="5" borderId="11" xfId="14" applyNumberFormat="1" applyFont="1" applyFill="1" applyBorder="1" applyAlignment="1"/>
    <xf numFmtId="0" fontId="16" fillId="5" borderId="0" xfId="15" applyFont="1" applyFill="1" applyBorder="1" applyAlignment="1">
      <alignment horizontal="right" vertical="center"/>
    </xf>
    <xf numFmtId="0" fontId="17" fillId="5" borderId="0" xfId="15" applyFont="1" applyFill="1" applyBorder="1" applyAlignment="1">
      <alignment horizontal="right" vertical="center"/>
    </xf>
    <xf numFmtId="174" fontId="17" fillId="5" borderId="0" xfId="15" applyNumberFormat="1" applyFont="1" applyFill="1" applyBorder="1" applyAlignment="1">
      <alignment horizontal="right" vertical="center"/>
    </xf>
    <xf numFmtId="0" fontId="11" fillId="7" borderId="24" xfId="14" applyNumberFormat="1" applyFont="1" applyFill="1" applyBorder="1" applyAlignment="1" applyProtection="1"/>
    <xf numFmtId="0" fontId="11" fillId="5" borderId="26" xfId="14" applyNumberFormat="1" applyFont="1" applyFill="1" applyBorder="1" applyAlignment="1"/>
    <xf numFmtId="172" fontId="18" fillId="0" borderId="23" xfId="20" applyNumberFormat="1" applyFont="1" applyFill="1" applyBorder="1" applyAlignment="1">
      <alignment horizontal="center" vertical="center" wrapText="1"/>
    </xf>
    <xf numFmtId="173" fontId="18" fillId="0" borderId="24" xfId="20" applyNumberFormat="1" applyFont="1" applyFill="1" applyBorder="1" applyAlignment="1">
      <alignment horizontal="center" vertical="center" wrapText="1"/>
    </xf>
    <xf numFmtId="0" fontId="11" fillId="0" borderId="4" xfId="20" applyNumberFormat="1" applyFont="1" applyFill="1" applyBorder="1" applyAlignment="1">
      <alignment vertical="center"/>
    </xf>
    <xf numFmtId="172" fontId="11" fillId="0" borderId="5" xfId="20" quotePrefix="1" applyNumberFormat="1" applyFont="1" applyFill="1" applyBorder="1" applyAlignment="1"/>
    <xf numFmtId="0" fontId="11" fillId="0" borderId="28" xfId="20" applyNumberFormat="1" applyFont="1" applyFill="1" applyBorder="1" applyAlignment="1">
      <alignment vertical="center"/>
    </xf>
    <xf numFmtId="172" fontId="11" fillId="0" borderId="29" xfId="20" quotePrefix="1" applyNumberFormat="1" applyFont="1" applyFill="1" applyBorder="1" applyAlignment="1"/>
    <xf numFmtId="0" fontId="11" fillId="0" borderId="10" xfId="20" applyNumberFormat="1" applyFont="1" applyFill="1" applyBorder="1" applyAlignment="1">
      <alignment vertical="center"/>
    </xf>
    <xf numFmtId="172" fontId="11" fillId="0" borderId="12" xfId="20" quotePrefix="1" applyNumberFormat="1" applyFont="1" applyFill="1" applyBorder="1" applyAlignment="1"/>
    <xf numFmtId="172" fontId="18" fillId="0" borderId="21" xfId="20" applyNumberFormat="1" applyFont="1" applyFill="1" applyBorder="1" applyAlignment="1">
      <alignment horizontal="center" vertical="center" wrapText="1"/>
    </xf>
    <xf numFmtId="172" fontId="11" fillId="0" borderId="30" xfId="20" applyNumberFormat="1" applyFont="1" applyBorder="1" applyAlignment="1"/>
    <xf numFmtId="172" fontId="11" fillId="0" borderId="31" xfId="20" applyNumberFormat="1" applyFont="1" applyBorder="1" applyAlignment="1"/>
    <xf numFmtId="172" fontId="11" fillId="0" borderId="32" xfId="20" applyNumberFormat="1" applyFont="1" applyBorder="1" applyAlignment="1"/>
    <xf numFmtId="172" fontId="18" fillId="0" borderId="24" xfId="20" applyNumberFormat="1" applyFont="1" applyFill="1" applyBorder="1" applyAlignment="1">
      <alignment horizontal="center" vertical="center" wrapText="1"/>
    </xf>
    <xf numFmtId="172" fontId="11" fillId="0" borderId="4" xfId="20" applyNumberFormat="1" applyFont="1" applyFill="1" applyBorder="1" applyAlignment="1"/>
    <xf numFmtId="172" fontId="11" fillId="0" borderId="5" xfId="20" applyNumberFormat="1" applyFont="1" applyFill="1" applyBorder="1" applyAlignment="1"/>
    <xf numFmtId="172" fontId="11" fillId="0" borderId="28" xfId="20" applyNumberFormat="1" applyFont="1" applyFill="1" applyBorder="1" applyAlignment="1"/>
    <xf numFmtId="172" fontId="11" fillId="0" borderId="29" xfId="20" applyNumberFormat="1" applyFont="1" applyFill="1" applyBorder="1" applyAlignment="1"/>
    <xf numFmtId="172" fontId="11" fillId="0" borderId="10" xfId="20" applyNumberFormat="1" applyFont="1" applyFill="1" applyBorder="1" applyAlignment="1"/>
    <xf numFmtId="172" fontId="11" fillId="0" borderId="12" xfId="20" applyNumberFormat="1" applyFont="1" applyFill="1" applyBorder="1" applyAlignment="1"/>
    <xf numFmtId="0" fontId="11" fillId="0" borderId="4" xfId="20" applyNumberFormat="1" applyFont="1" applyFill="1" applyBorder="1" applyAlignment="1"/>
    <xf numFmtId="0" fontId="11" fillId="0" borderId="28" xfId="20" applyNumberFormat="1" applyFont="1" applyFill="1" applyBorder="1" applyAlignment="1"/>
    <xf numFmtId="0" fontId="11" fillId="0" borderId="10" xfId="20" applyNumberFormat="1" applyFont="1" applyFill="1" applyBorder="1" applyAlignment="1"/>
    <xf numFmtId="0" fontId="11" fillId="5" borderId="30" xfId="19" applyFont="1" applyFill="1" applyBorder="1" applyAlignment="1">
      <alignment horizontal="center"/>
    </xf>
    <xf numFmtId="0" fontId="11" fillId="5" borderId="30" xfId="19" quotePrefix="1" applyFont="1" applyFill="1" applyBorder="1" applyAlignment="1">
      <alignment horizontal="center"/>
    </xf>
    <xf numFmtId="0" fontId="11" fillId="0" borderId="18" xfId="20" applyNumberFormat="1" applyFont="1" applyFill="1" applyBorder="1" applyAlignment="1"/>
    <xf numFmtId="172" fontId="11" fillId="0" borderId="20" xfId="20" quotePrefix="1" applyNumberFormat="1" applyFont="1" applyFill="1" applyBorder="1" applyAlignment="1"/>
    <xf numFmtId="172" fontId="11" fillId="0" borderId="33" xfId="20" applyNumberFormat="1" applyFont="1" applyBorder="1" applyAlignment="1"/>
    <xf numFmtId="172" fontId="11" fillId="0" borderId="18" xfId="20" applyNumberFormat="1" applyFont="1" applyFill="1" applyBorder="1" applyAlignment="1"/>
    <xf numFmtId="172" fontId="11" fillId="0" borderId="20" xfId="20" applyNumberFormat="1" applyFont="1" applyFill="1" applyBorder="1" applyAlignment="1"/>
    <xf numFmtId="0" fontId="11" fillId="8" borderId="36" xfId="14" applyFont="1" applyFill="1" applyBorder="1"/>
    <xf numFmtId="0" fontId="11" fillId="8" borderId="37" xfId="14" applyFont="1" applyFill="1" applyBorder="1"/>
    <xf numFmtId="0" fontId="11" fillId="5" borderId="38" xfId="14" applyFont="1" applyFill="1" applyBorder="1" applyAlignment="1">
      <alignment horizontal="left"/>
    </xf>
    <xf numFmtId="0" fontId="11" fillId="5" borderId="16" xfId="14" applyFont="1" applyFill="1" applyBorder="1" applyAlignment="1">
      <alignment horizontal="left"/>
    </xf>
    <xf numFmtId="175" fontId="11" fillId="7" borderId="35" xfId="14" applyNumberFormat="1" applyFont="1" applyFill="1" applyBorder="1" applyAlignment="1" applyProtection="1">
      <alignment horizontal="left"/>
    </xf>
    <xf numFmtId="175" fontId="11" fillId="7" borderId="5" xfId="14" applyNumberFormat="1" applyFont="1" applyFill="1" applyBorder="1" applyAlignment="1" applyProtection="1">
      <alignment horizontal="left"/>
    </xf>
    <xf numFmtId="175" fontId="15" fillId="7" borderId="5" xfId="14" applyNumberFormat="1" applyFont="1" applyFill="1" applyBorder="1" applyAlignment="1" applyProtection="1">
      <alignment horizontal="left"/>
    </xf>
    <xf numFmtId="175" fontId="15" fillId="7" borderId="12" xfId="14" applyNumberFormat="1" applyFont="1" applyFill="1" applyBorder="1" applyAlignment="1" applyProtection="1">
      <alignment horizontal="left"/>
    </xf>
    <xf numFmtId="0" fontId="18" fillId="5" borderId="18" xfId="14" applyFont="1" applyFill="1" applyBorder="1" applyAlignment="1"/>
    <xf numFmtId="0" fontId="11" fillId="5" borderId="22" xfId="14" applyNumberFormat="1" applyFont="1" applyFill="1" applyBorder="1" applyAlignment="1"/>
    <xf numFmtId="0" fontId="11" fillId="5" borderId="20" xfId="14" applyNumberFormat="1" applyFont="1" applyFill="1" applyBorder="1" applyAlignment="1"/>
    <xf numFmtId="0" fontId="18" fillId="5" borderId="4" xfId="14" applyFont="1" applyFill="1" applyBorder="1" applyAlignment="1"/>
    <xf numFmtId="0" fontId="11" fillId="5" borderId="5" xfId="14" applyNumberFormat="1" applyFont="1" applyFill="1" applyBorder="1" applyAlignment="1"/>
    <xf numFmtId="0" fontId="11" fillId="5" borderId="25" xfId="14" applyNumberFormat="1" applyFont="1" applyFill="1" applyBorder="1" applyAlignment="1"/>
    <xf numFmtId="0" fontId="18" fillId="5" borderId="10" xfId="14" applyFont="1" applyFill="1" applyBorder="1" applyAlignment="1"/>
    <xf numFmtId="0" fontId="11" fillId="5" borderId="27" xfId="14" applyNumberFormat="1" applyFont="1" applyFill="1" applyBorder="1" applyAlignment="1"/>
    <xf numFmtId="175" fontId="11" fillId="7" borderId="12" xfId="14" applyNumberFormat="1" applyFont="1" applyFill="1" applyBorder="1" applyAlignment="1" applyProtection="1">
      <alignment horizontal="left"/>
    </xf>
    <xf numFmtId="0" fontId="19" fillId="5" borderId="22" xfId="14" applyFont="1" applyFill="1" applyBorder="1" applyAlignment="1">
      <alignment horizontal="left"/>
    </xf>
    <xf numFmtId="0" fontId="11" fillId="7" borderId="22" xfId="14" applyNumberFormat="1" applyFont="1" applyFill="1" applyBorder="1" applyAlignment="1" applyProtection="1">
      <alignment horizontal="center"/>
    </xf>
    <xf numFmtId="0" fontId="18" fillId="5" borderId="39" xfId="14" applyFont="1" applyFill="1" applyBorder="1" applyAlignment="1"/>
    <xf numFmtId="0" fontId="11" fillId="5" borderId="21" xfId="14" applyFont="1" applyFill="1" applyBorder="1" applyAlignment="1">
      <alignment horizontal="left"/>
    </xf>
    <xf numFmtId="0" fontId="11" fillId="5" borderId="40" xfId="14" applyFont="1" applyFill="1" applyBorder="1" applyAlignment="1">
      <alignment horizontal="left"/>
    </xf>
    <xf numFmtId="0" fontId="11" fillId="5" borderId="30" xfId="14" applyFont="1" applyFill="1" applyBorder="1" applyAlignment="1">
      <alignment horizontal="center"/>
    </xf>
    <xf numFmtId="0" fontId="11" fillId="5" borderId="32" xfId="14" applyFont="1" applyFill="1" applyBorder="1" applyAlignment="1">
      <alignment horizontal="center"/>
    </xf>
    <xf numFmtId="0" fontId="18" fillId="5" borderId="41" xfId="14" applyFont="1" applyFill="1" applyBorder="1" applyAlignment="1"/>
    <xf numFmtId="0" fontId="18" fillId="5" borderId="34" xfId="14" applyFont="1" applyFill="1" applyBorder="1" applyAlignment="1"/>
    <xf numFmtId="0" fontId="11" fillId="5" borderId="12" xfId="14" applyNumberFormat="1" applyFont="1" applyFill="1" applyBorder="1" applyAlignment="1"/>
    <xf numFmtId="0" fontId="12" fillId="0" borderId="30" xfId="14" applyFont="1" applyBorder="1"/>
    <xf numFmtId="0" fontId="12" fillId="5" borderId="30" xfId="14" applyFont="1" applyFill="1" applyBorder="1" applyAlignment="1">
      <alignment horizontal="center"/>
    </xf>
    <xf numFmtId="0" fontId="11" fillId="0" borderId="30" xfId="19" applyFont="1" applyFill="1" applyBorder="1" applyAlignment="1">
      <alignment horizontal="center"/>
    </xf>
    <xf numFmtId="0" fontId="11" fillId="5" borderId="5" xfId="18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7" fillId="5" borderId="0" xfId="15" quotePrefix="1" applyFont="1" applyFill="1" applyBorder="1" applyAlignment="1">
      <alignment horizontal="center" vertical="center"/>
    </xf>
    <xf numFmtId="169" fontId="12" fillId="5" borderId="0" xfId="17" applyNumberFormat="1" applyFont="1" applyFill="1" applyBorder="1" applyAlignment="1">
      <alignment horizontal="center" vertical="center"/>
    </xf>
    <xf numFmtId="0" fontId="13" fillId="4" borderId="1" xfId="16" applyFont="1" applyFill="1" applyBorder="1" applyAlignment="1">
      <alignment horizontal="centerContinuous" vertical="center"/>
    </xf>
    <xf numFmtId="0" fontId="13" fillId="4" borderId="42" xfId="16" applyFont="1" applyFill="1" applyBorder="1" applyAlignment="1">
      <alignment horizontal="centerContinuous" vertical="center"/>
    </xf>
    <xf numFmtId="171" fontId="11" fillId="5" borderId="6" xfId="15" applyNumberFormat="1" applyFont="1" applyFill="1" applyBorder="1" applyAlignment="1">
      <alignment horizontal="center"/>
    </xf>
    <xf numFmtId="1" fontId="11" fillId="5" borderId="6" xfId="17" applyNumberFormat="1" applyFont="1" applyFill="1" applyBorder="1" applyAlignment="1">
      <alignment horizontal="center"/>
    </xf>
    <xf numFmtId="1" fontId="11" fillId="5" borderId="7" xfId="17" applyNumberFormat="1" applyFont="1" applyFill="1" applyBorder="1" applyAlignment="1">
      <alignment horizontal="center"/>
    </xf>
    <xf numFmtId="0" fontId="11" fillId="5" borderId="11" xfId="15" applyFont="1" applyFill="1" applyBorder="1" applyAlignment="1">
      <alignment horizontal="center"/>
    </xf>
    <xf numFmtId="0" fontId="16" fillId="5" borderId="11" xfId="15" applyFont="1" applyFill="1" applyBorder="1" applyAlignment="1">
      <alignment horizontal="right" vertical="center"/>
    </xf>
    <xf numFmtId="0" fontId="17" fillId="5" borderId="11" xfId="15" applyFont="1" applyFill="1" applyBorder="1" applyAlignment="1">
      <alignment horizontal="right" vertical="center"/>
    </xf>
    <xf numFmtId="0" fontId="14" fillId="4" borderId="1" xfId="14" applyFont="1" applyFill="1" applyBorder="1" applyAlignment="1">
      <alignment horizontal="centerContinuous"/>
    </xf>
    <xf numFmtId="0" fontId="14" fillId="4" borderId="2" xfId="14" applyFont="1" applyFill="1" applyBorder="1" applyAlignment="1">
      <alignment horizontal="centerContinuous"/>
    </xf>
    <xf numFmtId="0" fontId="14" fillId="4" borderId="3" xfId="14" applyFont="1" applyFill="1" applyBorder="1" applyAlignment="1">
      <alignment horizontal="centerContinuous"/>
    </xf>
    <xf numFmtId="0" fontId="11" fillId="8" borderId="0" xfId="0" applyFont="1" applyFill="1"/>
    <xf numFmtId="172" fontId="11" fillId="8" borderId="0" xfId="0" applyNumberFormat="1" applyFont="1" applyFill="1"/>
    <xf numFmtId="0" fontId="11" fillId="8" borderId="34" xfId="0" applyFont="1" applyFill="1" applyBorder="1" applyAlignment="1"/>
    <xf numFmtId="171" fontId="11" fillId="8" borderId="8" xfId="0" applyNumberFormat="1" applyFont="1" applyFill="1" applyBorder="1" applyAlignment="1"/>
    <xf numFmtId="172" fontId="11" fillId="8" borderId="8" xfId="0" applyNumberFormat="1" applyFont="1" applyFill="1" applyBorder="1" applyAlignment="1"/>
    <xf numFmtId="172" fontId="11" fillId="8" borderId="8" xfId="17" applyNumberFormat="1" applyFont="1" applyFill="1" applyBorder="1"/>
    <xf numFmtId="172" fontId="11" fillId="8" borderId="25" xfId="0" applyNumberFormat="1" applyFont="1" applyFill="1" applyBorder="1"/>
    <xf numFmtId="0" fontId="11" fillId="8" borderId="39" xfId="0" applyFont="1" applyFill="1" applyBorder="1" applyAlignment="1"/>
    <xf numFmtId="171" fontId="11" fillId="8" borderId="26" xfId="0" applyNumberFormat="1" applyFont="1" applyFill="1" applyBorder="1" applyAlignment="1"/>
    <xf numFmtId="172" fontId="11" fillId="8" borderId="26" xfId="0" applyNumberFormat="1" applyFont="1" applyFill="1" applyBorder="1" applyAlignment="1"/>
    <xf numFmtId="172" fontId="11" fillId="8" borderId="26" xfId="17" applyNumberFormat="1" applyFont="1" applyFill="1" applyBorder="1"/>
    <xf numFmtId="172" fontId="11" fillId="8" borderId="27" xfId="0" applyNumberFormat="1" applyFont="1" applyFill="1" applyBorder="1"/>
    <xf numFmtId="0" fontId="22" fillId="10" borderId="45" xfId="0" applyFont="1" applyFill="1" applyBorder="1" applyAlignment="1">
      <alignment horizontal="center" vertical="center" wrapText="1"/>
    </xf>
    <xf numFmtId="0" fontId="22" fillId="10" borderId="46" xfId="0" applyFont="1" applyFill="1" applyBorder="1" applyAlignment="1">
      <alignment horizontal="center" vertical="center" wrapText="1"/>
    </xf>
    <xf numFmtId="0" fontId="22" fillId="10" borderId="47" xfId="0" applyFont="1" applyFill="1" applyBorder="1" applyAlignment="1">
      <alignment horizontal="center" vertical="center" wrapText="1"/>
    </xf>
    <xf numFmtId="2" fontId="11" fillId="8" borderId="0" xfId="0" applyNumberFormat="1" applyFont="1" applyFill="1" applyBorder="1"/>
    <xf numFmtId="0" fontId="11" fillId="8" borderId="0" xfId="0" applyFont="1" applyFill="1" applyBorder="1" applyAlignment="1">
      <alignment horizontal="center"/>
    </xf>
    <xf numFmtId="172" fontId="11" fillId="8" borderId="0" xfId="0" applyNumberFormat="1" applyFont="1" applyFill="1" applyBorder="1"/>
    <xf numFmtId="0" fontId="11" fillId="8" borderId="0" xfId="0" applyFont="1" applyFill="1" applyBorder="1"/>
    <xf numFmtId="2" fontId="11" fillId="8" borderId="13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9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172" fontId="11" fillId="8" borderId="8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/>
    <xf numFmtId="0" fontId="22" fillId="10" borderId="38" xfId="0" applyFont="1" applyFill="1" applyBorder="1" applyAlignment="1">
      <alignment horizontal="center" vertical="center" wrapText="1"/>
    </xf>
    <xf numFmtId="172" fontId="11" fillId="8" borderId="13" xfId="17" applyNumberFormat="1" applyFont="1" applyFill="1" applyBorder="1"/>
    <xf numFmtId="172" fontId="11" fillId="8" borderId="48" xfId="17" applyNumberFormat="1" applyFont="1" applyFill="1" applyBorder="1"/>
    <xf numFmtId="0" fontId="22" fillId="10" borderId="49" xfId="0" applyFont="1" applyFill="1" applyBorder="1" applyAlignment="1">
      <alignment horizontal="center" vertical="center" wrapText="1"/>
    </xf>
    <xf numFmtId="0" fontId="22" fillId="10" borderId="51" xfId="0" applyFont="1" applyFill="1" applyBorder="1" applyAlignment="1">
      <alignment horizontal="center" vertical="center" wrapText="1"/>
    </xf>
    <xf numFmtId="171" fontId="11" fillId="8" borderId="53" xfId="0" applyNumberFormat="1" applyFont="1" applyFill="1" applyBorder="1"/>
    <xf numFmtId="172" fontId="11" fillId="8" borderId="14" xfId="0" applyNumberFormat="1" applyFont="1" applyFill="1" applyBorder="1"/>
    <xf numFmtId="172" fontId="11" fillId="8" borderId="54" xfId="0" applyNumberFormat="1" applyFont="1" applyFill="1" applyBorder="1"/>
    <xf numFmtId="171" fontId="11" fillId="8" borderId="34" xfId="0" applyNumberFormat="1" applyFont="1" applyFill="1" applyBorder="1"/>
    <xf numFmtId="172" fontId="11" fillId="8" borderId="8" xfId="0" applyNumberFormat="1" applyFont="1" applyFill="1" applyBorder="1"/>
    <xf numFmtId="171" fontId="11" fillId="8" borderId="39" xfId="0" applyNumberFormat="1" applyFont="1" applyFill="1" applyBorder="1"/>
    <xf numFmtId="172" fontId="11" fillId="8" borderId="26" xfId="0" applyNumberFormat="1" applyFont="1" applyFill="1" applyBorder="1"/>
    <xf numFmtId="172" fontId="11" fillId="8" borderId="25" xfId="17" applyNumberFormat="1" applyFont="1" applyFill="1" applyBorder="1"/>
    <xf numFmtId="172" fontId="11" fillId="8" borderId="27" xfId="17" applyNumberFormat="1" applyFont="1" applyFill="1" applyBorder="1"/>
    <xf numFmtId="172" fontId="11" fillId="8" borderId="14" xfId="17" applyNumberFormat="1" applyFont="1" applyFill="1" applyBorder="1"/>
    <xf numFmtId="171" fontId="11" fillId="8" borderId="14" xfId="0" applyNumberFormat="1" applyFont="1" applyFill="1" applyBorder="1" applyAlignment="1"/>
    <xf numFmtId="171" fontId="11" fillId="8" borderId="14" xfId="0" applyNumberFormat="1" applyFont="1" applyFill="1" applyBorder="1"/>
    <xf numFmtId="0" fontId="11" fillId="8" borderId="14" xfId="0" applyFont="1" applyFill="1" applyBorder="1"/>
    <xf numFmtId="171" fontId="11" fillId="8" borderId="8" xfId="0" applyNumberFormat="1" applyFont="1" applyFill="1" applyBorder="1"/>
    <xf numFmtId="0" fontId="11" fillId="8" borderId="8" xfId="0" applyFont="1" applyFill="1" applyBorder="1"/>
    <xf numFmtId="171" fontId="11" fillId="8" borderId="26" xfId="0" applyNumberFormat="1" applyFont="1" applyFill="1" applyBorder="1"/>
    <xf numFmtId="0" fontId="11" fillId="8" borderId="26" xfId="0" applyFont="1" applyFill="1" applyBorder="1"/>
    <xf numFmtId="0" fontId="11" fillId="8" borderId="34" xfId="0" applyFont="1" applyFill="1" applyBorder="1" applyAlignment="1">
      <alignment horizontal="center" vertical="center"/>
    </xf>
    <xf numFmtId="0" fontId="11" fillId="8" borderId="39" xfId="0" applyFont="1" applyFill="1" applyBorder="1" applyAlignment="1">
      <alignment horizontal="center" vertical="center"/>
    </xf>
    <xf numFmtId="0" fontId="11" fillId="8" borderId="53" xfId="0" applyFont="1" applyFill="1" applyBorder="1" applyAlignment="1">
      <alignment horizontal="center" vertical="center"/>
    </xf>
    <xf numFmtId="172" fontId="0" fillId="0" borderId="0" xfId="0" applyNumberFormat="1"/>
    <xf numFmtId="171" fontId="0" fillId="0" borderId="0" xfId="0" applyNumberFormat="1"/>
    <xf numFmtId="0" fontId="23" fillId="10" borderId="41" xfId="0" applyFont="1" applyFill="1" applyBorder="1" applyAlignment="1">
      <alignment horizontal="center" vertical="center" wrapText="1"/>
    </xf>
    <xf numFmtId="0" fontId="23" fillId="10" borderId="22" xfId="0" applyFont="1" applyFill="1" applyBorder="1" applyAlignment="1">
      <alignment horizontal="center" vertical="center" wrapText="1"/>
    </xf>
    <xf numFmtId="0" fontId="23" fillId="10" borderId="43" xfId="0" applyFont="1" applyFill="1" applyBorder="1" applyAlignment="1">
      <alignment horizontal="center" vertical="center" wrapText="1"/>
    </xf>
    <xf numFmtId="0" fontId="0" fillId="0" borderId="34" xfId="0" applyBorder="1"/>
    <xf numFmtId="171" fontId="0" fillId="0" borderId="8" xfId="0" applyNumberFormat="1" applyBorder="1"/>
    <xf numFmtId="172" fontId="0" fillId="0" borderId="8" xfId="0" applyNumberFormat="1" applyBorder="1"/>
    <xf numFmtId="0" fontId="0" fillId="0" borderId="8" xfId="0" applyBorder="1"/>
    <xf numFmtId="172" fontId="0" fillId="0" borderId="25" xfId="0" applyNumberFormat="1" applyBorder="1"/>
    <xf numFmtId="0" fontId="0" fillId="0" borderId="39" xfId="0" applyBorder="1"/>
    <xf numFmtId="171" fontId="0" fillId="0" borderId="26" xfId="0" applyNumberFormat="1" applyBorder="1"/>
    <xf numFmtId="172" fontId="0" fillId="0" borderId="26" xfId="0" applyNumberFormat="1" applyBorder="1"/>
    <xf numFmtId="0" fontId="0" fillId="0" borderId="26" xfId="0" applyBorder="1"/>
    <xf numFmtId="172" fontId="0" fillId="0" borderId="27" xfId="0" applyNumberFormat="1" applyBorder="1"/>
    <xf numFmtId="171" fontId="0" fillId="0" borderId="34" xfId="0" applyNumberFormat="1" applyBorder="1"/>
    <xf numFmtId="0" fontId="5" fillId="0" borderId="0" xfId="0" applyFont="1"/>
    <xf numFmtId="0" fontId="11" fillId="8" borderId="0" xfId="0" applyFont="1" applyFill="1" applyAlignment="1">
      <alignment horizontal="center" vertical="center"/>
    </xf>
    <xf numFmtId="0" fontId="11" fillId="8" borderId="17" xfId="0" applyFont="1" applyFill="1" applyBorder="1"/>
    <xf numFmtId="0" fontId="11" fillId="8" borderId="13" xfId="0" applyFont="1" applyFill="1" applyBorder="1"/>
    <xf numFmtId="0" fontId="11" fillId="8" borderId="48" xfId="0" applyFont="1" applyFill="1" applyBorder="1"/>
    <xf numFmtId="0" fontId="11" fillId="8" borderId="0" xfId="0" applyFont="1" applyFill="1" applyAlignment="1">
      <alignment horizontal="center" vertical="center"/>
    </xf>
    <xf numFmtId="171" fontId="11" fillId="8" borderId="47" xfId="0" applyNumberFormat="1" applyFont="1" applyFill="1" applyBorder="1" applyAlignment="1">
      <alignment horizontal="center" vertical="center"/>
    </xf>
    <xf numFmtId="171" fontId="11" fillId="8" borderId="50" xfId="0" applyNumberFormat="1" applyFont="1" applyFill="1" applyBorder="1" applyAlignment="1">
      <alignment horizontal="center" vertical="center"/>
    </xf>
    <xf numFmtId="0" fontId="11" fillId="8" borderId="5" xfId="0" applyFont="1" applyFill="1" applyBorder="1" applyAlignment="1"/>
    <xf numFmtId="0" fontId="24" fillId="8" borderId="34" xfId="0" applyFont="1" applyFill="1" applyBorder="1" applyAlignment="1"/>
    <xf numFmtId="172" fontId="24" fillId="8" borderId="25" xfId="17" applyNumberFormat="1" applyFont="1" applyFill="1" applyBorder="1"/>
    <xf numFmtId="171" fontId="11" fillId="8" borderId="42" xfId="0" applyNumberFormat="1" applyFont="1" applyFill="1" applyBorder="1" applyAlignment="1">
      <alignment horizontal="center" vertical="center"/>
    </xf>
    <xf numFmtId="0" fontId="25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2" fontId="11" fillId="8" borderId="0" xfId="0" applyNumberFormat="1" applyFont="1" applyFill="1"/>
    <xf numFmtId="173" fontId="11" fillId="8" borderId="34" xfId="0" applyNumberFormat="1" applyFont="1" applyFill="1" applyBorder="1"/>
    <xf numFmtId="173" fontId="11" fillId="8" borderId="8" xfId="0" applyNumberFormat="1" applyFont="1" applyFill="1" applyBorder="1"/>
    <xf numFmtId="173" fontId="11" fillId="8" borderId="25" xfId="0" applyNumberFormat="1" applyFont="1" applyFill="1" applyBorder="1"/>
    <xf numFmtId="173" fontId="11" fillId="8" borderId="39" xfId="0" applyNumberFormat="1" applyFont="1" applyFill="1" applyBorder="1"/>
    <xf numFmtId="173" fontId="11" fillId="8" borderId="26" xfId="0" applyNumberFormat="1" applyFont="1" applyFill="1" applyBorder="1"/>
    <xf numFmtId="173" fontId="11" fillId="8" borderId="27" xfId="0" applyNumberFormat="1" applyFont="1" applyFill="1" applyBorder="1"/>
    <xf numFmtId="0" fontId="22" fillId="10" borderId="1" xfId="0" applyFont="1" applyFill="1" applyBorder="1" applyAlignment="1">
      <alignment horizontal="centerContinuous" vertical="center" wrapText="1"/>
    </xf>
    <xf numFmtId="0" fontId="22" fillId="10" borderId="2" xfId="0" applyFont="1" applyFill="1" applyBorder="1" applyAlignment="1">
      <alignment horizontal="centerContinuous" vertical="center" wrapText="1"/>
    </xf>
    <xf numFmtId="0" fontId="22" fillId="10" borderId="3" xfId="0" applyFont="1" applyFill="1" applyBorder="1" applyAlignment="1">
      <alignment horizontal="centerContinuous" vertical="center" wrapText="1"/>
    </xf>
    <xf numFmtId="0" fontId="22" fillId="10" borderId="24" xfId="0" applyFont="1" applyFill="1" applyBorder="1" applyAlignment="1">
      <alignment horizontal="center" vertical="center" wrapText="1"/>
    </xf>
    <xf numFmtId="0" fontId="22" fillId="10" borderId="44" xfId="0" applyFont="1" applyFill="1" applyBorder="1" applyAlignment="1">
      <alignment horizontal="center" vertical="center" wrapText="1"/>
    </xf>
    <xf numFmtId="176" fontId="11" fillId="8" borderId="0" xfId="0" applyNumberFormat="1" applyFont="1" applyFill="1"/>
    <xf numFmtId="171" fontId="11" fillId="9" borderId="52" xfId="0" applyNumberFormat="1" applyFont="1" applyFill="1" applyBorder="1" applyAlignment="1">
      <alignment horizontal="center" vertical="center"/>
    </xf>
    <xf numFmtId="172" fontId="11" fillId="8" borderId="6" xfId="0" applyNumberFormat="1" applyFont="1" applyFill="1" applyBorder="1" applyAlignment="1">
      <alignment horizontal="center" vertical="center"/>
    </xf>
    <xf numFmtId="172" fontId="11" fillId="8" borderId="15" xfId="0" applyNumberFormat="1" applyFont="1" applyFill="1" applyBorder="1"/>
    <xf numFmtId="0" fontId="11" fillId="8" borderId="0" xfId="0" applyFont="1" applyFill="1" applyAlignment="1">
      <alignment horizontal="center" vertical="center"/>
    </xf>
    <xf numFmtId="171" fontId="11" fillId="8" borderId="50" xfId="0" applyNumberFormat="1" applyFont="1" applyFill="1" applyBorder="1" applyAlignment="1">
      <alignment horizontal="left" vertical="center"/>
    </xf>
    <xf numFmtId="0" fontId="11" fillId="5" borderId="19" xfId="31" applyFont="1" applyFill="1" applyBorder="1"/>
    <xf numFmtId="0" fontId="11" fillId="0" borderId="19" xfId="31" applyFont="1" applyBorder="1"/>
    <xf numFmtId="0" fontId="11" fillId="5" borderId="20" xfId="31" applyFont="1" applyFill="1" applyBorder="1"/>
    <xf numFmtId="0" fontId="11" fillId="0" borderId="0" xfId="31" applyFont="1"/>
    <xf numFmtId="0" fontId="18" fillId="5" borderId="9" xfId="31" applyFont="1" applyFill="1" applyBorder="1" applyAlignment="1">
      <alignment horizontal="center" vertical="center" wrapText="1"/>
    </xf>
    <xf numFmtId="0" fontId="18" fillId="5" borderId="6" xfId="31" applyFont="1" applyFill="1" applyBorder="1" applyAlignment="1">
      <alignment horizontal="center" vertical="center" wrapText="1"/>
    </xf>
    <xf numFmtId="0" fontId="19" fillId="5" borderId="14" xfId="31" applyFont="1" applyFill="1" applyBorder="1" applyAlignment="1">
      <alignment vertical="center"/>
    </xf>
    <xf numFmtId="0" fontId="11" fillId="7" borderId="6" xfId="31" applyNumberFormat="1" applyFont="1" applyFill="1" applyBorder="1" applyAlignment="1" applyProtection="1">
      <alignment horizontal="center" vertical="center"/>
    </xf>
    <xf numFmtId="0" fontId="11" fillId="7" borderId="6" xfId="31" applyNumberFormat="1" applyFont="1" applyFill="1" applyBorder="1" applyAlignment="1" applyProtection="1">
      <alignment vertical="center"/>
    </xf>
    <xf numFmtId="0" fontId="11" fillId="5" borderId="5" xfId="31" applyFont="1" applyFill="1" applyBorder="1"/>
    <xf numFmtId="0" fontId="11" fillId="8" borderId="6" xfId="34" applyNumberFormat="1" applyFont="1" applyFill="1" applyBorder="1" applyAlignment="1">
      <alignment horizontal="center"/>
    </xf>
    <xf numFmtId="0" fontId="11" fillId="5" borderId="6" xfId="31" applyNumberFormat="1" applyFont="1" applyFill="1" applyBorder="1" applyAlignment="1">
      <alignment horizontal="center"/>
    </xf>
    <xf numFmtId="172" fontId="11" fillId="5" borderId="6" xfId="39" applyNumberFormat="1" applyFont="1" applyFill="1" applyBorder="1" applyAlignment="1">
      <alignment horizontal="left"/>
    </xf>
    <xf numFmtId="0" fontId="11" fillId="5" borderId="6" xfId="31" applyNumberFormat="1" applyFont="1" applyFill="1" applyBorder="1" applyAlignment="1"/>
    <xf numFmtId="0" fontId="11" fillId="5" borderId="6" xfId="31" applyNumberFormat="1" applyFont="1" applyFill="1" applyBorder="1" applyAlignment="1">
      <alignment horizontal="left"/>
    </xf>
    <xf numFmtId="0" fontId="17" fillId="7" borderId="6" xfId="31" applyNumberFormat="1" applyFont="1" applyFill="1" applyBorder="1" applyAlignment="1" applyProtection="1"/>
    <xf numFmtId="49" fontId="11" fillId="0" borderId="9" xfId="39" applyNumberFormat="1" applyFont="1" applyFill="1" applyBorder="1" applyAlignment="1">
      <alignment horizontal="center"/>
    </xf>
    <xf numFmtId="0" fontId="11" fillId="5" borderId="11" xfId="31" applyFont="1" applyFill="1" applyBorder="1"/>
    <xf numFmtId="0" fontId="11" fillId="5" borderId="11" xfId="31" applyFont="1" applyFill="1" applyBorder="1" applyAlignment="1">
      <alignment horizontal="left"/>
    </xf>
    <xf numFmtId="0" fontId="11" fillId="5" borderId="12" xfId="31" applyFont="1" applyFill="1" applyBorder="1"/>
    <xf numFmtId="0" fontId="11" fillId="5" borderId="18" xfId="31" applyFont="1" applyFill="1" applyBorder="1"/>
    <xf numFmtId="0" fontId="18" fillId="5" borderId="34" xfId="31" applyFont="1" applyFill="1" applyBorder="1" applyAlignment="1">
      <alignment horizontal="center" vertical="center" wrapText="1"/>
    </xf>
    <xf numFmtId="0" fontId="11" fillId="5" borderId="14" xfId="31" applyNumberFormat="1" applyFont="1" applyFill="1" applyBorder="1" applyAlignment="1">
      <alignment horizontal="center"/>
    </xf>
    <xf numFmtId="0" fontId="11" fillId="8" borderId="14" xfId="34" applyNumberFormat="1" applyFont="1" applyFill="1" applyBorder="1" applyAlignment="1">
      <alignment horizontal="center"/>
    </xf>
    <xf numFmtId="172" fontId="11" fillId="5" borderId="14" xfId="39" applyNumberFormat="1" applyFont="1" applyFill="1" applyBorder="1" applyAlignment="1">
      <alignment horizontal="left"/>
    </xf>
    <xf numFmtId="0" fontId="11" fillId="5" borderId="14" xfId="31" applyNumberFormat="1" applyFont="1" applyFill="1" applyBorder="1" applyAlignment="1">
      <alignment horizontal="left"/>
    </xf>
    <xf numFmtId="0" fontId="17" fillId="7" borderId="14" xfId="31" applyNumberFormat="1" applyFont="1" applyFill="1" applyBorder="1" applyAlignment="1" applyProtection="1"/>
    <xf numFmtId="0" fontId="11" fillId="5" borderId="8" xfId="31" applyNumberFormat="1" applyFont="1" applyFill="1" applyBorder="1" applyAlignment="1">
      <alignment horizontal="center"/>
    </xf>
    <xf numFmtId="0" fontId="11" fillId="8" borderId="8" xfId="34" applyNumberFormat="1" applyFont="1" applyFill="1" applyBorder="1" applyAlignment="1">
      <alignment horizontal="center"/>
    </xf>
    <xf numFmtId="172" fontId="11" fillId="5" borderId="8" xfId="39" applyNumberFormat="1" applyFont="1" applyFill="1" applyBorder="1" applyAlignment="1">
      <alignment horizontal="left"/>
    </xf>
    <xf numFmtId="0" fontId="11" fillId="5" borderId="8" xfId="31" applyNumberFormat="1" applyFont="1" applyFill="1" applyBorder="1" applyAlignment="1">
      <alignment horizontal="left"/>
    </xf>
    <xf numFmtId="0" fontId="17" fillId="7" borderId="8" xfId="31" applyNumberFormat="1" applyFont="1" applyFill="1" applyBorder="1" applyAlignment="1" applyProtection="1"/>
    <xf numFmtId="49" fontId="11" fillId="0" borderId="34" xfId="39" applyNumberFormat="1" applyFont="1" applyFill="1" applyBorder="1" applyAlignment="1">
      <alignment horizontal="center"/>
    </xf>
    <xf numFmtId="0" fontId="11" fillId="5" borderId="15" xfId="31" applyNumberFormat="1" applyFont="1" applyFill="1" applyBorder="1" applyAlignment="1">
      <alignment horizontal="center"/>
    </xf>
    <xf numFmtId="0" fontId="11" fillId="8" borderId="15" xfId="34" applyNumberFormat="1" applyFont="1" applyFill="1" applyBorder="1" applyAlignment="1">
      <alignment horizontal="center"/>
    </xf>
    <xf numFmtId="172" fontId="11" fillId="5" borderId="15" xfId="39" applyNumberFormat="1" applyFont="1" applyFill="1" applyBorder="1" applyAlignment="1">
      <alignment horizontal="left"/>
    </xf>
    <xf numFmtId="0" fontId="11" fillId="5" borderId="15" xfId="31" applyNumberFormat="1" applyFont="1" applyFill="1" applyBorder="1" applyAlignment="1">
      <alignment horizontal="left"/>
    </xf>
    <xf numFmtId="0" fontId="17" fillId="7" borderId="15" xfId="31" applyNumberFormat="1" applyFont="1" applyFill="1" applyBorder="1" applyAlignment="1" applyProtection="1"/>
    <xf numFmtId="0" fontId="11" fillId="5" borderId="10" xfId="31" applyFont="1" applyFill="1" applyBorder="1"/>
    <xf numFmtId="171" fontId="11" fillId="0" borderId="0" xfId="31" applyNumberFormat="1" applyFont="1"/>
    <xf numFmtId="172" fontId="11" fillId="0" borderId="0" xfId="31" applyNumberFormat="1" applyFont="1"/>
    <xf numFmtId="0" fontId="26" fillId="0" borderId="0" xfId="41" applyFont="1"/>
    <xf numFmtId="0" fontId="26" fillId="10" borderId="42" xfId="41" applyFont="1" applyFill="1" applyBorder="1"/>
    <xf numFmtId="0" fontId="22" fillId="10" borderId="55" xfId="41" applyFont="1" applyFill="1" applyBorder="1" applyAlignment="1">
      <alignment horizontal="center" vertical="center"/>
    </xf>
    <xf numFmtId="0" fontId="22" fillId="10" borderId="56" xfId="41" applyFont="1" applyFill="1" applyBorder="1" applyAlignment="1">
      <alignment horizontal="center" vertical="center"/>
    </xf>
    <xf numFmtId="0" fontId="26" fillId="0" borderId="41" xfId="41" applyFont="1" applyBorder="1"/>
    <xf numFmtId="171" fontId="26" fillId="0" borderId="22" xfId="41" applyNumberFormat="1" applyFont="1" applyBorder="1"/>
    <xf numFmtId="173" fontId="26" fillId="0" borderId="22" xfId="41" applyNumberFormat="1" applyFont="1" applyBorder="1"/>
    <xf numFmtId="177" fontId="26" fillId="0" borderId="22" xfId="41" applyNumberFormat="1" applyFont="1" applyBorder="1"/>
    <xf numFmtId="0" fontId="26" fillId="0" borderId="22" xfId="41" applyFont="1" applyBorder="1"/>
    <xf numFmtId="0" fontId="26" fillId="0" borderId="34" xfId="41" applyFont="1" applyBorder="1"/>
    <xf numFmtId="171" fontId="26" fillId="0" borderId="8" xfId="41" applyNumberFormat="1" applyFont="1" applyBorder="1"/>
    <xf numFmtId="173" fontId="26" fillId="0" borderId="8" xfId="41" applyNumberFormat="1" applyFont="1" applyBorder="1"/>
    <xf numFmtId="177" fontId="26" fillId="0" borderId="8" xfId="41" applyNumberFormat="1" applyFont="1" applyBorder="1"/>
    <xf numFmtId="0" fontId="26" fillId="0" borderId="8" xfId="41" applyFont="1" applyBorder="1"/>
    <xf numFmtId="0" fontId="26" fillId="0" borderId="57" xfId="41" applyFont="1" applyBorder="1"/>
    <xf numFmtId="171" fontId="26" fillId="0" borderId="15" xfId="41" applyNumberFormat="1" applyFont="1" applyBorder="1"/>
    <xf numFmtId="173" fontId="26" fillId="0" borderId="15" xfId="41" applyNumberFormat="1" applyFont="1" applyBorder="1"/>
    <xf numFmtId="177" fontId="26" fillId="0" borderId="15" xfId="41" applyNumberFormat="1" applyFont="1" applyBorder="1"/>
    <xf numFmtId="0" fontId="26" fillId="0" borderId="53" xfId="41" applyFont="1" applyBorder="1"/>
    <xf numFmtId="171" fontId="26" fillId="0" borderId="14" xfId="41" applyNumberFormat="1" applyFont="1" applyBorder="1"/>
    <xf numFmtId="173" fontId="26" fillId="0" borderId="14" xfId="41" applyNumberFormat="1" applyFont="1" applyBorder="1"/>
    <xf numFmtId="177" fontId="26" fillId="0" borderId="14" xfId="41" applyNumberFormat="1" applyFont="1" applyBorder="1"/>
    <xf numFmtId="0" fontId="26" fillId="0" borderId="39" xfId="41" applyFont="1" applyBorder="1"/>
    <xf numFmtId="171" fontId="26" fillId="0" borderId="26" xfId="41" applyNumberFormat="1" applyFont="1" applyBorder="1"/>
    <xf numFmtId="173" fontId="26" fillId="0" borderId="26" xfId="41" applyNumberFormat="1" applyFont="1" applyBorder="1"/>
    <xf numFmtId="177" fontId="26" fillId="0" borderId="26" xfId="41" applyNumberFormat="1" applyFont="1" applyBorder="1"/>
    <xf numFmtId="0" fontId="26" fillId="0" borderId="26" xfId="41" applyFont="1" applyBorder="1"/>
    <xf numFmtId="171" fontId="26" fillId="0" borderId="0" xfId="41" applyNumberFormat="1" applyFont="1"/>
    <xf numFmtId="10" fontId="26" fillId="0" borderId="0" xfId="41" applyNumberFormat="1" applyFont="1"/>
    <xf numFmtId="172" fontId="26" fillId="0" borderId="14" xfId="41" applyNumberFormat="1" applyFont="1" applyBorder="1"/>
    <xf numFmtId="172" fontId="26" fillId="0" borderId="54" xfId="41" applyNumberFormat="1" applyFont="1" applyBorder="1"/>
    <xf numFmtId="172" fontId="26" fillId="0" borderId="8" xfId="41" applyNumberFormat="1" applyFont="1" applyBorder="1"/>
    <xf numFmtId="172" fontId="26" fillId="0" borderId="25" xfId="41" applyNumberFormat="1" applyFont="1" applyBorder="1"/>
    <xf numFmtId="172" fontId="26" fillId="0" borderId="26" xfId="41" applyNumberFormat="1" applyFont="1" applyBorder="1"/>
    <xf numFmtId="172" fontId="26" fillId="0" borderId="27" xfId="41" applyNumberFormat="1" applyFont="1" applyBorder="1"/>
    <xf numFmtId="0" fontId="22" fillId="10" borderId="45" xfId="41" applyFont="1" applyFill="1" applyBorder="1" applyAlignment="1">
      <alignment horizontal="center" vertical="center"/>
    </xf>
    <xf numFmtId="0" fontId="26" fillId="0" borderId="47" xfId="41" applyFont="1" applyBorder="1" applyAlignment="1">
      <alignment horizontal="center" vertical="center"/>
    </xf>
    <xf numFmtId="0" fontId="22" fillId="10" borderId="49" xfId="41" applyFont="1" applyFill="1" applyBorder="1" applyAlignment="1">
      <alignment horizontal="center" vertical="center"/>
    </xf>
    <xf numFmtId="0" fontId="26" fillId="0" borderId="50" xfId="41" applyFont="1" applyBorder="1" applyAlignment="1">
      <alignment horizontal="center" vertical="center"/>
    </xf>
    <xf numFmtId="0" fontId="22" fillId="10" borderId="51" xfId="41" applyFont="1" applyFill="1" applyBorder="1" applyAlignment="1">
      <alignment horizontal="center" vertical="center"/>
    </xf>
    <xf numFmtId="0" fontId="26" fillId="0" borderId="52" xfId="41" applyFont="1" applyBorder="1" applyAlignment="1">
      <alignment horizontal="center" vertical="center"/>
    </xf>
    <xf numFmtId="172" fontId="11" fillId="8" borderId="0" xfId="17" applyNumberFormat="1" applyFont="1" applyFill="1" applyBorder="1"/>
    <xf numFmtId="0" fontId="11" fillId="8" borderId="10" xfId="0" applyFont="1" applyFill="1" applyBorder="1"/>
    <xf numFmtId="173" fontId="11" fillId="8" borderId="58" xfId="0" applyNumberFormat="1" applyFont="1" applyFill="1" applyBorder="1"/>
    <xf numFmtId="172" fontId="26" fillId="0" borderId="43" xfId="41" applyNumberFormat="1" applyFont="1" applyBorder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22" fillId="10" borderId="33" xfId="41" applyFont="1" applyFill="1" applyBorder="1" applyAlignment="1">
      <alignment horizontal="center" vertical="center"/>
    </xf>
    <xf numFmtId="0" fontId="22" fillId="10" borderId="30" xfId="41" applyFont="1" applyFill="1" applyBorder="1" applyAlignment="1">
      <alignment horizontal="center" vertical="center"/>
    </xf>
    <xf numFmtId="0" fontId="22" fillId="10" borderId="31" xfId="41" applyFont="1" applyFill="1" applyBorder="1" applyAlignment="1">
      <alignment horizontal="center" vertical="center"/>
    </xf>
  </cellXfs>
  <cellStyles count="42">
    <cellStyle name="Euro" xfId="1"/>
    <cellStyle name="Euro 2" xfId="29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1"/>
    <cellStyle name="Normal 3" xfId="9"/>
    <cellStyle name="Normal 3 2" xfId="19"/>
    <cellStyle name="Normal 3 2 2" xfId="35"/>
    <cellStyle name="Normal 3 2 2 2" xfId="38"/>
    <cellStyle name="Normal 3 2 3" xfId="36"/>
    <cellStyle name="Normal 3 2 4" xfId="26"/>
    <cellStyle name="Normal 3 3" xfId="32"/>
    <cellStyle name="Normal 3 4" xfId="37"/>
    <cellStyle name="Normal 3 5" xfId="23"/>
    <cellStyle name="Normal 4" xfId="12"/>
    <cellStyle name="Normal 5" xfId="22"/>
    <cellStyle name="Normal 6" xfId="28"/>
    <cellStyle name="Normal 6 2" xfId="40"/>
    <cellStyle name="Normal 7" xfId="21"/>
    <cellStyle name="Normal 8" xfId="41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4"/>
    <cellStyle name="Percent 2 2 2" xfId="39"/>
    <cellStyle name="Percent 2 3" xfId="24"/>
    <cellStyle name="Percent 3" xfId="10"/>
    <cellStyle name="Percent 3 2" xfId="20"/>
    <cellStyle name="Percent 3 2 2" xfId="27"/>
    <cellStyle name="Percent 3 3" xfId="33"/>
    <cellStyle name="Percent 4" xfId="13"/>
    <cellStyle name="Percent 5" xfId="17"/>
    <cellStyle name="Percent 5 2" xfId="25"/>
    <cellStyle name="Percent 6" xfId="30"/>
    <cellStyle name="result" xfId="5"/>
    <cellStyle name="Valuta (0)_AZIONI" xfId="6"/>
    <cellStyle name="Valuta_AZIONI" xfId="7"/>
  </cellStyles>
  <dxfs count="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589871654392713E-2"/>
          <c:y val="2.2633356676726325E-2"/>
          <c:w val="0.87148424014565751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3M instruments quotations</c:v>
          </c:tx>
          <c:spPr>
            <a:ln w="28575">
              <a:noFill/>
            </a:ln>
          </c:spPr>
          <c:xVal>
            <c:numRef>
              <c:f>'basis 3M'!$E$2:$E$11</c:f>
              <c:numCache>
                <c:formatCode>ddd\,\ dd\-mmm\-yyyy</c:formatCode>
                <c:ptCount val="10"/>
                <c:pt idx="0">
                  <c:v>41891</c:v>
                </c:pt>
                <c:pt idx="1">
                  <c:v>41899</c:v>
                </c:pt>
                <c:pt idx="2">
                  <c:v>41990</c:v>
                </c:pt>
                <c:pt idx="3">
                  <c:v>42081</c:v>
                </c:pt>
                <c:pt idx="4">
                  <c:v>42172</c:v>
                </c:pt>
                <c:pt idx="5">
                  <c:v>42263</c:v>
                </c:pt>
                <c:pt idx="6">
                  <c:v>42354</c:v>
                </c:pt>
                <c:pt idx="7">
                  <c:v>42445</c:v>
                </c:pt>
                <c:pt idx="8">
                  <c:v>42536</c:v>
                </c:pt>
                <c:pt idx="9">
                  <c:v>42634</c:v>
                </c:pt>
              </c:numCache>
            </c:numRef>
          </c:xVal>
          <c:yVal>
            <c:numRef>
              <c:f>'basis 3M'!$G$2:$G$11</c:f>
              <c:numCache>
                <c:formatCode>0.0000%</c:formatCode>
                <c:ptCount val="10"/>
                <c:pt idx="0">
                  <c:v>0</c:v>
                </c:pt>
                <c:pt idx="1">
                  <c:v>2.6249999999999996E-2</c:v>
                </c:pt>
                <c:pt idx="2">
                  <c:v>2.6249999999999996E-2</c:v>
                </c:pt>
                <c:pt idx="3">
                  <c:v>2.6349999999999874E-2</c:v>
                </c:pt>
                <c:pt idx="4">
                  <c:v>2.6949999999999918E-2</c:v>
                </c:pt>
                <c:pt idx="5">
                  <c:v>2.7750000000000052E-2</c:v>
                </c:pt>
                <c:pt idx="6">
                  <c:v>2.8849999999999931E-2</c:v>
                </c:pt>
                <c:pt idx="7">
                  <c:v>2.9950000000000032E-2</c:v>
                </c:pt>
                <c:pt idx="8">
                  <c:v>3.1050000000000022E-2</c:v>
                </c:pt>
                <c:pt idx="9">
                  <c:v>3.2100000000000128E-2</c:v>
                </c:pt>
              </c:numCache>
            </c:numRef>
          </c:yVal>
          <c:smooth val="0"/>
        </c:ser>
        <c:ser>
          <c:idx val="1"/>
          <c:order val="1"/>
          <c:tx>
            <c:v>OIS 3M</c:v>
          </c:tx>
          <c:spPr>
            <a:ln w="28575">
              <a:noFill/>
            </a:ln>
          </c:spPr>
          <c:marker>
            <c:symbol val="square"/>
            <c:size val="5"/>
          </c:marker>
          <c:xVal>
            <c:numRef>
              <c:f>'basis 3M'!$E$2:$E$11</c:f>
              <c:numCache>
                <c:formatCode>ddd\,\ dd\-mmm\-yyyy</c:formatCode>
                <c:ptCount val="10"/>
                <c:pt idx="0">
                  <c:v>41891</c:v>
                </c:pt>
                <c:pt idx="1">
                  <c:v>41899</c:v>
                </c:pt>
                <c:pt idx="2">
                  <c:v>41990</c:v>
                </c:pt>
                <c:pt idx="3">
                  <c:v>42081</c:v>
                </c:pt>
                <c:pt idx="4">
                  <c:v>42172</c:v>
                </c:pt>
                <c:pt idx="5">
                  <c:v>42263</c:v>
                </c:pt>
                <c:pt idx="6">
                  <c:v>42354</c:v>
                </c:pt>
                <c:pt idx="7">
                  <c:v>42445</c:v>
                </c:pt>
                <c:pt idx="8">
                  <c:v>42536</c:v>
                </c:pt>
                <c:pt idx="9">
                  <c:v>42634</c:v>
                </c:pt>
              </c:numCache>
            </c:numRef>
          </c:xVal>
          <c:yVal>
            <c:numRef>
              <c:f>'basis 3M'!$J$2:$J$11</c:f>
              <c:numCache>
                <c:formatCode>0.0000%</c:formatCode>
                <c:ptCount val="10"/>
                <c:pt idx="0">
                  <c:v>2.4616521991435172E-2</c:v>
                </c:pt>
                <c:pt idx="1">
                  <c:v>2.4587410122435323E-2</c:v>
                </c:pt>
                <c:pt idx="2">
                  <c:v>2.4348720336949903E-2</c:v>
                </c:pt>
                <c:pt idx="3">
                  <c:v>2.4423041157925075E-2</c:v>
                </c:pt>
                <c:pt idx="4">
                  <c:v>2.4902260501569184E-2</c:v>
                </c:pt>
                <c:pt idx="5">
                  <c:v>2.5733066104507821E-2</c:v>
                </c:pt>
                <c:pt idx="6">
                  <c:v>2.6590603575245571E-2</c:v>
                </c:pt>
                <c:pt idx="7">
                  <c:v>2.7463419540373686E-2</c:v>
                </c:pt>
                <c:pt idx="8">
                  <c:v>2.8522099934372862E-2</c:v>
                </c:pt>
                <c:pt idx="9">
                  <c:v>2.9819164487007669E-2</c:v>
                </c:pt>
              </c:numCache>
            </c:numRef>
          </c:yVal>
          <c:smooth val="0"/>
        </c:ser>
        <c:ser>
          <c:idx val="2"/>
          <c:order val="2"/>
          <c:tx>
            <c:v>Difference</c:v>
          </c:tx>
          <c:spPr>
            <a:ln w="28575">
              <a:noFill/>
            </a:ln>
          </c:spPr>
          <c:xVal>
            <c:numRef>
              <c:f>'basis 3M'!$E$2:$E$11</c:f>
              <c:numCache>
                <c:formatCode>ddd\,\ dd\-mmm\-yyyy</c:formatCode>
                <c:ptCount val="10"/>
                <c:pt idx="0">
                  <c:v>41891</c:v>
                </c:pt>
                <c:pt idx="1">
                  <c:v>41899</c:v>
                </c:pt>
                <c:pt idx="2">
                  <c:v>41990</c:v>
                </c:pt>
                <c:pt idx="3">
                  <c:v>42081</c:v>
                </c:pt>
                <c:pt idx="4">
                  <c:v>42172</c:v>
                </c:pt>
                <c:pt idx="5">
                  <c:v>42263</c:v>
                </c:pt>
                <c:pt idx="6">
                  <c:v>42354</c:v>
                </c:pt>
                <c:pt idx="7">
                  <c:v>42445</c:v>
                </c:pt>
                <c:pt idx="8">
                  <c:v>42536</c:v>
                </c:pt>
                <c:pt idx="9">
                  <c:v>42634</c:v>
                </c:pt>
              </c:numCache>
            </c:numRef>
          </c:xVal>
          <c:yVal>
            <c:numRef>
              <c:f>'basis 3M'!$K$2:$K$11</c:f>
              <c:numCache>
                <c:formatCode>0.0000%</c:formatCode>
                <c:ptCount val="10"/>
                <c:pt idx="0">
                  <c:v>0</c:v>
                </c:pt>
                <c:pt idx="1">
                  <c:v>1.6625898775646727E-3</c:v>
                </c:pt>
                <c:pt idx="2">
                  <c:v>1.9012796630500928E-3</c:v>
                </c:pt>
                <c:pt idx="3">
                  <c:v>1.9269588420747982E-3</c:v>
                </c:pt>
                <c:pt idx="4">
                  <c:v>2.047739498430734E-3</c:v>
                </c:pt>
                <c:pt idx="5">
                  <c:v>2.016933895492231E-3</c:v>
                </c:pt>
                <c:pt idx="6">
                  <c:v>2.2593964247543605E-3</c:v>
                </c:pt>
                <c:pt idx="7">
                  <c:v>2.4865804596263461E-3</c:v>
                </c:pt>
                <c:pt idx="8">
                  <c:v>2.5279000656271595E-3</c:v>
                </c:pt>
                <c:pt idx="9">
                  <c:v>2.2808355129924594E-3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255744"/>
        <c:axId val="370257280"/>
      </c:scatterChart>
      <c:valAx>
        <c:axId val="37025574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70257280"/>
        <c:crosses val="autoZero"/>
        <c:crossBetween val="midCat"/>
      </c:valAx>
      <c:valAx>
        <c:axId val="37025728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702557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892990721151907"/>
          <c:y val="0.63597114890801065"/>
          <c:w val="0.3083436609374543"/>
          <c:h val="0.2464159424967471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'basis 3M'!$M$2:$M$581</c:f>
              <c:numCache>
                <c:formatCode>ddd\,\ dd\-mmm\-yyyy</c:formatCode>
                <c:ptCount val="580"/>
                <c:pt idx="0">
                  <c:v>41891</c:v>
                </c:pt>
                <c:pt idx="1">
                  <c:v>41921</c:v>
                </c:pt>
                <c:pt idx="2">
                  <c:v>41953</c:v>
                </c:pt>
                <c:pt idx="3">
                  <c:v>41983</c:v>
                </c:pt>
                <c:pt idx="4">
                  <c:v>42016</c:v>
                </c:pt>
                <c:pt idx="5">
                  <c:v>42047</c:v>
                </c:pt>
                <c:pt idx="6">
                  <c:v>42075</c:v>
                </c:pt>
                <c:pt idx="7">
                  <c:v>42107</c:v>
                </c:pt>
                <c:pt idx="8">
                  <c:v>42137</c:v>
                </c:pt>
                <c:pt idx="9">
                  <c:v>42170</c:v>
                </c:pt>
                <c:pt idx="10">
                  <c:v>42200</c:v>
                </c:pt>
                <c:pt idx="11">
                  <c:v>42233</c:v>
                </c:pt>
                <c:pt idx="12">
                  <c:v>42264</c:v>
                </c:pt>
                <c:pt idx="13">
                  <c:v>42296</c:v>
                </c:pt>
                <c:pt idx="14">
                  <c:v>42327</c:v>
                </c:pt>
                <c:pt idx="15">
                  <c:v>42359</c:v>
                </c:pt>
                <c:pt idx="16">
                  <c:v>42390</c:v>
                </c:pt>
                <c:pt idx="17">
                  <c:v>42422</c:v>
                </c:pt>
                <c:pt idx="18">
                  <c:v>42451</c:v>
                </c:pt>
                <c:pt idx="19">
                  <c:v>42482</c:v>
                </c:pt>
                <c:pt idx="20">
                  <c:v>42513</c:v>
                </c:pt>
                <c:pt idx="21">
                  <c:v>42544</c:v>
                </c:pt>
                <c:pt idx="22">
                  <c:v>42576</c:v>
                </c:pt>
                <c:pt idx="23">
                  <c:v>42607</c:v>
                </c:pt>
                <c:pt idx="24">
                  <c:v>42639</c:v>
                </c:pt>
                <c:pt idx="25">
                  <c:v>42669</c:v>
                </c:pt>
                <c:pt idx="26">
                  <c:v>42702</c:v>
                </c:pt>
                <c:pt idx="27">
                  <c:v>42732</c:v>
                </c:pt>
                <c:pt idx="28">
                  <c:v>42765</c:v>
                </c:pt>
                <c:pt idx="29">
                  <c:v>42794</c:v>
                </c:pt>
                <c:pt idx="30">
                  <c:v>42822</c:v>
                </c:pt>
                <c:pt idx="31">
                  <c:v>42853</c:v>
                </c:pt>
                <c:pt idx="32">
                  <c:v>42884</c:v>
                </c:pt>
                <c:pt idx="33">
                  <c:v>42915</c:v>
                </c:pt>
                <c:pt idx="34">
                  <c:v>42947</c:v>
                </c:pt>
                <c:pt idx="35">
                  <c:v>42978</c:v>
                </c:pt>
                <c:pt idx="36">
                  <c:v>43011</c:v>
                </c:pt>
                <c:pt idx="37">
                  <c:v>43042</c:v>
                </c:pt>
                <c:pt idx="38">
                  <c:v>43073</c:v>
                </c:pt>
                <c:pt idx="39">
                  <c:v>43104</c:v>
                </c:pt>
                <c:pt idx="40">
                  <c:v>43136</c:v>
                </c:pt>
                <c:pt idx="41">
                  <c:v>43164</c:v>
                </c:pt>
                <c:pt idx="42">
                  <c:v>43195</c:v>
                </c:pt>
                <c:pt idx="43">
                  <c:v>43227</c:v>
                </c:pt>
                <c:pt idx="44">
                  <c:v>43258</c:v>
                </c:pt>
                <c:pt idx="45">
                  <c:v>43290</c:v>
                </c:pt>
                <c:pt idx="46">
                  <c:v>43321</c:v>
                </c:pt>
                <c:pt idx="47">
                  <c:v>43353</c:v>
                </c:pt>
                <c:pt idx="48">
                  <c:v>43383</c:v>
                </c:pt>
                <c:pt idx="49">
                  <c:v>43416</c:v>
                </c:pt>
                <c:pt idx="50">
                  <c:v>43446</c:v>
                </c:pt>
                <c:pt idx="51">
                  <c:v>43479</c:v>
                </c:pt>
                <c:pt idx="52">
                  <c:v>43510</c:v>
                </c:pt>
                <c:pt idx="53">
                  <c:v>43538</c:v>
                </c:pt>
                <c:pt idx="54">
                  <c:v>43570</c:v>
                </c:pt>
                <c:pt idx="55">
                  <c:v>43600</c:v>
                </c:pt>
                <c:pt idx="56">
                  <c:v>43633</c:v>
                </c:pt>
                <c:pt idx="57">
                  <c:v>43663</c:v>
                </c:pt>
                <c:pt idx="58">
                  <c:v>43696</c:v>
                </c:pt>
                <c:pt idx="59">
                  <c:v>43727</c:v>
                </c:pt>
                <c:pt idx="60">
                  <c:v>43759</c:v>
                </c:pt>
                <c:pt idx="61">
                  <c:v>43790</c:v>
                </c:pt>
                <c:pt idx="62">
                  <c:v>43822</c:v>
                </c:pt>
                <c:pt idx="63">
                  <c:v>43853</c:v>
                </c:pt>
                <c:pt idx="64">
                  <c:v>43885</c:v>
                </c:pt>
                <c:pt idx="65">
                  <c:v>43914</c:v>
                </c:pt>
                <c:pt idx="66">
                  <c:v>43945</c:v>
                </c:pt>
                <c:pt idx="67">
                  <c:v>43976</c:v>
                </c:pt>
                <c:pt idx="68">
                  <c:v>44007</c:v>
                </c:pt>
                <c:pt idx="69">
                  <c:v>44039</c:v>
                </c:pt>
                <c:pt idx="70">
                  <c:v>44070</c:v>
                </c:pt>
                <c:pt idx="71">
                  <c:v>44102</c:v>
                </c:pt>
                <c:pt idx="72">
                  <c:v>44132</c:v>
                </c:pt>
                <c:pt idx="73">
                  <c:v>44165</c:v>
                </c:pt>
                <c:pt idx="74">
                  <c:v>44195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44319</c:v>
                </c:pt>
                <c:pt idx="79">
                  <c:v>44350</c:v>
                </c:pt>
                <c:pt idx="80">
                  <c:v>44382</c:v>
                </c:pt>
                <c:pt idx="81">
                  <c:v>44413</c:v>
                </c:pt>
                <c:pt idx="82">
                  <c:v>44445</c:v>
                </c:pt>
                <c:pt idx="83">
                  <c:v>44475</c:v>
                </c:pt>
                <c:pt idx="84">
                  <c:v>44508</c:v>
                </c:pt>
                <c:pt idx="85">
                  <c:v>44538</c:v>
                </c:pt>
                <c:pt idx="86">
                  <c:v>44571</c:v>
                </c:pt>
                <c:pt idx="87">
                  <c:v>44602</c:v>
                </c:pt>
                <c:pt idx="88">
                  <c:v>44630</c:v>
                </c:pt>
                <c:pt idx="89">
                  <c:v>44662</c:v>
                </c:pt>
                <c:pt idx="90">
                  <c:v>44692</c:v>
                </c:pt>
                <c:pt idx="91">
                  <c:v>44726</c:v>
                </c:pt>
                <c:pt idx="92">
                  <c:v>44756</c:v>
                </c:pt>
                <c:pt idx="93">
                  <c:v>44788</c:v>
                </c:pt>
                <c:pt idx="94">
                  <c:v>44819</c:v>
                </c:pt>
                <c:pt idx="95">
                  <c:v>44851</c:v>
                </c:pt>
                <c:pt idx="96">
                  <c:v>44882</c:v>
                </c:pt>
                <c:pt idx="97">
                  <c:v>44914</c:v>
                </c:pt>
                <c:pt idx="98">
                  <c:v>44945</c:v>
                </c:pt>
                <c:pt idx="99">
                  <c:v>44977</c:v>
                </c:pt>
                <c:pt idx="100">
                  <c:v>45005</c:v>
                </c:pt>
                <c:pt idx="101">
                  <c:v>45036</c:v>
                </c:pt>
                <c:pt idx="102">
                  <c:v>45068</c:v>
                </c:pt>
                <c:pt idx="103">
                  <c:v>45099</c:v>
                </c:pt>
                <c:pt idx="104">
                  <c:v>45131</c:v>
                </c:pt>
                <c:pt idx="105">
                  <c:v>45162</c:v>
                </c:pt>
                <c:pt idx="106">
                  <c:v>45194</c:v>
                </c:pt>
                <c:pt idx="107">
                  <c:v>45224</c:v>
                </c:pt>
                <c:pt idx="108">
                  <c:v>45257</c:v>
                </c:pt>
                <c:pt idx="109">
                  <c:v>45287</c:v>
                </c:pt>
                <c:pt idx="110">
                  <c:v>45320</c:v>
                </c:pt>
                <c:pt idx="111">
                  <c:v>45351</c:v>
                </c:pt>
                <c:pt idx="112">
                  <c:v>45384</c:v>
                </c:pt>
                <c:pt idx="113">
                  <c:v>45414</c:v>
                </c:pt>
                <c:pt idx="114">
                  <c:v>45446</c:v>
                </c:pt>
                <c:pt idx="115">
                  <c:v>45476</c:v>
                </c:pt>
                <c:pt idx="116">
                  <c:v>45510</c:v>
                </c:pt>
                <c:pt idx="117">
                  <c:v>45541</c:v>
                </c:pt>
                <c:pt idx="118">
                  <c:v>45573</c:v>
                </c:pt>
                <c:pt idx="119">
                  <c:v>45604</c:v>
                </c:pt>
                <c:pt idx="120">
                  <c:v>45635</c:v>
                </c:pt>
                <c:pt idx="121">
                  <c:v>45666</c:v>
                </c:pt>
                <c:pt idx="122">
                  <c:v>45698</c:v>
                </c:pt>
                <c:pt idx="123">
                  <c:v>45726</c:v>
                </c:pt>
                <c:pt idx="124">
                  <c:v>45757</c:v>
                </c:pt>
                <c:pt idx="125">
                  <c:v>45789</c:v>
                </c:pt>
                <c:pt idx="126">
                  <c:v>45820</c:v>
                </c:pt>
                <c:pt idx="127">
                  <c:v>45852</c:v>
                </c:pt>
                <c:pt idx="128">
                  <c:v>45883</c:v>
                </c:pt>
                <c:pt idx="129">
                  <c:v>45915</c:v>
                </c:pt>
                <c:pt idx="130">
                  <c:v>45945</c:v>
                </c:pt>
                <c:pt idx="131">
                  <c:v>45978</c:v>
                </c:pt>
                <c:pt idx="132">
                  <c:v>46008</c:v>
                </c:pt>
                <c:pt idx="133">
                  <c:v>46041</c:v>
                </c:pt>
                <c:pt idx="134">
                  <c:v>46072</c:v>
                </c:pt>
                <c:pt idx="135">
                  <c:v>46100</c:v>
                </c:pt>
                <c:pt idx="136">
                  <c:v>46132</c:v>
                </c:pt>
                <c:pt idx="137">
                  <c:v>46162</c:v>
                </c:pt>
                <c:pt idx="138">
                  <c:v>46195</c:v>
                </c:pt>
                <c:pt idx="139">
                  <c:v>46225</c:v>
                </c:pt>
                <c:pt idx="140">
                  <c:v>46258</c:v>
                </c:pt>
                <c:pt idx="141">
                  <c:v>46289</c:v>
                </c:pt>
                <c:pt idx="142">
                  <c:v>46321</c:v>
                </c:pt>
                <c:pt idx="143">
                  <c:v>46352</c:v>
                </c:pt>
                <c:pt idx="144">
                  <c:v>46385</c:v>
                </c:pt>
                <c:pt idx="145">
                  <c:v>46416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46917</c:v>
                </c:pt>
                <c:pt idx="162">
                  <c:v>46947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47512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48009</c:v>
                </c:pt>
                <c:pt idx="197">
                  <c:v>48039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48695</c:v>
                </c:pt>
                <c:pt idx="219">
                  <c:v>48725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49220</c:v>
                </c:pt>
                <c:pt idx="236">
                  <c:v>49251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50935</c:v>
                </c:pt>
                <c:pt idx="291">
                  <c:v>50965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51530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52027</c:v>
                </c:pt>
                <c:pt idx="326">
                  <c:v>52057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52713</c:v>
                </c:pt>
                <c:pt idx="348">
                  <c:v>52743</c:v>
                </c:pt>
              </c:numCache>
            </c:numRef>
          </c:cat>
          <c:val>
            <c:numRef>
              <c:f>'basis 3M'!$S$2:$S$581</c:f>
              <c:numCache>
                <c:formatCode>0.0000%</c:formatCode>
                <c:ptCount val="580"/>
                <c:pt idx="0">
                  <c:v>1.6349247673286132E-3</c:v>
                </c:pt>
                <c:pt idx="1">
                  <c:v>1.7494604400183425E-3</c:v>
                </c:pt>
                <c:pt idx="2">
                  <c:v>1.8390329216921922E-3</c:v>
                </c:pt>
                <c:pt idx="3">
                  <c:v>1.8968308339939594E-3</c:v>
                </c:pt>
                <c:pt idx="4">
                  <c:v>1.8957991048895971E-3</c:v>
                </c:pt>
                <c:pt idx="5">
                  <c:v>1.9017218078731697E-3</c:v>
                </c:pt>
                <c:pt idx="6">
                  <c:v>1.9209969672998976E-3</c:v>
                </c:pt>
                <c:pt idx="7">
                  <c:v>1.9623889190016966E-3</c:v>
                </c:pt>
                <c:pt idx="8">
                  <c:v>2.0122466918074365E-3</c:v>
                </c:pt>
                <c:pt idx="9">
                  <c:v>2.0469271606006409E-3</c:v>
                </c:pt>
                <c:pt idx="10">
                  <c:v>2.0438187558094525E-3</c:v>
                </c:pt>
                <c:pt idx="11">
                  <c:v>2.0231773644615245E-3</c:v>
                </c:pt>
                <c:pt idx="12">
                  <c:v>2.0172530754722952E-3</c:v>
                </c:pt>
                <c:pt idx="13">
                  <c:v>2.0526650773141815E-3</c:v>
                </c:pt>
                <c:pt idx="14">
                  <c:v>2.1382201002177401E-3</c:v>
                </c:pt>
                <c:pt idx="15">
                  <c:v>2.2879394212366455E-3</c:v>
                </c:pt>
                <c:pt idx="16">
                  <c:v>2.4925792828741772E-3</c:v>
                </c:pt>
                <c:pt idx="17">
                  <c:v>2.7158861312636846E-3</c:v>
                </c:pt>
                <c:pt idx="18">
                  <c:v>2.8859702695312808E-3</c:v>
                </c:pt>
                <c:pt idx="19">
                  <c:v>2.9954805383924747E-3</c:v>
                </c:pt>
                <c:pt idx="20">
                  <c:v>3.0329907567431015E-3</c:v>
                </c:pt>
                <c:pt idx="21">
                  <c:v>2.9962098728438004E-3</c:v>
                </c:pt>
                <c:pt idx="22">
                  <c:v>2.8946924837366418E-3</c:v>
                </c:pt>
                <c:pt idx="23">
                  <c:v>2.766249406087478E-3</c:v>
                </c:pt>
                <c:pt idx="24">
                  <c:v>2.6349529602468433E-3</c:v>
                </c:pt>
                <c:pt idx="25">
                  <c:v>2.5332950821098481E-3</c:v>
                </c:pt>
                <c:pt idx="26">
                  <c:v>2.4454068591770184E-3</c:v>
                </c:pt>
                <c:pt idx="27">
                  <c:v>2.3864494254473637E-3</c:v>
                </c:pt>
                <c:pt idx="28">
                  <c:v>2.3432192447481251E-3</c:v>
                </c:pt>
                <c:pt idx="29">
                  <c:v>2.3251998859890322E-3</c:v>
                </c:pt>
                <c:pt idx="30">
                  <c:v>2.3260409103648752E-3</c:v>
                </c:pt>
                <c:pt idx="31">
                  <c:v>2.3491295162506934E-3</c:v>
                </c:pt>
                <c:pt idx="32">
                  <c:v>2.3900835094538761E-3</c:v>
                </c:pt>
                <c:pt idx="33">
                  <c:v>2.4538635275265855E-3</c:v>
                </c:pt>
                <c:pt idx="34">
                  <c:v>2.5348829163741662E-3</c:v>
                </c:pt>
                <c:pt idx="35">
                  <c:v>2.6149755664772109E-3</c:v>
                </c:pt>
                <c:pt idx="36">
                  <c:v>2.6940247453261235E-3</c:v>
                </c:pt>
                <c:pt idx="37">
                  <c:v>2.7558483425248054E-3</c:v>
                </c:pt>
                <c:pt idx="38">
                  <c:v>2.8001099282407918E-3</c:v>
                </c:pt>
                <c:pt idx="39">
                  <c:v>2.8339868484755573E-3</c:v>
                </c:pt>
                <c:pt idx="40">
                  <c:v>2.8567864473489982E-3</c:v>
                </c:pt>
                <c:pt idx="41">
                  <c:v>2.8652446167193174E-3</c:v>
                </c:pt>
                <c:pt idx="42">
                  <c:v>2.8620058396680928E-3</c:v>
                </c:pt>
                <c:pt idx="43">
                  <c:v>2.845260279291939E-3</c:v>
                </c:pt>
                <c:pt idx="44">
                  <c:v>2.8160400849944478E-3</c:v>
                </c:pt>
                <c:pt idx="45">
                  <c:v>2.7739169691683233E-3</c:v>
                </c:pt>
                <c:pt idx="46">
                  <c:v>2.7301373916381044E-3</c:v>
                </c:pt>
                <c:pt idx="47">
                  <c:v>2.6933579758121953E-3</c:v>
                </c:pt>
                <c:pt idx="48">
                  <c:v>2.6752074630794279E-3</c:v>
                </c:pt>
                <c:pt idx="49">
                  <c:v>2.6757161447688235E-3</c:v>
                </c:pt>
                <c:pt idx="50">
                  <c:v>2.6930176221409696E-3</c:v>
                </c:pt>
                <c:pt idx="51">
                  <c:v>2.7349020236942037E-3</c:v>
                </c:pt>
                <c:pt idx="52">
                  <c:v>2.789937072725554E-3</c:v>
                </c:pt>
                <c:pt idx="53">
                  <c:v>2.8633719515244321E-3</c:v>
                </c:pt>
                <c:pt idx="54">
                  <c:v>2.9589024762851981E-3</c:v>
                </c:pt>
                <c:pt idx="55">
                  <c:v>3.0708479465338043E-3</c:v>
                </c:pt>
                <c:pt idx="56">
                  <c:v>3.2120613788170424E-3</c:v>
                </c:pt>
                <c:pt idx="57">
                  <c:v>3.3541220736000299E-3</c:v>
                </c:pt>
                <c:pt idx="58">
                  <c:v>3.5076223679159704E-3</c:v>
                </c:pt>
                <c:pt idx="59">
                  <c:v>3.62914170569624E-3</c:v>
                </c:pt>
                <c:pt idx="60">
                  <c:v>3.7247494322849087E-3</c:v>
                </c:pt>
                <c:pt idx="61">
                  <c:v>3.7819949532481092E-3</c:v>
                </c:pt>
                <c:pt idx="62">
                  <c:v>3.806176712574022E-3</c:v>
                </c:pt>
                <c:pt idx="63">
                  <c:v>3.7967734213798301E-3</c:v>
                </c:pt>
                <c:pt idx="64">
                  <c:v>3.7523885261791928E-3</c:v>
                </c:pt>
                <c:pt idx="65">
                  <c:v>3.680377433387616E-3</c:v>
                </c:pt>
                <c:pt idx="66">
                  <c:v>3.5741928719813035E-3</c:v>
                </c:pt>
                <c:pt idx="67">
                  <c:v>3.4311322302832056E-3</c:v>
                </c:pt>
                <c:pt idx="68">
                  <c:v>3.2573596208671715E-3</c:v>
                </c:pt>
                <c:pt idx="69">
                  <c:v>3.0571094224120729E-3</c:v>
                </c:pt>
                <c:pt idx="70">
                  <c:v>2.8685222205127175E-3</c:v>
                </c:pt>
                <c:pt idx="71">
                  <c:v>2.7059506906622344E-3</c:v>
                </c:pt>
                <c:pt idx="72">
                  <c:v>2.5944547007140106E-3</c:v>
                </c:pt>
                <c:pt idx="73">
                  <c:v>2.5188448640301661E-3</c:v>
                </c:pt>
                <c:pt idx="74">
                  <c:v>2.4894712824760981E-3</c:v>
                </c:pt>
                <c:pt idx="75">
                  <c:v>2.505018633830812E-3</c:v>
                </c:pt>
                <c:pt idx="76">
                  <c:v>2.5575827686901351E-3</c:v>
                </c:pt>
                <c:pt idx="77">
                  <c:v>2.6525405035592933E-3</c:v>
                </c:pt>
                <c:pt idx="78">
                  <c:v>2.8004715788340073E-3</c:v>
                </c:pt>
                <c:pt idx="79">
                  <c:v>2.9847007387648825E-3</c:v>
                </c:pt>
                <c:pt idx="80">
                  <c:v>3.2173447452394296E-3</c:v>
                </c:pt>
                <c:pt idx="81">
                  <c:v>3.4648191813477711E-3</c:v>
                </c:pt>
                <c:pt idx="82">
                  <c:v>3.7111763497827618E-3</c:v>
                </c:pt>
                <c:pt idx="83">
                  <c:v>3.9219516072394323E-3</c:v>
                </c:pt>
                <c:pt idx="84">
                  <c:v>4.1115223602104511E-3</c:v>
                </c:pt>
                <c:pt idx="85">
                  <c:v>4.2448284258755076E-3</c:v>
                </c:pt>
                <c:pt idx="86">
                  <c:v>4.3611124013060304E-3</c:v>
                </c:pt>
                <c:pt idx="87">
                  <c:v>4.429786545701031E-3</c:v>
                </c:pt>
                <c:pt idx="88">
                  <c:v>4.4662618985024521E-3</c:v>
                </c:pt>
                <c:pt idx="89">
                  <c:v>4.469142339991225E-3</c:v>
                </c:pt>
                <c:pt idx="90">
                  <c:v>4.4377446360270231E-3</c:v>
                </c:pt>
                <c:pt idx="91">
                  <c:v>4.3623586371077383E-3</c:v>
                </c:pt>
                <c:pt idx="92">
                  <c:v>4.2628858857791316E-3</c:v>
                </c:pt>
                <c:pt idx="93">
                  <c:v>4.1334894090434074E-3</c:v>
                </c:pt>
                <c:pt idx="94">
                  <c:v>3.9991480044011193E-3</c:v>
                </c:pt>
                <c:pt idx="95">
                  <c:v>3.8557523625199625E-3</c:v>
                </c:pt>
                <c:pt idx="96">
                  <c:v>3.7189255491206635E-3</c:v>
                </c:pt>
                <c:pt idx="97">
                  <c:v>3.5798678948643428E-3</c:v>
                </c:pt>
                <c:pt idx="98">
                  <c:v>3.4456063103763951E-3</c:v>
                </c:pt>
                <c:pt idx="99">
                  <c:v>3.3037368739118819E-3</c:v>
                </c:pt>
                <c:pt idx="100">
                  <c:v>3.1796806146803525E-3</c:v>
                </c:pt>
                <c:pt idx="101">
                  <c:v>3.0465238227826708E-3</c:v>
                </c:pt>
                <c:pt idx="102">
                  <c:v>2.9057373730489236E-3</c:v>
                </c:pt>
                <c:pt idx="103">
                  <c:v>2.7715599721429632E-3</c:v>
                </c:pt>
                <c:pt idx="104">
                  <c:v>2.6368824003603769E-3</c:v>
                </c:pt>
                <c:pt idx="105">
                  <c:v>2.5179886886894376E-3</c:v>
                </c:pt>
                <c:pt idx="106">
                  <c:v>2.4147288475689366E-3</c:v>
                </c:pt>
                <c:pt idx="107">
                  <c:v>2.3428601190401618E-3</c:v>
                </c:pt>
                <c:pt idx="108">
                  <c:v>2.2888886239723627E-3</c:v>
                </c:pt>
                <c:pt idx="109">
                  <c:v>2.2633660974987688E-3</c:v>
                </c:pt>
                <c:pt idx="110">
                  <c:v>2.2612242082227646E-3</c:v>
                </c:pt>
                <c:pt idx="111">
                  <c:v>2.2851534616767435E-3</c:v>
                </c:pt>
                <c:pt idx="112">
                  <c:v>2.3350779006246769E-3</c:v>
                </c:pt>
                <c:pt idx="113">
                  <c:v>2.4069559979764676E-3</c:v>
                </c:pt>
                <c:pt idx="114">
                  <c:v>2.5070347966357834E-3</c:v>
                </c:pt>
                <c:pt idx="115">
                  <c:v>2.62349998948673E-3</c:v>
                </c:pt>
                <c:pt idx="116">
                  <c:v>2.7731749573339792E-3</c:v>
                </c:pt>
                <c:pt idx="117">
                  <c:v>2.9118822278295792E-3</c:v>
                </c:pt>
                <c:pt idx="118">
                  <c:v>3.0544275927786649E-3</c:v>
                </c:pt>
                <c:pt idx="119">
                  <c:v>3.186474217460912E-3</c:v>
                </c:pt>
                <c:pt idx="120">
                  <c:v>3.2990851088430112E-3</c:v>
                </c:pt>
                <c:pt idx="121">
                  <c:v>3.408454267159397E-3</c:v>
                </c:pt>
                <c:pt idx="122">
                  <c:v>3.5171079901359023E-3</c:v>
                </c:pt>
                <c:pt idx="123">
                  <c:v>3.6051631894306949E-3</c:v>
                </c:pt>
                <c:pt idx="124">
                  <c:v>3.6910910989054468E-3</c:v>
                </c:pt>
                <c:pt idx="125">
                  <c:v>3.7748411471454357E-3</c:v>
                </c:pt>
                <c:pt idx="126">
                  <c:v>3.8461051611818411E-3</c:v>
                </c:pt>
                <c:pt idx="127">
                  <c:v>3.9112074920725146E-3</c:v>
                </c:pt>
                <c:pt idx="128">
                  <c:v>3.9660788729157653E-3</c:v>
                </c:pt>
                <c:pt idx="129">
                  <c:v>4.0131510276850829E-3</c:v>
                </c:pt>
                <c:pt idx="130">
                  <c:v>4.0516211577325129E-3</c:v>
                </c:pt>
                <c:pt idx="131">
                  <c:v>4.083993218248344E-3</c:v>
                </c:pt>
                <c:pt idx="132">
                  <c:v>4.1040256182306584E-3</c:v>
                </c:pt>
                <c:pt idx="133">
                  <c:v>4.1198139188352301E-3</c:v>
                </c:pt>
                <c:pt idx="134">
                  <c:v>4.1246916722615934E-3</c:v>
                </c:pt>
                <c:pt idx="135">
                  <c:v>4.1242962976589456E-3</c:v>
                </c:pt>
                <c:pt idx="136">
                  <c:v>4.1139697172444464E-3</c:v>
                </c:pt>
                <c:pt idx="137">
                  <c:v>4.0968909571034579E-3</c:v>
                </c:pt>
                <c:pt idx="138">
                  <c:v>4.0691748311168924E-3</c:v>
                </c:pt>
                <c:pt idx="139">
                  <c:v>4.0372959249237936E-3</c:v>
                </c:pt>
                <c:pt idx="140">
                  <c:v>3.9982427335018139E-3</c:v>
                </c:pt>
                <c:pt idx="141">
                  <c:v>3.9611016555188214E-3</c:v>
                </c:pt>
                <c:pt idx="142">
                  <c:v>3.9237554072641331E-3</c:v>
                </c:pt>
                <c:pt idx="143">
                  <c:v>3.8891699223083318E-3</c:v>
                </c:pt>
                <c:pt idx="144">
                  <c:v>3.8537516446770989E-3</c:v>
                </c:pt>
                <c:pt idx="145">
                  <c:v>3.821766799994665E-3</c:v>
                </c:pt>
                <c:pt idx="146">
                  <c:v>3.7910744890160622E-3</c:v>
                </c:pt>
                <c:pt idx="147">
                  <c:v>3.7617222817185256E-3</c:v>
                </c:pt>
                <c:pt idx="148">
                  <c:v>3.7327987815700542E-3</c:v>
                </c:pt>
                <c:pt idx="149">
                  <c:v>3.7061072937976738E-3</c:v>
                </c:pt>
                <c:pt idx="150">
                  <c:v>3.6799272544603412E-3</c:v>
                </c:pt>
                <c:pt idx="151">
                  <c:v>3.6558948963248961E-3</c:v>
                </c:pt>
                <c:pt idx="152">
                  <c:v>3.6323668240414511E-3</c:v>
                </c:pt>
                <c:pt idx="153">
                  <c:v>3.6117554772473331E-3</c:v>
                </c:pt>
                <c:pt idx="154">
                  <c:v>3.5903960987173772E-3</c:v>
                </c:pt>
                <c:pt idx="155">
                  <c:v>3.5721161224166464E-3</c:v>
                </c:pt>
                <c:pt idx="156">
                  <c:v>3.5535670305584799E-3</c:v>
                </c:pt>
                <c:pt idx="157">
                  <c:v>3.5373044489390229E-3</c:v>
                </c:pt>
                <c:pt idx="158">
                  <c:v>3.5244693866178095E-3</c:v>
                </c:pt>
                <c:pt idx="159">
                  <c:v>3.5100971768851214E-3</c:v>
                </c:pt>
                <c:pt idx="160">
                  <c:v>3.4984829235001624E-3</c:v>
                </c:pt>
                <c:pt idx="161">
                  <c:v>3.4865449265386386E-3</c:v>
                </c:pt>
                <c:pt idx="162">
                  <c:v>3.4773185630380815E-3</c:v>
                </c:pt>
                <c:pt idx="163">
                  <c:v>3.4688278786682014E-3</c:v>
                </c:pt>
                <c:pt idx="164">
                  <c:v>3.4616034658776704E-3</c:v>
                </c:pt>
                <c:pt idx="165">
                  <c:v>3.4561867806147881E-3</c:v>
                </c:pt>
                <c:pt idx="166">
                  <c:v>3.4519506680213696E-3</c:v>
                </c:pt>
                <c:pt idx="167">
                  <c:v>3.4485575740973093E-3</c:v>
                </c:pt>
                <c:pt idx="168">
                  <c:v>3.4465459003542032E-3</c:v>
                </c:pt>
                <c:pt idx="169">
                  <c:v>3.4466831999118361E-3</c:v>
                </c:pt>
                <c:pt idx="170">
                  <c:v>3.4480414608057397E-3</c:v>
                </c:pt>
                <c:pt idx="171">
                  <c:v>3.4498290569182424E-3</c:v>
                </c:pt>
                <c:pt idx="172">
                  <c:v>3.454019458457129E-3</c:v>
                </c:pt>
                <c:pt idx="173">
                  <c:v>3.4589420683568683E-3</c:v>
                </c:pt>
                <c:pt idx="174">
                  <c:v>3.4651828632407192E-3</c:v>
                </c:pt>
                <c:pt idx="175">
                  <c:v>3.4718629717189198E-3</c:v>
                </c:pt>
                <c:pt idx="176">
                  <c:v>3.4783526919089369E-3</c:v>
                </c:pt>
                <c:pt idx="177">
                  <c:v>3.4853263757857675E-3</c:v>
                </c:pt>
                <c:pt idx="178">
                  <c:v>3.4922273574982052E-3</c:v>
                </c:pt>
                <c:pt idx="179">
                  <c:v>3.4974746783155083E-3</c:v>
                </c:pt>
                <c:pt idx="180">
                  <c:v>3.5040098104079861E-3</c:v>
                </c:pt>
                <c:pt idx="181">
                  <c:v>3.5108423168363073E-3</c:v>
                </c:pt>
                <c:pt idx="182">
                  <c:v>3.5160888667339213E-3</c:v>
                </c:pt>
                <c:pt idx="183">
                  <c:v>3.5213918856588852E-3</c:v>
                </c:pt>
                <c:pt idx="184">
                  <c:v>3.527218798083917E-3</c:v>
                </c:pt>
                <c:pt idx="185">
                  <c:v>3.5328689046123657E-3</c:v>
                </c:pt>
                <c:pt idx="186">
                  <c:v>3.5380032249456989E-3</c:v>
                </c:pt>
                <c:pt idx="187">
                  <c:v>3.5426083524158006E-3</c:v>
                </c:pt>
                <c:pt idx="188">
                  <c:v>3.5477679873912454E-3</c:v>
                </c:pt>
                <c:pt idx="189">
                  <c:v>3.5526913673114904E-3</c:v>
                </c:pt>
                <c:pt idx="190">
                  <c:v>3.5559755372593094E-3</c:v>
                </c:pt>
                <c:pt idx="191">
                  <c:v>3.5610506844372738E-3</c:v>
                </c:pt>
                <c:pt idx="192">
                  <c:v>3.5641443169085602E-3</c:v>
                </c:pt>
                <c:pt idx="193">
                  <c:v>3.5692399422344312E-3</c:v>
                </c:pt>
                <c:pt idx="194">
                  <c:v>3.572644362405876E-3</c:v>
                </c:pt>
                <c:pt idx="195">
                  <c:v>3.5766524812560485E-3</c:v>
                </c:pt>
                <c:pt idx="196">
                  <c:v>3.5804320107783935E-3</c:v>
                </c:pt>
                <c:pt idx="197">
                  <c:v>3.5835989882602934E-3</c:v>
                </c:pt>
                <c:pt idx="198">
                  <c:v>3.5868035903857745E-3</c:v>
                </c:pt>
                <c:pt idx="199">
                  <c:v>3.5892429580013582E-3</c:v>
                </c:pt>
                <c:pt idx="200">
                  <c:v>3.5925892116870847E-3</c:v>
                </c:pt>
                <c:pt idx="201">
                  <c:v>3.5951812368659741E-3</c:v>
                </c:pt>
                <c:pt idx="202">
                  <c:v>3.5971935397984267E-3</c:v>
                </c:pt>
                <c:pt idx="203">
                  <c:v>3.5994463865333948E-3</c:v>
                </c:pt>
                <c:pt idx="204">
                  <c:v>3.6015956117772391E-3</c:v>
                </c:pt>
                <c:pt idx="205">
                  <c:v>3.6038681690241658E-3</c:v>
                </c:pt>
                <c:pt idx="206">
                  <c:v>3.6051426863682456E-3</c:v>
                </c:pt>
                <c:pt idx="207">
                  <c:v>3.6072028804035594E-3</c:v>
                </c:pt>
                <c:pt idx="208">
                  <c:v>3.6086180387408656E-3</c:v>
                </c:pt>
                <c:pt idx="209">
                  <c:v>3.6099024913114203E-3</c:v>
                </c:pt>
                <c:pt idx="210">
                  <c:v>3.6109759595437038E-3</c:v>
                </c:pt>
                <c:pt idx="211">
                  <c:v>3.6114447799981825E-3</c:v>
                </c:pt>
                <c:pt idx="212">
                  <c:v>3.6126184981897305E-3</c:v>
                </c:pt>
                <c:pt idx="213">
                  <c:v>3.6132185124276017E-3</c:v>
                </c:pt>
                <c:pt idx="214">
                  <c:v>3.6126905258373476E-3</c:v>
                </c:pt>
                <c:pt idx="215">
                  <c:v>3.6138349467339306E-3</c:v>
                </c:pt>
                <c:pt idx="216">
                  <c:v>3.6125402079515562E-3</c:v>
                </c:pt>
                <c:pt idx="217">
                  <c:v>3.6137826215947369E-3</c:v>
                </c:pt>
                <c:pt idx="218">
                  <c:v>3.6130463318390579E-3</c:v>
                </c:pt>
                <c:pt idx="219">
                  <c:v>3.6130544803613454E-3</c:v>
                </c:pt>
                <c:pt idx="220">
                  <c:v>3.6124187479374126E-3</c:v>
                </c:pt>
                <c:pt idx="221">
                  <c:v>3.6116600795215864E-3</c:v>
                </c:pt>
                <c:pt idx="222">
                  <c:v>3.6106437306717698E-3</c:v>
                </c:pt>
                <c:pt idx="223">
                  <c:v>3.6090907994280816E-3</c:v>
                </c:pt>
                <c:pt idx="224">
                  <c:v>3.608174553162341E-3</c:v>
                </c:pt>
                <c:pt idx="225">
                  <c:v>3.6059194116946774E-3</c:v>
                </c:pt>
                <c:pt idx="226">
                  <c:v>3.6047634410359478E-3</c:v>
                </c:pt>
                <c:pt idx="227">
                  <c:v>3.6017400227207064E-3</c:v>
                </c:pt>
                <c:pt idx="228">
                  <c:v>3.6015513037890509E-3</c:v>
                </c:pt>
                <c:pt idx="229">
                  <c:v>3.5996436073663651E-3</c:v>
                </c:pt>
                <c:pt idx="230">
                  <c:v>3.5981717117249262E-3</c:v>
                </c:pt>
                <c:pt idx="231">
                  <c:v>3.5949316988634628E-3</c:v>
                </c:pt>
                <c:pt idx="232">
                  <c:v>3.5923232575693562E-3</c:v>
                </c:pt>
                <c:pt idx="233">
                  <c:v>3.589444334357178E-3</c:v>
                </c:pt>
                <c:pt idx="234">
                  <c:v>3.5860752763045359E-3</c:v>
                </c:pt>
                <c:pt idx="235">
                  <c:v>3.5830501137893017E-3</c:v>
                </c:pt>
                <c:pt idx="236">
                  <c:v>3.5803728073705715E-3</c:v>
                </c:pt>
                <c:pt idx="237">
                  <c:v>3.5756170314369534E-3</c:v>
                </c:pt>
                <c:pt idx="238">
                  <c:v>3.5714021114305189E-3</c:v>
                </c:pt>
                <c:pt idx="239">
                  <c:v>3.5675652984186387E-3</c:v>
                </c:pt>
                <c:pt idx="240">
                  <c:v>3.5640559659221305E-3</c:v>
                </c:pt>
                <c:pt idx="241">
                  <c:v>3.5592176290933017E-3</c:v>
                </c:pt>
                <c:pt idx="242">
                  <c:v>3.5547088025719778E-3</c:v>
                </c:pt>
                <c:pt idx="243">
                  <c:v>3.5497826613080791E-3</c:v>
                </c:pt>
                <c:pt idx="244">
                  <c:v>3.5444715732360563E-3</c:v>
                </c:pt>
                <c:pt idx="245">
                  <c:v>3.5391074897323724E-3</c:v>
                </c:pt>
                <c:pt idx="246">
                  <c:v>3.5330186707017153E-3</c:v>
                </c:pt>
                <c:pt idx="247">
                  <c:v>3.5277328786518444E-3</c:v>
                </c:pt>
                <c:pt idx="248">
                  <c:v>3.5213271901753246E-3</c:v>
                </c:pt>
                <c:pt idx="249">
                  <c:v>3.5149808428113424E-3</c:v>
                </c:pt>
                <c:pt idx="250">
                  <c:v>3.5084201467211404E-3</c:v>
                </c:pt>
                <c:pt idx="251">
                  <c:v>3.5011402616453718E-3</c:v>
                </c:pt>
                <c:pt idx="252">
                  <c:v>3.4950039785413278E-3</c:v>
                </c:pt>
                <c:pt idx="253">
                  <c:v>3.4876818545681865E-3</c:v>
                </c:pt>
                <c:pt idx="254">
                  <c:v>3.4808954955702839E-3</c:v>
                </c:pt>
                <c:pt idx="255">
                  <c:v>3.473123512214342E-3</c:v>
                </c:pt>
                <c:pt idx="256">
                  <c:v>3.4656287849839512E-3</c:v>
                </c:pt>
                <c:pt idx="257">
                  <c:v>3.457151544563497E-3</c:v>
                </c:pt>
                <c:pt idx="258">
                  <c:v>3.4486991946013762E-3</c:v>
                </c:pt>
                <c:pt idx="259">
                  <c:v>3.4402897854200615E-3</c:v>
                </c:pt>
                <c:pt idx="260">
                  <c:v>3.4316660893421308E-3</c:v>
                </c:pt>
                <c:pt idx="261">
                  <c:v>3.4222870372925263E-3</c:v>
                </c:pt>
                <c:pt idx="262">
                  <c:v>3.4129842641800884E-3</c:v>
                </c:pt>
                <c:pt idx="263">
                  <c:v>3.4036558673339184E-3</c:v>
                </c:pt>
                <c:pt idx="264">
                  <c:v>3.395326166534339E-3</c:v>
                </c:pt>
                <c:pt idx="265">
                  <c:v>3.3854007799584071E-3</c:v>
                </c:pt>
                <c:pt idx="266">
                  <c:v>3.3753994435128595E-3</c:v>
                </c:pt>
                <c:pt idx="267">
                  <c:v>3.3652675531117004E-3</c:v>
                </c:pt>
                <c:pt idx="268">
                  <c:v>3.3545828127917246E-3</c:v>
                </c:pt>
                <c:pt idx="269">
                  <c:v>3.344013011771084E-3</c:v>
                </c:pt>
                <c:pt idx="270">
                  <c:v>3.3328762193754538E-3</c:v>
                </c:pt>
                <c:pt idx="271">
                  <c:v>3.322226929013114E-3</c:v>
                </c:pt>
                <c:pt idx="272">
                  <c:v>3.3094989841579228E-3</c:v>
                </c:pt>
                <c:pt idx="273">
                  <c:v>3.2988262802201504E-3</c:v>
                </c:pt>
                <c:pt idx="274">
                  <c:v>3.2866083182278641E-3</c:v>
                </c:pt>
                <c:pt idx="275">
                  <c:v>3.2760685916352339E-3</c:v>
                </c:pt>
                <c:pt idx="276">
                  <c:v>3.263815468180456E-3</c:v>
                </c:pt>
                <c:pt idx="277">
                  <c:v>3.2512960029699237E-3</c:v>
                </c:pt>
                <c:pt idx="278">
                  <c:v>3.2387794855950822E-3</c:v>
                </c:pt>
                <c:pt idx="279">
                  <c:v>3.2256330789491722E-3</c:v>
                </c:pt>
                <c:pt idx="280">
                  <c:v>3.2126784193398372E-3</c:v>
                </c:pt>
                <c:pt idx="281">
                  <c:v>3.1989316489730441E-3</c:v>
                </c:pt>
                <c:pt idx="282">
                  <c:v>3.1861222393492761E-3</c:v>
                </c:pt>
                <c:pt idx="283">
                  <c:v>3.171635763451898E-3</c:v>
                </c:pt>
                <c:pt idx="284">
                  <c:v>3.1579896503369925E-3</c:v>
                </c:pt>
                <c:pt idx="285">
                  <c:v>3.1433011147714573E-3</c:v>
                </c:pt>
                <c:pt idx="286">
                  <c:v>3.1286676701373431E-3</c:v>
                </c:pt>
                <c:pt idx="287">
                  <c:v>3.1159576917827725E-3</c:v>
                </c:pt>
                <c:pt idx="288">
                  <c:v>3.1002124347151785E-3</c:v>
                </c:pt>
                <c:pt idx="289">
                  <c:v>3.0858977650308275E-3</c:v>
                </c:pt>
                <c:pt idx="290">
                  <c:v>3.0697964516340284E-3</c:v>
                </c:pt>
                <c:pt idx="291">
                  <c:v>3.0549763030110061E-3</c:v>
                </c:pt>
                <c:pt idx="292">
                  <c:v>3.0391211500038137E-3</c:v>
                </c:pt>
                <c:pt idx="293">
                  <c:v>3.0237798040628622E-3</c:v>
                </c:pt>
                <c:pt idx="294">
                  <c:v>3.0084021212544165E-3</c:v>
                </c:pt>
                <c:pt idx="295">
                  <c:v>2.9936765429342121E-3</c:v>
                </c:pt>
                <c:pt idx="296">
                  <c:v>2.9786456176868342E-3</c:v>
                </c:pt>
                <c:pt idx="297">
                  <c:v>2.9644535949364739E-3</c:v>
                </c:pt>
                <c:pt idx="298">
                  <c:v>2.9500803997402694E-3</c:v>
                </c:pt>
                <c:pt idx="299">
                  <c:v>2.9374119017995665E-3</c:v>
                </c:pt>
                <c:pt idx="300">
                  <c:v>2.9238881162341954E-3</c:v>
                </c:pt>
                <c:pt idx="301">
                  <c:v>2.9108622041596269E-3</c:v>
                </c:pt>
                <c:pt idx="302">
                  <c:v>2.8979830157956285E-3</c:v>
                </c:pt>
                <c:pt idx="303">
                  <c:v>2.8849650456881371E-3</c:v>
                </c:pt>
                <c:pt idx="304">
                  <c:v>2.8726219182670168E-3</c:v>
                </c:pt>
                <c:pt idx="305">
                  <c:v>2.8600266707003372E-3</c:v>
                </c:pt>
                <c:pt idx="306">
                  <c:v>2.8487269983644772E-3</c:v>
                </c:pt>
                <c:pt idx="307">
                  <c:v>2.8364389895369074E-3</c:v>
                </c:pt>
                <c:pt idx="308">
                  <c:v>2.8248897496609623E-3</c:v>
                </c:pt>
                <c:pt idx="309">
                  <c:v>2.8131753236497262E-3</c:v>
                </c:pt>
                <c:pt idx="310">
                  <c:v>2.8030751971128906E-3</c:v>
                </c:pt>
                <c:pt idx="311">
                  <c:v>2.7936058737131897E-3</c:v>
                </c:pt>
                <c:pt idx="312">
                  <c:v>2.782896511766178E-3</c:v>
                </c:pt>
                <c:pt idx="313">
                  <c:v>2.7734039170937558E-3</c:v>
                </c:pt>
                <c:pt idx="314">
                  <c:v>2.7630815301603814E-3</c:v>
                </c:pt>
                <c:pt idx="315">
                  <c:v>2.7536570406211866E-3</c:v>
                </c:pt>
                <c:pt idx="316">
                  <c:v>2.7440419959955178E-3</c:v>
                </c:pt>
                <c:pt idx="317">
                  <c:v>2.73559943194919E-3</c:v>
                </c:pt>
                <c:pt idx="318">
                  <c:v>2.726418397739315E-3</c:v>
                </c:pt>
                <c:pt idx="319">
                  <c:v>2.7179859769314724E-3</c:v>
                </c:pt>
                <c:pt idx="320">
                  <c:v>2.7097210515364262E-3</c:v>
                </c:pt>
                <c:pt idx="321">
                  <c:v>2.7013666600197647E-3</c:v>
                </c:pt>
                <c:pt idx="322">
                  <c:v>2.6950717786507414E-3</c:v>
                </c:pt>
                <c:pt idx="323">
                  <c:v>2.6871087728849163E-3</c:v>
                </c:pt>
                <c:pt idx="324">
                  <c:v>2.6804842431305889E-3</c:v>
                </c:pt>
                <c:pt idx="325">
                  <c:v>2.673277965108814E-3</c:v>
                </c:pt>
                <c:pt idx="326">
                  <c:v>2.6669862090798607E-3</c:v>
                </c:pt>
                <c:pt idx="327">
                  <c:v>2.6605473108102101E-3</c:v>
                </c:pt>
                <c:pt idx="328">
                  <c:v>2.6543743256377261E-3</c:v>
                </c:pt>
                <c:pt idx="329">
                  <c:v>2.6486921862250642E-3</c:v>
                </c:pt>
                <c:pt idx="330">
                  <c:v>2.6432586672924321E-3</c:v>
                </c:pt>
                <c:pt idx="331">
                  <c:v>2.6370699705862907E-3</c:v>
                </c:pt>
                <c:pt idx="332">
                  <c:v>2.6325933694635456E-3</c:v>
                </c:pt>
                <c:pt idx="333">
                  <c:v>2.6280287373852892E-3</c:v>
                </c:pt>
                <c:pt idx="334">
                  <c:v>2.6242997238121388E-3</c:v>
                </c:pt>
                <c:pt idx="335">
                  <c:v>2.6199478691632597E-3</c:v>
                </c:pt>
                <c:pt idx="336">
                  <c:v>2.6161973896867419E-3</c:v>
                </c:pt>
                <c:pt idx="337">
                  <c:v>2.6126104869710828E-3</c:v>
                </c:pt>
                <c:pt idx="338">
                  <c:v>2.6091845836447719E-3</c:v>
                </c:pt>
                <c:pt idx="339">
                  <c:v>2.6061337990117422E-3</c:v>
                </c:pt>
                <c:pt idx="340">
                  <c:v>2.6030129053528986E-3</c:v>
                </c:pt>
                <c:pt idx="341">
                  <c:v>2.6008236438679055E-3</c:v>
                </c:pt>
                <c:pt idx="342">
                  <c:v>2.5984275669562601E-3</c:v>
                </c:pt>
                <c:pt idx="343">
                  <c:v>2.596248406693244E-3</c:v>
                </c:pt>
                <c:pt idx="344">
                  <c:v>2.5946833607647796E-3</c:v>
                </c:pt>
                <c:pt idx="345">
                  <c:v>2.5927036660647884E-3</c:v>
                </c:pt>
                <c:pt idx="346">
                  <c:v>2.5926758400198688E-3</c:v>
                </c:pt>
                <c:pt idx="347">
                  <c:v>2.5908960908511899E-3</c:v>
                </c:pt>
                <c:pt idx="348">
                  <c:v>2.5905305414119437E-3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052096"/>
        <c:axId val="370070272"/>
      </c:lineChart>
      <c:dateAx>
        <c:axId val="37005209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70070272"/>
        <c:crosses val="autoZero"/>
        <c:auto val="1"/>
        <c:lblOffset val="100"/>
        <c:baseTimeUnit val="months"/>
      </c:dateAx>
      <c:valAx>
        <c:axId val="370070272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70052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140540820555325"/>
          <c:y val="4.1292477203068834E-2"/>
          <c:w val="0.85705415112584615"/>
          <c:h val="0.79713381559919805"/>
        </c:manualLayout>
      </c:layout>
      <c:lineChart>
        <c:grouping val="standard"/>
        <c:varyColors val="0"/>
        <c:ser>
          <c:idx val="0"/>
          <c:order val="0"/>
          <c:tx>
            <c:v>3M Curve</c:v>
          </c:tx>
          <c:marker>
            <c:symbol val="none"/>
          </c:marker>
          <c:cat>
            <c:numRef>
              <c:f>'basis 3M'!$M$2:$M$581</c:f>
              <c:numCache>
                <c:formatCode>ddd\,\ dd\-mmm\-yyyy</c:formatCode>
                <c:ptCount val="580"/>
                <c:pt idx="0">
                  <c:v>41891</c:v>
                </c:pt>
                <c:pt idx="1">
                  <c:v>41921</c:v>
                </c:pt>
                <c:pt idx="2">
                  <c:v>41953</c:v>
                </c:pt>
                <c:pt idx="3">
                  <c:v>41983</c:v>
                </c:pt>
                <c:pt idx="4">
                  <c:v>42016</c:v>
                </c:pt>
                <c:pt idx="5">
                  <c:v>42047</c:v>
                </c:pt>
                <c:pt idx="6">
                  <c:v>42075</c:v>
                </c:pt>
                <c:pt idx="7">
                  <c:v>42107</c:v>
                </c:pt>
                <c:pt idx="8">
                  <c:v>42137</c:v>
                </c:pt>
                <c:pt idx="9">
                  <c:v>42170</c:v>
                </c:pt>
                <c:pt idx="10">
                  <c:v>42200</c:v>
                </c:pt>
                <c:pt idx="11">
                  <c:v>42233</c:v>
                </c:pt>
                <c:pt idx="12">
                  <c:v>42264</c:v>
                </c:pt>
                <c:pt idx="13">
                  <c:v>42296</c:v>
                </c:pt>
                <c:pt idx="14">
                  <c:v>42327</c:v>
                </c:pt>
                <c:pt idx="15">
                  <c:v>42359</c:v>
                </c:pt>
                <c:pt idx="16">
                  <c:v>42390</c:v>
                </c:pt>
                <c:pt idx="17">
                  <c:v>42422</c:v>
                </c:pt>
                <c:pt idx="18">
                  <c:v>42451</c:v>
                </c:pt>
                <c:pt idx="19">
                  <c:v>42482</c:v>
                </c:pt>
                <c:pt idx="20">
                  <c:v>42513</c:v>
                </c:pt>
                <c:pt idx="21">
                  <c:v>42544</c:v>
                </c:pt>
                <c:pt idx="22">
                  <c:v>42576</c:v>
                </c:pt>
                <c:pt idx="23">
                  <c:v>42607</c:v>
                </c:pt>
                <c:pt idx="24">
                  <c:v>42639</c:v>
                </c:pt>
                <c:pt idx="25">
                  <c:v>42669</c:v>
                </c:pt>
                <c:pt idx="26">
                  <c:v>42702</c:v>
                </c:pt>
                <c:pt idx="27">
                  <c:v>42732</c:v>
                </c:pt>
                <c:pt idx="28">
                  <c:v>42765</c:v>
                </c:pt>
                <c:pt idx="29">
                  <c:v>42794</c:v>
                </c:pt>
                <c:pt idx="30">
                  <c:v>42822</c:v>
                </c:pt>
                <c:pt idx="31">
                  <c:v>42853</c:v>
                </c:pt>
                <c:pt idx="32">
                  <c:v>42884</c:v>
                </c:pt>
                <c:pt idx="33">
                  <c:v>42915</c:v>
                </c:pt>
                <c:pt idx="34">
                  <c:v>42947</c:v>
                </c:pt>
                <c:pt idx="35">
                  <c:v>42978</c:v>
                </c:pt>
                <c:pt idx="36">
                  <c:v>43011</c:v>
                </c:pt>
                <c:pt idx="37">
                  <c:v>43042</c:v>
                </c:pt>
                <c:pt idx="38">
                  <c:v>43073</c:v>
                </c:pt>
                <c:pt idx="39">
                  <c:v>43104</c:v>
                </c:pt>
                <c:pt idx="40">
                  <c:v>43136</c:v>
                </c:pt>
                <c:pt idx="41">
                  <c:v>43164</c:v>
                </c:pt>
                <c:pt idx="42">
                  <c:v>43195</c:v>
                </c:pt>
                <c:pt idx="43">
                  <c:v>43227</c:v>
                </c:pt>
                <c:pt idx="44">
                  <c:v>43258</c:v>
                </c:pt>
                <c:pt idx="45">
                  <c:v>43290</c:v>
                </c:pt>
                <c:pt idx="46">
                  <c:v>43321</c:v>
                </c:pt>
                <c:pt idx="47">
                  <c:v>43353</c:v>
                </c:pt>
                <c:pt idx="48">
                  <c:v>43383</c:v>
                </c:pt>
                <c:pt idx="49">
                  <c:v>43416</c:v>
                </c:pt>
                <c:pt idx="50">
                  <c:v>43446</c:v>
                </c:pt>
                <c:pt idx="51">
                  <c:v>43479</c:v>
                </c:pt>
                <c:pt idx="52">
                  <c:v>43510</c:v>
                </c:pt>
                <c:pt idx="53">
                  <c:v>43538</c:v>
                </c:pt>
                <c:pt idx="54">
                  <c:v>43570</c:v>
                </c:pt>
                <c:pt idx="55">
                  <c:v>43600</c:v>
                </c:pt>
                <c:pt idx="56">
                  <c:v>43633</c:v>
                </c:pt>
                <c:pt idx="57">
                  <c:v>43663</c:v>
                </c:pt>
                <c:pt idx="58">
                  <c:v>43696</c:v>
                </c:pt>
                <c:pt idx="59">
                  <c:v>43727</c:v>
                </c:pt>
                <c:pt idx="60">
                  <c:v>43759</c:v>
                </c:pt>
                <c:pt idx="61">
                  <c:v>43790</c:v>
                </c:pt>
                <c:pt idx="62">
                  <c:v>43822</c:v>
                </c:pt>
                <c:pt idx="63">
                  <c:v>43853</c:v>
                </c:pt>
                <c:pt idx="64">
                  <c:v>43885</c:v>
                </c:pt>
                <c:pt idx="65">
                  <c:v>43914</c:v>
                </c:pt>
                <c:pt idx="66">
                  <c:v>43945</c:v>
                </c:pt>
                <c:pt idx="67">
                  <c:v>43976</c:v>
                </c:pt>
                <c:pt idx="68">
                  <c:v>44007</c:v>
                </c:pt>
                <c:pt idx="69">
                  <c:v>44039</c:v>
                </c:pt>
                <c:pt idx="70">
                  <c:v>44070</c:v>
                </c:pt>
                <c:pt idx="71">
                  <c:v>44102</c:v>
                </c:pt>
                <c:pt idx="72">
                  <c:v>44132</c:v>
                </c:pt>
                <c:pt idx="73">
                  <c:v>44165</c:v>
                </c:pt>
                <c:pt idx="74">
                  <c:v>44195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44319</c:v>
                </c:pt>
                <c:pt idx="79">
                  <c:v>44350</c:v>
                </c:pt>
                <c:pt idx="80">
                  <c:v>44382</c:v>
                </c:pt>
                <c:pt idx="81">
                  <c:v>44413</c:v>
                </c:pt>
                <c:pt idx="82">
                  <c:v>44445</c:v>
                </c:pt>
                <c:pt idx="83">
                  <c:v>44475</c:v>
                </c:pt>
                <c:pt idx="84">
                  <c:v>44508</c:v>
                </c:pt>
                <c:pt idx="85">
                  <c:v>44538</c:v>
                </c:pt>
                <c:pt idx="86">
                  <c:v>44571</c:v>
                </c:pt>
                <c:pt idx="87">
                  <c:v>44602</c:v>
                </c:pt>
                <c:pt idx="88">
                  <c:v>44630</c:v>
                </c:pt>
                <c:pt idx="89">
                  <c:v>44662</c:v>
                </c:pt>
                <c:pt idx="90">
                  <c:v>44692</c:v>
                </c:pt>
                <c:pt idx="91">
                  <c:v>44726</c:v>
                </c:pt>
                <c:pt idx="92">
                  <c:v>44756</c:v>
                </c:pt>
                <c:pt idx="93">
                  <c:v>44788</c:v>
                </c:pt>
                <c:pt idx="94">
                  <c:v>44819</c:v>
                </c:pt>
                <c:pt idx="95">
                  <c:v>44851</c:v>
                </c:pt>
                <c:pt idx="96">
                  <c:v>44882</c:v>
                </c:pt>
                <c:pt idx="97">
                  <c:v>44914</c:v>
                </c:pt>
                <c:pt idx="98">
                  <c:v>44945</c:v>
                </c:pt>
                <c:pt idx="99">
                  <c:v>44977</c:v>
                </c:pt>
                <c:pt idx="100">
                  <c:v>45005</c:v>
                </c:pt>
                <c:pt idx="101">
                  <c:v>45036</c:v>
                </c:pt>
                <c:pt idx="102">
                  <c:v>45068</c:v>
                </c:pt>
                <c:pt idx="103">
                  <c:v>45099</c:v>
                </c:pt>
                <c:pt idx="104">
                  <c:v>45131</c:v>
                </c:pt>
                <c:pt idx="105">
                  <c:v>45162</c:v>
                </c:pt>
                <c:pt idx="106">
                  <c:v>45194</c:v>
                </c:pt>
                <c:pt idx="107">
                  <c:v>45224</c:v>
                </c:pt>
                <c:pt idx="108">
                  <c:v>45257</c:v>
                </c:pt>
                <c:pt idx="109">
                  <c:v>45287</c:v>
                </c:pt>
                <c:pt idx="110">
                  <c:v>45320</c:v>
                </c:pt>
                <c:pt idx="111">
                  <c:v>45351</c:v>
                </c:pt>
                <c:pt idx="112">
                  <c:v>45384</c:v>
                </c:pt>
                <c:pt idx="113">
                  <c:v>45414</c:v>
                </c:pt>
                <c:pt idx="114">
                  <c:v>45446</c:v>
                </c:pt>
                <c:pt idx="115">
                  <c:v>45476</c:v>
                </c:pt>
                <c:pt idx="116">
                  <c:v>45510</c:v>
                </c:pt>
                <c:pt idx="117">
                  <c:v>45541</c:v>
                </c:pt>
                <c:pt idx="118">
                  <c:v>45573</c:v>
                </c:pt>
                <c:pt idx="119">
                  <c:v>45604</c:v>
                </c:pt>
                <c:pt idx="120">
                  <c:v>45635</c:v>
                </c:pt>
                <c:pt idx="121">
                  <c:v>45666</c:v>
                </c:pt>
                <c:pt idx="122">
                  <c:v>45698</c:v>
                </c:pt>
                <c:pt idx="123">
                  <c:v>45726</c:v>
                </c:pt>
                <c:pt idx="124">
                  <c:v>45757</c:v>
                </c:pt>
                <c:pt idx="125">
                  <c:v>45789</c:v>
                </c:pt>
                <c:pt idx="126">
                  <c:v>45820</c:v>
                </c:pt>
                <c:pt idx="127">
                  <c:v>45852</c:v>
                </c:pt>
                <c:pt idx="128">
                  <c:v>45883</c:v>
                </c:pt>
                <c:pt idx="129">
                  <c:v>45915</c:v>
                </c:pt>
                <c:pt idx="130">
                  <c:v>45945</c:v>
                </c:pt>
                <c:pt idx="131">
                  <c:v>45978</c:v>
                </c:pt>
                <c:pt idx="132">
                  <c:v>46008</c:v>
                </c:pt>
                <c:pt idx="133">
                  <c:v>46041</c:v>
                </c:pt>
                <c:pt idx="134">
                  <c:v>46072</c:v>
                </c:pt>
                <c:pt idx="135">
                  <c:v>46100</c:v>
                </c:pt>
                <c:pt idx="136">
                  <c:v>46132</c:v>
                </c:pt>
                <c:pt idx="137">
                  <c:v>46162</c:v>
                </c:pt>
                <c:pt idx="138">
                  <c:v>46195</c:v>
                </c:pt>
                <c:pt idx="139">
                  <c:v>46225</c:v>
                </c:pt>
                <c:pt idx="140">
                  <c:v>46258</c:v>
                </c:pt>
                <c:pt idx="141">
                  <c:v>46289</c:v>
                </c:pt>
                <c:pt idx="142">
                  <c:v>46321</c:v>
                </c:pt>
                <c:pt idx="143">
                  <c:v>46352</c:v>
                </c:pt>
                <c:pt idx="144">
                  <c:v>46385</c:v>
                </c:pt>
                <c:pt idx="145">
                  <c:v>46416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46917</c:v>
                </c:pt>
                <c:pt idx="162">
                  <c:v>46947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47512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48009</c:v>
                </c:pt>
                <c:pt idx="197">
                  <c:v>48039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48695</c:v>
                </c:pt>
                <c:pt idx="219">
                  <c:v>48725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49220</c:v>
                </c:pt>
                <c:pt idx="236">
                  <c:v>49251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50935</c:v>
                </c:pt>
                <c:pt idx="291">
                  <c:v>50965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51530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52027</c:v>
                </c:pt>
                <c:pt idx="326">
                  <c:v>52057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52713</c:v>
                </c:pt>
                <c:pt idx="348">
                  <c:v>52743</c:v>
                </c:pt>
              </c:numCache>
            </c:numRef>
          </c:cat>
          <c:val>
            <c:numRef>
              <c:f>'basis 3M'!$Q$2:$Q$581</c:f>
              <c:numCache>
                <c:formatCode>0.0000%</c:formatCode>
                <c:ptCount val="580"/>
                <c:pt idx="0">
                  <c:v>2.6251446758763786E-2</c:v>
                </c:pt>
                <c:pt idx="1">
                  <c:v>2.6248225389198229E-2</c:v>
                </c:pt>
                <c:pt idx="2">
                  <c:v>2.6247013409427169E-2</c:v>
                </c:pt>
                <c:pt idx="3">
                  <c:v>2.6249372454726597E-2</c:v>
                </c:pt>
                <c:pt idx="4">
                  <c:v>2.6250863542150674E-2</c:v>
                </c:pt>
                <c:pt idx="5">
                  <c:v>2.6263849988668878E-2</c:v>
                </c:pt>
                <c:pt idx="6">
                  <c:v>2.6329330231050229E-2</c:v>
                </c:pt>
                <c:pt idx="7">
                  <c:v>2.6470462621446072E-2</c:v>
                </c:pt>
                <c:pt idx="8">
                  <c:v>2.6674460621087463E-2</c:v>
                </c:pt>
                <c:pt idx="9">
                  <c:v>2.693366791402755E-2</c:v>
                </c:pt>
                <c:pt idx="10">
                  <c:v>2.7182098776927833E-2</c:v>
                </c:pt>
                <c:pt idx="11">
                  <c:v>2.7470628388873441E-2</c:v>
                </c:pt>
                <c:pt idx="12">
                  <c:v>2.7759995669262932E-2</c:v>
                </c:pt>
                <c:pt idx="13">
                  <c:v>2.8107729338740409E-2</c:v>
                </c:pt>
                <c:pt idx="14">
                  <c:v>2.8484819127631299E-2</c:v>
                </c:pt>
                <c:pt idx="15">
                  <c:v>2.8924377075813235E-2</c:v>
                </c:pt>
                <c:pt idx="16">
                  <c:v>2.9414049756621312E-2</c:v>
                </c:pt>
                <c:pt idx="17">
                  <c:v>2.994147368188254E-2</c:v>
                </c:pt>
                <c:pt idx="18">
                  <c:v>3.0412160639127252E-2</c:v>
                </c:pt>
                <c:pt idx="19">
                  <c:v>3.0854818732264231E-2</c:v>
                </c:pt>
                <c:pt idx="20">
                  <c:v>3.1265943887627677E-2</c:v>
                </c:pt>
                <c:pt idx="21">
                  <c:v>3.1622189474569913E-2</c:v>
                </c:pt>
                <c:pt idx="22">
                  <c:v>3.1947400065486783E-2</c:v>
                </c:pt>
                <c:pt idx="23">
                  <c:v>3.22371915095363E-2</c:v>
                </c:pt>
                <c:pt idx="24">
                  <c:v>3.2533393687349713E-2</c:v>
                </c:pt>
                <c:pt idx="25">
                  <c:v>3.2805962632793902E-2</c:v>
                </c:pt>
                <c:pt idx="26">
                  <c:v>3.3100779619611921E-2</c:v>
                </c:pt>
                <c:pt idx="27">
                  <c:v>3.3363020911947157E-2</c:v>
                </c:pt>
                <c:pt idx="28">
                  <c:v>3.3653598181975733E-2</c:v>
                </c:pt>
                <c:pt idx="29">
                  <c:v>3.3945378086666568E-2</c:v>
                </c:pt>
                <c:pt idx="30">
                  <c:v>3.4204148255290452E-2</c:v>
                </c:pt>
                <c:pt idx="31">
                  <c:v>3.4504135355590486E-2</c:v>
                </c:pt>
                <c:pt idx="32">
                  <c:v>3.4779994398349313E-2</c:v>
                </c:pt>
                <c:pt idx="33">
                  <c:v>3.5069330514614902E-2</c:v>
                </c:pt>
                <c:pt idx="34">
                  <c:v>3.5367819934807962E-2</c:v>
                </c:pt>
                <c:pt idx="35">
                  <c:v>3.5648560464192056E-2</c:v>
                </c:pt>
                <c:pt idx="36">
                  <c:v>3.5956077061501376E-2</c:v>
                </c:pt>
                <c:pt idx="37">
                  <c:v>3.6246600989340398E-2</c:v>
                </c:pt>
                <c:pt idx="38">
                  <c:v>3.6501457416132463E-2</c:v>
                </c:pt>
                <c:pt idx="39">
                  <c:v>3.6764113362365382E-2</c:v>
                </c:pt>
                <c:pt idx="40">
                  <c:v>3.7042718264748656E-2</c:v>
                </c:pt>
                <c:pt idx="41">
                  <c:v>3.7283052206023654E-2</c:v>
                </c:pt>
                <c:pt idx="42">
                  <c:v>3.753199410770458E-2</c:v>
                </c:pt>
                <c:pt idx="43">
                  <c:v>3.7796142201153154E-2</c:v>
                </c:pt>
                <c:pt idx="44">
                  <c:v>3.8041478107546677E-2</c:v>
                </c:pt>
                <c:pt idx="45">
                  <c:v>3.8289985366168837E-2</c:v>
                </c:pt>
                <c:pt idx="46">
                  <c:v>3.8527292219646993E-2</c:v>
                </c:pt>
                <c:pt idx="47">
                  <c:v>3.8764411314888773E-2</c:v>
                </c:pt>
                <c:pt idx="48">
                  <c:v>3.8997341910259518E-2</c:v>
                </c:pt>
                <c:pt idx="49">
                  <c:v>3.9246664232662348E-2</c:v>
                </c:pt>
                <c:pt idx="50">
                  <c:v>3.9461104120276196E-2</c:v>
                </c:pt>
                <c:pt idx="51">
                  <c:v>3.9715334482560372E-2</c:v>
                </c:pt>
                <c:pt idx="52">
                  <c:v>3.9936312846365833E-2</c:v>
                </c:pt>
                <c:pt idx="53">
                  <c:v>4.016402531592201E-2</c:v>
                </c:pt>
                <c:pt idx="54">
                  <c:v>4.0397541069133465E-2</c:v>
                </c:pt>
                <c:pt idx="55">
                  <c:v>4.0627584174175696E-2</c:v>
                </c:pt>
                <c:pt idx="56">
                  <c:v>4.0873587196572803E-2</c:v>
                </c:pt>
                <c:pt idx="57">
                  <c:v>4.1096228352618495E-2</c:v>
                </c:pt>
                <c:pt idx="58">
                  <c:v>4.1337996549259126E-2</c:v>
                </c:pt>
                <c:pt idx="59">
                  <c:v>4.1554197436173154E-2</c:v>
                </c:pt>
                <c:pt idx="60">
                  <c:v>4.1782659560012425E-2</c:v>
                </c:pt>
                <c:pt idx="61">
                  <c:v>4.1991831346943349E-2</c:v>
                </c:pt>
                <c:pt idx="62">
                  <c:v>4.2195449421528572E-2</c:v>
                </c:pt>
                <c:pt idx="63">
                  <c:v>4.2391710086879038E-2</c:v>
                </c:pt>
                <c:pt idx="64">
                  <c:v>4.2587595550436362E-2</c:v>
                </c:pt>
                <c:pt idx="65">
                  <c:v>4.2764586907491915E-2</c:v>
                </c:pt>
                <c:pt idx="66">
                  <c:v>4.2936515217670369E-2</c:v>
                </c:pt>
                <c:pt idx="67">
                  <c:v>4.3112592891295168E-2</c:v>
                </c:pt>
                <c:pt idx="68">
                  <c:v>4.3276999937216613E-2</c:v>
                </c:pt>
                <c:pt idx="69">
                  <c:v>4.3439999143311217E-2</c:v>
                </c:pt>
                <c:pt idx="70">
                  <c:v>4.3591402282482004E-2</c:v>
                </c:pt>
                <c:pt idx="71">
                  <c:v>4.3740976522234847E-2</c:v>
                </c:pt>
                <c:pt idx="72">
                  <c:v>4.3875008276898775E-2</c:v>
                </c:pt>
                <c:pt idx="73">
                  <c:v>4.3996838672553183E-2</c:v>
                </c:pt>
                <c:pt idx="74">
                  <c:v>4.4127794373270059E-2</c:v>
                </c:pt>
                <c:pt idx="75">
                  <c:v>4.4259133560108438E-2</c:v>
                </c:pt>
                <c:pt idx="76">
                  <c:v>4.4365400756576918E-2</c:v>
                </c:pt>
                <c:pt idx="77">
                  <c:v>4.4467674898519195E-2</c:v>
                </c:pt>
                <c:pt idx="78">
                  <c:v>4.4575303039727412E-2</c:v>
                </c:pt>
                <c:pt idx="79">
                  <c:v>4.4668878376674284E-2</c:v>
                </c:pt>
                <c:pt idx="80">
                  <c:v>4.4758996568362075E-2</c:v>
                </c:pt>
                <c:pt idx="81">
                  <c:v>4.4842038714475028E-2</c:v>
                </c:pt>
                <c:pt idx="82">
                  <c:v>4.4922240719775512E-2</c:v>
                </c:pt>
                <c:pt idx="83">
                  <c:v>4.5006447436393038E-2</c:v>
                </c:pt>
                <c:pt idx="84">
                  <c:v>4.5096554981166589E-2</c:v>
                </c:pt>
                <c:pt idx="85">
                  <c:v>4.5171853562499781E-2</c:v>
                </c:pt>
                <c:pt idx="86">
                  <c:v>4.5270085902617302E-2</c:v>
                </c:pt>
                <c:pt idx="87">
                  <c:v>4.5351719064128805E-2</c:v>
                </c:pt>
                <c:pt idx="88">
                  <c:v>4.544768904966804E-2</c:v>
                </c:pt>
                <c:pt idx="89">
                  <c:v>4.5540111352177982E-2</c:v>
                </c:pt>
                <c:pt idx="90">
                  <c:v>4.5637000500242428E-2</c:v>
                </c:pt>
                <c:pt idx="91">
                  <c:v>4.5743925967681412E-2</c:v>
                </c:pt>
                <c:pt idx="92">
                  <c:v>4.5840101271877161E-2</c:v>
                </c:pt>
                <c:pt idx="93">
                  <c:v>4.5944578688109874E-2</c:v>
                </c:pt>
                <c:pt idx="94">
                  <c:v>4.6043067559938332E-2</c:v>
                </c:pt>
                <c:pt idx="95">
                  <c:v>4.615597190234362E-2</c:v>
                </c:pt>
                <c:pt idx="96">
                  <c:v>4.626276792305669E-2</c:v>
                </c:pt>
                <c:pt idx="97">
                  <c:v>4.6370214118636004E-2</c:v>
                </c:pt>
                <c:pt idx="98">
                  <c:v>4.6475931156258934E-2</c:v>
                </c:pt>
                <c:pt idx="99">
                  <c:v>4.6596650600192357E-2</c:v>
                </c:pt>
                <c:pt idx="100">
                  <c:v>4.6704562706975601E-2</c:v>
                </c:pt>
                <c:pt idx="101">
                  <c:v>4.6815571526316699E-2</c:v>
                </c:pt>
                <c:pt idx="102">
                  <c:v>4.694201974957278E-2</c:v>
                </c:pt>
                <c:pt idx="103">
                  <c:v>4.7061642449712733E-2</c:v>
                </c:pt>
                <c:pt idx="104">
                  <c:v>4.7187046613854401E-2</c:v>
                </c:pt>
                <c:pt idx="105">
                  <c:v>4.7310394652428568E-2</c:v>
                </c:pt>
                <c:pt idx="106">
                  <c:v>4.7444765479089851E-2</c:v>
                </c:pt>
                <c:pt idx="107">
                  <c:v>4.7562590973550228E-2</c:v>
                </c:pt>
                <c:pt idx="108">
                  <c:v>4.7699815387895868E-2</c:v>
                </c:pt>
                <c:pt idx="109">
                  <c:v>4.7821109958381826E-2</c:v>
                </c:pt>
                <c:pt idx="110">
                  <c:v>4.796225204311981E-2</c:v>
                </c:pt>
                <c:pt idx="111">
                  <c:v>4.8102088514815122E-2</c:v>
                </c:pt>
                <c:pt idx="112">
                  <c:v>4.8241905995319016E-2</c:v>
                </c:pt>
                <c:pt idx="113">
                  <c:v>4.8381137190951815E-2</c:v>
                </c:pt>
                <c:pt idx="114">
                  <c:v>4.8525778214016435E-2</c:v>
                </c:pt>
                <c:pt idx="115">
                  <c:v>4.8662953879436456E-2</c:v>
                </c:pt>
                <c:pt idx="116">
                  <c:v>4.8817865139142082E-2</c:v>
                </c:pt>
                <c:pt idx="117">
                  <c:v>4.8950046348910606E-2</c:v>
                </c:pt>
                <c:pt idx="118">
                  <c:v>4.9090900109506182E-2</c:v>
                </c:pt>
                <c:pt idx="119">
                  <c:v>4.9225474179519328E-2</c:v>
                </c:pt>
                <c:pt idx="120">
                  <c:v>4.9327234100656585E-2</c:v>
                </c:pt>
                <c:pt idx="121">
                  <c:v>4.9432638997360369E-2</c:v>
                </c:pt>
                <c:pt idx="122">
                  <c:v>4.9544340991733056E-2</c:v>
                </c:pt>
                <c:pt idx="123">
                  <c:v>4.9636450730122739E-2</c:v>
                </c:pt>
                <c:pt idx="124">
                  <c:v>4.9721685795823832E-2</c:v>
                </c:pt>
                <c:pt idx="125">
                  <c:v>4.981197183961121E-2</c:v>
                </c:pt>
                <c:pt idx="126">
                  <c:v>4.9887819490658437E-2</c:v>
                </c:pt>
                <c:pt idx="127">
                  <c:v>4.9958835274189706E-2</c:v>
                </c:pt>
                <c:pt idx="128">
                  <c:v>5.0020580337537E-2</c:v>
                </c:pt>
                <c:pt idx="129">
                  <c:v>5.0072847088175582E-2</c:v>
                </c:pt>
                <c:pt idx="130">
                  <c:v>5.0123250562728455E-2</c:v>
                </c:pt>
                <c:pt idx="131">
                  <c:v>5.016657715778463E-2</c:v>
                </c:pt>
                <c:pt idx="132">
                  <c:v>5.0191394568174133E-2</c:v>
                </c:pt>
                <c:pt idx="133">
                  <c:v>5.0223694765008278E-2</c:v>
                </c:pt>
                <c:pt idx="134">
                  <c:v>5.0235934280578043E-2</c:v>
                </c:pt>
                <c:pt idx="135">
                  <c:v>5.0258465962722973E-2</c:v>
                </c:pt>
                <c:pt idx="136">
                  <c:v>5.0261338283039789E-2</c:v>
                </c:pt>
                <c:pt idx="137">
                  <c:v>5.0263965114133405E-2</c:v>
                </c:pt>
                <c:pt idx="138">
                  <c:v>5.0255602227230321E-2</c:v>
                </c:pt>
                <c:pt idx="139">
                  <c:v>5.0242481840152647E-2</c:v>
                </c:pt>
                <c:pt idx="140">
                  <c:v>5.0225495970798589E-2</c:v>
                </c:pt>
                <c:pt idx="141">
                  <c:v>5.0207256502149654E-2</c:v>
                </c:pt>
                <c:pt idx="142">
                  <c:v>5.0201208211032244E-2</c:v>
                </c:pt>
                <c:pt idx="143">
                  <c:v>5.0188640875503794E-2</c:v>
                </c:pt>
                <c:pt idx="144">
                  <c:v>5.0178524633632073E-2</c:v>
                </c:pt>
                <c:pt idx="145">
                  <c:v>5.0175101903284849E-2</c:v>
                </c:pt>
                <c:pt idx="146">
                  <c:v>5.0178009115581484E-2</c:v>
                </c:pt>
                <c:pt idx="147">
                  <c:v>5.0176831821569942E-2</c:v>
                </c:pt>
                <c:pt idx="148">
                  <c:v>5.0185764517924149E-2</c:v>
                </c:pt>
                <c:pt idx="149">
                  <c:v>5.0193915072160693E-2</c:v>
                </c:pt>
                <c:pt idx="150">
                  <c:v>5.0205327251672482E-2</c:v>
                </c:pt>
                <c:pt idx="151">
                  <c:v>5.0219287819478001E-2</c:v>
                </c:pt>
                <c:pt idx="152">
                  <c:v>5.023293689381178E-2</c:v>
                </c:pt>
                <c:pt idx="153">
                  <c:v>5.0255785803696836E-2</c:v>
                </c:pt>
                <c:pt idx="154">
                  <c:v>5.0279875507409783E-2</c:v>
                </c:pt>
                <c:pt idx="155">
                  <c:v>5.0300678493366613E-2</c:v>
                </c:pt>
                <c:pt idx="156">
                  <c:v>5.0330900247058677E-2</c:v>
                </c:pt>
                <c:pt idx="157">
                  <c:v>5.0358230992713478E-2</c:v>
                </c:pt>
                <c:pt idx="158">
                  <c:v>5.0410394979515001E-2</c:v>
                </c:pt>
                <c:pt idx="159">
                  <c:v>5.0431023128501277E-2</c:v>
                </c:pt>
                <c:pt idx="160">
                  <c:v>5.0473590710701663E-2</c:v>
                </c:pt>
                <c:pt idx="161">
                  <c:v>5.0520412721240728E-2</c:v>
                </c:pt>
                <c:pt idx="162">
                  <c:v>5.0564582860719368E-2</c:v>
                </c:pt>
                <c:pt idx="163">
                  <c:v>5.0614649600678095E-2</c:v>
                </c:pt>
                <c:pt idx="164">
                  <c:v>5.066168177146739E-2</c:v>
                </c:pt>
                <c:pt idx="165">
                  <c:v>5.0722123808266496E-2</c:v>
                </c:pt>
                <c:pt idx="166">
                  <c:v>5.0779344027430576E-2</c:v>
                </c:pt>
                <c:pt idx="167">
                  <c:v>5.0836868612485493E-2</c:v>
                </c:pt>
                <c:pt idx="168">
                  <c:v>5.0895251929886087E-2</c:v>
                </c:pt>
                <c:pt idx="169">
                  <c:v>5.0967856079354293E-2</c:v>
                </c:pt>
                <c:pt idx="170">
                  <c:v>5.1034568010060996E-2</c:v>
                </c:pt>
                <c:pt idx="171">
                  <c:v>5.1101238230125051E-2</c:v>
                </c:pt>
                <c:pt idx="172">
                  <c:v>5.1182732843224076E-2</c:v>
                </c:pt>
                <c:pt idx="173">
                  <c:v>5.1259961812265671E-2</c:v>
                </c:pt>
                <c:pt idx="174">
                  <c:v>5.1341812375168265E-2</c:v>
                </c:pt>
                <c:pt idx="175">
                  <c:v>5.1421178266499043E-2</c:v>
                </c:pt>
                <c:pt idx="176">
                  <c:v>5.149622410520234E-2</c:v>
                </c:pt>
                <c:pt idx="177">
                  <c:v>5.157291980646924E-2</c:v>
                </c:pt>
                <c:pt idx="178">
                  <c:v>5.1648577035837029E-2</c:v>
                </c:pt>
                <c:pt idx="179">
                  <c:v>5.1707010238556943E-2</c:v>
                </c:pt>
                <c:pt idx="180">
                  <c:v>5.1775825340016894E-2</c:v>
                </c:pt>
                <c:pt idx="181">
                  <c:v>5.184449663305029E-2</c:v>
                </c:pt>
                <c:pt idx="182">
                  <c:v>5.1897249950382612E-2</c:v>
                </c:pt>
                <c:pt idx="183">
                  <c:v>5.1949865278386409E-2</c:v>
                </c:pt>
                <c:pt idx="184">
                  <c:v>5.2004903195497831E-2</c:v>
                </c:pt>
                <c:pt idx="185">
                  <c:v>5.2057057194536148E-2</c:v>
                </c:pt>
                <c:pt idx="186">
                  <c:v>5.2102793947468168E-2</c:v>
                </c:pt>
                <c:pt idx="187">
                  <c:v>5.2142353385873377E-2</c:v>
                </c:pt>
                <c:pt idx="188">
                  <c:v>5.2184803116889569E-2</c:v>
                </c:pt>
                <c:pt idx="189">
                  <c:v>5.2223307143484478E-2</c:v>
                </c:pt>
                <c:pt idx="190">
                  <c:v>5.2246794835611704E-2</c:v>
                </c:pt>
                <c:pt idx="191">
                  <c:v>5.2282729976687634E-2</c:v>
                </c:pt>
                <c:pt idx="192">
                  <c:v>5.2301057446170758E-2</c:v>
                </c:pt>
                <c:pt idx="193">
                  <c:v>5.2334613251764674E-2</c:v>
                </c:pt>
                <c:pt idx="194">
                  <c:v>5.2351701083224615E-2</c:v>
                </c:pt>
                <c:pt idx="195">
                  <c:v>5.2372450708544502E-2</c:v>
                </c:pt>
                <c:pt idx="196">
                  <c:v>5.2387841737869374E-2</c:v>
                </c:pt>
                <c:pt idx="197">
                  <c:v>5.239826992598319E-2</c:v>
                </c:pt>
                <c:pt idx="198">
                  <c:v>5.2406136096529499E-2</c:v>
                </c:pt>
                <c:pt idx="199">
                  <c:v>5.2406782787812294E-2</c:v>
                </c:pt>
                <c:pt idx="200">
                  <c:v>5.241179668491288E-2</c:v>
                </c:pt>
                <c:pt idx="201">
                  <c:v>5.2409797950941549E-2</c:v>
                </c:pt>
                <c:pt idx="202">
                  <c:v>5.2400814459250135E-2</c:v>
                </c:pt>
                <c:pt idx="203">
                  <c:v>5.2392455098670868E-2</c:v>
                </c:pt>
                <c:pt idx="204">
                  <c:v>5.2380516792838089E-2</c:v>
                </c:pt>
                <c:pt idx="205">
                  <c:v>5.237024849009117E-2</c:v>
                </c:pt>
                <c:pt idx="206">
                  <c:v>5.2349071431280411E-2</c:v>
                </c:pt>
                <c:pt idx="207">
                  <c:v>5.2331541396673925E-2</c:v>
                </c:pt>
                <c:pt idx="208">
                  <c:v>5.2307454899229368E-2</c:v>
                </c:pt>
                <c:pt idx="209">
                  <c:v>5.2279281877429716E-2</c:v>
                </c:pt>
                <c:pt idx="210">
                  <c:v>5.2248783211152623E-2</c:v>
                </c:pt>
                <c:pt idx="211">
                  <c:v>5.2210867544471504E-2</c:v>
                </c:pt>
                <c:pt idx="212">
                  <c:v>5.2178320690324145E-2</c:v>
                </c:pt>
                <c:pt idx="213">
                  <c:v>5.2135670363760211E-2</c:v>
                </c:pt>
                <c:pt idx="214">
                  <c:v>5.2087885918496557E-2</c:v>
                </c:pt>
                <c:pt idx="215">
                  <c:v>5.2044319766064495E-2</c:v>
                </c:pt>
                <c:pt idx="216">
                  <c:v>5.1986078660036031E-2</c:v>
                </c:pt>
                <c:pt idx="217">
                  <c:v>5.1946955008377586E-2</c:v>
                </c:pt>
                <c:pt idx="218">
                  <c:v>5.1884794263076996E-2</c:v>
                </c:pt>
                <c:pt idx="219">
                  <c:v>5.1830375047948858E-2</c:v>
                </c:pt>
                <c:pt idx="220">
                  <c:v>5.176617095562723E-2</c:v>
                </c:pt>
                <c:pt idx="221">
                  <c:v>5.1702927403636287E-2</c:v>
                </c:pt>
                <c:pt idx="222">
                  <c:v>5.1629948077350274E-2</c:v>
                </c:pt>
                <c:pt idx="223">
                  <c:v>5.1555718927134057E-2</c:v>
                </c:pt>
                <c:pt idx="224">
                  <c:v>5.1480700477342024E-2</c:v>
                </c:pt>
                <c:pt idx="225">
                  <c:v>5.1400463050058895E-2</c:v>
                </c:pt>
                <c:pt idx="226">
                  <c:v>5.132421798565056E-2</c:v>
                </c:pt>
                <c:pt idx="227">
                  <c:v>5.1233436483487042E-2</c:v>
                </c:pt>
                <c:pt idx="228">
                  <c:v>5.116039255369214E-2</c:v>
                </c:pt>
                <c:pt idx="229">
                  <c:v>5.1078856484642499E-2</c:v>
                </c:pt>
                <c:pt idx="230">
                  <c:v>5.0989563962578408E-2</c:v>
                </c:pt>
                <c:pt idx="231">
                  <c:v>5.088916062591059E-2</c:v>
                </c:pt>
                <c:pt idx="232">
                  <c:v>5.078963810390115E-2</c:v>
                </c:pt>
                <c:pt idx="233">
                  <c:v>5.0684634462116795E-2</c:v>
                </c:pt>
                <c:pt idx="234">
                  <c:v>5.058051472466301E-2</c:v>
                </c:pt>
                <c:pt idx="235">
                  <c:v>5.0474684694141549E-2</c:v>
                </c:pt>
                <c:pt idx="236">
                  <c:v>5.0379040295240603E-2</c:v>
                </c:pt>
                <c:pt idx="237">
                  <c:v>5.0275654033843181E-2</c:v>
                </c:pt>
                <c:pt idx="238">
                  <c:v>5.0177712252805914E-2</c:v>
                </c:pt>
                <c:pt idx="239">
                  <c:v>5.0082282425659742E-2</c:v>
                </c:pt>
                <c:pt idx="240">
                  <c:v>5.0000535562487236E-2</c:v>
                </c:pt>
                <c:pt idx="241">
                  <c:v>4.9907556142005108E-2</c:v>
                </c:pt>
                <c:pt idx="242">
                  <c:v>4.9817337924486935E-2</c:v>
                </c:pt>
                <c:pt idx="243">
                  <c:v>4.9729770867688775E-2</c:v>
                </c:pt>
                <c:pt idx="244">
                  <c:v>4.9641162323159994E-2</c:v>
                </c:pt>
                <c:pt idx="245">
                  <c:v>4.955705021307933E-2</c:v>
                </c:pt>
                <c:pt idx="246">
                  <c:v>4.9469970332027949E-2</c:v>
                </c:pt>
                <c:pt idx="247">
                  <c:v>4.9393925559060289E-2</c:v>
                </c:pt>
                <c:pt idx="248">
                  <c:v>4.9309873574775148E-2</c:v>
                </c:pt>
                <c:pt idx="249">
                  <c:v>4.9233046061312534E-2</c:v>
                </c:pt>
                <c:pt idx="250">
                  <c:v>4.9154758691875043E-2</c:v>
                </c:pt>
                <c:pt idx="251">
                  <c:v>4.9076761718224372E-2</c:v>
                </c:pt>
                <c:pt idx="252">
                  <c:v>4.9011414961216838E-2</c:v>
                </c:pt>
                <c:pt idx="253">
                  <c:v>4.8938690742430416E-2</c:v>
                </c:pt>
                <c:pt idx="254">
                  <c:v>4.8874332584596752E-2</c:v>
                </c:pt>
                <c:pt idx="255">
                  <c:v>4.8805134705657761E-2</c:v>
                </c:pt>
                <c:pt idx="256">
                  <c:v>4.8741905827852684E-2</c:v>
                </c:pt>
                <c:pt idx="257">
                  <c:v>4.8674191687893609E-2</c:v>
                </c:pt>
                <c:pt idx="258">
                  <c:v>4.861008169650019E-2</c:v>
                </c:pt>
                <c:pt idx="259">
                  <c:v>4.8550264717320581E-2</c:v>
                </c:pt>
                <c:pt idx="260">
                  <c:v>4.8491860135761018E-2</c:v>
                </c:pt>
                <c:pt idx="261">
                  <c:v>4.8431039538181508E-2</c:v>
                </c:pt>
                <c:pt idx="262">
                  <c:v>4.837373349356406E-2</c:v>
                </c:pt>
                <c:pt idx="263">
                  <c:v>4.8321101565466068E-2</c:v>
                </c:pt>
                <c:pt idx="264">
                  <c:v>4.8276864848652574E-2</c:v>
                </c:pt>
                <c:pt idx="265">
                  <c:v>4.8224503258898578E-2</c:v>
                </c:pt>
                <c:pt idx="266">
                  <c:v>4.817709952262407E-2</c:v>
                </c:pt>
                <c:pt idx="267">
                  <c:v>4.8130583278750229E-2</c:v>
                </c:pt>
                <c:pt idx="268">
                  <c:v>4.808434763964195E-2</c:v>
                </c:pt>
                <c:pt idx="269">
                  <c:v>4.8041282274397495E-2</c:v>
                </c:pt>
                <c:pt idx="270">
                  <c:v>4.799860871382583E-2</c:v>
                </c:pt>
                <c:pt idx="271">
                  <c:v>4.7960245393787973E-2</c:v>
                </c:pt>
                <c:pt idx="272">
                  <c:v>4.7909689553735001E-2</c:v>
                </c:pt>
                <c:pt idx="273">
                  <c:v>4.7879716479573335E-2</c:v>
                </c:pt>
                <c:pt idx="274">
                  <c:v>4.7845572433510015E-2</c:v>
                </c:pt>
                <c:pt idx="275">
                  <c:v>4.7818545638360903E-2</c:v>
                </c:pt>
                <c:pt idx="276">
                  <c:v>4.7784725288904033E-2</c:v>
                </c:pt>
                <c:pt idx="277">
                  <c:v>4.7756959245193388E-2</c:v>
                </c:pt>
                <c:pt idx="278">
                  <c:v>4.7729228639994195E-2</c:v>
                </c:pt>
                <c:pt idx="279">
                  <c:v>4.7702384094227022E-2</c:v>
                </c:pt>
                <c:pt idx="280">
                  <c:v>4.7678103358125362E-2</c:v>
                </c:pt>
                <c:pt idx="281">
                  <c:v>4.7652057863794783E-2</c:v>
                </c:pt>
                <c:pt idx="282">
                  <c:v>4.7634634377747655E-2</c:v>
                </c:pt>
                <c:pt idx="283">
                  <c:v>4.7614266412135023E-2</c:v>
                </c:pt>
                <c:pt idx="284">
                  <c:v>4.7591746606700971E-2</c:v>
                </c:pt>
                <c:pt idx="285">
                  <c:v>4.7580723419441126E-2</c:v>
                </c:pt>
                <c:pt idx="286">
                  <c:v>4.7558126235654044E-2</c:v>
                </c:pt>
                <c:pt idx="287">
                  <c:v>4.7555666943194852E-2</c:v>
                </c:pt>
                <c:pt idx="288">
                  <c:v>4.7541393241714448E-2</c:v>
                </c:pt>
                <c:pt idx="289">
                  <c:v>4.7535699362273261E-2</c:v>
                </c:pt>
                <c:pt idx="290">
                  <c:v>4.7528037808711801E-2</c:v>
                </c:pt>
                <c:pt idx="291">
                  <c:v>4.7522641091338885E-2</c:v>
                </c:pt>
                <c:pt idx="292">
                  <c:v>4.7518038707786203E-2</c:v>
                </c:pt>
                <c:pt idx="293">
                  <c:v>4.7511138000231747E-2</c:v>
                </c:pt>
                <c:pt idx="294">
                  <c:v>4.7510290403917278E-2</c:v>
                </c:pt>
                <c:pt idx="295">
                  <c:v>4.7506610905440068E-2</c:v>
                </c:pt>
                <c:pt idx="296">
                  <c:v>4.7499860318743259E-2</c:v>
                </c:pt>
                <c:pt idx="297">
                  <c:v>4.7496314176937164E-2</c:v>
                </c:pt>
                <c:pt idx="298">
                  <c:v>4.7492722775396644E-2</c:v>
                </c:pt>
                <c:pt idx="299">
                  <c:v>4.7492552084184431E-2</c:v>
                </c:pt>
                <c:pt idx="300">
                  <c:v>4.7486178186696183E-2</c:v>
                </c:pt>
                <c:pt idx="301">
                  <c:v>4.7485918174733535E-2</c:v>
                </c:pt>
                <c:pt idx="302">
                  <c:v>4.748270009472199E-2</c:v>
                </c:pt>
                <c:pt idx="303">
                  <c:v>4.7479447345732319E-2</c:v>
                </c:pt>
                <c:pt idx="304">
                  <c:v>4.7476363224417353E-2</c:v>
                </c:pt>
                <c:pt idx="305">
                  <c:v>4.7470221449719227E-2</c:v>
                </c:pt>
                <c:pt idx="306">
                  <c:v>4.7470392729493015E-2</c:v>
                </c:pt>
                <c:pt idx="307">
                  <c:v>4.7467322401409343E-2</c:v>
                </c:pt>
                <c:pt idx="308">
                  <c:v>4.7458447675152692E-2</c:v>
                </c:pt>
                <c:pt idx="309">
                  <c:v>4.7455520703454997E-2</c:v>
                </c:pt>
                <c:pt idx="310">
                  <c:v>4.7458986034735424E-2</c:v>
                </c:pt>
                <c:pt idx="311">
                  <c:v>4.7456620013760255E-2</c:v>
                </c:pt>
                <c:pt idx="312">
                  <c:v>4.7450949580147263E-2</c:v>
                </c:pt>
                <c:pt idx="313">
                  <c:v>4.7451572333247843E-2</c:v>
                </c:pt>
                <c:pt idx="314">
                  <c:v>4.7448993179051227E-2</c:v>
                </c:pt>
                <c:pt idx="315">
                  <c:v>4.7446638378116121E-2</c:v>
                </c:pt>
                <c:pt idx="316">
                  <c:v>4.7441241431515298E-2</c:v>
                </c:pt>
                <c:pt idx="317">
                  <c:v>4.7442126519593508E-2</c:v>
                </c:pt>
                <c:pt idx="318">
                  <c:v>4.7439832560207992E-2</c:v>
                </c:pt>
                <c:pt idx="319">
                  <c:v>4.7431736885849403E-2</c:v>
                </c:pt>
                <c:pt idx="320">
                  <c:v>4.7435660596618787E-2</c:v>
                </c:pt>
                <c:pt idx="321">
                  <c:v>4.7424590476611406E-2</c:v>
                </c:pt>
                <c:pt idx="322">
                  <c:v>4.7432000371129504E-2</c:v>
                </c:pt>
                <c:pt idx="323">
                  <c:v>4.742701628328614E-2</c:v>
                </c:pt>
                <c:pt idx="324">
                  <c:v>4.7428355581225948E-2</c:v>
                </c:pt>
                <c:pt idx="325">
                  <c:v>4.7426555049854484E-2</c:v>
                </c:pt>
                <c:pt idx="326">
                  <c:v>4.7424983019239503E-2</c:v>
                </c:pt>
                <c:pt idx="327">
                  <c:v>4.7423374226243854E-2</c:v>
                </c:pt>
                <c:pt idx="328">
                  <c:v>4.7418837430265072E-2</c:v>
                </c:pt>
                <c:pt idx="329">
                  <c:v>4.742041216539717E-2</c:v>
                </c:pt>
                <c:pt idx="330">
                  <c:v>4.7419054576338146E-2</c:v>
                </c:pt>
                <c:pt idx="331">
                  <c:v>4.7405532125520899E-2</c:v>
                </c:pt>
                <c:pt idx="332">
                  <c:v>4.741040121770769E-2</c:v>
                </c:pt>
                <c:pt idx="333">
                  <c:v>4.741225489953807E-2</c:v>
                </c:pt>
                <c:pt idx="334">
                  <c:v>4.7414317610251E-2</c:v>
                </c:pt>
                <c:pt idx="335">
                  <c:v>4.7410235874880288E-2</c:v>
                </c:pt>
                <c:pt idx="336">
                  <c:v>4.7412293215591247E-2</c:v>
                </c:pt>
                <c:pt idx="337">
                  <c:v>4.741139701721752E-2</c:v>
                </c:pt>
                <c:pt idx="338">
                  <c:v>4.7410541045586493E-2</c:v>
                </c:pt>
                <c:pt idx="339">
                  <c:v>4.7409778798888268E-2</c:v>
                </c:pt>
                <c:pt idx="340">
                  <c:v>4.7406004642708437E-2</c:v>
                </c:pt>
                <c:pt idx="341">
                  <c:v>4.7408452043474499E-2</c:v>
                </c:pt>
                <c:pt idx="342">
                  <c:v>4.7407853378159809E-2</c:v>
                </c:pt>
                <c:pt idx="343">
                  <c:v>4.7404314523890816E-2</c:v>
                </c:pt>
                <c:pt idx="344">
                  <c:v>4.740691788019346E-2</c:v>
                </c:pt>
                <c:pt idx="345">
                  <c:v>4.7400434738793851E-2</c:v>
                </c:pt>
                <c:pt idx="346">
                  <c:v>4.741240582755904E-2</c:v>
                </c:pt>
                <c:pt idx="347">
                  <c:v>4.7402977242307236E-2</c:v>
                </c:pt>
                <c:pt idx="348">
                  <c:v>4.7405880290124727E-2</c:v>
                </c:pt>
              </c:numCache>
            </c:numRef>
          </c:val>
          <c:smooth val="0"/>
        </c:ser>
        <c:ser>
          <c:idx val="1"/>
          <c:order val="1"/>
          <c:tx>
            <c:v>OIS 3M Curve</c:v>
          </c:tx>
          <c:marker>
            <c:symbol val="none"/>
          </c:marker>
          <c:cat>
            <c:numRef>
              <c:f>'basis 3M'!$M$2:$M$581</c:f>
              <c:numCache>
                <c:formatCode>ddd\,\ dd\-mmm\-yyyy</c:formatCode>
                <c:ptCount val="580"/>
                <c:pt idx="0">
                  <c:v>41891</c:v>
                </c:pt>
                <c:pt idx="1">
                  <c:v>41921</c:v>
                </c:pt>
                <c:pt idx="2">
                  <c:v>41953</c:v>
                </c:pt>
                <c:pt idx="3">
                  <c:v>41983</c:v>
                </c:pt>
                <c:pt idx="4">
                  <c:v>42016</c:v>
                </c:pt>
                <c:pt idx="5">
                  <c:v>42047</c:v>
                </c:pt>
                <c:pt idx="6">
                  <c:v>42075</c:v>
                </c:pt>
                <c:pt idx="7">
                  <c:v>42107</c:v>
                </c:pt>
                <c:pt idx="8">
                  <c:v>42137</c:v>
                </c:pt>
                <c:pt idx="9">
                  <c:v>42170</c:v>
                </c:pt>
                <c:pt idx="10">
                  <c:v>42200</c:v>
                </c:pt>
                <c:pt idx="11">
                  <c:v>42233</c:v>
                </c:pt>
                <c:pt idx="12">
                  <c:v>42264</c:v>
                </c:pt>
                <c:pt idx="13">
                  <c:v>42296</c:v>
                </c:pt>
                <c:pt idx="14">
                  <c:v>42327</c:v>
                </c:pt>
                <c:pt idx="15">
                  <c:v>42359</c:v>
                </c:pt>
                <c:pt idx="16">
                  <c:v>42390</c:v>
                </c:pt>
                <c:pt idx="17">
                  <c:v>42422</c:v>
                </c:pt>
                <c:pt idx="18">
                  <c:v>42451</c:v>
                </c:pt>
                <c:pt idx="19">
                  <c:v>42482</c:v>
                </c:pt>
                <c:pt idx="20">
                  <c:v>42513</c:v>
                </c:pt>
                <c:pt idx="21">
                  <c:v>42544</c:v>
                </c:pt>
                <c:pt idx="22">
                  <c:v>42576</c:v>
                </c:pt>
                <c:pt idx="23">
                  <c:v>42607</c:v>
                </c:pt>
                <c:pt idx="24">
                  <c:v>42639</c:v>
                </c:pt>
                <c:pt idx="25">
                  <c:v>42669</c:v>
                </c:pt>
                <c:pt idx="26">
                  <c:v>42702</c:v>
                </c:pt>
                <c:pt idx="27">
                  <c:v>42732</c:v>
                </c:pt>
                <c:pt idx="28">
                  <c:v>42765</c:v>
                </c:pt>
                <c:pt idx="29">
                  <c:v>42794</c:v>
                </c:pt>
                <c:pt idx="30">
                  <c:v>42822</c:v>
                </c:pt>
                <c:pt idx="31">
                  <c:v>42853</c:v>
                </c:pt>
                <c:pt idx="32">
                  <c:v>42884</c:v>
                </c:pt>
                <c:pt idx="33">
                  <c:v>42915</c:v>
                </c:pt>
                <c:pt idx="34">
                  <c:v>42947</c:v>
                </c:pt>
                <c:pt idx="35">
                  <c:v>42978</c:v>
                </c:pt>
                <c:pt idx="36">
                  <c:v>43011</c:v>
                </c:pt>
                <c:pt idx="37">
                  <c:v>43042</c:v>
                </c:pt>
                <c:pt idx="38">
                  <c:v>43073</c:v>
                </c:pt>
                <c:pt idx="39">
                  <c:v>43104</c:v>
                </c:pt>
                <c:pt idx="40">
                  <c:v>43136</c:v>
                </c:pt>
                <c:pt idx="41">
                  <c:v>43164</c:v>
                </c:pt>
                <c:pt idx="42">
                  <c:v>43195</c:v>
                </c:pt>
                <c:pt idx="43">
                  <c:v>43227</c:v>
                </c:pt>
                <c:pt idx="44">
                  <c:v>43258</c:v>
                </c:pt>
                <c:pt idx="45">
                  <c:v>43290</c:v>
                </c:pt>
                <c:pt idx="46">
                  <c:v>43321</c:v>
                </c:pt>
                <c:pt idx="47">
                  <c:v>43353</c:v>
                </c:pt>
                <c:pt idx="48">
                  <c:v>43383</c:v>
                </c:pt>
                <c:pt idx="49">
                  <c:v>43416</c:v>
                </c:pt>
                <c:pt idx="50">
                  <c:v>43446</c:v>
                </c:pt>
                <c:pt idx="51">
                  <c:v>43479</c:v>
                </c:pt>
                <c:pt idx="52">
                  <c:v>43510</c:v>
                </c:pt>
                <c:pt idx="53">
                  <c:v>43538</c:v>
                </c:pt>
                <c:pt idx="54">
                  <c:v>43570</c:v>
                </c:pt>
                <c:pt idx="55">
                  <c:v>43600</c:v>
                </c:pt>
                <c:pt idx="56">
                  <c:v>43633</c:v>
                </c:pt>
                <c:pt idx="57">
                  <c:v>43663</c:v>
                </c:pt>
                <c:pt idx="58">
                  <c:v>43696</c:v>
                </c:pt>
                <c:pt idx="59">
                  <c:v>43727</c:v>
                </c:pt>
                <c:pt idx="60">
                  <c:v>43759</c:v>
                </c:pt>
                <c:pt idx="61">
                  <c:v>43790</c:v>
                </c:pt>
                <c:pt idx="62">
                  <c:v>43822</c:v>
                </c:pt>
                <c:pt idx="63">
                  <c:v>43853</c:v>
                </c:pt>
                <c:pt idx="64">
                  <c:v>43885</c:v>
                </c:pt>
                <c:pt idx="65">
                  <c:v>43914</c:v>
                </c:pt>
                <c:pt idx="66">
                  <c:v>43945</c:v>
                </c:pt>
                <c:pt idx="67">
                  <c:v>43976</c:v>
                </c:pt>
                <c:pt idx="68">
                  <c:v>44007</c:v>
                </c:pt>
                <c:pt idx="69">
                  <c:v>44039</c:v>
                </c:pt>
                <c:pt idx="70">
                  <c:v>44070</c:v>
                </c:pt>
                <c:pt idx="71">
                  <c:v>44102</c:v>
                </c:pt>
                <c:pt idx="72">
                  <c:v>44132</c:v>
                </c:pt>
                <c:pt idx="73">
                  <c:v>44165</c:v>
                </c:pt>
                <c:pt idx="74">
                  <c:v>44195</c:v>
                </c:pt>
                <c:pt idx="75">
                  <c:v>44228</c:v>
                </c:pt>
                <c:pt idx="76">
                  <c:v>44256</c:v>
                </c:pt>
                <c:pt idx="77">
                  <c:v>44287</c:v>
                </c:pt>
                <c:pt idx="78">
                  <c:v>44319</c:v>
                </c:pt>
                <c:pt idx="79">
                  <c:v>44350</c:v>
                </c:pt>
                <c:pt idx="80">
                  <c:v>44382</c:v>
                </c:pt>
                <c:pt idx="81">
                  <c:v>44413</c:v>
                </c:pt>
                <c:pt idx="82">
                  <c:v>44445</c:v>
                </c:pt>
                <c:pt idx="83">
                  <c:v>44475</c:v>
                </c:pt>
                <c:pt idx="84">
                  <c:v>44508</c:v>
                </c:pt>
                <c:pt idx="85">
                  <c:v>44538</c:v>
                </c:pt>
                <c:pt idx="86">
                  <c:v>44571</c:v>
                </c:pt>
                <c:pt idx="87">
                  <c:v>44602</c:v>
                </c:pt>
                <c:pt idx="88">
                  <c:v>44630</c:v>
                </c:pt>
                <c:pt idx="89">
                  <c:v>44662</c:v>
                </c:pt>
                <c:pt idx="90">
                  <c:v>44692</c:v>
                </c:pt>
                <c:pt idx="91">
                  <c:v>44726</c:v>
                </c:pt>
                <c:pt idx="92">
                  <c:v>44756</c:v>
                </c:pt>
                <c:pt idx="93">
                  <c:v>44788</c:v>
                </c:pt>
                <c:pt idx="94">
                  <c:v>44819</c:v>
                </c:pt>
                <c:pt idx="95">
                  <c:v>44851</c:v>
                </c:pt>
                <c:pt idx="96">
                  <c:v>44882</c:v>
                </c:pt>
                <c:pt idx="97">
                  <c:v>44914</c:v>
                </c:pt>
                <c:pt idx="98">
                  <c:v>44945</c:v>
                </c:pt>
                <c:pt idx="99">
                  <c:v>44977</c:v>
                </c:pt>
                <c:pt idx="100">
                  <c:v>45005</c:v>
                </c:pt>
                <c:pt idx="101">
                  <c:v>45036</c:v>
                </c:pt>
                <c:pt idx="102">
                  <c:v>45068</c:v>
                </c:pt>
                <c:pt idx="103">
                  <c:v>45099</c:v>
                </c:pt>
                <c:pt idx="104">
                  <c:v>45131</c:v>
                </c:pt>
                <c:pt idx="105">
                  <c:v>45162</c:v>
                </c:pt>
                <c:pt idx="106">
                  <c:v>45194</c:v>
                </c:pt>
                <c:pt idx="107">
                  <c:v>45224</c:v>
                </c:pt>
                <c:pt idx="108">
                  <c:v>45257</c:v>
                </c:pt>
                <c:pt idx="109">
                  <c:v>45287</c:v>
                </c:pt>
                <c:pt idx="110">
                  <c:v>45320</c:v>
                </c:pt>
                <c:pt idx="111">
                  <c:v>45351</c:v>
                </c:pt>
                <c:pt idx="112">
                  <c:v>45384</c:v>
                </c:pt>
                <c:pt idx="113">
                  <c:v>45414</c:v>
                </c:pt>
                <c:pt idx="114">
                  <c:v>45446</c:v>
                </c:pt>
                <c:pt idx="115">
                  <c:v>45476</c:v>
                </c:pt>
                <c:pt idx="116">
                  <c:v>45510</c:v>
                </c:pt>
                <c:pt idx="117">
                  <c:v>45541</c:v>
                </c:pt>
                <c:pt idx="118">
                  <c:v>45573</c:v>
                </c:pt>
                <c:pt idx="119">
                  <c:v>45604</c:v>
                </c:pt>
                <c:pt idx="120">
                  <c:v>45635</c:v>
                </c:pt>
                <c:pt idx="121">
                  <c:v>45666</c:v>
                </c:pt>
                <c:pt idx="122">
                  <c:v>45698</c:v>
                </c:pt>
                <c:pt idx="123">
                  <c:v>45726</c:v>
                </c:pt>
                <c:pt idx="124">
                  <c:v>45757</c:v>
                </c:pt>
                <c:pt idx="125">
                  <c:v>45789</c:v>
                </c:pt>
                <c:pt idx="126">
                  <c:v>45820</c:v>
                </c:pt>
                <c:pt idx="127">
                  <c:v>45852</c:v>
                </c:pt>
                <c:pt idx="128">
                  <c:v>45883</c:v>
                </c:pt>
                <c:pt idx="129">
                  <c:v>45915</c:v>
                </c:pt>
                <c:pt idx="130">
                  <c:v>45945</c:v>
                </c:pt>
                <c:pt idx="131">
                  <c:v>45978</c:v>
                </c:pt>
                <c:pt idx="132">
                  <c:v>46008</c:v>
                </c:pt>
                <c:pt idx="133">
                  <c:v>46041</c:v>
                </c:pt>
                <c:pt idx="134">
                  <c:v>46072</c:v>
                </c:pt>
                <c:pt idx="135">
                  <c:v>46100</c:v>
                </c:pt>
                <c:pt idx="136">
                  <c:v>46132</c:v>
                </c:pt>
                <c:pt idx="137">
                  <c:v>46162</c:v>
                </c:pt>
                <c:pt idx="138">
                  <c:v>46195</c:v>
                </c:pt>
                <c:pt idx="139">
                  <c:v>46225</c:v>
                </c:pt>
                <c:pt idx="140">
                  <c:v>46258</c:v>
                </c:pt>
                <c:pt idx="141">
                  <c:v>46289</c:v>
                </c:pt>
                <c:pt idx="142">
                  <c:v>46321</c:v>
                </c:pt>
                <c:pt idx="143">
                  <c:v>46352</c:v>
                </c:pt>
                <c:pt idx="144">
                  <c:v>46385</c:v>
                </c:pt>
                <c:pt idx="145">
                  <c:v>46416</c:v>
                </c:pt>
                <c:pt idx="146">
                  <c:v>46447</c:v>
                </c:pt>
                <c:pt idx="147">
                  <c:v>46478</c:v>
                </c:pt>
                <c:pt idx="148">
                  <c:v>46510</c:v>
                </c:pt>
                <c:pt idx="149">
                  <c:v>46541</c:v>
                </c:pt>
                <c:pt idx="150">
                  <c:v>46573</c:v>
                </c:pt>
                <c:pt idx="151">
                  <c:v>46604</c:v>
                </c:pt>
                <c:pt idx="152">
                  <c:v>46636</c:v>
                </c:pt>
                <c:pt idx="153">
                  <c:v>46666</c:v>
                </c:pt>
                <c:pt idx="154">
                  <c:v>46699</c:v>
                </c:pt>
                <c:pt idx="155">
                  <c:v>46729</c:v>
                </c:pt>
                <c:pt idx="156">
                  <c:v>46762</c:v>
                </c:pt>
                <c:pt idx="157">
                  <c:v>46793</c:v>
                </c:pt>
                <c:pt idx="158">
                  <c:v>46822</c:v>
                </c:pt>
                <c:pt idx="159">
                  <c:v>46853</c:v>
                </c:pt>
                <c:pt idx="160">
                  <c:v>46883</c:v>
                </c:pt>
                <c:pt idx="161">
                  <c:v>46917</c:v>
                </c:pt>
                <c:pt idx="162">
                  <c:v>46947</c:v>
                </c:pt>
                <c:pt idx="163">
                  <c:v>46979</c:v>
                </c:pt>
                <c:pt idx="164">
                  <c:v>47010</c:v>
                </c:pt>
                <c:pt idx="165">
                  <c:v>47042</c:v>
                </c:pt>
                <c:pt idx="166">
                  <c:v>47073</c:v>
                </c:pt>
                <c:pt idx="167">
                  <c:v>47105</c:v>
                </c:pt>
                <c:pt idx="168">
                  <c:v>47136</c:v>
                </c:pt>
                <c:pt idx="169">
                  <c:v>47168</c:v>
                </c:pt>
                <c:pt idx="170">
                  <c:v>47196</c:v>
                </c:pt>
                <c:pt idx="171">
                  <c:v>47227</c:v>
                </c:pt>
                <c:pt idx="172">
                  <c:v>47259</c:v>
                </c:pt>
                <c:pt idx="173">
                  <c:v>47290</c:v>
                </c:pt>
                <c:pt idx="174">
                  <c:v>47322</c:v>
                </c:pt>
                <c:pt idx="175">
                  <c:v>47353</c:v>
                </c:pt>
                <c:pt idx="176">
                  <c:v>47385</c:v>
                </c:pt>
                <c:pt idx="177">
                  <c:v>47415</c:v>
                </c:pt>
                <c:pt idx="178">
                  <c:v>47448</c:v>
                </c:pt>
                <c:pt idx="179">
                  <c:v>47479</c:v>
                </c:pt>
                <c:pt idx="180">
                  <c:v>47512</c:v>
                </c:pt>
                <c:pt idx="181">
                  <c:v>47542</c:v>
                </c:pt>
                <c:pt idx="182">
                  <c:v>47570</c:v>
                </c:pt>
                <c:pt idx="183">
                  <c:v>47602</c:v>
                </c:pt>
                <c:pt idx="184">
                  <c:v>47632</c:v>
                </c:pt>
                <c:pt idx="185">
                  <c:v>47665</c:v>
                </c:pt>
                <c:pt idx="186">
                  <c:v>47696</c:v>
                </c:pt>
                <c:pt idx="187">
                  <c:v>47728</c:v>
                </c:pt>
                <c:pt idx="188">
                  <c:v>47758</c:v>
                </c:pt>
                <c:pt idx="189">
                  <c:v>47791</c:v>
                </c:pt>
                <c:pt idx="190">
                  <c:v>47821</c:v>
                </c:pt>
                <c:pt idx="191">
                  <c:v>47854</c:v>
                </c:pt>
                <c:pt idx="192">
                  <c:v>47885</c:v>
                </c:pt>
                <c:pt idx="193">
                  <c:v>47913</c:v>
                </c:pt>
                <c:pt idx="194">
                  <c:v>47945</c:v>
                </c:pt>
                <c:pt idx="195">
                  <c:v>47975</c:v>
                </c:pt>
                <c:pt idx="196">
                  <c:v>48009</c:v>
                </c:pt>
                <c:pt idx="197">
                  <c:v>48039</c:v>
                </c:pt>
                <c:pt idx="198">
                  <c:v>48071</c:v>
                </c:pt>
                <c:pt idx="199">
                  <c:v>48102</c:v>
                </c:pt>
                <c:pt idx="200">
                  <c:v>48134</c:v>
                </c:pt>
                <c:pt idx="201">
                  <c:v>48165</c:v>
                </c:pt>
                <c:pt idx="202">
                  <c:v>48197</c:v>
                </c:pt>
                <c:pt idx="203">
                  <c:v>48228</c:v>
                </c:pt>
                <c:pt idx="204">
                  <c:v>48260</c:v>
                </c:pt>
                <c:pt idx="205">
                  <c:v>48289</c:v>
                </c:pt>
                <c:pt idx="206">
                  <c:v>48320</c:v>
                </c:pt>
                <c:pt idx="207">
                  <c:v>48351</c:v>
                </c:pt>
                <c:pt idx="208">
                  <c:v>48382</c:v>
                </c:pt>
                <c:pt idx="209">
                  <c:v>48414</c:v>
                </c:pt>
                <c:pt idx="210">
                  <c:v>48445</c:v>
                </c:pt>
                <c:pt idx="211">
                  <c:v>48477</c:v>
                </c:pt>
                <c:pt idx="212">
                  <c:v>48507</c:v>
                </c:pt>
                <c:pt idx="213">
                  <c:v>48540</c:v>
                </c:pt>
                <c:pt idx="214">
                  <c:v>48570</c:v>
                </c:pt>
                <c:pt idx="215">
                  <c:v>48603</c:v>
                </c:pt>
                <c:pt idx="216">
                  <c:v>48634</c:v>
                </c:pt>
                <c:pt idx="217">
                  <c:v>48662</c:v>
                </c:pt>
                <c:pt idx="218">
                  <c:v>48695</c:v>
                </c:pt>
                <c:pt idx="219">
                  <c:v>48725</c:v>
                </c:pt>
                <c:pt idx="220">
                  <c:v>48757</c:v>
                </c:pt>
                <c:pt idx="221">
                  <c:v>48787</c:v>
                </c:pt>
                <c:pt idx="222">
                  <c:v>48820</c:v>
                </c:pt>
                <c:pt idx="223">
                  <c:v>48851</c:v>
                </c:pt>
                <c:pt idx="224">
                  <c:v>48883</c:v>
                </c:pt>
                <c:pt idx="225">
                  <c:v>48913</c:v>
                </c:pt>
                <c:pt idx="226">
                  <c:v>48943</c:v>
                </c:pt>
                <c:pt idx="227">
                  <c:v>48974</c:v>
                </c:pt>
                <c:pt idx="228">
                  <c:v>49003</c:v>
                </c:pt>
                <c:pt idx="229">
                  <c:v>49031</c:v>
                </c:pt>
                <c:pt idx="230">
                  <c:v>49062</c:v>
                </c:pt>
                <c:pt idx="231">
                  <c:v>49093</c:v>
                </c:pt>
                <c:pt idx="232">
                  <c:v>49124</c:v>
                </c:pt>
                <c:pt idx="233">
                  <c:v>49156</c:v>
                </c:pt>
                <c:pt idx="234">
                  <c:v>49187</c:v>
                </c:pt>
                <c:pt idx="235">
                  <c:v>49220</c:v>
                </c:pt>
                <c:pt idx="236">
                  <c:v>49251</c:v>
                </c:pt>
                <c:pt idx="237">
                  <c:v>49282</c:v>
                </c:pt>
                <c:pt idx="238">
                  <c:v>49313</c:v>
                </c:pt>
                <c:pt idx="239">
                  <c:v>49345</c:v>
                </c:pt>
                <c:pt idx="240">
                  <c:v>49373</c:v>
                </c:pt>
                <c:pt idx="241">
                  <c:v>49404</c:v>
                </c:pt>
                <c:pt idx="242">
                  <c:v>49436</c:v>
                </c:pt>
                <c:pt idx="243">
                  <c:v>49467</c:v>
                </c:pt>
                <c:pt idx="244">
                  <c:v>49499</c:v>
                </c:pt>
                <c:pt idx="245">
                  <c:v>49530</c:v>
                </c:pt>
                <c:pt idx="246">
                  <c:v>49562</c:v>
                </c:pt>
                <c:pt idx="247">
                  <c:v>49592</c:v>
                </c:pt>
                <c:pt idx="248">
                  <c:v>49625</c:v>
                </c:pt>
                <c:pt idx="249">
                  <c:v>49655</c:v>
                </c:pt>
                <c:pt idx="250">
                  <c:v>49688</c:v>
                </c:pt>
                <c:pt idx="251">
                  <c:v>49719</c:v>
                </c:pt>
                <c:pt idx="252">
                  <c:v>49748</c:v>
                </c:pt>
                <c:pt idx="253">
                  <c:v>49780</c:v>
                </c:pt>
                <c:pt idx="254">
                  <c:v>49810</c:v>
                </c:pt>
                <c:pt idx="255">
                  <c:v>49842</c:v>
                </c:pt>
                <c:pt idx="256">
                  <c:v>49872</c:v>
                </c:pt>
                <c:pt idx="257">
                  <c:v>49905</c:v>
                </c:pt>
                <c:pt idx="258">
                  <c:v>49936</c:v>
                </c:pt>
                <c:pt idx="259">
                  <c:v>49968</c:v>
                </c:pt>
                <c:pt idx="260">
                  <c:v>49999</c:v>
                </c:pt>
                <c:pt idx="261">
                  <c:v>50031</c:v>
                </c:pt>
                <c:pt idx="262">
                  <c:v>50062</c:v>
                </c:pt>
                <c:pt idx="263">
                  <c:v>50094</c:v>
                </c:pt>
                <c:pt idx="264">
                  <c:v>50122</c:v>
                </c:pt>
                <c:pt idx="265">
                  <c:v>50153</c:v>
                </c:pt>
                <c:pt idx="266">
                  <c:v>50185</c:v>
                </c:pt>
                <c:pt idx="267">
                  <c:v>50216</c:v>
                </c:pt>
                <c:pt idx="268">
                  <c:v>50248</c:v>
                </c:pt>
                <c:pt idx="269">
                  <c:v>50279</c:v>
                </c:pt>
                <c:pt idx="270">
                  <c:v>50311</c:v>
                </c:pt>
                <c:pt idx="271">
                  <c:v>50341</c:v>
                </c:pt>
                <c:pt idx="272">
                  <c:v>50374</c:v>
                </c:pt>
                <c:pt idx="273">
                  <c:v>50404</c:v>
                </c:pt>
                <c:pt idx="274">
                  <c:v>50437</c:v>
                </c:pt>
                <c:pt idx="275">
                  <c:v>50465</c:v>
                </c:pt>
                <c:pt idx="276">
                  <c:v>50496</c:v>
                </c:pt>
                <c:pt idx="277">
                  <c:v>50528</c:v>
                </c:pt>
                <c:pt idx="278">
                  <c:v>50559</c:v>
                </c:pt>
                <c:pt idx="279">
                  <c:v>50591</c:v>
                </c:pt>
                <c:pt idx="280">
                  <c:v>50622</c:v>
                </c:pt>
                <c:pt idx="281">
                  <c:v>50654</c:v>
                </c:pt>
                <c:pt idx="282">
                  <c:v>50684</c:v>
                </c:pt>
                <c:pt idx="283">
                  <c:v>50717</c:v>
                </c:pt>
                <c:pt idx="284">
                  <c:v>50747</c:v>
                </c:pt>
                <c:pt idx="285">
                  <c:v>50780</c:v>
                </c:pt>
                <c:pt idx="286">
                  <c:v>50811</c:v>
                </c:pt>
                <c:pt idx="287">
                  <c:v>50839</c:v>
                </c:pt>
                <c:pt idx="288">
                  <c:v>50872</c:v>
                </c:pt>
                <c:pt idx="289">
                  <c:v>50902</c:v>
                </c:pt>
                <c:pt idx="290">
                  <c:v>50935</c:v>
                </c:pt>
                <c:pt idx="291">
                  <c:v>50965</c:v>
                </c:pt>
                <c:pt idx="292">
                  <c:v>50997</c:v>
                </c:pt>
                <c:pt idx="293">
                  <c:v>51028</c:v>
                </c:pt>
                <c:pt idx="294">
                  <c:v>51060</c:v>
                </c:pt>
                <c:pt idx="295">
                  <c:v>51091</c:v>
                </c:pt>
                <c:pt idx="296">
                  <c:v>51123</c:v>
                </c:pt>
                <c:pt idx="297">
                  <c:v>51154</c:v>
                </c:pt>
                <c:pt idx="298">
                  <c:v>51186</c:v>
                </c:pt>
                <c:pt idx="299">
                  <c:v>51215</c:v>
                </c:pt>
                <c:pt idx="300">
                  <c:v>51246</c:v>
                </c:pt>
                <c:pt idx="301">
                  <c:v>51277</c:v>
                </c:pt>
                <c:pt idx="302">
                  <c:v>51308</c:v>
                </c:pt>
                <c:pt idx="303">
                  <c:v>51340</c:v>
                </c:pt>
                <c:pt idx="304">
                  <c:v>51371</c:v>
                </c:pt>
                <c:pt idx="305">
                  <c:v>51403</c:v>
                </c:pt>
                <c:pt idx="306">
                  <c:v>51433</c:v>
                </c:pt>
                <c:pt idx="307">
                  <c:v>51466</c:v>
                </c:pt>
                <c:pt idx="308">
                  <c:v>51497</c:v>
                </c:pt>
                <c:pt idx="309">
                  <c:v>51530</c:v>
                </c:pt>
                <c:pt idx="310">
                  <c:v>51560</c:v>
                </c:pt>
                <c:pt idx="311">
                  <c:v>51588</c:v>
                </c:pt>
                <c:pt idx="312">
                  <c:v>51620</c:v>
                </c:pt>
                <c:pt idx="313">
                  <c:v>51650</c:v>
                </c:pt>
                <c:pt idx="314">
                  <c:v>51683</c:v>
                </c:pt>
                <c:pt idx="315">
                  <c:v>51714</c:v>
                </c:pt>
                <c:pt idx="316">
                  <c:v>51746</c:v>
                </c:pt>
                <c:pt idx="317">
                  <c:v>51776</c:v>
                </c:pt>
                <c:pt idx="318">
                  <c:v>51809</c:v>
                </c:pt>
                <c:pt idx="319">
                  <c:v>51839</c:v>
                </c:pt>
                <c:pt idx="320">
                  <c:v>51872</c:v>
                </c:pt>
                <c:pt idx="321">
                  <c:v>51903</c:v>
                </c:pt>
                <c:pt idx="322">
                  <c:v>51931</c:v>
                </c:pt>
                <c:pt idx="323">
                  <c:v>51964</c:v>
                </c:pt>
                <c:pt idx="324">
                  <c:v>51994</c:v>
                </c:pt>
                <c:pt idx="325">
                  <c:v>52027</c:v>
                </c:pt>
                <c:pt idx="326">
                  <c:v>52057</c:v>
                </c:pt>
                <c:pt idx="327">
                  <c:v>52089</c:v>
                </c:pt>
                <c:pt idx="328">
                  <c:v>52120</c:v>
                </c:pt>
                <c:pt idx="329">
                  <c:v>52152</c:v>
                </c:pt>
                <c:pt idx="330">
                  <c:v>52183</c:v>
                </c:pt>
                <c:pt idx="331">
                  <c:v>52215</c:v>
                </c:pt>
                <c:pt idx="332">
                  <c:v>52246</c:v>
                </c:pt>
                <c:pt idx="333">
                  <c:v>52278</c:v>
                </c:pt>
                <c:pt idx="334">
                  <c:v>52306</c:v>
                </c:pt>
                <c:pt idx="335">
                  <c:v>52337</c:v>
                </c:pt>
                <c:pt idx="336">
                  <c:v>52369</c:v>
                </c:pt>
                <c:pt idx="337">
                  <c:v>52400</c:v>
                </c:pt>
                <c:pt idx="338">
                  <c:v>52432</c:v>
                </c:pt>
                <c:pt idx="339">
                  <c:v>52463</c:v>
                </c:pt>
                <c:pt idx="340">
                  <c:v>52495</c:v>
                </c:pt>
                <c:pt idx="341">
                  <c:v>52525</c:v>
                </c:pt>
                <c:pt idx="342">
                  <c:v>52558</c:v>
                </c:pt>
                <c:pt idx="343">
                  <c:v>52588</c:v>
                </c:pt>
                <c:pt idx="344">
                  <c:v>52621</c:v>
                </c:pt>
                <c:pt idx="345">
                  <c:v>52652</c:v>
                </c:pt>
                <c:pt idx="346">
                  <c:v>52681</c:v>
                </c:pt>
                <c:pt idx="347">
                  <c:v>52713</c:v>
                </c:pt>
                <c:pt idx="348">
                  <c:v>52743</c:v>
                </c:pt>
              </c:numCache>
            </c:numRef>
          </c:cat>
          <c:val>
            <c:numRef>
              <c:f>'basis 3M'!$R$2:$R$581</c:f>
              <c:numCache>
                <c:formatCode>0.0000%</c:formatCode>
                <c:ptCount val="580"/>
                <c:pt idx="0">
                  <c:v>2.4616521991435172E-2</c:v>
                </c:pt>
                <c:pt idx="1">
                  <c:v>2.4498764949179887E-2</c:v>
                </c:pt>
                <c:pt idx="2">
                  <c:v>2.4407980487734977E-2</c:v>
                </c:pt>
                <c:pt idx="3">
                  <c:v>2.4352541620732637E-2</c:v>
                </c:pt>
                <c:pt idx="4">
                  <c:v>2.4355064437261077E-2</c:v>
                </c:pt>
                <c:pt idx="5">
                  <c:v>2.4362128180795709E-2</c:v>
                </c:pt>
                <c:pt idx="6">
                  <c:v>2.4408333263750331E-2</c:v>
                </c:pt>
                <c:pt idx="7">
                  <c:v>2.4508073702444375E-2</c:v>
                </c:pt>
                <c:pt idx="8">
                  <c:v>2.4662213929280027E-2</c:v>
                </c:pt>
                <c:pt idx="9">
                  <c:v>2.4886740753426909E-2</c:v>
                </c:pt>
                <c:pt idx="10">
                  <c:v>2.513828002111838E-2</c:v>
                </c:pt>
                <c:pt idx="11">
                  <c:v>2.5447451024411916E-2</c:v>
                </c:pt>
                <c:pt idx="12">
                  <c:v>2.5742742593790637E-2</c:v>
                </c:pt>
                <c:pt idx="13">
                  <c:v>2.6055064261426227E-2</c:v>
                </c:pt>
                <c:pt idx="14">
                  <c:v>2.6346599027413559E-2</c:v>
                </c:pt>
                <c:pt idx="15">
                  <c:v>2.663643765457659E-2</c:v>
                </c:pt>
                <c:pt idx="16">
                  <c:v>2.6921470473747135E-2</c:v>
                </c:pt>
                <c:pt idx="17">
                  <c:v>2.7225587550618855E-2</c:v>
                </c:pt>
                <c:pt idx="18">
                  <c:v>2.7526190369595971E-2</c:v>
                </c:pt>
                <c:pt idx="19">
                  <c:v>2.7859338193871756E-2</c:v>
                </c:pt>
                <c:pt idx="20">
                  <c:v>2.8232953130884576E-2</c:v>
                </c:pt>
                <c:pt idx="21">
                  <c:v>2.8625979601726113E-2</c:v>
                </c:pt>
                <c:pt idx="22">
                  <c:v>2.9052707581750142E-2</c:v>
                </c:pt>
                <c:pt idx="23">
                  <c:v>2.9470942103448822E-2</c:v>
                </c:pt>
                <c:pt idx="24">
                  <c:v>2.9898440727102869E-2</c:v>
                </c:pt>
                <c:pt idx="25">
                  <c:v>3.0272667550684054E-2</c:v>
                </c:pt>
                <c:pt idx="26">
                  <c:v>3.0655372760434903E-2</c:v>
                </c:pt>
                <c:pt idx="27">
                  <c:v>3.0976571486499793E-2</c:v>
                </c:pt>
                <c:pt idx="28">
                  <c:v>3.1310378937227608E-2</c:v>
                </c:pt>
                <c:pt idx="29">
                  <c:v>3.1620178200677536E-2</c:v>
                </c:pt>
                <c:pt idx="30">
                  <c:v>3.1878107344925577E-2</c:v>
                </c:pt>
                <c:pt idx="31">
                  <c:v>3.2155005839339793E-2</c:v>
                </c:pt>
                <c:pt idx="32">
                  <c:v>3.2389910888895437E-2</c:v>
                </c:pt>
                <c:pt idx="33">
                  <c:v>3.2615466987088317E-2</c:v>
                </c:pt>
                <c:pt idx="34">
                  <c:v>3.2832937018433796E-2</c:v>
                </c:pt>
                <c:pt idx="35">
                  <c:v>3.3033584897714845E-2</c:v>
                </c:pt>
                <c:pt idx="36">
                  <c:v>3.3262052316175253E-2</c:v>
                </c:pt>
                <c:pt idx="37">
                  <c:v>3.3490752646815593E-2</c:v>
                </c:pt>
                <c:pt idx="38">
                  <c:v>3.3701347487891671E-2</c:v>
                </c:pt>
                <c:pt idx="39">
                  <c:v>3.3930126513889824E-2</c:v>
                </c:pt>
                <c:pt idx="40">
                  <c:v>3.4185931817399658E-2</c:v>
                </c:pt>
                <c:pt idx="41">
                  <c:v>3.4417807589304336E-2</c:v>
                </c:pt>
                <c:pt idx="42">
                  <c:v>3.4669988268036488E-2</c:v>
                </c:pt>
                <c:pt idx="43">
                  <c:v>3.4950881921861215E-2</c:v>
                </c:pt>
                <c:pt idx="44">
                  <c:v>3.5225438022552229E-2</c:v>
                </c:pt>
                <c:pt idx="45">
                  <c:v>3.5516068397000514E-2</c:v>
                </c:pt>
                <c:pt idx="46">
                  <c:v>3.5797154828008888E-2</c:v>
                </c:pt>
                <c:pt idx="47">
                  <c:v>3.6071053339076578E-2</c:v>
                </c:pt>
                <c:pt idx="48">
                  <c:v>3.6322134447180091E-2</c:v>
                </c:pt>
                <c:pt idx="49">
                  <c:v>3.6570948087893525E-2</c:v>
                </c:pt>
                <c:pt idx="50">
                  <c:v>3.6768086498135226E-2</c:v>
                </c:pt>
                <c:pt idx="51">
                  <c:v>3.6980432458866168E-2</c:v>
                </c:pt>
                <c:pt idx="52">
                  <c:v>3.7146375773640279E-2</c:v>
                </c:pt>
                <c:pt idx="53">
                  <c:v>3.7300653364397578E-2</c:v>
                </c:pt>
                <c:pt idx="54">
                  <c:v>3.7438638592848267E-2</c:v>
                </c:pt>
                <c:pt idx="55">
                  <c:v>3.7556736227641892E-2</c:v>
                </c:pt>
                <c:pt idx="56">
                  <c:v>3.766152581775576E-2</c:v>
                </c:pt>
                <c:pt idx="57">
                  <c:v>3.7742106279018466E-2</c:v>
                </c:pt>
                <c:pt idx="58">
                  <c:v>3.7830374181343156E-2</c:v>
                </c:pt>
                <c:pt idx="59">
                  <c:v>3.7925055730476914E-2</c:v>
                </c:pt>
                <c:pt idx="60">
                  <c:v>3.8057910127727516E-2</c:v>
                </c:pt>
                <c:pt idx="61">
                  <c:v>3.820983639369524E-2</c:v>
                </c:pt>
                <c:pt idx="62">
                  <c:v>3.838927270895455E-2</c:v>
                </c:pt>
                <c:pt idx="63">
                  <c:v>3.8594936665499208E-2</c:v>
                </c:pt>
                <c:pt idx="64">
                  <c:v>3.8835207024257169E-2</c:v>
                </c:pt>
                <c:pt idx="65">
                  <c:v>3.9084209474104299E-2</c:v>
                </c:pt>
                <c:pt idx="66">
                  <c:v>3.9362322345689066E-2</c:v>
                </c:pt>
                <c:pt idx="67">
                  <c:v>3.9681460661011962E-2</c:v>
                </c:pt>
                <c:pt idx="68">
                  <c:v>4.0019640316349442E-2</c:v>
                </c:pt>
                <c:pt idx="69">
                  <c:v>4.0382889720899144E-2</c:v>
                </c:pt>
                <c:pt idx="70">
                  <c:v>4.0722880061969287E-2</c:v>
                </c:pt>
                <c:pt idx="71">
                  <c:v>4.1035025831572612E-2</c:v>
                </c:pt>
                <c:pt idx="72">
                  <c:v>4.1280553576184764E-2</c:v>
                </c:pt>
                <c:pt idx="73">
                  <c:v>4.1477993808523017E-2</c:v>
                </c:pt>
                <c:pt idx="74">
                  <c:v>4.1638323090793961E-2</c:v>
                </c:pt>
                <c:pt idx="75">
                  <c:v>4.1754114926277626E-2</c:v>
                </c:pt>
                <c:pt idx="76">
                  <c:v>4.1807817987886783E-2</c:v>
                </c:pt>
                <c:pt idx="77">
                  <c:v>4.1815134394959902E-2</c:v>
                </c:pt>
                <c:pt idx="78">
                  <c:v>4.1774831460893405E-2</c:v>
                </c:pt>
                <c:pt idx="79">
                  <c:v>4.1684177637909402E-2</c:v>
                </c:pt>
                <c:pt idx="80">
                  <c:v>4.1541651823122645E-2</c:v>
                </c:pt>
                <c:pt idx="81">
                  <c:v>4.1377219533127257E-2</c:v>
                </c:pt>
                <c:pt idx="82">
                  <c:v>4.121106436999275E-2</c:v>
                </c:pt>
                <c:pt idx="83">
                  <c:v>4.1084495829153606E-2</c:v>
                </c:pt>
                <c:pt idx="84">
                  <c:v>4.0985032620956138E-2</c:v>
                </c:pt>
                <c:pt idx="85">
                  <c:v>4.0927025136624273E-2</c:v>
                </c:pt>
                <c:pt idx="86">
                  <c:v>4.0908973501311272E-2</c:v>
                </c:pt>
                <c:pt idx="87">
                  <c:v>4.0921932518427774E-2</c:v>
                </c:pt>
                <c:pt idx="88">
                  <c:v>4.0981427151165588E-2</c:v>
                </c:pt>
                <c:pt idx="89">
                  <c:v>4.1070969012186757E-2</c:v>
                </c:pt>
                <c:pt idx="90">
                  <c:v>4.1199255864215405E-2</c:v>
                </c:pt>
                <c:pt idx="91">
                  <c:v>4.1381567330573674E-2</c:v>
                </c:pt>
                <c:pt idx="92">
                  <c:v>4.1577215386098029E-2</c:v>
                </c:pt>
                <c:pt idx="93">
                  <c:v>4.1811089279066467E-2</c:v>
                </c:pt>
                <c:pt idx="94">
                  <c:v>4.2043919555537212E-2</c:v>
                </c:pt>
                <c:pt idx="95">
                  <c:v>4.2300219539823658E-2</c:v>
                </c:pt>
                <c:pt idx="96">
                  <c:v>4.2543842373936026E-2</c:v>
                </c:pt>
                <c:pt idx="97">
                  <c:v>4.2790346223771661E-2</c:v>
                </c:pt>
                <c:pt idx="98">
                  <c:v>4.3030324845882539E-2</c:v>
                </c:pt>
                <c:pt idx="99">
                  <c:v>4.3292913726280476E-2</c:v>
                </c:pt>
                <c:pt idx="100">
                  <c:v>4.3524882092295249E-2</c:v>
                </c:pt>
                <c:pt idx="101">
                  <c:v>4.3769047703534028E-2</c:v>
                </c:pt>
                <c:pt idx="102">
                  <c:v>4.4036282376523857E-2</c:v>
                </c:pt>
                <c:pt idx="103">
                  <c:v>4.429008247756977E-2</c:v>
                </c:pt>
                <c:pt idx="104">
                  <c:v>4.4550164213494024E-2</c:v>
                </c:pt>
                <c:pt idx="105">
                  <c:v>4.4792405963739131E-2</c:v>
                </c:pt>
                <c:pt idx="106">
                  <c:v>4.5030036631520914E-2</c:v>
                </c:pt>
                <c:pt idx="107">
                  <c:v>4.5219730854510067E-2</c:v>
                </c:pt>
                <c:pt idx="108">
                  <c:v>4.5410926763923505E-2</c:v>
                </c:pt>
                <c:pt idx="109">
                  <c:v>4.5557743860883057E-2</c:v>
                </c:pt>
                <c:pt idx="110">
                  <c:v>4.5701027834897046E-2</c:v>
                </c:pt>
                <c:pt idx="111">
                  <c:v>4.5816935053138379E-2</c:v>
                </c:pt>
                <c:pt idx="112">
                  <c:v>4.5906828094694339E-2</c:v>
                </c:pt>
                <c:pt idx="113">
                  <c:v>4.5974181192975347E-2</c:v>
                </c:pt>
                <c:pt idx="114">
                  <c:v>4.6018743417380652E-2</c:v>
                </c:pt>
                <c:pt idx="115">
                  <c:v>4.6039453889949726E-2</c:v>
                </c:pt>
                <c:pt idx="116">
                  <c:v>4.6044690181808103E-2</c:v>
                </c:pt>
                <c:pt idx="117">
                  <c:v>4.6038164121081027E-2</c:v>
                </c:pt>
                <c:pt idx="118">
                  <c:v>4.6036472516727517E-2</c:v>
                </c:pt>
                <c:pt idx="119">
                  <c:v>4.6038999962058416E-2</c:v>
                </c:pt>
                <c:pt idx="120">
                  <c:v>4.6028148991813574E-2</c:v>
                </c:pt>
                <c:pt idx="121">
                  <c:v>4.6024184730200972E-2</c:v>
                </c:pt>
                <c:pt idx="122">
                  <c:v>4.6027233001597154E-2</c:v>
                </c:pt>
                <c:pt idx="123">
                  <c:v>4.6031287540692044E-2</c:v>
                </c:pt>
                <c:pt idx="124">
                  <c:v>4.6030594696918385E-2</c:v>
                </c:pt>
                <c:pt idx="125">
                  <c:v>4.6037130692465775E-2</c:v>
                </c:pt>
                <c:pt idx="126">
                  <c:v>4.6041714329476596E-2</c:v>
                </c:pt>
                <c:pt idx="127">
                  <c:v>4.6047627782117191E-2</c:v>
                </c:pt>
                <c:pt idx="128">
                  <c:v>4.6054501464621235E-2</c:v>
                </c:pt>
                <c:pt idx="129">
                  <c:v>4.6059696060490499E-2</c:v>
                </c:pt>
                <c:pt idx="130">
                  <c:v>4.6071629404995942E-2</c:v>
                </c:pt>
                <c:pt idx="131">
                  <c:v>4.6082583939536285E-2</c:v>
                </c:pt>
                <c:pt idx="132">
                  <c:v>4.6087368949943475E-2</c:v>
                </c:pt>
                <c:pt idx="133">
                  <c:v>4.6103880846173048E-2</c:v>
                </c:pt>
                <c:pt idx="134">
                  <c:v>4.6111242608316449E-2</c:v>
                </c:pt>
                <c:pt idx="135">
                  <c:v>4.6134169665064027E-2</c:v>
                </c:pt>
                <c:pt idx="136">
                  <c:v>4.6147368565795342E-2</c:v>
                </c:pt>
                <c:pt idx="137">
                  <c:v>4.6167074157029947E-2</c:v>
                </c:pt>
                <c:pt idx="138">
                  <c:v>4.6186427396113429E-2</c:v>
                </c:pt>
                <c:pt idx="139">
                  <c:v>4.6205185915228854E-2</c:v>
                </c:pt>
                <c:pt idx="140">
                  <c:v>4.6227253237296775E-2</c:v>
                </c:pt>
                <c:pt idx="141">
                  <c:v>4.6246154846630833E-2</c:v>
                </c:pt>
                <c:pt idx="142">
                  <c:v>4.6277452803768111E-2</c:v>
                </c:pt>
                <c:pt idx="143">
                  <c:v>4.6299470953195462E-2</c:v>
                </c:pt>
                <c:pt idx="144">
                  <c:v>4.6324772988954974E-2</c:v>
                </c:pt>
                <c:pt idx="145">
                  <c:v>4.6353335103290184E-2</c:v>
                </c:pt>
                <c:pt idx="146">
                  <c:v>4.6386934626565422E-2</c:v>
                </c:pt>
                <c:pt idx="147">
                  <c:v>4.6415109539851417E-2</c:v>
                </c:pt>
                <c:pt idx="148">
                  <c:v>4.6452965736354095E-2</c:v>
                </c:pt>
                <c:pt idx="149">
                  <c:v>4.6487807778363019E-2</c:v>
                </c:pt>
                <c:pt idx="150">
                  <c:v>4.6525399997212141E-2</c:v>
                </c:pt>
                <c:pt idx="151">
                  <c:v>4.6563392923153105E-2</c:v>
                </c:pt>
                <c:pt idx="152">
                  <c:v>4.6600570069770329E-2</c:v>
                </c:pt>
                <c:pt idx="153">
                  <c:v>4.6644030326449502E-2</c:v>
                </c:pt>
                <c:pt idx="154">
                  <c:v>4.6689479408692405E-2</c:v>
                </c:pt>
                <c:pt idx="155">
                  <c:v>4.6728562370949966E-2</c:v>
                </c:pt>
                <c:pt idx="156">
                  <c:v>4.6777333216500197E-2</c:v>
                </c:pt>
                <c:pt idx="157">
                  <c:v>4.6820926543774455E-2</c:v>
                </c:pt>
                <c:pt idx="158">
                  <c:v>4.6885925592897192E-2</c:v>
                </c:pt>
                <c:pt idx="159">
                  <c:v>4.6920925951616156E-2</c:v>
                </c:pt>
                <c:pt idx="160">
                  <c:v>4.69751077872015E-2</c:v>
                </c:pt>
                <c:pt idx="161">
                  <c:v>4.7033867794702089E-2</c:v>
                </c:pt>
                <c:pt idx="162">
                  <c:v>4.7087264297681286E-2</c:v>
                </c:pt>
                <c:pt idx="163">
                  <c:v>4.7145821722009894E-2</c:v>
                </c:pt>
                <c:pt idx="164">
                  <c:v>4.720007830558972E-2</c:v>
                </c:pt>
                <c:pt idx="165">
                  <c:v>4.7265937027651708E-2</c:v>
                </c:pt>
                <c:pt idx="166">
                  <c:v>4.7327393359409206E-2</c:v>
                </c:pt>
                <c:pt idx="167">
                  <c:v>4.7388311038388184E-2</c:v>
                </c:pt>
                <c:pt idx="168">
                  <c:v>4.7448706029531884E-2</c:v>
                </c:pt>
                <c:pt idx="169">
                  <c:v>4.7521172879442457E-2</c:v>
                </c:pt>
                <c:pt idx="170">
                  <c:v>4.7586526549255256E-2</c:v>
                </c:pt>
                <c:pt idx="171">
                  <c:v>4.7651409173206809E-2</c:v>
                </c:pt>
                <c:pt idx="172">
                  <c:v>4.7728713384766946E-2</c:v>
                </c:pt>
                <c:pt idx="173">
                  <c:v>4.7801019743908803E-2</c:v>
                </c:pt>
                <c:pt idx="174">
                  <c:v>4.7876629511927546E-2</c:v>
                </c:pt>
                <c:pt idx="175">
                  <c:v>4.7949315294780123E-2</c:v>
                </c:pt>
                <c:pt idx="176">
                  <c:v>4.8017871413293403E-2</c:v>
                </c:pt>
                <c:pt idx="177">
                  <c:v>4.8087593430683473E-2</c:v>
                </c:pt>
                <c:pt idx="178">
                  <c:v>4.8156349678338824E-2</c:v>
                </c:pt>
                <c:pt idx="179">
                  <c:v>4.8209535560241434E-2</c:v>
                </c:pt>
                <c:pt idx="180">
                  <c:v>4.8271815529608908E-2</c:v>
                </c:pt>
                <c:pt idx="181">
                  <c:v>4.8333654316213982E-2</c:v>
                </c:pt>
                <c:pt idx="182">
                  <c:v>4.8381161083648691E-2</c:v>
                </c:pt>
                <c:pt idx="183">
                  <c:v>4.8428473392727524E-2</c:v>
                </c:pt>
                <c:pt idx="184">
                  <c:v>4.8477684397413914E-2</c:v>
                </c:pt>
                <c:pt idx="185">
                  <c:v>4.8524188289923782E-2</c:v>
                </c:pt>
                <c:pt idx="186">
                  <c:v>4.8564790722522469E-2</c:v>
                </c:pt>
                <c:pt idx="187">
                  <c:v>4.8599745033457577E-2</c:v>
                </c:pt>
                <c:pt idx="188">
                  <c:v>4.8637035129498324E-2</c:v>
                </c:pt>
                <c:pt idx="189">
                  <c:v>4.8670615776172987E-2</c:v>
                </c:pt>
                <c:pt idx="190">
                  <c:v>4.8690819298352395E-2</c:v>
                </c:pt>
                <c:pt idx="191">
                  <c:v>4.872167929225036E-2</c:v>
                </c:pt>
                <c:pt idx="192">
                  <c:v>4.8736913129262198E-2</c:v>
                </c:pt>
                <c:pt idx="193">
                  <c:v>4.8765373309530242E-2</c:v>
                </c:pt>
                <c:pt idx="194">
                  <c:v>4.8779056720818739E-2</c:v>
                </c:pt>
                <c:pt idx="195">
                  <c:v>4.8795798227288453E-2</c:v>
                </c:pt>
                <c:pt idx="196">
                  <c:v>4.8807409727090981E-2</c:v>
                </c:pt>
                <c:pt idx="197">
                  <c:v>4.8814670937722897E-2</c:v>
                </c:pt>
                <c:pt idx="198">
                  <c:v>4.8819332506143724E-2</c:v>
                </c:pt>
                <c:pt idx="199">
                  <c:v>4.8817539829810935E-2</c:v>
                </c:pt>
                <c:pt idx="200">
                  <c:v>4.8819207473225795E-2</c:v>
                </c:pt>
                <c:pt idx="201">
                  <c:v>4.8814616714075575E-2</c:v>
                </c:pt>
                <c:pt idx="202">
                  <c:v>4.8803620919451708E-2</c:v>
                </c:pt>
                <c:pt idx="203">
                  <c:v>4.8793008712137473E-2</c:v>
                </c:pt>
                <c:pt idx="204">
                  <c:v>4.877892118106085E-2</c:v>
                </c:pt>
                <c:pt idx="205">
                  <c:v>4.8766380321067004E-2</c:v>
                </c:pt>
                <c:pt idx="206">
                  <c:v>4.8743928744912166E-2</c:v>
                </c:pt>
                <c:pt idx="207">
                  <c:v>4.8724338516270366E-2</c:v>
                </c:pt>
                <c:pt idx="208">
                  <c:v>4.8698836860488502E-2</c:v>
                </c:pt>
                <c:pt idx="209">
                  <c:v>4.8669379386118296E-2</c:v>
                </c:pt>
                <c:pt idx="210">
                  <c:v>4.8637807251608919E-2</c:v>
                </c:pt>
                <c:pt idx="211">
                  <c:v>4.8599422764473321E-2</c:v>
                </c:pt>
                <c:pt idx="212">
                  <c:v>4.8565702192134415E-2</c:v>
                </c:pt>
                <c:pt idx="213">
                  <c:v>4.852245185133261E-2</c:v>
                </c:pt>
                <c:pt idx="214">
                  <c:v>4.8475195392659209E-2</c:v>
                </c:pt>
                <c:pt idx="215">
                  <c:v>4.8430484819330565E-2</c:v>
                </c:pt>
                <c:pt idx="216">
                  <c:v>4.8373538452084475E-2</c:v>
                </c:pt>
                <c:pt idx="217">
                  <c:v>4.8333172386782849E-2</c:v>
                </c:pt>
                <c:pt idx="218">
                  <c:v>4.8271747931237938E-2</c:v>
                </c:pt>
                <c:pt idx="219">
                  <c:v>4.8217320567587513E-2</c:v>
                </c:pt>
                <c:pt idx="220">
                  <c:v>4.8153752207689818E-2</c:v>
                </c:pt>
                <c:pt idx="221">
                  <c:v>4.80912673241147E-2</c:v>
                </c:pt>
                <c:pt idx="222">
                  <c:v>4.8019304346678504E-2</c:v>
                </c:pt>
                <c:pt idx="223">
                  <c:v>4.7946628127705976E-2</c:v>
                </c:pt>
                <c:pt idx="224">
                  <c:v>4.7872525924179683E-2</c:v>
                </c:pt>
                <c:pt idx="225">
                  <c:v>4.7794543638364217E-2</c:v>
                </c:pt>
                <c:pt idx="226">
                  <c:v>4.7719454544614612E-2</c:v>
                </c:pt>
                <c:pt idx="227">
                  <c:v>4.7631696460766336E-2</c:v>
                </c:pt>
                <c:pt idx="228">
                  <c:v>4.7558841249903089E-2</c:v>
                </c:pt>
                <c:pt idx="229">
                  <c:v>4.7479212877276133E-2</c:v>
                </c:pt>
                <c:pt idx="230">
                  <c:v>4.7391392250853481E-2</c:v>
                </c:pt>
                <c:pt idx="231">
                  <c:v>4.7294228927047127E-2</c:v>
                </c:pt>
                <c:pt idx="232">
                  <c:v>4.7197314846331793E-2</c:v>
                </c:pt>
                <c:pt idx="233">
                  <c:v>4.7095190127759617E-2</c:v>
                </c:pt>
                <c:pt idx="234">
                  <c:v>4.6994439448358474E-2</c:v>
                </c:pt>
                <c:pt idx="235">
                  <c:v>4.6891634580352247E-2</c:v>
                </c:pt>
                <c:pt idx="236">
                  <c:v>4.6798667487870031E-2</c:v>
                </c:pt>
                <c:pt idx="237">
                  <c:v>4.6700037002406228E-2</c:v>
                </c:pt>
                <c:pt idx="238">
                  <c:v>4.6606310141375396E-2</c:v>
                </c:pt>
                <c:pt idx="239">
                  <c:v>4.6514717127241104E-2</c:v>
                </c:pt>
                <c:pt idx="240">
                  <c:v>4.6436479596565106E-2</c:v>
                </c:pt>
                <c:pt idx="241">
                  <c:v>4.6348338512911806E-2</c:v>
                </c:pt>
                <c:pt idx="242">
                  <c:v>4.6262629121914957E-2</c:v>
                </c:pt>
                <c:pt idx="243">
                  <c:v>4.6179988206380695E-2</c:v>
                </c:pt>
                <c:pt idx="244">
                  <c:v>4.6096690749923938E-2</c:v>
                </c:pt>
                <c:pt idx="245">
                  <c:v>4.6017942723346958E-2</c:v>
                </c:pt>
                <c:pt idx="246">
                  <c:v>4.5936951661326234E-2</c:v>
                </c:pt>
                <c:pt idx="247">
                  <c:v>4.5866192680408445E-2</c:v>
                </c:pt>
                <c:pt idx="248">
                  <c:v>4.5788546384599824E-2</c:v>
                </c:pt>
                <c:pt idx="249">
                  <c:v>4.5718065218501192E-2</c:v>
                </c:pt>
                <c:pt idx="250">
                  <c:v>4.5646338545153903E-2</c:v>
                </c:pt>
                <c:pt idx="251">
                  <c:v>4.5575621456579E-2</c:v>
                </c:pt>
                <c:pt idx="252">
                  <c:v>4.5516410982675511E-2</c:v>
                </c:pt>
                <c:pt idx="253">
                  <c:v>4.5451008887862229E-2</c:v>
                </c:pt>
                <c:pt idx="254">
                  <c:v>4.5393437089026469E-2</c:v>
                </c:pt>
                <c:pt idx="255">
                  <c:v>4.5332011193443419E-2</c:v>
                </c:pt>
                <c:pt idx="256">
                  <c:v>4.5276277042868733E-2</c:v>
                </c:pt>
                <c:pt idx="257">
                  <c:v>4.5217040143330112E-2</c:v>
                </c:pt>
                <c:pt idx="258">
                  <c:v>4.5161382501898814E-2</c:v>
                </c:pt>
                <c:pt idx="259">
                  <c:v>4.5109974931900519E-2</c:v>
                </c:pt>
                <c:pt idx="260">
                  <c:v>4.5060194046418887E-2</c:v>
                </c:pt>
                <c:pt idx="261">
                  <c:v>4.5008752500888982E-2</c:v>
                </c:pt>
                <c:pt idx="262">
                  <c:v>4.4960749229383971E-2</c:v>
                </c:pt>
                <c:pt idx="263">
                  <c:v>4.491744569813215E-2</c:v>
                </c:pt>
                <c:pt idx="264">
                  <c:v>4.4881538682118235E-2</c:v>
                </c:pt>
                <c:pt idx="265">
                  <c:v>4.4839102478940171E-2</c:v>
                </c:pt>
                <c:pt idx="266">
                  <c:v>4.480170007911121E-2</c:v>
                </c:pt>
                <c:pt idx="267">
                  <c:v>4.4765315725638528E-2</c:v>
                </c:pt>
                <c:pt idx="268">
                  <c:v>4.4729764826850225E-2</c:v>
                </c:pt>
                <c:pt idx="269">
                  <c:v>4.4697269262626411E-2</c:v>
                </c:pt>
                <c:pt idx="270">
                  <c:v>4.4665732494450376E-2</c:v>
                </c:pt>
                <c:pt idx="271">
                  <c:v>4.4638018464774859E-2</c:v>
                </c:pt>
                <c:pt idx="272">
                  <c:v>4.4600190569577078E-2</c:v>
                </c:pt>
                <c:pt idx="273">
                  <c:v>4.4580890199353185E-2</c:v>
                </c:pt>
                <c:pt idx="274">
                  <c:v>4.4558964115282151E-2</c:v>
                </c:pt>
                <c:pt idx="275">
                  <c:v>4.4542477046725669E-2</c:v>
                </c:pt>
                <c:pt idx="276">
                  <c:v>4.4520909820723577E-2</c:v>
                </c:pt>
                <c:pt idx="277">
                  <c:v>4.4505663242223464E-2</c:v>
                </c:pt>
                <c:pt idx="278">
                  <c:v>4.4490449154399113E-2</c:v>
                </c:pt>
                <c:pt idx="279">
                  <c:v>4.447675101527785E-2</c:v>
                </c:pt>
                <c:pt idx="280">
                  <c:v>4.4465424938785525E-2</c:v>
                </c:pt>
                <c:pt idx="281">
                  <c:v>4.4453126214821739E-2</c:v>
                </c:pt>
                <c:pt idx="282">
                  <c:v>4.4448512138398379E-2</c:v>
                </c:pt>
                <c:pt idx="283">
                  <c:v>4.4442630648683125E-2</c:v>
                </c:pt>
                <c:pt idx="284">
                  <c:v>4.4433756956363979E-2</c:v>
                </c:pt>
                <c:pt idx="285">
                  <c:v>4.4437422304669669E-2</c:v>
                </c:pt>
                <c:pt idx="286">
                  <c:v>4.4429458565516701E-2</c:v>
                </c:pt>
                <c:pt idx="287">
                  <c:v>4.443970925141208E-2</c:v>
                </c:pt>
                <c:pt idx="288">
                  <c:v>4.444118080699927E-2</c:v>
                </c:pt>
                <c:pt idx="289">
                  <c:v>4.4449801597242433E-2</c:v>
                </c:pt>
                <c:pt idx="290">
                  <c:v>4.4458241357077773E-2</c:v>
                </c:pt>
                <c:pt idx="291">
                  <c:v>4.4467664788327879E-2</c:v>
                </c:pt>
                <c:pt idx="292">
                  <c:v>4.4478917557782389E-2</c:v>
                </c:pt>
                <c:pt idx="293">
                  <c:v>4.4487358196168884E-2</c:v>
                </c:pt>
                <c:pt idx="294">
                  <c:v>4.4501888282662862E-2</c:v>
                </c:pt>
                <c:pt idx="295">
                  <c:v>4.4512934362505856E-2</c:v>
                </c:pt>
                <c:pt idx="296">
                  <c:v>4.4521214701056425E-2</c:v>
                </c:pt>
                <c:pt idx="297">
                  <c:v>4.453186058200069E-2</c:v>
                </c:pt>
                <c:pt idx="298">
                  <c:v>4.4542642375656374E-2</c:v>
                </c:pt>
                <c:pt idx="299">
                  <c:v>4.4555140182384864E-2</c:v>
                </c:pt>
                <c:pt idx="300">
                  <c:v>4.4562290070461988E-2</c:v>
                </c:pt>
                <c:pt idx="301">
                  <c:v>4.4575055970573908E-2</c:v>
                </c:pt>
                <c:pt idx="302">
                  <c:v>4.4584717078926361E-2</c:v>
                </c:pt>
                <c:pt idx="303">
                  <c:v>4.4594482300044182E-2</c:v>
                </c:pt>
                <c:pt idx="304">
                  <c:v>4.4603741306150337E-2</c:v>
                </c:pt>
                <c:pt idx="305">
                  <c:v>4.461019477901889E-2</c:v>
                </c:pt>
                <c:pt idx="306">
                  <c:v>4.4621665731128538E-2</c:v>
                </c:pt>
                <c:pt idx="307">
                  <c:v>4.4630883411872435E-2</c:v>
                </c:pt>
                <c:pt idx="308">
                  <c:v>4.4633557925491729E-2</c:v>
                </c:pt>
                <c:pt idx="309">
                  <c:v>4.4642345379805271E-2</c:v>
                </c:pt>
                <c:pt idx="310">
                  <c:v>4.4655910837622534E-2</c:v>
                </c:pt>
                <c:pt idx="311">
                  <c:v>4.4663014140047065E-2</c:v>
                </c:pt>
                <c:pt idx="312">
                  <c:v>4.4668053068381085E-2</c:v>
                </c:pt>
                <c:pt idx="313">
                  <c:v>4.4678168416154088E-2</c:v>
                </c:pt>
                <c:pt idx="314">
                  <c:v>4.4685911648890846E-2</c:v>
                </c:pt>
                <c:pt idx="315">
                  <c:v>4.4692981337494934E-2</c:v>
                </c:pt>
                <c:pt idx="316">
                  <c:v>4.469719943551978E-2</c:v>
                </c:pt>
                <c:pt idx="317">
                  <c:v>4.4706527087644318E-2</c:v>
                </c:pt>
                <c:pt idx="318">
                  <c:v>4.4713414162468677E-2</c:v>
                </c:pt>
                <c:pt idx="319">
                  <c:v>4.4713750908917931E-2</c:v>
                </c:pt>
                <c:pt idx="320">
                  <c:v>4.472593954508236E-2</c:v>
                </c:pt>
                <c:pt idx="321">
                  <c:v>4.4723223816591641E-2</c:v>
                </c:pt>
                <c:pt idx="322">
                  <c:v>4.4736928592478763E-2</c:v>
                </c:pt>
                <c:pt idx="323">
                  <c:v>4.4739907510401224E-2</c:v>
                </c:pt>
                <c:pt idx="324">
                  <c:v>4.4747871338095359E-2</c:v>
                </c:pt>
                <c:pt idx="325">
                  <c:v>4.475327708474567E-2</c:v>
                </c:pt>
                <c:pt idx="326">
                  <c:v>4.4757996810159642E-2</c:v>
                </c:pt>
                <c:pt idx="327">
                  <c:v>4.4762826915433644E-2</c:v>
                </c:pt>
                <c:pt idx="328">
                  <c:v>4.4764463104627346E-2</c:v>
                </c:pt>
                <c:pt idx="329">
                  <c:v>4.4771719979172106E-2</c:v>
                </c:pt>
                <c:pt idx="330">
                  <c:v>4.4775795909045714E-2</c:v>
                </c:pt>
                <c:pt idx="331">
                  <c:v>4.4768462154934609E-2</c:v>
                </c:pt>
                <c:pt idx="332">
                  <c:v>4.4777807848244144E-2</c:v>
                </c:pt>
                <c:pt idx="333">
                  <c:v>4.4784226162152781E-2</c:v>
                </c:pt>
                <c:pt idx="334">
                  <c:v>4.4790017886438861E-2</c:v>
                </c:pt>
                <c:pt idx="335">
                  <c:v>4.4790288005717029E-2</c:v>
                </c:pt>
                <c:pt idx="336">
                  <c:v>4.4796095825904506E-2</c:v>
                </c:pt>
                <c:pt idx="337">
                  <c:v>4.4798786530246437E-2</c:v>
                </c:pt>
                <c:pt idx="338">
                  <c:v>4.4801356461941721E-2</c:v>
                </c:pt>
                <c:pt idx="339">
                  <c:v>4.4803644999876525E-2</c:v>
                </c:pt>
                <c:pt idx="340">
                  <c:v>4.4802991737355538E-2</c:v>
                </c:pt>
                <c:pt idx="341">
                  <c:v>4.4807628399606593E-2</c:v>
                </c:pt>
                <c:pt idx="342">
                  <c:v>4.4809425811203549E-2</c:v>
                </c:pt>
                <c:pt idx="343">
                  <c:v>4.4808066117197572E-2</c:v>
                </c:pt>
                <c:pt idx="344">
                  <c:v>4.481223451942868E-2</c:v>
                </c:pt>
                <c:pt idx="345">
                  <c:v>4.4807731072729062E-2</c:v>
                </c:pt>
                <c:pt idx="346">
                  <c:v>4.4819729987539171E-2</c:v>
                </c:pt>
                <c:pt idx="347">
                  <c:v>4.4812081151456046E-2</c:v>
                </c:pt>
                <c:pt idx="348">
                  <c:v>4.4815349748712784E-2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208960"/>
        <c:axId val="371210496"/>
      </c:lineChart>
      <c:dateAx>
        <c:axId val="371208960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371210496"/>
        <c:crosses val="autoZero"/>
        <c:auto val="1"/>
        <c:lblOffset val="100"/>
        <c:baseTimeUnit val="months"/>
      </c:dateAx>
      <c:valAx>
        <c:axId val="371210496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712089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921149908617449"/>
          <c:y val="0.52572601980722256"/>
          <c:w val="0.18735788782981075"/>
          <c:h val="0.2126110707953872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41891</c:v>
                </c:pt>
                <c:pt idx="1">
                  <c:v>41892</c:v>
                </c:pt>
                <c:pt idx="2">
                  <c:v>41893</c:v>
                </c:pt>
                <c:pt idx="3">
                  <c:v>41894</c:v>
                </c:pt>
                <c:pt idx="4">
                  <c:v>41897</c:v>
                </c:pt>
                <c:pt idx="5">
                  <c:v>41898</c:v>
                </c:pt>
                <c:pt idx="6">
                  <c:v>41899</c:v>
                </c:pt>
                <c:pt idx="7">
                  <c:v>41900</c:v>
                </c:pt>
                <c:pt idx="8">
                  <c:v>41901</c:v>
                </c:pt>
                <c:pt idx="9">
                  <c:v>41904</c:v>
                </c:pt>
                <c:pt idx="10">
                  <c:v>41905</c:v>
                </c:pt>
                <c:pt idx="11">
                  <c:v>41906</c:v>
                </c:pt>
                <c:pt idx="12">
                  <c:v>41907</c:v>
                </c:pt>
                <c:pt idx="13">
                  <c:v>41908</c:v>
                </c:pt>
                <c:pt idx="14">
                  <c:v>41911</c:v>
                </c:pt>
                <c:pt idx="15">
                  <c:v>41912</c:v>
                </c:pt>
                <c:pt idx="16">
                  <c:v>41913</c:v>
                </c:pt>
                <c:pt idx="17">
                  <c:v>41914</c:v>
                </c:pt>
                <c:pt idx="18">
                  <c:v>41915</c:v>
                </c:pt>
                <c:pt idx="19">
                  <c:v>41919</c:v>
                </c:pt>
                <c:pt idx="20">
                  <c:v>41920</c:v>
                </c:pt>
                <c:pt idx="21">
                  <c:v>41921</c:v>
                </c:pt>
                <c:pt idx="22">
                  <c:v>41922</c:v>
                </c:pt>
                <c:pt idx="23">
                  <c:v>41925</c:v>
                </c:pt>
                <c:pt idx="24">
                  <c:v>41926</c:v>
                </c:pt>
                <c:pt idx="25">
                  <c:v>41927</c:v>
                </c:pt>
                <c:pt idx="26">
                  <c:v>41928</c:v>
                </c:pt>
                <c:pt idx="27">
                  <c:v>41929</c:v>
                </c:pt>
                <c:pt idx="28">
                  <c:v>41932</c:v>
                </c:pt>
                <c:pt idx="29">
                  <c:v>41933</c:v>
                </c:pt>
                <c:pt idx="30">
                  <c:v>41934</c:v>
                </c:pt>
                <c:pt idx="31">
                  <c:v>41935</c:v>
                </c:pt>
                <c:pt idx="32">
                  <c:v>41936</c:v>
                </c:pt>
                <c:pt idx="33">
                  <c:v>41939</c:v>
                </c:pt>
                <c:pt idx="34">
                  <c:v>41940</c:v>
                </c:pt>
                <c:pt idx="35">
                  <c:v>41941</c:v>
                </c:pt>
                <c:pt idx="36">
                  <c:v>41942</c:v>
                </c:pt>
                <c:pt idx="37">
                  <c:v>41943</c:v>
                </c:pt>
                <c:pt idx="38">
                  <c:v>41946</c:v>
                </c:pt>
                <c:pt idx="39">
                  <c:v>41947</c:v>
                </c:pt>
                <c:pt idx="40">
                  <c:v>41948</c:v>
                </c:pt>
                <c:pt idx="41">
                  <c:v>41949</c:v>
                </c:pt>
                <c:pt idx="42">
                  <c:v>41950</c:v>
                </c:pt>
                <c:pt idx="43">
                  <c:v>41953</c:v>
                </c:pt>
                <c:pt idx="44">
                  <c:v>41954</c:v>
                </c:pt>
                <c:pt idx="45">
                  <c:v>41955</c:v>
                </c:pt>
                <c:pt idx="46">
                  <c:v>41956</c:v>
                </c:pt>
                <c:pt idx="47">
                  <c:v>41957</c:v>
                </c:pt>
                <c:pt idx="48">
                  <c:v>41960</c:v>
                </c:pt>
                <c:pt idx="49">
                  <c:v>41961</c:v>
                </c:pt>
                <c:pt idx="50">
                  <c:v>41962</c:v>
                </c:pt>
                <c:pt idx="51">
                  <c:v>41963</c:v>
                </c:pt>
                <c:pt idx="52">
                  <c:v>41964</c:v>
                </c:pt>
                <c:pt idx="53">
                  <c:v>41967</c:v>
                </c:pt>
                <c:pt idx="54">
                  <c:v>41968</c:v>
                </c:pt>
                <c:pt idx="55">
                  <c:v>41969</c:v>
                </c:pt>
                <c:pt idx="56">
                  <c:v>41970</c:v>
                </c:pt>
                <c:pt idx="57">
                  <c:v>41971</c:v>
                </c:pt>
                <c:pt idx="58">
                  <c:v>41974</c:v>
                </c:pt>
                <c:pt idx="59">
                  <c:v>41975</c:v>
                </c:pt>
                <c:pt idx="60">
                  <c:v>41976</c:v>
                </c:pt>
                <c:pt idx="61">
                  <c:v>41977</c:v>
                </c:pt>
                <c:pt idx="62">
                  <c:v>41978</c:v>
                </c:pt>
                <c:pt idx="63">
                  <c:v>41981</c:v>
                </c:pt>
                <c:pt idx="64">
                  <c:v>41982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1.6401706331715328E-3</c:v>
                </c:pt>
                <c:pt idx="1">
                  <c:v>1.6401706331715328E-3</c:v>
                </c:pt>
                <c:pt idx="2">
                  <c:v>1.6401706331715328E-3</c:v>
                </c:pt>
                <c:pt idx="3">
                  <c:v>1.6401706331715328E-3</c:v>
                </c:pt>
                <c:pt idx="4">
                  <c:v>1.6401706331715328E-3</c:v>
                </c:pt>
                <c:pt idx="5">
                  <c:v>1.6401706331715328E-3</c:v>
                </c:pt>
                <c:pt idx="6">
                  <c:v>1.6401706331715328E-3</c:v>
                </c:pt>
                <c:pt idx="7">
                  <c:v>1.6401706331715328E-3</c:v>
                </c:pt>
                <c:pt idx="8">
                  <c:v>1.6401706331715328E-3</c:v>
                </c:pt>
                <c:pt idx="9">
                  <c:v>1.6401706331715328E-3</c:v>
                </c:pt>
                <c:pt idx="10">
                  <c:v>1.6401706331715328E-3</c:v>
                </c:pt>
                <c:pt idx="11">
                  <c:v>1.6401706331715328E-3</c:v>
                </c:pt>
                <c:pt idx="12">
                  <c:v>1.6401706331715328E-3</c:v>
                </c:pt>
                <c:pt idx="13">
                  <c:v>1.6401706331715328E-3</c:v>
                </c:pt>
                <c:pt idx="14">
                  <c:v>1.6401706331715328E-3</c:v>
                </c:pt>
                <c:pt idx="15">
                  <c:v>1.6401706331715328E-3</c:v>
                </c:pt>
                <c:pt idx="16">
                  <c:v>1.6401706331715328E-3</c:v>
                </c:pt>
                <c:pt idx="17">
                  <c:v>1.6401706331715328E-3</c:v>
                </c:pt>
                <c:pt idx="18">
                  <c:v>1.6401706331715328E-3</c:v>
                </c:pt>
                <c:pt idx="19">
                  <c:v>1.6401706331715328E-3</c:v>
                </c:pt>
                <c:pt idx="20">
                  <c:v>1.6401706331715328E-3</c:v>
                </c:pt>
                <c:pt idx="21">
                  <c:v>1.6401706331715328E-3</c:v>
                </c:pt>
                <c:pt idx="22">
                  <c:v>1.6401706331715328E-3</c:v>
                </c:pt>
                <c:pt idx="23">
                  <c:v>1.6401706331715328E-3</c:v>
                </c:pt>
                <c:pt idx="24">
                  <c:v>1.6401706331715328E-3</c:v>
                </c:pt>
                <c:pt idx="25">
                  <c:v>1.6401706331715328E-3</c:v>
                </c:pt>
                <c:pt idx="26">
                  <c:v>1.6401706331715328E-3</c:v>
                </c:pt>
                <c:pt idx="27">
                  <c:v>1.6401706331715328E-3</c:v>
                </c:pt>
                <c:pt idx="28">
                  <c:v>1.6401706331715328E-3</c:v>
                </c:pt>
                <c:pt idx="29">
                  <c:v>1.6401706331715328E-3</c:v>
                </c:pt>
                <c:pt idx="30">
                  <c:v>1.6401706331715328E-3</c:v>
                </c:pt>
                <c:pt idx="31">
                  <c:v>1.6401706331715328E-3</c:v>
                </c:pt>
                <c:pt idx="32">
                  <c:v>1.6401706331715328E-3</c:v>
                </c:pt>
                <c:pt idx="33">
                  <c:v>1.6401706331715328E-3</c:v>
                </c:pt>
                <c:pt idx="34">
                  <c:v>1.6401706331715328E-3</c:v>
                </c:pt>
                <c:pt idx="35">
                  <c:v>1.6401706331715328E-3</c:v>
                </c:pt>
                <c:pt idx="36">
                  <c:v>1.6401706331715328E-3</c:v>
                </c:pt>
                <c:pt idx="37">
                  <c:v>1.6401706331715328E-3</c:v>
                </c:pt>
                <c:pt idx="38">
                  <c:v>1.6401706331715328E-3</c:v>
                </c:pt>
                <c:pt idx="39">
                  <c:v>1.6401706331715328E-3</c:v>
                </c:pt>
                <c:pt idx="40">
                  <c:v>1.6401706331715328E-3</c:v>
                </c:pt>
                <c:pt idx="41">
                  <c:v>1.6401706331715328E-3</c:v>
                </c:pt>
                <c:pt idx="42">
                  <c:v>1.6401706331715328E-3</c:v>
                </c:pt>
                <c:pt idx="43">
                  <c:v>1.6401706331715328E-3</c:v>
                </c:pt>
                <c:pt idx="44">
                  <c:v>1.6401706331715328E-3</c:v>
                </c:pt>
                <c:pt idx="45">
                  <c:v>1.6401706331715328E-3</c:v>
                </c:pt>
                <c:pt idx="46">
                  <c:v>1.6401706331715328E-3</c:v>
                </c:pt>
                <c:pt idx="47">
                  <c:v>1.6401706331715328E-3</c:v>
                </c:pt>
                <c:pt idx="48">
                  <c:v>1.6401706331715328E-3</c:v>
                </c:pt>
                <c:pt idx="49">
                  <c:v>1.6401706331715328E-3</c:v>
                </c:pt>
                <c:pt idx="50">
                  <c:v>1.6401706331715328E-3</c:v>
                </c:pt>
                <c:pt idx="51">
                  <c:v>1.6401706331715328E-3</c:v>
                </c:pt>
                <c:pt idx="52">
                  <c:v>1.6401706331715328E-3</c:v>
                </c:pt>
                <c:pt idx="53">
                  <c:v>1.6401706331715328E-3</c:v>
                </c:pt>
                <c:pt idx="54">
                  <c:v>1.6401706331715328E-3</c:v>
                </c:pt>
                <c:pt idx="55">
                  <c:v>1.6401706331715328E-3</c:v>
                </c:pt>
                <c:pt idx="56">
                  <c:v>1.6401706331715328E-3</c:v>
                </c:pt>
                <c:pt idx="57">
                  <c:v>1.6401706331715328E-3</c:v>
                </c:pt>
                <c:pt idx="58">
                  <c:v>1.6401706331715328E-3</c:v>
                </c:pt>
                <c:pt idx="59">
                  <c:v>1.6401706331715328E-3</c:v>
                </c:pt>
                <c:pt idx="60">
                  <c:v>1.6401706331715328E-3</c:v>
                </c:pt>
                <c:pt idx="61">
                  <c:v>1.6401706331715328E-3</c:v>
                </c:pt>
                <c:pt idx="62">
                  <c:v>1.6401706331715328E-3</c:v>
                </c:pt>
                <c:pt idx="63">
                  <c:v>1.6401706331715328E-3</c:v>
                </c:pt>
                <c:pt idx="64">
                  <c:v>1.6401706331715328E-3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41891</c:v>
                </c:pt>
                <c:pt idx="1">
                  <c:v>41892</c:v>
                </c:pt>
                <c:pt idx="2">
                  <c:v>41893</c:v>
                </c:pt>
                <c:pt idx="3">
                  <c:v>41894</c:v>
                </c:pt>
                <c:pt idx="4">
                  <c:v>41897</c:v>
                </c:pt>
                <c:pt idx="5">
                  <c:v>41898</c:v>
                </c:pt>
                <c:pt idx="6">
                  <c:v>41899</c:v>
                </c:pt>
                <c:pt idx="7">
                  <c:v>41900</c:v>
                </c:pt>
                <c:pt idx="8">
                  <c:v>41901</c:v>
                </c:pt>
                <c:pt idx="9">
                  <c:v>41904</c:v>
                </c:pt>
                <c:pt idx="10">
                  <c:v>41905</c:v>
                </c:pt>
                <c:pt idx="11">
                  <c:v>41906</c:v>
                </c:pt>
                <c:pt idx="12">
                  <c:v>41907</c:v>
                </c:pt>
                <c:pt idx="13">
                  <c:v>41908</c:v>
                </c:pt>
                <c:pt idx="14">
                  <c:v>41911</c:v>
                </c:pt>
                <c:pt idx="15">
                  <c:v>41912</c:v>
                </c:pt>
                <c:pt idx="16">
                  <c:v>41913</c:v>
                </c:pt>
                <c:pt idx="17">
                  <c:v>41914</c:v>
                </c:pt>
                <c:pt idx="18">
                  <c:v>41915</c:v>
                </c:pt>
                <c:pt idx="19">
                  <c:v>41919</c:v>
                </c:pt>
                <c:pt idx="20">
                  <c:v>41920</c:v>
                </c:pt>
                <c:pt idx="21">
                  <c:v>41921</c:v>
                </c:pt>
                <c:pt idx="22">
                  <c:v>41922</c:v>
                </c:pt>
                <c:pt idx="23">
                  <c:v>41925</c:v>
                </c:pt>
                <c:pt idx="24">
                  <c:v>41926</c:v>
                </c:pt>
                <c:pt idx="25">
                  <c:v>41927</c:v>
                </c:pt>
                <c:pt idx="26">
                  <c:v>41928</c:v>
                </c:pt>
                <c:pt idx="27">
                  <c:v>41929</c:v>
                </c:pt>
                <c:pt idx="28">
                  <c:v>41932</c:v>
                </c:pt>
                <c:pt idx="29">
                  <c:v>41933</c:v>
                </c:pt>
                <c:pt idx="30">
                  <c:v>41934</c:v>
                </c:pt>
                <c:pt idx="31">
                  <c:v>41935</c:v>
                </c:pt>
                <c:pt idx="32">
                  <c:v>41936</c:v>
                </c:pt>
                <c:pt idx="33">
                  <c:v>41939</c:v>
                </c:pt>
                <c:pt idx="34">
                  <c:v>41940</c:v>
                </c:pt>
                <c:pt idx="35">
                  <c:v>41941</c:v>
                </c:pt>
                <c:pt idx="36">
                  <c:v>41942</c:v>
                </c:pt>
                <c:pt idx="37">
                  <c:v>41943</c:v>
                </c:pt>
                <c:pt idx="38">
                  <c:v>41946</c:v>
                </c:pt>
                <c:pt idx="39">
                  <c:v>41947</c:v>
                </c:pt>
                <c:pt idx="40">
                  <c:v>41948</c:v>
                </c:pt>
                <c:pt idx="41">
                  <c:v>41949</c:v>
                </c:pt>
                <c:pt idx="42">
                  <c:v>41950</c:v>
                </c:pt>
                <c:pt idx="43">
                  <c:v>41953</c:v>
                </c:pt>
                <c:pt idx="44">
                  <c:v>41954</c:v>
                </c:pt>
                <c:pt idx="45">
                  <c:v>41955</c:v>
                </c:pt>
                <c:pt idx="46">
                  <c:v>41956</c:v>
                </c:pt>
                <c:pt idx="47">
                  <c:v>41957</c:v>
                </c:pt>
                <c:pt idx="48">
                  <c:v>41960</c:v>
                </c:pt>
                <c:pt idx="49">
                  <c:v>41961</c:v>
                </c:pt>
                <c:pt idx="50">
                  <c:v>41962</c:v>
                </c:pt>
                <c:pt idx="51">
                  <c:v>41963</c:v>
                </c:pt>
                <c:pt idx="52">
                  <c:v>41964</c:v>
                </c:pt>
                <c:pt idx="53">
                  <c:v>41967</c:v>
                </c:pt>
                <c:pt idx="54">
                  <c:v>41968</c:v>
                </c:pt>
                <c:pt idx="55">
                  <c:v>41969</c:v>
                </c:pt>
                <c:pt idx="56">
                  <c:v>41970</c:v>
                </c:pt>
                <c:pt idx="57">
                  <c:v>41971</c:v>
                </c:pt>
                <c:pt idx="58">
                  <c:v>41974</c:v>
                </c:pt>
                <c:pt idx="59">
                  <c:v>41975</c:v>
                </c:pt>
                <c:pt idx="60">
                  <c:v>41976</c:v>
                </c:pt>
                <c:pt idx="61">
                  <c:v>41977</c:v>
                </c:pt>
                <c:pt idx="62">
                  <c:v>41978</c:v>
                </c:pt>
                <c:pt idx="63">
                  <c:v>41981</c:v>
                </c:pt>
                <c:pt idx="64">
                  <c:v>41982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1.5126611806855449E-3</c:v>
                </c:pt>
                <c:pt idx="1">
                  <c:v>1.5154635862346874E-3</c:v>
                </c:pt>
                <c:pt idx="2">
                  <c:v>1.51826599178383E-3</c:v>
                </c:pt>
                <c:pt idx="3">
                  <c:v>1.5210683973329725E-3</c:v>
                </c:pt>
                <c:pt idx="4">
                  <c:v>1.5294756139804001E-3</c:v>
                </c:pt>
                <c:pt idx="5">
                  <c:v>1.5322780195295427E-3</c:v>
                </c:pt>
                <c:pt idx="6">
                  <c:v>1.5350804250786852E-3</c:v>
                </c:pt>
                <c:pt idx="7">
                  <c:v>1.5378828306278278E-3</c:v>
                </c:pt>
                <c:pt idx="8">
                  <c:v>1.5406852361769703E-3</c:v>
                </c:pt>
                <c:pt idx="9">
                  <c:v>1.5490924528243982E-3</c:v>
                </c:pt>
                <c:pt idx="10">
                  <c:v>1.5518948583735407E-3</c:v>
                </c:pt>
                <c:pt idx="11">
                  <c:v>1.5546972639226833E-3</c:v>
                </c:pt>
                <c:pt idx="12">
                  <c:v>1.5574996694718258E-3</c:v>
                </c:pt>
                <c:pt idx="13">
                  <c:v>1.5603020750209683E-3</c:v>
                </c:pt>
                <c:pt idx="14">
                  <c:v>1.568709291668396E-3</c:v>
                </c:pt>
                <c:pt idx="15">
                  <c:v>1.5715116972175385E-3</c:v>
                </c:pt>
                <c:pt idx="16">
                  <c:v>1.5743141027666811E-3</c:v>
                </c:pt>
                <c:pt idx="17">
                  <c:v>1.5771165083158236E-3</c:v>
                </c:pt>
                <c:pt idx="18">
                  <c:v>1.5799189138649662E-3</c:v>
                </c:pt>
                <c:pt idx="19">
                  <c:v>1.5911285360615363E-3</c:v>
                </c:pt>
                <c:pt idx="20">
                  <c:v>1.5939309416106789E-3</c:v>
                </c:pt>
                <c:pt idx="21">
                  <c:v>1.5967333471598214E-3</c:v>
                </c:pt>
                <c:pt idx="22">
                  <c:v>1.599535752708964E-3</c:v>
                </c:pt>
                <c:pt idx="23">
                  <c:v>1.6079429693563918E-3</c:v>
                </c:pt>
                <c:pt idx="24">
                  <c:v>1.6107453749055344E-3</c:v>
                </c:pt>
                <c:pt idx="25">
                  <c:v>1.6135477804546769E-3</c:v>
                </c:pt>
                <c:pt idx="26">
                  <c:v>1.6163501860038195E-3</c:v>
                </c:pt>
                <c:pt idx="27">
                  <c:v>1.619152591552962E-3</c:v>
                </c:pt>
                <c:pt idx="28">
                  <c:v>1.6275598082003896E-3</c:v>
                </c:pt>
                <c:pt idx="29">
                  <c:v>1.6303622137495322E-3</c:v>
                </c:pt>
                <c:pt idx="30">
                  <c:v>1.6331646192986747E-3</c:v>
                </c:pt>
                <c:pt idx="31">
                  <c:v>1.6359670248478173E-3</c:v>
                </c:pt>
                <c:pt idx="32">
                  <c:v>1.6387694303969598E-3</c:v>
                </c:pt>
                <c:pt idx="33">
                  <c:v>1.6471766470443874E-3</c:v>
                </c:pt>
                <c:pt idx="34">
                  <c:v>1.64997905259353E-3</c:v>
                </c:pt>
                <c:pt idx="35">
                  <c:v>1.6527814581426725E-3</c:v>
                </c:pt>
                <c:pt idx="36">
                  <c:v>1.6555838636918151E-3</c:v>
                </c:pt>
                <c:pt idx="37">
                  <c:v>1.6583862692409576E-3</c:v>
                </c:pt>
                <c:pt idx="38">
                  <c:v>1.6667934858883853E-3</c:v>
                </c:pt>
                <c:pt idx="39">
                  <c:v>1.6695958914375278E-3</c:v>
                </c:pt>
                <c:pt idx="40">
                  <c:v>1.6723982969866704E-3</c:v>
                </c:pt>
                <c:pt idx="41">
                  <c:v>1.6752007025358131E-3</c:v>
                </c:pt>
                <c:pt idx="42">
                  <c:v>1.6780031080849557E-3</c:v>
                </c:pt>
                <c:pt idx="43">
                  <c:v>1.6864103247323833E-3</c:v>
                </c:pt>
                <c:pt idx="44">
                  <c:v>1.6892127302815258E-3</c:v>
                </c:pt>
                <c:pt idx="45">
                  <c:v>1.6920151358306684E-3</c:v>
                </c:pt>
                <c:pt idx="46">
                  <c:v>1.6948175413798109E-3</c:v>
                </c:pt>
                <c:pt idx="47">
                  <c:v>1.6976199469289535E-3</c:v>
                </c:pt>
                <c:pt idx="48">
                  <c:v>1.7060271635763811E-3</c:v>
                </c:pt>
                <c:pt idx="49">
                  <c:v>1.7088295691255237E-3</c:v>
                </c:pt>
                <c:pt idx="50">
                  <c:v>1.7116319746746662E-3</c:v>
                </c:pt>
                <c:pt idx="51">
                  <c:v>1.7144343802238087E-3</c:v>
                </c:pt>
                <c:pt idx="52">
                  <c:v>1.7172367857729513E-3</c:v>
                </c:pt>
                <c:pt idx="53">
                  <c:v>1.7256440024203789E-3</c:v>
                </c:pt>
                <c:pt idx="54">
                  <c:v>1.7284464079695215E-3</c:v>
                </c:pt>
                <c:pt idx="55">
                  <c:v>1.7312488135186642E-3</c:v>
                </c:pt>
                <c:pt idx="56">
                  <c:v>1.7340512190678068E-3</c:v>
                </c:pt>
                <c:pt idx="57">
                  <c:v>1.7368536246169493E-3</c:v>
                </c:pt>
                <c:pt idx="58">
                  <c:v>1.745260841264377E-3</c:v>
                </c:pt>
                <c:pt idx="59">
                  <c:v>1.7480632468135195E-3</c:v>
                </c:pt>
                <c:pt idx="60">
                  <c:v>1.750865652362662E-3</c:v>
                </c:pt>
                <c:pt idx="61">
                  <c:v>1.7536680579118046E-3</c:v>
                </c:pt>
                <c:pt idx="62">
                  <c:v>1.7564704634609471E-3</c:v>
                </c:pt>
                <c:pt idx="63">
                  <c:v>1.7648776801083748E-3</c:v>
                </c:pt>
                <c:pt idx="64">
                  <c:v>1.7676800856575173E-3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41891</c:v>
                </c:pt>
                <c:pt idx="1">
                  <c:v>41892</c:v>
                </c:pt>
                <c:pt idx="2">
                  <c:v>41893</c:v>
                </c:pt>
                <c:pt idx="3">
                  <c:v>41894</c:v>
                </c:pt>
                <c:pt idx="4">
                  <c:v>41897</c:v>
                </c:pt>
                <c:pt idx="5">
                  <c:v>41898</c:v>
                </c:pt>
                <c:pt idx="6">
                  <c:v>41899</c:v>
                </c:pt>
                <c:pt idx="7">
                  <c:v>41900</c:v>
                </c:pt>
                <c:pt idx="8">
                  <c:v>41901</c:v>
                </c:pt>
                <c:pt idx="9">
                  <c:v>41904</c:v>
                </c:pt>
                <c:pt idx="10">
                  <c:v>41905</c:v>
                </c:pt>
                <c:pt idx="11">
                  <c:v>41906</c:v>
                </c:pt>
                <c:pt idx="12">
                  <c:v>41907</c:v>
                </c:pt>
                <c:pt idx="13">
                  <c:v>41908</c:v>
                </c:pt>
                <c:pt idx="14">
                  <c:v>41911</c:v>
                </c:pt>
                <c:pt idx="15">
                  <c:v>41912</c:v>
                </c:pt>
                <c:pt idx="16">
                  <c:v>41913</c:v>
                </c:pt>
                <c:pt idx="17">
                  <c:v>41914</c:v>
                </c:pt>
                <c:pt idx="18">
                  <c:v>41915</c:v>
                </c:pt>
                <c:pt idx="19">
                  <c:v>41919</c:v>
                </c:pt>
                <c:pt idx="20">
                  <c:v>41920</c:v>
                </c:pt>
                <c:pt idx="21">
                  <c:v>41921</c:v>
                </c:pt>
                <c:pt idx="22">
                  <c:v>41922</c:v>
                </c:pt>
                <c:pt idx="23">
                  <c:v>41925</c:v>
                </c:pt>
                <c:pt idx="24">
                  <c:v>41926</c:v>
                </c:pt>
                <c:pt idx="25">
                  <c:v>41927</c:v>
                </c:pt>
                <c:pt idx="26">
                  <c:v>41928</c:v>
                </c:pt>
                <c:pt idx="27">
                  <c:v>41929</c:v>
                </c:pt>
                <c:pt idx="28">
                  <c:v>41932</c:v>
                </c:pt>
                <c:pt idx="29">
                  <c:v>41933</c:v>
                </c:pt>
                <c:pt idx="30">
                  <c:v>41934</c:v>
                </c:pt>
                <c:pt idx="31">
                  <c:v>41935</c:v>
                </c:pt>
                <c:pt idx="32">
                  <c:v>41936</c:v>
                </c:pt>
                <c:pt idx="33">
                  <c:v>41939</c:v>
                </c:pt>
                <c:pt idx="34">
                  <c:v>41940</c:v>
                </c:pt>
                <c:pt idx="35">
                  <c:v>41941</c:v>
                </c:pt>
                <c:pt idx="36">
                  <c:v>41942</c:v>
                </c:pt>
                <c:pt idx="37">
                  <c:v>41943</c:v>
                </c:pt>
                <c:pt idx="38">
                  <c:v>41946</c:v>
                </c:pt>
                <c:pt idx="39">
                  <c:v>41947</c:v>
                </c:pt>
                <c:pt idx="40">
                  <c:v>41948</c:v>
                </c:pt>
                <c:pt idx="41">
                  <c:v>41949</c:v>
                </c:pt>
                <c:pt idx="42">
                  <c:v>41950</c:v>
                </c:pt>
                <c:pt idx="43">
                  <c:v>41953</c:v>
                </c:pt>
                <c:pt idx="44">
                  <c:v>41954</c:v>
                </c:pt>
                <c:pt idx="45">
                  <c:v>41955</c:v>
                </c:pt>
                <c:pt idx="46">
                  <c:v>41956</c:v>
                </c:pt>
                <c:pt idx="47">
                  <c:v>41957</c:v>
                </c:pt>
                <c:pt idx="48">
                  <c:v>41960</c:v>
                </c:pt>
                <c:pt idx="49">
                  <c:v>41961</c:v>
                </c:pt>
                <c:pt idx="50">
                  <c:v>41962</c:v>
                </c:pt>
                <c:pt idx="51">
                  <c:v>41963</c:v>
                </c:pt>
                <c:pt idx="52">
                  <c:v>41964</c:v>
                </c:pt>
                <c:pt idx="53">
                  <c:v>41967</c:v>
                </c:pt>
                <c:pt idx="54">
                  <c:v>41968</c:v>
                </c:pt>
                <c:pt idx="55">
                  <c:v>41969</c:v>
                </c:pt>
                <c:pt idx="56">
                  <c:v>41970</c:v>
                </c:pt>
                <c:pt idx="57">
                  <c:v>41971</c:v>
                </c:pt>
                <c:pt idx="58">
                  <c:v>41974</c:v>
                </c:pt>
                <c:pt idx="59">
                  <c:v>41975</c:v>
                </c:pt>
                <c:pt idx="60">
                  <c:v>41976</c:v>
                </c:pt>
                <c:pt idx="61">
                  <c:v>41977</c:v>
                </c:pt>
                <c:pt idx="62">
                  <c:v>41978</c:v>
                </c:pt>
                <c:pt idx="63">
                  <c:v>41981</c:v>
                </c:pt>
                <c:pt idx="64">
                  <c:v>41982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1.5097354264315744E-3</c:v>
                </c:pt>
                <c:pt idx="1">
                  <c:v>1.5127022221862914E-3</c:v>
                </c:pt>
                <c:pt idx="2">
                  <c:v>1.5156656630388539E-3</c:v>
                </c:pt>
                <c:pt idx="3">
                  <c:v>1.5186257489892617E-3</c:v>
                </c:pt>
                <c:pt idx="4">
                  <c:v>1.527485877427558E-3</c:v>
                </c:pt>
                <c:pt idx="5">
                  <c:v>1.5304325437693472E-3</c:v>
                </c:pt>
                <c:pt idx="6">
                  <c:v>1.5333758552089822E-3</c:v>
                </c:pt>
                <c:pt idx="7">
                  <c:v>1.5363158117464627E-3</c:v>
                </c:pt>
                <c:pt idx="8">
                  <c:v>1.5392524133817885E-3</c:v>
                </c:pt>
                <c:pt idx="9">
                  <c:v>1.5480420888748384E-3</c:v>
                </c:pt>
                <c:pt idx="10">
                  <c:v>1.5509652709015458E-3</c:v>
                </c:pt>
                <c:pt idx="11">
                  <c:v>1.5538850980260988E-3</c:v>
                </c:pt>
                <c:pt idx="12">
                  <c:v>1.5568015702484971E-3</c:v>
                </c:pt>
                <c:pt idx="13">
                  <c:v>1.5597146875687409E-3</c:v>
                </c:pt>
                <c:pt idx="14">
                  <c:v>1.5684339101165446E-3</c:v>
                </c:pt>
                <c:pt idx="15">
                  <c:v>1.5713336078281698E-3</c:v>
                </c:pt>
                <c:pt idx="16">
                  <c:v>1.5742299506376408E-3</c:v>
                </c:pt>
                <c:pt idx="17">
                  <c:v>1.5771229385449571E-3</c:v>
                </c:pt>
                <c:pt idx="18">
                  <c:v>1.5800125715501186E-3</c:v>
                </c:pt>
                <c:pt idx="19">
                  <c:v>1.5915375545492198E-3</c:v>
                </c:pt>
                <c:pt idx="20">
                  <c:v>1.5944104130436085E-3</c:v>
                </c:pt>
                <c:pt idx="21">
                  <c:v>1.5972799166358428E-3</c:v>
                </c:pt>
                <c:pt idx="22">
                  <c:v>1.6001460653259222E-3</c:v>
                </c:pt>
                <c:pt idx="23">
                  <c:v>1.6087243819832336E-3</c:v>
                </c:pt>
                <c:pt idx="24">
                  <c:v>1.6115771110646949E-3</c:v>
                </c:pt>
                <c:pt idx="25">
                  <c:v>1.6144264852440016E-3</c:v>
                </c:pt>
                <c:pt idx="26">
                  <c:v>1.6172725045211539E-3</c:v>
                </c:pt>
                <c:pt idx="27">
                  <c:v>1.6201151688961515E-3</c:v>
                </c:pt>
                <c:pt idx="28">
                  <c:v>1.6286230326082167E-3</c:v>
                </c:pt>
                <c:pt idx="29">
                  <c:v>1.6314522773745958E-3</c:v>
                </c:pt>
                <c:pt idx="30">
                  <c:v>1.6342781672388205E-3</c:v>
                </c:pt>
                <c:pt idx="31">
                  <c:v>1.6371007022008906E-3</c:v>
                </c:pt>
                <c:pt idx="32">
                  <c:v>1.639919882260806E-3</c:v>
                </c:pt>
                <c:pt idx="33">
                  <c:v>1.6483572930276252E-3</c:v>
                </c:pt>
                <c:pt idx="34">
                  <c:v>1.6511630534789224E-3</c:v>
                </c:pt>
                <c:pt idx="35">
                  <c:v>1.653965459028065E-3</c:v>
                </c:pt>
                <c:pt idx="36">
                  <c:v>1.6567645096750531E-3</c:v>
                </c:pt>
                <c:pt idx="37">
                  <c:v>1.6595602054198864E-3</c:v>
                </c:pt>
                <c:pt idx="38">
                  <c:v>1.6679271632414595E-3</c:v>
                </c:pt>
                <c:pt idx="39">
                  <c:v>1.6707094393776745E-3</c:v>
                </c:pt>
                <c:pt idx="40">
                  <c:v>1.6734883606117348E-3</c:v>
                </c:pt>
                <c:pt idx="41">
                  <c:v>1.6762639269436409E-3</c:v>
                </c:pt>
                <c:pt idx="42">
                  <c:v>1.6790361383733922E-3</c:v>
                </c:pt>
                <c:pt idx="43">
                  <c:v>1.6873326432497191E-3</c:v>
                </c:pt>
                <c:pt idx="44">
                  <c:v>1.6900914350708521E-3</c:v>
                </c:pt>
                <c:pt idx="45">
                  <c:v>1.6928468719898306E-3</c:v>
                </c:pt>
                <c:pt idx="46">
                  <c:v>1.6955989540066545E-3</c:v>
                </c:pt>
                <c:pt idx="47">
                  <c:v>1.6983476811213238E-3</c:v>
                </c:pt>
                <c:pt idx="48">
                  <c:v>1.7065737330524042E-3</c:v>
                </c:pt>
                <c:pt idx="49">
                  <c:v>1.7093090405584553E-3</c:v>
                </c:pt>
                <c:pt idx="50">
                  <c:v>1.7120409931623518E-3</c:v>
                </c:pt>
                <c:pt idx="51">
                  <c:v>1.7147695908640936E-3</c:v>
                </c:pt>
                <c:pt idx="52">
                  <c:v>1.717494833663681E-3</c:v>
                </c:pt>
                <c:pt idx="53">
                  <c:v>1.7256504326495154E-3</c:v>
                </c:pt>
                <c:pt idx="54">
                  <c:v>1.7283622558404842E-3</c:v>
                </c:pt>
                <c:pt idx="55">
                  <c:v>1.7310707241292988E-3</c:v>
                </c:pt>
                <c:pt idx="56">
                  <c:v>1.7337758375159584E-3</c:v>
                </c:pt>
                <c:pt idx="57">
                  <c:v>1.7364775960004636E-3</c:v>
                </c:pt>
                <c:pt idx="58">
                  <c:v>1.7445627420410517E-3</c:v>
                </c:pt>
                <c:pt idx="59">
                  <c:v>1.7472510809169387E-3</c:v>
                </c:pt>
                <c:pt idx="60">
                  <c:v>1.7499360648906711E-3</c:v>
                </c:pt>
                <c:pt idx="61">
                  <c:v>1.7526176939622487E-3</c:v>
                </c:pt>
                <c:pt idx="62">
                  <c:v>1.7552959681316719E-3</c:v>
                </c:pt>
                <c:pt idx="63">
                  <c:v>1.7633106612270138E-3</c:v>
                </c:pt>
                <c:pt idx="64">
                  <c:v>1.7659755157878186E-3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6321664"/>
        <c:axId val="366323200"/>
      </c:lineChart>
      <c:dateAx>
        <c:axId val="36632166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366323200"/>
        <c:crosses val="autoZero"/>
        <c:auto val="1"/>
        <c:lblOffset val="100"/>
        <c:baseTimeUnit val="days"/>
      </c:dateAx>
      <c:valAx>
        <c:axId val="36632320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663216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4973753280841"/>
          <c:y val="5.1400554097404488E-2"/>
          <c:w val="0.84023490813648294"/>
          <c:h val="0.77592483231262754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'3MSynthDepo'!$M$17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strRef>
              <c:f>'3MSynthDepo'!$F$17:$F$24</c:f>
              <c:strCache>
                <c:ptCount val="8"/>
                <c:pt idx="0">
                  <c:v>Maturity Date</c:v>
                </c:pt>
                <c:pt idx="1">
                  <c:v>Fri, 12-Sep-2014</c:v>
                </c:pt>
                <c:pt idx="2">
                  <c:v>Thu, 18-Sep-2014</c:v>
                </c:pt>
                <c:pt idx="3">
                  <c:v>Thu, 25-Sep-2014</c:v>
                </c:pt>
                <c:pt idx="4">
                  <c:v>Thu, 02-Oct-2014</c:v>
                </c:pt>
                <c:pt idx="5">
                  <c:v>Mon, 13-Oct-2014</c:v>
                </c:pt>
                <c:pt idx="6">
                  <c:v>Tue, 11-Nov-2014</c:v>
                </c:pt>
                <c:pt idx="7">
                  <c:v>Thu, 11-Dec-2014</c:v>
                </c:pt>
              </c:strCache>
            </c:strRef>
          </c:cat>
          <c:val>
            <c:numRef>
              <c:f>'3MSynthDepo'!$M$18:$M$24</c:f>
              <c:numCache>
                <c:formatCode>0.0000%</c:formatCode>
                <c:ptCount val="7"/>
                <c:pt idx="0">
                  <c:v>2.6295643246795418E-2</c:v>
                </c:pt>
                <c:pt idx="1">
                  <c:v>2.6296043325291462E-2</c:v>
                </c:pt>
                <c:pt idx="2">
                  <c:v>2.6293404149510691E-2</c:v>
                </c:pt>
                <c:pt idx="3">
                  <c:v>2.629005124220651E-2</c:v>
                </c:pt>
                <c:pt idx="4">
                  <c:v>2.6284224166339201E-2</c:v>
                </c:pt>
                <c:pt idx="5">
                  <c:v>2.6270619377821082E-2</c:v>
                </c:pt>
                <c:pt idx="6">
                  <c:v>2.6249867412488151E-2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'3MSynthDepo'!$N$17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</c:marker>
          <c:cat>
            <c:strRef>
              <c:f>'3MSynthDepo'!$F$17:$F$24</c:f>
              <c:strCache>
                <c:ptCount val="8"/>
                <c:pt idx="0">
                  <c:v>Maturity Date</c:v>
                </c:pt>
                <c:pt idx="1">
                  <c:v>Fri, 12-Sep-2014</c:v>
                </c:pt>
                <c:pt idx="2">
                  <c:v>Thu, 18-Sep-2014</c:v>
                </c:pt>
                <c:pt idx="3">
                  <c:v>Thu, 25-Sep-2014</c:v>
                </c:pt>
                <c:pt idx="4">
                  <c:v>Thu, 02-Oct-2014</c:v>
                </c:pt>
                <c:pt idx="5">
                  <c:v>Mon, 13-Oct-2014</c:v>
                </c:pt>
                <c:pt idx="6">
                  <c:v>Tue, 11-Nov-2014</c:v>
                </c:pt>
                <c:pt idx="7">
                  <c:v>Thu, 11-Dec-2014</c:v>
                </c:pt>
              </c:strCache>
            </c:strRef>
          </c:cat>
          <c:val>
            <c:numRef>
              <c:f>'3MSynthDepo'!$N$18:$N$24</c:f>
              <c:numCache>
                <c:formatCode>0.0000%</c:formatCode>
                <c:ptCount val="7"/>
                <c:pt idx="0">
                  <c:v>2.6169534997084E-2</c:v>
                </c:pt>
                <c:pt idx="1">
                  <c:v>2.6178342292227475E-2</c:v>
                </c:pt>
                <c:pt idx="2">
                  <c:v>2.6185511535868705E-2</c:v>
                </c:pt>
                <c:pt idx="3">
                  <c:v>2.6191967047986518E-2</c:v>
                </c:pt>
                <c:pt idx="4">
                  <c:v>2.6201553202639494E-2</c:v>
                </c:pt>
                <c:pt idx="5">
                  <c:v>2.622858329458394E-2</c:v>
                </c:pt>
                <c:pt idx="6">
                  <c:v>2.6249867412488151E-2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'3MSynthDepo'!$O$17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strRef>
              <c:f>'3MSynthDepo'!$F$17:$F$24</c:f>
              <c:strCache>
                <c:ptCount val="8"/>
                <c:pt idx="0">
                  <c:v>Maturity Date</c:v>
                </c:pt>
                <c:pt idx="1">
                  <c:v>Fri, 12-Sep-2014</c:v>
                </c:pt>
                <c:pt idx="2">
                  <c:v>Thu, 18-Sep-2014</c:v>
                </c:pt>
                <c:pt idx="3">
                  <c:v>Thu, 25-Sep-2014</c:v>
                </c:pt>
                <c:pt idx="4">
                  <c:v>Thu, 02-Oct-2014</c:v>
                </c:pt>
                <c:pt idx="5">
                  <c:v>Mon, 13-Oct-2014</c:v>
                </c:pt>
                <c:pt idx="6">
                  <c:v>Tue, 11-Nov-2014</c:v>
                </c:pt>
                <c:pt idx="7">
                  <c:v>Thu, 11-Dec-2014</c:v>
                </c:pt>
              </c:strCache>
            </c:strRef>
          </c:cat>
          <c:val>
            <c:numRef>
              <c:f>'3MSynthDepo'!$O$18:$O$24</c:f>
              <c:numCache>
                <c:formatCode>0.0000%</c:formatCode>
                <c:ptCount val="7"/>
                <c:pt idx="0">
                  <c:v>2.6166691717507996E-2</c:v>
                </c:pt>
                <c:pt idx="1">
                  <c:v>2.6175970376404192E-2</c:v>
                </c:pt>
                <c:pt idx="2">
                  <c:v>2.6183638661740911E-2</c:v>
                </c:pt>
                <c:pt idx="3">
                  <c:v>2.6190538418819031E-2</c:v>
                </c:pt>
                <c:pt idx="4">
                  <c:v>2.6200711960924238E-2</c:v>
                </c:pt>
                <c:pt idx="5">
                  <c:v>2.6228642005371651E-2</c:v>
                </c:pt>
                <c:pt idx="6">
                  <c:v>2.6249867412488154E-2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891392"/>
        <c:axId val="370897280"/>
      </c:lineChart>
      <c:catAx>
        <c:axId val="37089139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370897280"/>
        <c:crosses val="autoZero"/>
        <c:auto val="1"/>
        <c:lblAlgn val="ctr"/>
        <c:lblOffset val="100"/>
        <c:noMultiLvlLbl val="0"/>
      </c:catAx>
      <c:valAx>
        <c:axId val="37089728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708913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586198600174983"/>
          <c:y val="0.54109069699620882"/>
          <c:w val="0.12232769915292714"/>
          <c:h val="0.187630722941440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41891</c:v>
                </c:pt>
                <c:pt idx="1">
                  <c:v>41892</c:v>
                </c:pt>
                <c:pt idx="2">
                  <c:v>41893</c:v>
                </c:pt>
                <c:pt idx="3">
                  <c:v>41894</c:v>
                </c:pt>
                <c:pt idx="4">
                  <c:v>41897</c:v>
                </c:pt>
                <c:pt idx="5">
                  <c:v>41898</c:v>
                </c:pt>
                <c:pt idx="6">
                  <c:v>41899</c:v>
                </c:pt>
                <c:pt idx="7">
                  <c:v>41900</c:v>
                </c:pt>
                <c:pt idx="8">
                  <c:v>41901</c:v>
                </c:pt>
                <c:pt idx="9">
                  <c:v>41904</c:v>
                </c:pt>
                <c:pt idx="10">
                  <c:v>41905</c:v>
                </c:pt>
                <c:pt idx="11">
                  <c:v>41906</c:v>
                </c:pt>
                <c:pt idx="12">
                  <c:v>41907</c:v>
                </c:pt>
                <c:pt idx="13">
                  <c:v>41908</c:v>
                </c:pt>
                <c:pt idx="14">
                  <c:v>41911</c:v>
                </c:pt>
                <c:pt idx="15">
                  <c:v>41912</c:v>
                </c:pt>
                <c:pt idx="16">
                  <c:v>41913</c:v>
                </c:pt>
                <c:pt idx="17">
                  <c:v>41914</c:v>
                </c:pt>
                <c:pt idx="18">
                  <c:v>41915</c:v>
                </c:pt>
                <c:pt idx="19">
                  <c:v>41919</c:v>
                </c:pt>
                <c:pt idx="20">
                  <c:v>41920</c:v>
                </c:pt>
                <c:pt idx="21">
                  <c:v>41921</c:v>
                </c:pt>
                <c:pt idx="22">
                  <c:v>41922</c:v>
                </c:pt>
                <c:pt idx="23">
                  <c:v>41925</c:v>
                </c:pt>
                <c:pt idx="24">
                  <c:v>41926</c:v>
                </c:pt>
                <c:pt idx="25">
                  <c:v>41927</c:v>
                </c:pt>
                <c:pt idx="26">
                  <c:v>41928</c:v>
                </c:pt>
                <c:pt idx="27">
                  <c:v>41929</c:v>
                </c:pt>
                <c:pt idx="28">
                  <c:v>41932</c:v>
                </c:pt>
                <c:pt idx="29">
                  <c:v>41933</c:v>
                </c:pt>
                <c:pt idx="30">
                  <c:v>41934</c:v>
                </c:pt>
                <c:pt idx="31">
                  <c:v>41935</c:v>
                </c:pt>
                <c:pt idx="32">
                  <c:v>41936</c:v>
                </c:pt>
                <c:pt idx="33">
                  <c:v>41939</c:v>
                </c:pt>
                <c:pt idx="34">
                  <c:v>41940</c:v>
                </c:pt>
                <c:pt idx="35">
                  <c:v>41941</c:v>
                </c:pt>
                <c:pt idx="36">
                  <c:v>41942</c:v>
                </c:pt>
                <c:pt idx="37">
                  <c:v>41943</c:v>
                </c:pt>
                <c:pt idx="38">
                  <c:v>41946</c:v>
                </c:pt>
                <c:pt idx="39">
                  <c:v>41947</c:v>
                </c:pt>
                <c:pt idx="40">
                  <c:v>41948</c:v>
                </c:pt>
                <c:pt idx="41">
                  <c:v>41949</c:v>
                </c:pt>
                <c:pt idx="42">
                  <c:v>41950</c:v>
                </c:pt>
                <c:pt idx="43">
                  <c:v>41953</c:v>
                </c:pt>
                <c:pt idx="44">
                  <c:v>41954</c:v>
                </c:pt>
                <c:pt idx="45">
                  <c:v>41955</c:v>
                </c:pt>
                <c:pt idx="46">
                  <c:v>41956</c:v>
                </c:pt>
                <c:pt idx="47">
                  <c:v>41957</c:v>
                </c:pt>
                <c:pt idx="48">
                  <c:v>41960</c:v>
                </c:pt>
                <c:pt idx="49">
                  <c:v>41961</c:v>
                </c:pt>
                <c:pt idx="50">
                  <c:v>41962</c:v>
                </c:pt>
                <c:pt idx="51">
                  <c:v>41963</c:v>
                </c:pt>
                <c:pt idx="52">
                  <c:v>41964</c:v>
                </c:pt>
                <c:pt idx="53">
                  <c:v>41967</c:v>
                </c:pt>
                <c:pt idx="54">
                  <c:v>41968</c:v>
                </c:pt>
                <c:pt idx="55">
                  <c:v>41969</c:v>
                </c:pt>
                <c:pt idx="56">
                  <c:v>41970</c:v>
                </c:pt>
                <c:pt idx="57">
                  <c:v>41971</c:v>
                </c:pt>
                <c:pt idx="58">
                  <c:v>41974</c:v>
                </c:pt>
                <c:pt idx="59">
                  <c:v>41975</c:v>
                </c:pt>
                <c:pt idx="60">
                  <c:v>41976</c:v>
                </c:pt>
                <c:pt idx="61">
                  <c:v>41977</c:v>
                </c:pt>
                <c:pt idx="62">
                  <c:v>41978</c:v>
                </c:pt>
                <c:pt idx="63">
                  <c:v>41981</c:v>
                </c:pt>
                <c:pt idx="64">
                  <c:v>41982</c:v>
                </c:pt>
                <c:pt idx="65">
                  <c:v>41983</c:v>
                </c:pt>
                <c:pt idx="66">
                  <c:v>41984</c:v>
                </c:pt>
                <c:pt idx="67">
                  <c:v>41985</c:v>
                </c:pt>
                <c:pt idx="68">
                  <c:v>41988</c:v>
                </c:pt>
                <c:pt idx="69">
                  <c:v>41989</c:v>
                </c:pt>
                <c:pt idx="70">
                  <c:v>41990</c:v>
                </c:pt>
                <c:pt idx="71">
                  <c:v>41991</c:v>
                </c:pt>
                <c:pt idx="72">
                  <c:v>41992</c:v>
                </c:pt>
                <c:pt idx="73">
                  <c:v>41995</c:v>
                </c:pt>
                <c:pt idx="74">
                  <c:v>41996</c:v>
                </c:pt>
                <c:pt idx="75">
                  <c:v>41997</c:v>
                </c:pt>
                <c:pt idx="76">
                  <c:v>42002</c:v>
                </c:pt>
                <c:pt idx="77">
                  <c:v>42003</c:v>
                </c:pt>
                <c:pt idx="78">
                  <c:v>42004</c:v>
                </c:pt>
                <c:pt idx="79">
                  <c:v>42006</c:v>
                </c:pt>
                <c:pt idx="80">
                  <c:v>42009</c:v>
                </c:pt>
                <c:pt idx="81">
                  <c:v>42010</c:v>
                </c:pt>
                <c:pt idx="82">
                  <c:v>42011</c:v>
                </c:pt>
                <c:pt idx="83">
                  <c:v>42012</c:v>
                </c:pt>
                <c:pt idx="84">
                  <c:v>42013</c:v>
                </c:pt>
                <c:pt idx="85">
                  <c:v>42016</c:v>
                </c:pt>
                <c:pt idx="86">
                  <c:v>42017</c:v>
                </c:pt>
                <c:pt idx="87">
                  <c:v>42018</c:v>
                </c:pt>
                <c:pt idx="88">
                  <c:v>42019</c:v>
                </c:pt>
                <c:pt idx="89">
                  <c:v>42020</c:v>
                </c:pt>
                <c:pt idx="90">
                  <c:v>42023</c:v>
                </c:pt>
                <c:pt idx="91">
                  <c:v>42024</c:v>
                </c:pt>
                <c:pt idx="92">
                  <c:v>42025</c:v>
                </c:pt>
                <c:pt idx="93">
                  <c:v>42026</c:v>
                </c:pt>
                <c:pt idx="94">
                  <c:v>42027</c:v>
                </c:pt>
                <c:pt idx="95">
                  <c:v>42031</c:v>
                </c:pt>
                <c:pt idx="96">
                  <c:v>42032</c:v>
                </c:pt>
                <c:pt idx="97">
                  <c:v>42033</c:v>
                </c:pt>
                <c:pt idx="98">
                  <c:v>42034</c:v>
                </c:pt>
                <c:pt idx="99">
                  <c:v>42037</c:v>
                </c:pt>
                <c:pt idx="100">
                  <c:v>42038</c:v>
                </c:pt>
                <c:pt idx="101">
                  <c:v>42039</c:v>
                </c:pt>
                <c:pt idx="102">
                  <c:v>42040</c:v>
                </c:pt>
                <c:pt idx="103">
                  <c:v>42041</c:v>
                </c:pt>
                <c:pt idx="104">
                  <c:v>42044</c:v>
                </c:pt>
                <c:pt idx="105">
                  <c:v>42045</c:v>
                </c:pt>
                <c:pt idx="106">
                  <c:v>42046</c:v>
                </c:pt>
                <c:pt idx="107">
                  <c:v>42047</c:v>
                </c:pt>
                <c:pt idx="108">
                  <c:v>42048</c:v>
                </c:pt>
                <c:pt idx="109">
                  <c:v>42051</c:v>
                </c:pt>
                <c:pt idx="110">
                  <c:v>42052</c:v>
                </c:pt>
                <c:pt idx="111">
                  <c:v>42053</c:v>
                </c:pt>
                <c:pt idx="112">
                  <c:v>42054</c:v>
                </c:pt>
                <c:pt idx="113">
                  <c:v>42055</c:v>
                </c:pt>
                <c:pt idx="114">
                  <c:v>42058</c:v>
                </c:pt>
                <c:pt idx="115">
                  <c:v>42059</c:v>
                </c:pt>
                <c:pt idx="116">
                  <c:v>42060</c:v>
                </c:pt>
                <c:pt idx="117">
                  <c:v>42061</c:v>
                </c:pt>
                <c:pt idx="118">
                  <c:v>42062</c:v>
                </c:pt>
                <c:pt idx="119">
                  <c:v>42065</c:v>
                </c:pt>
                <c:pt idx="120">
                  <c:v>42066</c:v>
                </c:pt>
                <c:pt idx="121">
                  <c:v>42067</c:v>
                </c:pt>
                <c:pt idx="122">
                  <c:v>42068</c:v>
                </c:pt>
                <c:pt idx="123">
                  <c:v>42069</c:v>
                </c:pt>
                <c:pt idx="124">
                  <c:v>42072</c:v>
                </c:pt>
                <c:pt idx="125">
                  <c:v>42073</c:v>
                </c:pt>
                <c:pt idx="126">
                  <c:v>42074</c:v>
                </c:pt>
                <c:pt idx="127">
                  <c:v>42075</c:v>
                </c:pt>
                <c:pt idx="128">
                  <c:v>42076</c:v>
                </c:pt>
                <c:pt idx="129">
                  <c:v>42079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2.0164139875218888E-3</c:v>
                </c:pt>
                <c:pt idx="1">
                  <c:v>2.0164139875218888E-3</c:v>
                </c:pt>
                <c:pt idx="2">
                  <c:v>2.0164139875218888E-3</c:v>
                </c:pt>
                <c:pt idx="3">
                  <c:v>2.0164139875218888E-3</c:v>
                </c:pt>
                <c:pt idx="4">
                  <c:v>2.0164139875218888E-3</c:v>
                </c:pt>
                <c:pt idx="5">
                  <c:v>2.0164139875218888E-3</c:v>
                </c:pt>
                <c:pt idx="6">
                  <c:v>2.0164139875218888E-3</c:v>
                </c:pt>
                <c:pt idx="7">
                  <c:v>2.0164139875218888E-3</c:v>
                </c:pt>
                <c:pt idx="8">
                  <c:v>2.0164139875218888E-3</c:v>
                </c:pt>
                <c:pt idx="9">
                  <c:v>2.0164139875218888E-3</c:v>
                </c:pt>
                <c:pt idx="10">
                  <c:v>2.0164139875218888E-3</c:v>
                </c:pt>
                <c:pt idx="11">
                  <c:v>2.0164139875218888E-3</c:v>
                </c:pt>
                <c:pt idx="12">
                  <c:v>2.0164139875218888E-3</c:v>
                </c:pt>
                <c:pt idx="13">
                  <c:v>2.0164139875218888E-3</c:v>
                </c:pt>
                <c:pt idx="14">
                  <c:v>2.0164139875218888E-3</c:v>
                </c:pt>
                <c:pt idx="15">
                  <c:v>2.0164139875218888E-3</c:v>
                </c:pt>
                <c:pt idx="16">
                  <c:v>2.0164139875218888E-3</c:v>
                </c:pt>
                <c:pt idx="17">
                  <c:v>2.0164139875218888E-3</c:v>
                </c:pt>
                <c:pt idx="18">
                  <c:v>2.0164139875218888E-3</c:v>
                </c:pt>
                <c:pt idx="19">
                  <c:v>2.0164139875218888E-3</c:v>
                </c:pt>
                <c:pt idx="20">
                  <c:v>2.0164139875218888E-3</c:v>
                </c:pt>
                <c:pt idx="21">
                  <c:v>2.0164139875218888E-3</c:v>
                </c:pt>
                <c:pt idx="22">
                  <c:v>2.0164139875218888E-3</c:v>
                </c:pt>
                <c:pt idx="23">
                  <c:v>2.0164139875218888E-3</c:v>
                </c:pt>
                <c:pt idx="24">
                  <c:v>2.0164139875218888E-3</c:v>
                </c:pt>
                <c:pt idx="25">
                  <c:v>2.0164139875218888E-3</c:v>
                </c:pt>
                <c:pt idx="26">
                  <c:v>2.0164139875218888E-3</c:v>
                </c:pt>
                <c:pt idx="27">
                  <c:v>2.0164139875218888E-3</c:v>
                </c:pt>
                <c:pt idx="28">
                  <c:v>2.0164139875218888E-3</c:v>
                </c:pt>
                <c:pt idx="29">
                  <c:v>2.0164139875218888E-3</c:v>
                </c:pt>
                <c:pt idx="30">
                  <c:v>2.0164139875218888E-3</c:v>
                </c:pt>
                <c:pt idx="31">
                  <c:v>2.0164139875218888E-3</c:v>
                </c:pt>
                <c:pt idx="32">
                  <c:v>2.0164139875218888E-3</c:v>
                </c:pt>
                <c:pt idx="33">
                  <c:v>2.0164139875218888E-3</c:v>
                </c:pt>
                <c:pt idx="34">
                  <c:v>2.0164139875218888E-3</c:v>
                </c:pt>
                <c:pt idx="35">
                  <c:v>2.0164139875218888E-3</c:v>
                </c:pt>
                <c:pt idx="36">
                  <c:v>2.0164139875218888E-3</c:v>
                </c:pt>
                <c:pt idx="37">
                  <c:v>2.0164139875218888E-3</c:v>
                </c:pt>
                <c:pt idx="38">
                  <c:v>2.0164139875218888E-3</c:v>
                </c:pt>
                <c:pt idx="39">
                  <c:v>2.0164139875218888E-3</c:v>
                </c:pt>
                <c:pt idx="40">
                  <c:v>2.0164139875218888E-3</c:v>
                </c:pt>
                <c:pt idx="41">
                  <c:v>2.0164139875218888E-3</c:v>
                </c:pt>
                <c:pt idx="42">
                  <c:v>2.0164139875218888E-3</c:v>
                </c:pt>
                <c:pt idx="43">
                  <c:v>2.0164139875218888E-3</c:v>
                </c:pt>
                <c:pt idx="44">
                  <c:v>2.0164139875218888E-3</c:v>
                </c:pt>
                <c:pt idx="45">
                  <c:v>2.0164139875218888E-3</c:v>
                </c:pt>
                <c:pt idx="46">
                  <c:v>2.0164139875218888E-3</c:v>
                </c:pt>
                <c:pt idx="47">
                  <c:v>2.0164139875218888E-3</c:v>
                </c:pt>
                <c:pt idx="48">
                  <c:v>2.0164139875218888E-3</c:v>
                </c:pt>
                <c:pt idx="49">
                  <c:v>2.0164139875218888E-3</c:v>
                </c:pt>
                <c:pt idx="50">
                  <c:v>2.0164139875218888E-3</c:v>
                </c:pt>
                <c:pt idx="51">
                  <c:v>2.0164139875218888E-3</c:v>
                </c:pt>
                <c:pt idx="52">
                  <c:v>2.0164139875218888E-3</c:v>
                </c:pt>
                <c:pt idx="53">
                  <c:v>2.0164139875218888E-3</c:v>
                </c:pt>
                <c:pt idx="54">
                  <c:v>2.0164139875218888E-3</c:v>
                </c:pt>
                <c:pt idx="55">
                  <c:v>2.0164139875218888E-3</c:v>
                </c:pt>
                <c:pt idx="56">
                  <c:v>2.0164139875218888E-3</c:v>
                </c:pt>
                <c:pt idx="57">
                  <c:v>2.0164139875218888E-3</c:v>
                </c:pt>
                <c:pt idx="58">
                  <c:v>2.0164139875218888E-3</c:v>
                </c:pt>
                <c:pt idx="59">
                  <c:v>2.0164139875218888E-3</c:v>
                </c:pt>
                <c:pt idx="60">
                  <c:v>2.0164139875218888E-3</c:v>
                </c:pt>
                <c:pt idx="61">
                  <c:v>2.0164139875218888E-3</c:v>
                </c:pt>
                <c:pt idx="62">
                  <c:v>2.0164139875218888E-3</c:v>
                </c:pt>
                <c:pt idx="63">
                  <c:v>2.0164139875218888E-3</c:v>
                </c:pt>
                <c:pt idx="64">
                  <c:v>2.0164139875218888E-3</c:v>
                </c:pt>
                <c:pt idx="65">
                  <c:v>2.0164139875218888E-3</c:v>
                </c:pt>
                <c:pt idx="66">
                  <c:v>2.0164139875218888E-3</c:v>
                </c:pt>
                <c:pt idx="67">
                  <c:v>2.0164139875218888E-3</c:v>
                </c:pt>
                <c:pt idx="68">
                  <c:v>2.0164139875218888E-3</c:v>
                </c:pt>
                <c:pt idx="69">
                  <c:v>2.0164139875218888E-3</c:v>
                </c:pt>
                <c:pt idx="70">
                  <c:v>2.0164139875218888E-3</c:v>
                </c:pt>
                <c:pt idx="71">
                  <c:v>2.0164139875218888E-3</c:v>
                </c:pt>
                <c:pt idx="72">
                  <c:v>2.0164139875218888E-3</c:v>
                </c:pt>
                <c:pt idx="73">
                  <c:v>2.0164139875218888E-3</c:v>
                </c:pt>
                <c:pt idx="74">
                  <c:v>2.0164139875218888E-3</c:v>
                </c:pt>
                <c:pt idx="75">
                  <c:v>2.0164139875218888E-3</c:v>
                </c:pt>
                <c:pt idx="76">
                  <c:v>2.0164139875218888E-3</c:v>
                </c:pt>
                <c:pt idx="77">
                  <c:v>2.0164139875218888E-3</c:v>
                </c:pt>
                <c:pt idx="78">
                  <c:v>2.0164139875218888E-3</c:v>
                </c:pt>
                <c:pt idx="79">
                  <c:v>2.0164139875218888E-3</c:v>
                </c:pt>
                <c:pt idx="80">
                  <c:v>2.0164139875218888E-3</c:v>
                </c:pt>
                <c:pt idx="81">
                  <c:v>2.0164139875218888E-3</c:v>
                </c:pt>
                <c:pt idx="82">
                  <c:v>2.0164139875218888E-3</c:v>
                </c:pt>
                <c:pt idx="83">
                  <c:v>2.0164139875218888E-3</c:v>
                </c:pt>
                <c:pt idx="84">
                  <c:v>2.0164139875218888E-3</c:v>
                </c:pt>
                <c:pt idx="85">
                  <c:v>2.0164139875218888E-3</c:v>
                </c:pt>
                <c:pt idx="86">
                  <c:v>2.0164139875218888E-3</c:v>
                </c:pt>
                <c:pt idx="87">
                  <c:v>2.0164139875218888E-3</c:v>
                </c:pt>
                <c:pt idx="88">
                  <c:v>2.0164139875218888E-3</c:v>
                </c:pt>
                <c:pt idx="89">
                  <c:v>2.0164139875218888E-3</c:v>
                </c:pt>
                <c:pt idx="90">
                  <c:v>2.0164139875218888E-3</c:v>
                </c:pt>
                <c:pt idx="91">
                  <c:v>2.0164139875218888E-3</c:v>
                </c:pt>
                <c:pt idx="92">
                  <c:v>2.0164139875218888E-3</c:v>
                </c:pt>
                <c:pt idx="93">
                  <c:v>2.0164139875218888E-3</c:v>
                </c:pt>
                <c:pt idx="94">
                  <c:v>2.0164139875218888E-3</c:v>
                </c:pt>
                <c:pt idx="95">
                  <c:v>2.0164139875218888E-3</c:v>
                </c:pt>
                <c:pt idx="96">
                  <c:v>2.0164139875218888E-3</c:v>
                </c:pt>
                <c:pt idx="97">
                  <c:v>2.0164139875218888E-3</c:v>
                </c:pt>
                <c:pt idx="98">
                  <c:v>2.0164139875218888E-3</c:v>
                </c:pt>
                <c:pt idx="99">
                  <c:v>2.0164139875218888E-3</c:v>
                </c:pt>
                <c:pt idx="100">
                  <c:v>2.0164139875218888E-3</c:v>
                </c:pt>
                <c:pt idx="101">
                  <c:v>2.0164139875218888E-3</c:v>
                </c:pt>
                <c:pt idx="102">
                  <c:v>2.0164139875218888E-3</c:v>
                </c:pt>
                <c:pt idx="103">
                  <c:v>2.0164139875218888E-3</c:v>
                </c:pt>
                <c:pt idx="104">
                  <c:v>2.0164139875218888E-3</c:v>
                </c:pt>
                <c:pt idx="105">
                  <c:v>2.0164139875218888E-3</c:v>
                </c:pt>
                <c:pt idx="106">
                  <c:v>2.0164139875218888E-3</c:v>
                </c:pt>
                <c:pt idx="107">
                  <c:v>2.0164139875218888E-3</c:v>
                </c:pt>
                <c:pt idx="108">
                  <c:v>2.0164139875218888E-3</c:v>
                </c:pt>
                <c:pt idx="109">
                  <c:v>2.0164139875218888E-3</c:v>
                </c:pt>
                <c:pt idx="110">
                  <c:v>2.0164139875218888E-3</c:v>
                </c:pt>
                <c:pt idx="111">
                  <c:v>2.0164139875218888E-3</c:v>
                </c:pt>
                <c:pt idx="112">
                  <c:v>2.0164139875218888E-3</c:v>
                </c:pt>
                <c:pt idx="113">
                  <c:v>2.0164139875218888E-3</c:v>
                </c:pt>
                <c:pt idx="114">
                  <c:v>2.0164139875218888E-3</c:v>
                </c:pt>
                <c:pt idx="115">
                  <c:v>2.0164139875218888E-3</c:v>
                </c:pt>
                <c:pt idx="116">
                  <c:v>2.0164139875218888E-3</c:v>
                </c:pt>
                <c:pt idx="117">
                  <c:v>2.0164139875218888E-3</c:v>
                </c:pt>
                <c:pt idx="118">
                  <c:v>2.0164139875218888E-3</c:v>
                </c:pt>
                <c:pt idx="119">
                  <c:v>2.0164139875218888E-3</c:v>
                </c:pt>
                <c:pt idx="120">
                  <c:v>2.0164139875218888E-3</c:v>
                </c:pt>
                <c:pt idx="121">
                  <c:v>2.0164139875218888E-3</c:v>
                </c:pt>
                <c:pt idx="122">
                  <c:v>2.0164139875218888E-3</c:v>
                </c:pt>
                <c:pt idx="123">
                  <c:v>2.0164139875218888E-3</c:v>
                </c:pt>
                <c:pt idx="124">
                  <c:v>2.0164139875218888E-3</c:v>
                </c:pt>
                <c:pt idx="125">
                  <c:v>2.0164139875218888E-3</c:v>
                </c:pt>
                <c:pt idx="126">
                  <c:v>2.0164139875218888E-3</c:v>
                </c:pt>
                <c:pt idx="127">
                  <c:v>2.0164139875218888E-3</c:v>
                </c:pt>
                <c:pt idx="128">
                  <c:v>2.0164139875218888E-3</c:v>
                </c:pt>
                <c:pt idx="129">
                  <c:v>2.0164139875218888E-3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41891</c:v>
                </c:pt>
                <c:pt idx="1">
                  <c:v>41892</c:v>
                </c:pt>
                <c:pt idx="2">
                  <c:v>41893</c:v>
                </c:pt>
                <c:pt idx="3">
                  <c:v>41894</c:v>
                </c:pt>
                <c:pt idx="4">
                  <c:v>41897</c:v>
                </c:pt>
                <c:pt idx="5">
                  <c:v>41898</c:v>
                </c:pt>
                <c:pt idx="6">
                  <c:v>41899</c:v>
                </c:pt>
                <c:pt idx="7">
                  <c:v>41900</c:v>
                </c:pt>
                <c:pt idx="8">
                  <c:v>41901</c:v>
                </c:pt>
                <c:pt idx="9">
                  <c:v>41904</c:v>
                </c:pt>
                <c:pt idx="10">
                  <c:v>41905</c:v>
                </c:pt>
                <c:pt idx="11">
                  <c:v>41906</c:v>
                </c:pt>
                <c:pt idx="12">
                  <c:v>41907</c:v>
                </c:pt>
                <c:pt idx="13">
                  <c:v>41908</c:v>
                </c:pt>
                <c:pt idx="14">
                  <c:v>41911</c:v>
                </c:pt>
                <c:pt idx="15">
                  <c:v>41912</c:v>
                </c:pt>
                <c:pt idx="16">
                  <c:v>41913</c:v>
                </c:pt>
                <c:pt idx="17">
                  <c:v>41914</c:v>
                </c:pt>
                <c:pt idx="18">
                  <c:v>41915</c:v>
                </c:pt>
                <c:pt idx="19">
                  <c:v>41919</c:v>
                </c:pt>
                <c:pt idx="20">
                  <c:v>41920</c:v>
                </c:pt>
                <c:pt idx="21">
                  <c:v>41921</c:v>
                </c:pt>
                <c:pt idx="22">
                  <c:v>41922</c:v>
                </c:pt>
                <c:pt idx="23">
                  <c:v>41925</c:v>
                </c:pt>
                <c:pt idx="24">
                  <c:v>41926</c:v>
                </c:pt>
                <c:pt idx="25">
                  <c:v>41927</c:v>
                </c:pt>
                <c:pt idx="26">
                  <c:v>41928</c:v>
                </c:pt>
                <c:pt idx="27">
                  <c:v>41929</c:v>
                </c:pt>
                <c:pt idx="28">
                  <c:v>41932</c:v>
                </c:pt>
                <c:pt idx="29">
                  <c:v>41933</c:v>
                </c:pt>
                <c:pt idx="30">
                  <c:v>41934</c:v>
                </c:pt>
                <c:pt idx="31">
                  <c:v>41935</c:v>
                </c:pt>
                <c:pt idx="32">
                  <c:v>41936</c:v>
                </c:pt>
                <c:pt idx="33">
                  <c:v>41939</c:v>
                </c:pt>
                <c:pt idx="34">
                  <c:v>41940</c:v>
                </c:pt>
                <c:pt idx="35">
                  <c:v>41941</c:v>
                </c:pt>
                <c:pt idx="36">
                  <c:v>41942</c:v>
                </c:pt>
                <c:pt idx="37">
                  <c:v>41943</c:v>
                </c:pt>
                <c:pt idx="38">
                  <c:v>41946</c:v>
                </c:pt>
                <c:pt idx="39">
                  <c:v>41947</c:v>
                </c:pt>
                <c:pt idx="40">
                  <c:v>41948</c:v>
                </c:pt>
                <c:pt idx="41">
                  <c:v>41949</c:v>
                </c:pt>
                <c:pt idx="42">
                  <c:v>41950</c:v>
                </c:pt>
                <c:pt idx="43">
                  <c:v>41953</c:v>
                </c:pt>
                <c:pt idx="44">
                  <c:v>41954</c:v>
                </c:pt>
                <c:pt idx="45">
                  <c:v>41955</c:v>
                </c:pt>
                <c:pt idx="46">
                  <c:v>41956</c:v>
                </c:pt>
                <c:pt idx="47">
                  <c:v>41957</c:v>
                </c:pt>
                <c:pt idx="48">
                  <c:v>41960</c:v>
                </c:pt>
                <c:pt idx="49">
                  <c:v>41961</c:v>
                </c:pt>
                <c:pt idx="50">
                  <c:v>41962</c:v>
                </c:pt>
                <c:pt idx="51">
                  <c:v>41963</c:v>
                </c:pt>
                <c:pt idx="52">
                  <c:v>41964</c:v>
                </c:pt>
                <c:pt idx="53">
                  <c:v>41967</c:v>
                </c:pt>
                <c:pt idx="54">
                  <c:v>41968</c:v>
                </c:pt>
                <c:pt idx="55">
                  <c:v>41969</c:v>
                </c:pt>
                <c:pt idx="56">
                  <c:v>41970</c:v>
                </c:pt>
                <c:pt idx="57">
                  <c:v>41971</c:v>
                </c:pt>
                <c:pt idx="58">
                  <c:v>41974</c:v>
                </c:pt>
                <c:pt idx="59">
                  <c:v>41975</c:v>
                </c:pt>
                <c:pt idx="60">
                  <c:v>41976</c:v>
                </c:pt>
                <c:pt idx="61">
                  <c:v>41977</c:v>
                </c:pt>
                <c:pt idx="62">
                  <c:v>41978</c:v>
                </c:pt>
                <c:pt idx="63">
                  <c:v>41981</c:v>
                </c:pt>
                <c:pt idx="64">
                  <c:v>41982</c:v>
                </c:pt>
                <c:pt idx="65">
                  <c:v>41983</c:v>
                </c:pt>
                <c:pt idx="66">
                  <c:v>41984</c:v>
                </c:pt>
                <c:pt idx="67">
                  <c:v>41985</c:v>
                </c:pt>
                <c:pt idx="68">
                  <c:v>41988</c:v>
                </c:pt>
                <c:pt idx="69">
                  <c:v>41989</c:v>
                </c:pt>
                <c:pt idx="70">
                  <c:v>41990</c:v>
                </c:pt>
                <c:pt idx="71">
                  <c:v>41991</c:v>
                </c:pt>
                <c:pt idx="72">
                  <c:v>41992</c:v>
                </c:pt>
                <c:pt idx="73">
                  <c:v>41995</c:v>
                </c:pt>
                <c:pt idx="74">
                  <c:v>41996</c:v>
                </c:pt>
                <c:pt idx="75">
                  <c:v>41997</c:v>
                </c:pt>
                <c:pt idx="76">
                  <c:v>42002</c:v>
                </c:pt>
                <c:pt idx="77">
                  <c:v>42003</c:v>
                </c:pt>
                <c:pt idx="78">
                  <c:v>42004</c:v>
                </c:pt>
                <c:pt idx="79">
                  <c:v>42006</c:v>
                </c:pt>
                <c:pt idx="80">
                  <c:v>42009</c:v>
                </c:pt>
                <c:pt idx="81">
                  <c:v>42010</c:v>
                </c:pt>
                <c:pt idx="82">
                  <c:v>42011</c:v>
                </c:pt>
                <c:pt idx="83">
                  <c:v>42012</c:v>
                </c:pt>
                <c:pt idx="84">
                  <c:v>42013</c:v>
                </c:pt>
                <c:pt idx="85">
                  <c:v>42016</c:v>
                </c:pt>
                <c:pt idx="86">
                  <c:v>42017</c:v>
                </c:pt>
                <c:pt idx="87">
                  <c:v>42018</c:v>
                </c:pt>
                <c:pt idx="88">
                  <c:v>42019</c:v>
                </c:pt>
                <c:pt idx="89">
                  <c:v>42020</c:v>
                </c:pt>
                <c:pt idx="90">
                  <c:v>42023</c:v>
                </c:pt>
                <c:pt idx="91">
                  <c:v>42024</c:v>
                </c:pt>
                <c:pt idx="92">
                  <c:v>42025</c:v>
                </c:pt>
                <c:pt idx="93">
                  <c:v>42026</c:v>
                </c:pt>
                <c:pt idx="94">
                  <c:v>42027</c:v>
                </c:pt>
                <c:pt idx="95">
                  <c:v>42031</c:v>
                </c:pt>
                <c:pt idx="96">
                  <c:v>42032</c:v>
                </c:pt>
                <c:pt idx="97">
                  <c:v>42033</c:v>
                </c:pt>
                <c:pt idx="98">
                  <c:v>42034</c:v>
                </c:pt>
                <c:pt idx="99">
                  <c:v>42037</c:v>
                </c:pt>
                <c:pt idx="100">
                  <c:v>42038</c:v>
                </c:pt>
                <c:pt idx="101">
                  <c:v>42039</c:v>
                </c:pt>
                <c:pt idx="102">
                  <c:v>42040</c:v>
                </c:pt>
                <c:pt idx="103">
                  <c:v>42041</c:v>
                </c:pt>
                <c:pt idx="104">
                  <c:v>42044</c:v>
                </c:pt>
                <c:pt idx="105">
                  <c:v>42045</c:v>
                </c:pt>
                <c:pt idx="106">
                  <c:v>42046</c:v>
                </c:pt>
                <c:pt idx="107">
                  <c:v>42047</c:v>
                </c:pt>
                <c:pt idx="108">
                  <c:v>42048</c:v>
                </c:pt>
                <c:pt idx="109">
                  <c:v>42051</c:v>
                </c:pt>
                <c:pt idx="110">
                  <c:v>42052</c:v>
                </c:pt>
                <c:pt idx="111">
                  <c:v>42053</c:v>
                </c:pt>
                <c:pt idx="112">
                  <c:v>42054</c:v>
                </c:pt>
                <c:pt idx="113">
                  <c:v>42055</c:v>
                </c:pt>
                <c:pt idx="114">
                  <c:v>42058</c:v>
                </c:pt>
                <c:pt idx="115">
                  <c:v>42059</c:v>
                </c:pt>
                <c:pt idx="116">
                  <c:v>42060</c:v>
                </c:pt>
                <c:pt idx="117">
                  <c:v>42061</c:v>
                </c:pt>
                <c:pt idx="118">
                  <c:v>42062</c:v>
                </c:pt>
                <c:pt idx="119">
                  <c:v>42065</c:v>
                </c:pt>
                <c:pt idx="120">
                  <c:v>42066</c:v>
                </c:pt>
                <c:pt idx="121">
                  <c:v>42067</c:v>
                </c:pt>
                <c:pt idx="122">
                  <c:v>42068</c:v>
                </c:pt>
                <c:pt idx="123">
                  <c:v>42069</c:v>
                </c:pt>
                <c:pt idx="124">
                  <c:v>42072</c:v>
                </c:pt>
                <c:pt idx="125">
                  <c:v>42073</c:v>
                </c:pt>
                <c:pt idx="126">
                  <c:v>42074</c:v>
                </c:pt>
                <c:pt idx="127">
                  <c:v>42075</c:v>
                </c:pt>
                <c:pt idx="128">
                  <c:v>42076</c:v>
                </c:pt>
                <c:pt idx="129">
                  <c:v>42079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1.924648575524251E-3</c:v>
                </c:pt>
                <c:pt idx="1">
                  <c:v>1.9256514762018208E-3</c:v>
                </c:pt>
                <c:pt idx="2">
                  <c:v>1.9266543768793906E-3</c:v>
                </c:pt>
                <c:pt idx="3">
                  <c:v>1.9276572775569604E-3</c:v>
                </c:pt>
                <c:pt idx="4">
                  <c:v>1.9306659795896698E-3</c:v>
                </c:pt>
                <c:pt idx="5">
                  <c:v>1.9316688802672398E-3</c:v>
                </c:pt>
                <c:pt idx="6">
                  <c:v>1.9326717809448096E-3</c:v>
                </c:pt>
                <c:pt idx="7">
                  <c:v>1.9336746816223794E-3</c:v>
                </c:pt>
                <c:pt idx="8">
                  <c:v>1.9346775822999492E-3</c:v>
                </c:pt>
                <c:pt idx="9">
                  <c:v>1.9376862843326586E-3</c:v>
                </c:pt>
                <c:pt idx="10">
                  <c:v>1.9386891850102284E-3</c:v>
                </c:pt>
                <c:pt idx="11">
                  <c:v>1.9396920856877982E-3</c:v>
                </c:pt>
                <c:pt idx="12">
                  <c:v>1.940694986365368E-3</c:v>
                </c:pt>
                <c:pt idx="13">
                  <c:v>1.9416978870429378E-3</c:v>
                </c:pt>
                <c:pt idx="14">
                  <c:v>1.9447065890756475E-3</c:v>
                </c:pt>
                <c:pt idx="15">
                  <c:v>1.9457094897532173E-3</c:v>
                </c:pt>
                <c:pt idx="16">
                  <c:v>1.9467123904307871E-3</c:v>
                </c:pt>
                <c:pt idx="17">
                  <c:v>1.9477152911083569E-3</c:v>
                </c:pt>
                <c:pt idx="18">
                  <c:v>1.9487181917859267E-3</c:v>
                </c:pt>
                <c:pt idx="19">
                  <c:v>1.9527297944962059E-3</c:v>
                </c:pt>
                <c:pt idx="20">
                  <c:v>1.9537326951737759E-3</c:v>
                </c:pt>
                <c:pt idx="21">
                  <c:v>1.9547355958513457E-3</c:v>
                </c:pt>
                <c:pt idx="22">
                  <c:v>1.9557384965289155E-3</c:v>
                </c:pt>
                <c:pt idx="23">
                  <c:v>1.9587471985616249E-3</c:v>
                </c:pt>
                <c:pt idx="24">
                  <c:v>1.9597500992391947E-3</c:v>
                </c:pt>
                <c:pt idx="25">
                  <c:v>1.9607529999167645E-3</c:v>
                </c:pt>
                <c:pt idx="26">
                  <c:v>1.9617559005943343E-3</c:v>
                </c:pt>
                <c:pt idx="27">
                  <c:v>1.9627588012719041E-3</c:v>
                </c:pt>
                <c:pt idx="28">
                  <c:v>1.9657675033046135E-3</c:v>
                </c:pt>
                <c:pt idx="29">
                  <c:v>1.9667704039821833E-3</c:v>
                </c:pt>
                <c:pt idx="30">
                  <c:v>1.9677733046597531E-3</c:v>
                </c:pt>
                <c:pt idx="31">
                  <c:v>1.9687762053373229E-3</c:v>
                </c:pt>
                <c:pt idx="32">
                  <c:v>1.9697791060148927E-3</c:v>
                </c:pt>
                <c:pt idx="33">
                  <c:v>1.9727878080476021E-3</c:v>
                </c:pt>
                <c:pt idx="34">
                  <c:v>1.9737907087251719E-3</c:v>
                </c:pt>
                <c:pt idx="35">
                  <c:v>1.9747936094027417E-3</c:v>
                </c:pt>
                <c:pt idx="36">
                  <c:v>1.9757965100803115E-3</c:v>
                </c:pt>
                <c:pt idx="37">
                  <c:v>1.9767994107578813E-3</c:v>
                </c:pt>
                <c:pt idx="38">
                  <c:v>1.9798081127905911E-3</c:v>
                </c:pt>
                <c:pt idx="39">
                  <c:v>1.9808110134681609E-3</c:v>
                </c:pt>
                <c:pt idx="40">
                  <c:v>1.9818139141457307E-3</c:v>
                </c:pt>
                <c:pt idx="41">
                  <c:v>1.9828168148233005E-3</c:v>
                </c:pt>
                <c:pt idx="42">
                  <c:v>1.9838197155008703E-3</c:v>
                </c:pt>
                <c:pt idx="43">
                  <c:v>1.9868284175335797E-3</c:v>
                </c:pt>
                <c:pt idx="44">
                  <c:v>1.9878313182111495E-3</c:v>
                </c:pt>
                <c:pt idx="45">
                  <c:v>1.9888342188887193E-3</c:v>
                </c:pt>
                <c:pt idx="46">
                  <c:v>1.9898371195662891E-3</c:v>
                </c:pt>
                <c:pt idx="47">
                  <c:v>1.9908400202438589E-3</c:v>
                </c:pt>
                <c:pt idx="48">
                  <c:v>1.9938487222765683E-3</c:v>
                </c:pt>
                <c:pt idx="49">
                  <c:v>1.9948516229541381E-3</c:v>
                </c:pt>
                <c:pt idx="50">
                  <c:v>1.9958545236317079E-3</c:v>
                </c:pt>
                <c:pt idx="51">
                  <c:v>1.9968574243092777E-3</c:v>
                </c:pt>
                <c:pt idx="52">
                  <c:v>1.9978603249868475E-3</c:v>
                </c:pt>
                <c:pt idx="53">
                  <c:v>2.0008690270195569E-3</c:v>
                </c:pt>
                <c:pt idx="54">
                  <c:v>2.0018719276971267E-3</c:v>
                </c:pt>
                <c:pt idx="55">
                  <c:v>2.0028748283746969E-3</c:v>
                </c:pt>
                <c:pt idx="56">
                  <c:v>2.0038777290522667E-3</c:v>
                </c:pt>
                <c:pt idx="57">
                  <c:v>2.0048806297298365E-3</c:v>
                </c:pt>
                <c:pt idx="58">
                  <c:v>2.0078893317625459E-3</c:v>
                </c:pt>
                <c:pt idx="59">
                  <c:v>2.0088922324401157E-3</c:v>
                </c:pt>
                <c:pt idx="60">
                  <c:v>2.0098951331176855E-3</c:v>
                </c:pt>
                <c:pt idx="61">
                  <c:v>2.0108980337952553E-3</c:v>
                </c:pt>
                <c:pt idx="62">
                  <c:v>2.0119009344728251E-3</c:v>
                </c:pt>
                <c:pt idx="63">
                  <c:v>2.0149096365055345E-3</c:v>
                </c:pt>
                <c:pt idx="64">
                  <c:v>2.0159125371831043E-3</c:v>
                </c:pt>
                <c:pt idx="65">
                  <c:v>2.0169154378606741E-3</c:v>
                </c:pt>
                <c:pt idx="66">
                  <c:v>2.0179183385382439E-3</c:v>
                </c:pt>
                <c:pt idx="67">
                  <c:v>2.0189212392158137E-3</c:v>
                </c:pt>
                <c:pt idx="68">
                  <c:v>2.0219299412485231E-3</c:v>
                </c:pt>
                <c:pt idx="69">
                  <c:v>2.0229328419260929E-3</c:v>
                </c:pt>
                <c:pt idx="70">
                  <c:v>2.0239357426036627E-3</c:v>
                </c:pt>
                <c:pt idx="71">
                  <c:v>2.0249386432812325E-3</c:v>
                </c:pt>
                <c:pt idx="72">
                  <c:v>2.0259415439588023E-3</c:v>
                </c:pt>
                <c:pt idx="73">
                  <c:v>2.0289502459915117E-3</c:v>
                </c:pt>
                <c:pt idx="74">
                  <c:v>2.0299531466690815E-3</c:v>
                </c:pt>
                <c:pt idx="75">
                  <c:v>2.0309560473466518E-3</c:v>
                </c:pt>
                <c:pt idx="76">
                  <c:v>2.0359705507345008E-3</c:v>
                </c:pt>
                <c:pt idx="77">
                  <c:v>2.0369734514120706E-3</c:v>
                </c:pt>
                <c:pt idx="78">
                  <c:v>2.0379763520896404E-3</c:v>
                </c:pt>
                <c:pt idx="79">
                  <c:v>2.03998215344478E-3</c:v>
                </c:pt>
                <c:pt idx="80">
                  <c:v>2.0429908554774894E-3</c:v>
                </c:pt>
                <c:pt idx="81">
                  <c:v>2.0439937561550592E-3</c:v>
                </c:pt>
                <c:pt idx="82">
                  <c:v>2.044996656832629E-3</c:v>
                </c:pt>
                <c:pt idx="83">
                  <c:v>2.0459995575101988E-3</c:v>
                </c:pt>
                <c:pt idx="84">
                  <c:v>2.0470024581877686E-3</c:v>
                </c:pt>
                <c:pt idx="85">
                  <c:v>2.050011160220478E-3</c:v>
                </c:pt>
                <c:pt idx="86">
                  <c:v>2.0510140608980478E-3</c:v>
                </c:pt>
                <c:pt idx="87">
                  <c:v>2.0520169615756176E-3</c:v>
                </c:pt>
                <c:pt idx="88">
                  <c:v>2.0530198622531874E-3</c:v>
                </c:pt>
                <c:pt idx="89">
                  <c:v>2.0540227629307572E-3</c:v>
                </c:pt>
                <c:pt idx="90">
                  <c:v>2.057031464963467E-3</c:v>
                </c:pt>
                <c:pt idx="91">
                  <c:v>2.0580343656410368E-3</c:v>
                </c:pt>
                <c:pt idx="92">
                  <c:v>2.0590372663186066E-3</c:v>
                </c:pt>
                <c:pt idx="93">
                  <c:v>2.0600401669961764E-3</c:v>
                </c:pt>
                <c:pt idx="94">
                  <c:v>2.0610430676737462E-3</c:v>
                </c:pt>
                <c:pt idx="95">
                  <c:v>2.0650546703840254E-3</c:v>
                </c:pt>
                <c:pt idx="96">
                  <c:v>2.0660575710615952E-3</c:v>
                </c:pt>
                <c:pt idx="97">
                  <c:v>2.067060471739165E-3</c:v>
                </c:pt>
                <c:pt idx="98">
                  <c:v>2.0680633724167348E-3</c:v>
                </c:pt>
                <c:pt idx="99">
                  <c:v>2.0710720744494442E-3</c:v>
                </c:pt>
                <c:pt idx="100">
                  <c:v>2.072074975127014E-3</c:v>
                </c:pt>
                <c:pt idx="101">
                  <c:v>2.0730778758045838E-3</c:v>
                </c:pt>
                <c:pt idx="102">
                  <c:v>2.0740807764821536E-3</c:v>
                </c:pt>
                <c:pt idx="103">
                  <c:v>2.0750836771597234E-3</c:v>
                </c:pt>
                <c:pt idx="104">
                  <c:v>2.0780923791924328E-3</c:v>
                </c:pt>
                <c:pt idx="105">
                  <c:v>2.0790952798700026E-3</c:v>
                </c:pt>
                <c:pt idx="106">
                  <c:v>2.0800981805475724E-3</c:v>
                </c:pt>
                <c:pt idx="107">
                  <c:v>2.0811010812251422E-3</c:v>
                </c:pt>
                <c:pt idx="108">
                  <c:v>2.082103981902712E-3</c:v>
                </c:pt>
                <c:pt idx="109">
                  <c:v>2.0851126839354218E-3</c:v>
                </c:pt>
                <c:pt idx="110">
                  <c:v>2.0861155846129916E-3</c:v>
                </c:pt>
                <c:pt idx="111">
                  <c:v>2.0871184852905614E-3</c:v>
                </c:pt>
                <c:pt idx="112">
                  <c:v>2.0881213859681312E-3</c:v>
                </c:pt>
                <c:pt idx="113">
                  <c:v>2.089124286645701E-3</c:v>
                </c:pt>
                <c:pt idx="114">
                  <c:v>2.0921329886784104E-3</c:v>
                </c:pt>
                <c:pt idx="115">
                  <c:v>2.0931358893559802E-3</c:v>
                </c:pt>
                <c:pt idx="116">
                  <c:v>2.09413879003355E-3</c:v>
                </c:pt>
                <c:pt idx="117">
                  <c:v>2.0951416907111198E-3</c:v>
                </c:pt>
                <c:pt idx="118">
                  <c:v>2.0961445913886896E-3</c:v>
                </c:pt>
                <c:pt idx="119">
                  <c:v>2.099153293421399E-3</c:v>
                </c:pt>
                <c:pt idx="120">
                  <c:v>2.1001561940989688E-3</c:v>
                </c:pt>
                <c:pt idx="121">
                  <c:v>2.1011590947765386E-3</c:v>
                </c:pt>
                <c:pt idx="122">
                  <c:v>2.1021619954541084E-3</c:v>
                </c:pt>
                <c:pt idx="123">
                  <c:v>2.1031648961316782E-3</c:v>
                </c:pt>
                <c:pt idx="124">
                  <c:v>2.1061735981643876E-3</c:v>
                </c:pt>
                <c:pt idx="125">
                  <c:v>2.1071764988419579E-3</c:v>
                </c:pt>
                <c:pt idx="126">
                  <c:v>2.1081793995195277E-3</c:v>
                </c:pt>
                <c:pt idx="127">
                  <c:v>2.1091823001970975E-3</c:v>
                </c:pt>
                <c:pt idx="128">
                  <c:v>2.1101852008746673E-3</c:v>
                </c:pt>
                <c:pt idx="129">
                  <c:v>2.1131939029073767E-3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41891</c:v>
                </c:pt>
                <c:pt idx="1">
                  <c:v>41892</c:v>
                </c:pt>
                <c:pt idx="2">
                  <c:v>41893</c:v>
                </c:pt>
                <c:pt idx="3">
                  <c:v>41894</c:v>
                </c:pt>
                <c:pt idx="4">
                  <c:v>41897</c:v>
                </c:pt>
                <c:pt idx="5">
                  <c:v>41898</c:v>
                </c:pt>
                <c:pt idx="6">
                  <c:v>41899</c:v>
                </c:pt>
                <c:pt idx="7">
                  <c:v>41900</c:v>
                </c:pt>
                <c:pt idx="8">
                  <c:v>41901</c:v>
                </c:pt>
                <c:pt idx="9">
                  <c:v>41904</c:v>
                </c:pt>
                <c:pt idx="10">
                  <c:v>41905</c:v>
                </c:pt>
                <c:pt idx="11">
                  <c:v>41906</c:v>
                </c:pt>
                <c:pt idx="12">
                  <c:v>41907</c:v>
                </c:pt>
                <c:pt idx="13">
                  <c:v>41908</c:v>
                </c:pt>
                <c:pt idx="14">
                  <c:v>41911</c:v>
                </c:pt>
                <c:pt idx="15">
                  <c:v>41912</c:v>
                </c:pt>
                <c:pt idx="16">
                  <c:v>41913</c:v>
                </c:pt>
                <c:pt idx="17">
                  <c:v>41914</c:v>
                </c:pt>
                <c:pt idx="18">
                  <c:v>41915</c:v>
                </c:pt>
                <c:pt idx="19">
                  <c:v>41919</c:v>
                </c:pt>
                <c:pt idx="20">
                  <c:v>41920</c:v>
                </c:pt>
                <c:pt idx="21">
                  <c:v>41921</c:v>
                </c:pt>
                <c:pt idx="22">
                  <c:v>41922</c:v>
                </c:pt>
                <c:pt idx="23">
                  <c:v>41925</c:v>
                </c:pt>
                <c:pt idx="24">
                  <c:v>41926</c:v>
                </c:pt>
                <c:pt idx="25">
                  <c:v>41927</c:v>
                </c:pt>
                <c:pt idx="26">
                  <c:v>41928</c:v>
                </c:pt>
                <c:pt idx="27">
                  <c:v>41929</c:v>
                </c:pt>
                <c:pt idx="28">
                  <c:v>41932</c:v>
                </c:pt>
                <c:pt idx="29">
                  <c:v>41933</c:v>
                </c:pt>
                <c:pt idx="30">
                  <c:v>41934</c:v>
                </c:pt>
                <c:pt idx="31">
                  <c:v>41935</c:v>
                </c:pt>
                <c:pt idx="32">
                  <c:v>41936</c:v>
                </c:pt>
                <c:pt idx="33">
                  <c:v>41939</c:v>
                </c:pt>
                <c:pt idx="34">
                  <c:v>41940</c:v>
                </c:pt>
                <c:pt idx="35">
                  <c:v>41941</c:v>
                </c:pt>
                <c:pt idx="36">
                  <c:v>41942</c:v>
                </c:pt>
                <c:pt idx="37">
                  <c:v>41943</c:v>
                </c:pt>
                <c:pt idx="38">
                  <c:v>41946</c:v>
                </c:pt>
                <c:pt idx="39">
                  <c:v>41947</c:v>
                </c:pt>
                <c:pt idx="40">
                  <c:v>41948</c:v>
                </c:pt>
                <c:pt idx="41">
                  <c:v>41949</c:v>
                </c:pt>
                <c:pt idx="42">
                  <c:v>41950</c:v>
                </c:pt>
                <c:pt idx="43">
                  <c:v>41953</c:v>
                </c:pt>
                <c:pt idx="44">
                  <c:v>41954</c:v>
                </c:pt>
                <c:pt idx="45">
                  <c:v>41955</c:v>
                </c:pt>
                <c:pt idx="46">
                  <c:v>41956</c:v>
                </c:pt>
                <c:pt idx="47">
                  <c:v>41957</c:v>
                </c:pt>
                <c:pt idx="48">
                  <c:v>41960</c:v>
                </c:pt>
                <c:pt idx="49">
                  <c:v>41961</c:v>
                </c:pt>
                <c:pt idx="50">
                  <c:v>41962</c:v>
                </c:pt>
                <c:pt idx="51">
                  <c:v>41963</c:v>
                </c:pt>
                <c:pt idx="52">
                  <c:v>41964</c:v>
                </c:pt>
                <c:pt idx="53">
                  <c:v>41967</c:v>
                </c:pt>
                <c:pt idx="54">
                  <c:v>41968</c:v>
                </c:pt>
                <c:pt idx="55">
                  <c:v>41969</c:v>
                </c:pt>
                <c:pt idx="56">
                  <c:v>41970</c:v>
                </c:pt>
                <c:pt idx="57">
                  <c:v>41971</c:v>
                </c:pt>
                <c:pt idx="58">
                  <c:v>41974</c:v>
                </c:pt>
                <c:pt idx="59">
                  <c:v>41975</c:v>
                </c:pt>
                <c:pt idx="60">
                  <c:v>41976</c:v>
                </c:pt>
                <c:pt idx="61">
                  <c:v>41977</c:v>
                </c:pt>
                <c:pt idx="62">
                  <c:v>41978</c:v>
                </c:pt>
                <c:pt idx="63">
                  <c:v>41981</c:v>
                </c:pt>
                <c:pt idx="64">
                  <c:v>41982</c:v>
                </c:pt>
                <c:pt idx="65">
                  <c:v>41983</c:v>
                </c:pt>
                <c:pt idx="66">
                  <c:v>41984</c:v>
                </c:pt>
                <c:pt idx="67">
                  <c:v>41985</c:v>
                </c:pt>
                <c:pt idx="68">
                  <c:v>41988</c:v>
                </c:pt>
                <c:pt idx="69">
                  <c:v>41989</c:v>
                </c:pt>
                <c:pt idx="70">
                  <c:v>41990</c:v>
                </c:pt>
                <c:pt idx="71">
                  <c:v>41991</c:v>
                </c:pt>
                <c:pt idx="72">
                  <c:v>41992</c:v>
                </c:pt>
                <c:pt idx="73">
                  <c:v>41995</c:v>
                </c:pt>
                <c:pt idx="74">
                  <c:v>41996</c:v>
                </c:pt>
                <c:pt idx="75">
                  <c:v>41997</c:v>
                </c:pt>
                <c:pt idx="76">
                  <c:v>42002</c:v>
                </c:pt>
                <c:pt idx="77">
                  <c:v>42003</c:v>
                </c:pt>
                <c:pt idx="78">
                  <c:v>42004</c:v>
                </c:pt>
                <c:pt idx="79">
                  <c:v>42006</c:v>
                </c:pt>
                <c:pt idx="80">
                  <c:v>42009</c:v>
                </c:pt>
                <c:pt idx="81">
                  <c:v>42010</c:v>
                </c:pt>
                <c:pt idx="82">
                  <c:v>42011</c:v>
                </c:pt>
                <c:pt idx="83">
                  <c:v>42012</c:v>
                </c:pt>
                <c:pt idx="84">
                  <c:v>42013</c:v>
                </c:pt>
                <c:pt idx="85">
                  <c:v>42016</c:v>
                </c:pt>
                <c:pt idx="86">
                  <c:v>42017</c:v>
                </c:pt>
                <c:pt idx="87">
                  <c:v>42018</c:v>
                </c:pt>
                <c:pt idx="88">
                  <c:v>42019</c:v>
                </c:pt>
                <c:pt idx="89">
                  <c:v>42020</c:v>
                </c:pt>
                <c:pt idx="90">
                  <c:v>42023</c:v>
                </c:pt>
                <c:pt idx="91">
                  <c:v>42024</c:v>
                </c:pt>
                <c:pt idx="92">
                  <c:v>42025</c:v>
                </c:pt>
                <c:pt idx="93">
                  <c:v>42026</c:v>
                </c:pt>
                <c:pt idx="94">
                  <c:v>42027</c:v>
                </c:pt>
                <c:pt idx="95">
                  <c:v>42031</c:v>
                </c:pt>
                <c:pt idx="96">
                  <c:v>42032</c:v>
                </c:pt>
                <c:pt idx="97">
                  <c:v>42033</c:v>
                </c:pt>
                <c:pt idx="98">
                  <c:v>42034</c:v>
                </c:pt>
                <c:pt idx="99">
                  <c:v>42037</c:v>
                </c:pt>
                <c:pt idx="100">
                  <c:v>42038</c:v>
                </c:pt>
                <c:pt idx="101">
                  <c:v>42039</c:v>
                </c:pt>
                <c:pt idx="102">
                  <c:v>42040</c:v>
                </c:pt>
                <c:pt idx="103">
                  <c:v>42041</c:v>
                </c:pt>
                <c:pt idx="104">
                  <c:v>42044</c:v>
                </c:pt>
                <c:pt idx="105">
                  <c:v>42045</c:v>
                </c:pt>
                <c:pt idx="106">
                  <c:v>42046</c:v>
                </c:pt>
                <c:pt idx="107">
                  <c:v>42047</c:v>
                </c:pt>
                <c:pt idx="108">
                  <c:v>42048</c:v>
                </c:pt>
                <c:pt idx="109">
                  <c:v>42051</c:v>
                </c:pt>
                <c:pt idx="110">
                  <c:v>42052</c:v>
                </c:pt>
                <c:pt idx="111">
                  <c:v>42053</c:v>
                </c:pt>
                <c:pt idx="112">
                  <c:v>42054</c:v>
                </c:pt>
                <c:pt idx="113">
                  <c:v>42055</c:v>
                </c:pt>
                <c:pt idx="114">
                  <c:v>42058</c:v>
                </c:pt>
                <c:pt idx="115">
                  <c:v>42059</c:v>
                </c:pt>
                <c:pt idx="116">
                  <c:v>42060</c:v>
                </c:pt>
                <c:pt idx="117">
                  <c:v>42061</c:v>
                </c:pt>
                <c:pt idx="118">
                  <c:v>42062</c:v>
                </c:pt>
                <c:pt idx="119">
                  <c:v>42065</c:v>
                </c:pt>
                <c:pt idx="120">
                  <c:v>42066</c:v>
                </c:pt>
                <c:pt idx="121">
                  <c:v>42067</c:v>
                </c:pt>
                <c:pt idx="122">
                  <c:v>42068</c:v>
                </c:pt>
                <c:pt idx="123">
                  <c:v>42069</c:v>
                </c:pt>
                <c:pt idx="124">
                  <c:v>42072</c:v>
                </c:pt>
                <c:pt idx="125">
                  <c:v>42073</c:v>
                </c:pt>
                <c:pt idx="126">
                  <c:v>42074</c:v>
                </c:pt>
                <c:pt idx="127">
                  <c:v>42075</c:v>
                </c:pt>
                <c:pt idx="128">
                  <c:v>42076</c:v>
                </c:pt>
                <c:pt idx="129">
                  <c:v>42079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394432"/>
        <c:axId val="371395968"/>
      </c:lineChart>
      <c:dateAx>
        <c:axId val="37139443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371395968"/>
        <c:crosses val="autoZero"/>
        <c:auto val="1"/>
        <c:lblOffset val="100"/>
        <c:baseTimeUnit val="days"/>
      </c:dateAx>
      <c:valAx>
        <c:axId val="37139596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713944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4973753280841"/>
          <c:y val="5.1400554097404488E-2"/>
          <c:w val="0.84023490813648294"/>
          <c:h val="0.77592483231262754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'6MSynthDepo'!$M$17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numRef>
              <c:f>'6MSynthDepo'!$F$18:$F$27</c:f>
              <c:numCache>
                <c:formatCode>ddd\,\ dd\-mmm\-yyyy</c:formatCode>
                <c:ptCount val="10"/>
                <c:pt idx="0">
                  <c:v>41894</c:v>
                </c:pt>
                <c:pt idx="1">
                  <c:v>41900</c:v>
                </c:pt>
                <c:pt idx="2">
                  <c:v>41907</c:v>
                </c:pt>
                <c:pt idx="3">
                  <c:v>41914</c:v>
                </c:pt>
                <c:pt idx="4">
                  <c:v>41925</c:v>
                </c:pt>
                <c:pt idx="5">
                  <c:v>41954</c:v>
                </c:pt>
                <c:pt idx="6">
                  <c:v>41984</c:v>
                </c:pt>
                <c:pt idx="7">
                  <c:v>42016</c:v>
                </c:pt>
                <c:pt idx="8">
                  <c:v>42046</c:v>
                </c:pt>
                <c:pt idx="9">
                  <c:v>42074</c:v>
                </c:pt>
              </c:numCache>
            </c:numRef>
          </c:cat>
          <c:val>
            <c:numRef>
              <c:f>'6MSynthDepo'!$M$18:$M$27</c:f>
              <c:numCache>
                <c:formatCode>0.0000%</c:formatCode>
                <c:ptCount val="10"/>
                <c:pt idx="0">
                  <c:v>2.6671886601145771E-2</c:v>
                </c:pt>
                <c:pt idx="1">
                  <c:v>2.6672286679641822E-2</c:v>
                </c:pt>
                <c:pt idx="2">
                  <c:v>2.6669647503861048E-2</c:v>
                </c:pt>
                <c:pt idx="3">
                  <c:v>2.6666294596556867E-2</c:v>
                </c:pt>
                <c:pt idx="4">
                  <c:v>2.6660467520689558E-2</c:v>
                </c:pt>
                <c:pt idx="5">
                  <c:v>2.6646862732171435E-2</c:v>
                </c:pt>
                <c:pt idx="6">
                  <c:v>2.6626110766838507E-2</c:v>
                </c:pt>
                <c:pt idx="7">
                  <c:v>2.6582788226492928E-2</c:v>
                </c:pt>
                <c:pt idx="8">
                  <c:v>2.657293241920133E-2</c:v>
                </c:pt>
                <c:pt idx="9">
                  <c:v>2.6573171936604623E-2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'6MSynthDepo'!$N$17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</c:marker>
          <c:cat>
            <c:numRef>
              <c:f>'6MSynthDepo'!$F$18:$F$27</c:f>
              <c:numCache>
                <c:formatCode>ddd\,\ dd\-mmm\-yyyy</c:formatCode>
                <c:ptCount val="10"/>
                <c:pt idx="0">
                  <c:v>41894</c:v>
                </c:pt>
                <c:pt idx="1">
                  <c:v>41900</c:v>
                </c:pt>
                <c:pt idx="2">
                  <c:v>41907</c:v>
                </c:pt>
                <c:pt idx="3">
                  <c:v>41914</c:v>
                </c:pt>
                <c:pt idx="4">
                  <c:v>41925</c:v>
                </c:pt>
                <c:pt idx="5">
                  <c:v>41954</c:v>
                </c:pt>
                <c:pt idx="6">
                  <c:v>41984</c:v>
                </c:pt>
                <c:pt idx="7">
                  <c:v>42016</c:v>
                </c:pt>
                <c:pt idx="8">
                  <c:v>42046</c:v>
                </c:pt>
                <c:pt idx="9">
                  <c:v>42074</c:v>
                </c:pt>
              </c:numCache>
            </c:numRef>
          </c:cat>
          <c:val>
            <c:numRef>
              <c:f>'6MSynthDepo'!$N$18:$N$27</c:f>
              <c:numCache>
                <c:formatCode>0.0000%</c:formatCode>
                <c:ptCount val="10"/>
                <c:pt idx="0">
                  <c:v>2.6580622639486916E-2</c:v>
                </c:pt>
                <c:pt idx="1">
                  <c:v>2.6584031420015676E-2</c:v>
                </c:pt>
                <c:pt idx="2">
                  <c:v>2.6584902396606401E-2</c:v>
                </c:pt>
                <c:pt idx="3">
                  <c:v>2.6585059641673715E-2</c:v>
                </c:pt>
                <c:pt idx="4">
                  <c:v>2.6584748519533036E-2</c:v>
                </c:pt>
                <c:pt idx="5">
                  <c:v>2.658568579083968E-2</c:v>
                </c:pt>
                <c:pt idx="6">
                  <c:v>2.6579977335670295E-2</c:v>
                </c:pt>
                <c:pt idx="7">
                  <c:v>2.6552701206165836E-2</c:v>
                </c:pt>
                <c:pt idx="8">
                  <c:v>2.6557888909037781E-2</c:v>
                </c:pt>
                <c:pt idx="9">
                  <c:v>2.6572169035927056E-2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'6MSynthDepo'!$O$17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numRef>
              <c:f>'6MSynthDepo'!$F$18:$F$27</c:f>
              <c:numCache>
                <c:formatCode>ddd\,\ dd\-mmm\-yyyy</c:formatCode>
                <c:ptCount val="10"/>
                <c:pt idx="0">
                  <c:v>41894</c:v>
                </c:pt>
                <c:pt idx="1">
                  <c:v>41900</c:v>
                </c:pt>
                <c:pt idx="2">
                  <c:v>41907</c:v>
                </c:pt>
                <c:pt idx="3">
                  <c:v>41914</c:v>
                </c:pt>
                <c:pt idx="4">
                  <c:v>41925</c:v>
                </c:pt>
                <c:pt idx="5">
                  <c:v>41954</c:v>
                </c:pt>
                <c:pt idx="6">
                  <c:v>41984</c:v>
                </c:pt>
                <c:pt idx="7">
                  <c:v>42016</c:v>
                </c:pt>
                <c:pt idx="8">
                  <c:v>42046</c:v>
                </c:pt>
                <c:pt idx="9">
                  <c:v>42074</c:v>
                </c:pt>
              </c:numCache>
            </c:numRef>
          </c:cat>
          <c:val>
            <c:numRef>
              <c:f>'6MSynthDepo'!$O$18:$O$27</c:f>
              <c:numCache>
                <c:formatCode>0.0000%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2060928"/>
        <c:axId val="372062464"/>
      </c:lineChart>
      <c:dateAx>
        <c:axId val="37206092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372062464"/>
        <c:crosses val="autoZero"/>
        <c:auto val="1"/>
        <c:lblOffset val="100"/>
        <c:baseTimeUnit val="days"/>
      </c:dateAx>
      <c:valAx>
        <c:axId val="37206246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720609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95632753484068"/>
          <c:y val="6.3788437991572688E-2"/>
          <c:w val="0.12232769915292714"/>
          <c:h val="0.187630722941440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41891</c:v>
                </c:pt>
                <c:pt idx="1">
                  <c:v>41892</c:v>
                </c:pt>
                <c:pt idx="2">
                  <c:v>41893</c:v>
                </c:pt>
                <c:pt idx="3">
                  <c:v>41894</c:v>
                </c:pt>
                <c:pt idx="4">
                  <c:v>41897</c:v>
                </c:pt>
                <c:pt idx="5">
                  <c:v>41898</c:v>
                </c:pt>
                <c:pt idx="6">
                  <c:v>41899</c:v>
                </c:pt>
                <c:pt idx="7">
                  <c:v>41900</c:v>
                </c:pt>
                <c:pt idx="8">
                  <c:v>41901</c:v>
                </c:pt>
                <c:pt idx="9">
                  <c:v>41904</c:v>
                </c:pt>
                <c:pt idx="10">
                  <c:v>41905</c:v>
                </c:pt>
                <c:pt idx="11">
                  <c:v>41906</c:v>
                </c:pt>
                <c:pt idx="12">
                  <c:v>41907</c:v>
                </c:pt>
                <c:pt idx="13">
                  <c:v>41908</c:v>
                </c:pt>
                <c:pt idx="14">
                  <c:v>41911</c:v>
                </c:pt>
                <c:pt idx="15">
                  <c:v>41912</c:v>
                </c:pt>
                <c:pt idx="16">
                  <c:v>41913</c:v>
                </c:pt>
                <c:pt idx="17">
                  <c:v>41914</c:v>
                </c:pt>
                <c:pt idx="18">
                  <c:v>41915</c:v>
                </c:pt>
                <c:pt idx="19">
                  <c:v>41919</c:v>
                </c:pt>
                <c:pt idx="20">
                  <c:v>41920</c:v>
                </c:pt>
                <c:pt idx="21">
                  <c:v>41921</c:v>
                </c:pt>
                <c:pt idx="22">
                  <c:v>41922</c:v>
                </c:pt>
                <c:pt idx="23">
                  <c:v>41925</c:v>
                </c:pt>
                <c:pt idx="24">
                  <c:v>41926</c:v>
                </c:pt>
                <c:pt idx="25">
                  <c:v>41927</c:v>
                </c:pt>
                <c:pt idx="26">
                  <c:v>41928</c:v>
                </c:pt>
                <c:pt idx="27">
                  <c:v>41929</c:v>
                </c:pt>
                <c:pt idx="28">
                  <c:v>41932</c:v>
                </c:pt>
                <c:pt idx="29">
                  <c:v>41933</c:v>
                </c:pt>
                <c:pt idx="30">
                  <c:v>41934</c:v>
                </c:pt>
                <c:pt idx="31">
                  <c:v>41935</c:v>
                </c:pt>
                <c:pt idx="32">
                  <c:v>41936</c:v>
                </c:pt>
                <c:pt idx="33">
                  <c:v>41939</c:v>
                </c:pt>
                <c:pt idx="34">
                  <c:v>41940</c:v>
                </c:pt>
                <c:pt idx="35">
                  <c:v>41941</c:v>
                </c:pt>
                <c:pt idx="36">
                  <c:v>41942</c:v>
                </c:pt>
                <c:pt idx="37">
                  <c:v>41943</c:v>
                </c:pt>
                <c:pt idx="38">
                  <c:v>41946</c:v>
                </c:pt>
                <c:pt idx="39">
                  <c:v>41947</c:v>
                </c:pt>
                <c:pt idx="40">
                  <c:v>41948</c:v>
                </c:pt>
                <c:pt idx="41">
                  <c:v>41949</c:v>
                </c:pt>
                <c:pt idx="42">
                  <c:v>41950</c:v>
                </c:pt>
                <c:pt idx="43">
                  <c:v>41953</c:v>
                </c:pt>
                <c:pt idx="44">
                  <c:v>41954</c:v>
                </c:pt>
                <c:pt idx="45">
                  <c:v>41955</c:v>
                </c:pt>
                <c:pt idx="46">
                  <c:v>41956</c:v>
                </c:pt>
                <c:pt idx="47">
                  <c:v>41957</c:v>
                </c:pt>
                <c:pt idx="48">
                  <c:v>41960</c:v>
                </c:pt>
                <c:pt idx="49">
                  <c:v>41961</c:v>
                </c:pt>
                <c:pt idx="50">
                  <c:v>41962</c:v>
                </c:pt>
                <c:pt idx="51">
                  <c:v>41963</c:v>
                </c:pt>
                <c:pt idx="52">
                  <c:v>41964</c:v>
                </c:pt>
                <c:pt idx="53">
                  <c:v>41967</c:v>
                </c:pt>
                <c:pt idx="54">
                  <c:v>41968</c:v>
                </c:pt>
                <c:pt idx="55">
                  <c:v>41969</c:v>
                </c:pt>
                <c:pt idx="56">
                  <c:v>41970</c:v>
                </c:pt>
                <c:pt idx="57">
                  <c:v>41971</c:v>
                </c:pt>
                <c:pt idx="58">
                  <c:v>41974</c:v>
                </c:pt>
                <c:pt idx="59">
                  <c:v>41975</c:v>
                </c:pt>
                <c:pt idx="60">
                  <c:v>41976</c:v>
                </c:pt>
                <c:pt idx="61">
                  <c:v>41977</c:v>
                </c:pt>
                <c:pt idx="62">
                  <c:v>41978</c:v>
                </c:pt>
                <c:pt idx="63">
                  <c:v>41981</c:v>
                </c:pt>
                <c:pt idx="64">
                  <c:v>41982</c:v>
                </c:pt>
                <c:pt idx="65">
                  <c:v>41983</c:v>
                </c:pt>
                <c:pt idx="66">
                  <c:v>41984</c:v>
                </c:pt>
              </c:numCache>
            </c:numRef>
          </c:cat>
          <c:val>
            <c:numRef>
              <c:f>'1MSynthDepo'!$AH$3:$AH$132</c:f>
              <c:numCache>
                <c:formatCode>0.0000%</c:formatCode>
                <c:ptCount val="130"/>
                <c:pt idx="0">
                  <c:v>1.2623627212904197E-3</c:v>
                </c:pt>
                <c:pt idx="1">
                  <c:v>1.2623627212904197E-3</c:v>
                </c:pt>
                <c:pt idx="2">
                  <c:v>1.2623627212904197E-3</c:v>
                </c:pt>
                <c:pt idx="3">
                  <c:v>1.2623627212904197E-3</c:v>
                </c:pt>
                <c:pt idx="4">
                  <c:v>1.2623627212904197E-3</c:v>
                </c:pt>
                <c:pt idx="5">
                  <c:v>1.2623627212904197E-3</c:v>
                </c:pt>
                <c:pt idx="6">
                  <c:v>1.2623627212904197E-3</c:v>
                </c:pt>
                <c:pt idx="7">
                  <c:v>1.2623627212904197E-3</c:v>
                </c:pt>
                <c:pt idx="8">
                  <c:v>1.2623627212904197E-3</c:v>
                </c:pt>
                <c:pt idx="9">
                  <c:v>1.2623627212904197E-3</c:v>
                </c:pt>
                <c:pt idx="10">
                  <c:v>1.2623627212904197E-3</c:v>
                </c:pt>
                <c:pt idx="11">
                  <c:v>1.2623627212904197E-3</c:v>
                </c:pt>
                <c:pt idx="12">
                  <c:v>1.2623627212904197E-3</c:v>
                </c:pt>
                <c:pt idx="13">
                  <c:v>1.2623627212904197E-3</c:v>
                </c:pt>
                <c:pt idx="14">
                  <c:v>1.2623627212904197E-3</c:v>
                </c:pt>
                <c:pt idx="15">
                  <c:v>1.2623627212904197E-3</c:v>
                </c:pt>
                <c:pt idx="16">
                  <c:v>1.2623627212904197E-3</c:v>
                </c:pt>
                <c:pt idx="17">
                  <c:v>1.2623627212904197E-3</c:v>
                </c:pt>
                <c:pt idx="18">
                  <c:v>1.2623627212904197E-3</c:v>
                </c:pt>
                <c:pt idx="19">
                  <c:v>1.2623627212904197E-3</c:v>
                </c:pt>
                <c:pt idx="20">
                  <c:v>1.2623627212904197E-3</c:v>
                </c:pt>
                <c:pt idx="21">
                  <c:v>1.2623627212904197E-3</c:v>
                </c:pt>
                <c:pt idx="22">
                  <c:v>1.2623627212904197E-3</c:v>
                </c:pt>
                <c:pt idx="23">
                  <c:v>1.2623627212904197E-3</c:v>
                </c:pt>
                <c:pt idx="24">
                  <c:v>1.2623627212904197E-3</c:v>
                </c:pt>
                <c:pt idx="25">
                  <c:v>1.2623627212904197E-3</c:v>
                </c:pt>
                <c:pt idx="26">
                  <c:v>1.2623627212904197E-3</c:v>
                </c:pt>
                <c:pt idx="27">
                  <c:v>1.2623627212904197E-3</c:v>
                </c:pt>
                <c:pt idx="28">
                  <c:v>1.2623627212904197E-3</c:v>
                </c:pt>
                <c:pt idx="29">
                  <c:v>1.2623627212904197E-3</c:v>
                </c:pt>
                <c:pt idx="30">
                  <c:v>1.2623627212904197E-3</c:v>
                </c:pt>
                <c:pt idx="31">
                  <c:v>1.2623627212904197E-3</c:v>
                </c:pt>
                <c:pt idx="32">
                  <c:v>1.2623627212904197E-3</c:v>
                </c:pt>
                <c:pt idx="33">
                  <c:v>1.2623627212904197E-3</c:v>
                </c:pt>
                <c:pt idx="34">
                  <c:v>1.2623627212904197E-3</c:v>
                </c:pt>
                <c:pt idx="35">
                  <c:v>1.2623627212904197E-3</c:v>
                </c:pt>
                <c:pt idx="36">
                  <c:v>1.2623627212904197E-3</c:v>
                </c:pt>
                <c:pt idx="37">
                  <c:v>1.2623627212904197E-3</c:v>
                </c:pt>
                <c:pt idx="38">
                  <c:v>1.2623627212904197E-3</c:v>
                </c:pt>
                <c:pt idx="39">
                  <c:v>1.2623627212904197E-3</c:v>
                </c:pt>
                <c:pt idx="40">
                  <c:v>1.2623627212904197E-3</c:v>
                </c:pt>
                <c:pt idx="41">
                  <c:v>1.2623627212904197E-3</c:v>
                </c:pt>
                <c:pt idx="42">
                  <c:v>1.2623627212904197E-3</c:v>
                </c:pt>
                <c:pt idx="43">
                  <c:v>1.2623627212904197E-3</c:v>
                </c:pt>
                <c:pt idx="44">
                  <c:v>1.2623627212904197E-3</c:v>
                </c:pt>
                <c:pt idx="45">
                  <c:v>1.2623627212904197E-3</c:v>
                </c:pt>
                <c:pt idx="46">
                  <c:v>1.2623627212904197E-3</c:v>
                </c:pt>
                <c:pt idx="47">
                  <c:v>1.2623627212904197E-3</c:v>
                </c:pt>
                <c:pt idx="48">
                  <c:v>1.2623627212904197E-3</c:v>
                </c:pt>
                <c:pt idx="49">
                  <c:v>1.2623627212904197E-3</c:v>
                </c:pt>
                <c:pt idx="50">
                  <c:v>1.2623627212904197E-3</c:v>
                </c:pt>
                <c:pt idx="51">
                  <c:v>1.2623627212904197E-3</c:v>
                </c:pt>
                <c:pt idx="52">
                  <c:v>1.2623627212904197E-3</c:v>
                </c:pt>
                <c:pt idx="53">
                  <c:v>1.2623627212904197E-3</c:v>
                </c:pt>
                <c:pt idx="54">
                  <c:v>1.2623627212904197E-3</c:v>
                </c:pt>
                <c:pt idx="55">
                  <c:v>1.2623627212904197E-3</c:v>
                </c:pt>
                <c:pt idx="56">
                  <c:v>1.2623627212904197E-3</c:v>
                </c:pt>
                <c:pt idx="57">
                  <c:v>1.2623627212904197E-3</c:v>
                </c:pt>
                <c:pt idx="58">
                  <c:v>1.2623627212904197E-3</c:v>
                </c:pt>
                <c:pt idx="59">
                  <c:v>1.2623627212904197E-3</c:v>
                </c:pt>
                <c:pt idx="60">
                  <c:v>1.2623627212904197E-3</c:v>
                </c:pt>
                <c:pt idx="61">
                  <c:v>1.2623627212904197E-3</c:v>
                </c:pt>
                <c:pt idx="62">
                  <c:v>1.2623627212904197E-3</c:v>
                </c:pt>
                <c:pt idx="63">
                  <c:v>1.2623627212904197E-3</c:v>
                </c:pt>
                <c:pt idx="64">
                  <c:v>1.2623627212904197E-3</c:v>
                </c:pt>
                <c:pt idx="65">
                  <c:v>1.2623627212904197E-3</c:v>
                </c:pt>
                <c:pt idx="66">
                  <c:v>1.2623627212904197E-3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41891</c:v>
                </c:pt>
                <c:pt idx="1">
                  <c:v>41892</c:v>
                </c:pt>
                <c:pt idx="2">
                  <c:v>41893</c:v>
                </c:pt>
                <c:pt idx="3">
                  <c:v>41894</c:v>
                </c:pt>
                <c:pt idx="4">
                  <c:v>41897</c:v>
                </c:pt>
                <c:pt idx="5">
                  <c:v>41898</c:v>
                </c:pt>
                <c:pt idx="6">
                  <c:v>41899</c:v>
                </c:pt>
                <c:pt idx="7">
                  <c:v>41900</c:v>
                </c:pt>
                <c:pt idx="8">
                  <c:v>41901</c:v>
                </c:pt>
                <c:pt idx="9">
                  <c:v>41904</c:v>
                </c:pt>
                <c:pt idx="10">
                  <c:v>41905</c:v>
                </c:pt>
                <c:pt idx="11">
                  <c:v>41906</c:v>
                </c:pt>
                <c:pt idx="12">
                  <c:v>41907</c:v>
                </c:pt>
                <c:pt idx="13">
                  <c:v>41908</c:v>
                </c:pt>
                <c:pt idx="14">
                  <c:v>41911</c:v>
                </c:pt>
                <c:pt idx="15">
                  <c:v>41912</c:v>
                </c:pt>
                <c:pt idx="16">
                  <c:v>41913</c:v>
                </c:pt>
                <c:pt idx="17">
                  <c:v>41914</c:v>
                </c:pt>
                <c:pt idx="18">
                  <c:v>41915</c:v>
                </c:pt>
                <c:pt idx="19">
                  <c:v>41919</c:v>
                </c:pt>
                <c:pt idx="20">
                  <c:v>41920</c:v>
                </c:pt>
                <c:pt idx="21">
                  <c:v>41921</c:v>
                </c:pt>
                <c:pt idx="22">
                  <c:v>41922</c:v>
                </c:pt>
                <c:pt idx="23">
                  <c:v>41925</c:v>
                </c:pt>
                <c:pt idx="24">
                  <c:v>41926</c:v>
                </c:pt>
                <c:pt idx="25">
                  <c:v>41927</c:v>
                </c:pt>
                <c:pt idx="26">
                  <c:v>41928</c:v>
                </c:pt>
                <c:pt idx="27">
                  <c:v>41929</c:v>
                </c:pt>
                <c:pt idx="28">
                  <c:v>41932</c:v>
                </c:pt>
                <c:pt idx="29">
                  <c:v>41933</c:v>
                </c:pt>
                <c:pt idx="30">
                  <c:v>41934</c:v>
                </c:pt>
                <c:pt idx="31">
                  <c:v>41935</c:v>
                </c:pt>
                <c:pt idx="32">
                  <c:v>41936</c:v>
                </c:pt>
                <c:pt idx="33">
                  <c:v>41939</c:v>
                </c:pt>
                <c:pt idx="34">
                  <c:v>41940</c:v>
                </c:pt>
                <c:pt idx="35">
                  <c:v>41941</c:v>
                </c:pt>
                <c:pt idx="36">
                  <c:v>41942</c:v>
                </c:pt>
                <c:pt idx="37">
                  <c:v>41943</c:v>
                </c:pt>
                <c:pt idx="38">
                  <c:v>41946</c:v>
                </c:pt>
                <c:pt idx="39">
                  <c:v>41947</c:v>
                </c:pt>
                <c:pt idx="40">
                  <c:v>41948</c:v>
                </c:pt>
                <c:pt idx="41">
                  <c:v>41949</c:v>
                </c:pt>
                <c:pt idx="42">
                  <c:v>41950</c:v>
                </c:pt>
                <c:pt idx="43">
                  <c:v>41953</c:v>
                </c:pt>
                <c:pt idx="44">
                  <c:v>41954</c:v>
                </c:pt>
                <c:pt idx="45">
                  <c:v>41955</c:v>
                </c:pt>
                <c:pt idx="46">
                  <c:v>41956</c:v>
                </c:pt>
                <c:pt idx="47">
                  <c:v>41957</c:v>
                </c:pt>
                <c:pt idx="48">
                  <c:v>41960</c:v>
                </c:pt>
                <c:pt idx="49">
                  <c:v>41961</c:v>
                </c:pt>
                <c:pt idx="50">
                  <c:v>41962</c:v>
                </c:pt>
                <c:pt idx="51">
                  <c:v>41963</c:v>
                </c:pt>
                <c:pt idx="52">
                  <c:v>41964</c:v>
                </c:pt>
                <c:pt idx="53">
                  <c:v>41967</c:v>
                </c:pt>
                <c:pt idx="54">
                  <c:v>41968</c:v>
                </c:pt>
                <c:pt idx="55">
                  <c:v>41969</c:v>
                </c:pt>
                <c:pt idx="56">
                  <c:v>41970</c:v>
                </c:pt>
                <c:pt idx="57">
                  <c:v>41971</c:v>
                </c:pt>
                <c:pt idx="58">
                  <c:v>41974</c:v>
                </c:pt>
                <c:pt idx="59">
                  <c:v>41975</c:v>
                </c:pt>
                <c:pt idx="60">
                  <c:v>41976</c:v>
                </c:pt>
                <c:pt idx="61">
                  <c:v>41977</c:v>
                </c:pt>
                <c:pt idx="62">
                  <c:v>41978</c:v>
                </c:pt>
                <c:pt idx="63">
                  <c:v>41981</c:v>
                </c:pt>
                <c:pt idx="64">
                  <c:v>41982</c:v>
                </c:pt>
                <c:pt idx="65">
                  <c:v>41983</c:v>
                </c:pt>
                <c:pt idx="66">
                  <c:v>41984</c:v>
                </c:pt>
              </c:numCache>
            </c:numRef>
          </c:cat>
          <c:val>
            <c:numRef>
              <c:f>'1MSynthDepo'!$AI$3:$AI$132</c:f>
              <c:numCache>
                <c:formatCode>0.0000%</c:formatCode>
                <c:ptCount val="130"/>
                <c:pt idx="0">
                  <c:v>1.3303854650777674E-3</c:v>
                </c:pt>
                <c:pt idx="1">
                  <c:v>1.3289226103726632E-3</c:v>
                </c:pt>
                <c:pt idx="2">
                  <c:v>1.3274597556675589E-3</c:v>
                </c:pt>
                <c:pt idx="3">
                  <c:v>1.3259969009624547E-3</c:v>
                </c:pt>
                <c:pt idx="4">
                  <c:v>1.3216083368471419E-3</c:v>
                </c:pt>
                <c:pt idx="5">
                  <c:v>1.3201454821420377E-3</c:v>
                </c:pt>
                <c:pt idx="6">
                  <c:v>1.3186826274369334E-3</c:v>
                </c:pt>
                <c:pt idx="7">
                  <c:v>1.3172197727318292E-3</c:v>
                </c:pt>
                <c:pt idx="8">
                  <c:v>1.3157569180267249E-3</c:v>
                </c:pt>
                <c:pt idx="9">
                  <c:v>1.3113683539114122E-3</c:v>
                </c:pt>
                <c:pt idx="10">
                  <c:v>1.3099054992063079E-3</c:v>
                </c:pt>
                <c:pt idx="11">
                  <c:v>1.3084426445012036E-3</c:v>
                </c:pt>
                <c:pt idx="12">
                  <c:v>1.3069797897960994E-3</c:v>
                </c:pt>
                <c:pt idx="13">
                  <c:v>1.3055169350909951E-3</c:v>
                </c:pt>
                <c:pt idx="14">
                  <c:v>1.3011283709756824E-3</c:v>
                </c:pt>
                <c:pt idx="15">
                  <c:v>1.2996655162705781E-3</c:v>
                </c:pt>
                <c:pt idx="16">
                  <c:v>1.2982026615654739E-3</c:v>
                </c:pt>
                <c:pt idx="17">
                  <c:v>1.2967398068603696E-3</c:v>
                </c:pt>
                <c:pt idx="18">
                  <c:v>1.2952769521552654E-3</c:v>
                </c:pt>
                <c:pt idx="19">
                  <c:v>1.2894255333348484E-3</c:v>
                </c:pt>
                <c:pt idx="20">
                  <c:v>1.2879626786297441E-3</c:v>
                </c:pt>
                <c:pt idx="21">
                  <c:v>1.2864998239246399E-3</c:v>
                </c:pt>
                <c:pt idx="22">
                  <c:v>1.2850369692195356E-3</c:v>
                </c:pt>
                <c:pt idx="23">
                  <c:v>1.2806484051042229E-3</c:v>
                </c:pt>
                <c:pt idx="24">
                  <c:v>1.2791855503991186E-3</c:v>
                </c:pt>
                <c:pt idx="25">
                  <c:v>1.2777226956940143E-3</c:v>
                </c:pt>
                <c:pt idx="26">
                  <c:v>1.2762598409889101E-3</c:v>
                </c:pt>
                <c:pt idx="27">
                  <c:v>1.2747969862838058E-3</c:v>
                </c:pt>
                <c:pt idx="28">
                  <c:v>1.2704084221684931E-3</c:v>
                </c:pt>
                <c:pt idx="29">
                  <c:v>1.2689455674633888E-3</c:v>
                </c:pt>
                <c:pt idx="30">
                  <c:v>1.2674827127582846E-3</c:v>
                </c:pt>
                <c:pt idx="31">
                  <c:v>1.2660198580531803E-3</c:v>
                </c:pt>
                <c:pt idx="32">
                  <c:v>1.2645570033480761E-3</c:v>
                </c:pt>
                <c:pt idx="33">
                  <c:v>1.2601684392327635E-3</c:v>
                </c:pt>
                <c:pt idx="34">
                  <c:v>1.2587055845276591E-3</c:v>
                </c:pt>
                <c:pt idx="35">
                  <c:v>1.257242729822555E-3</c:v>
                </c:pt>
                <c:pt idx="36">
                  <c:v>1.2557798751174508E-3</c:v>
                </c:pt>
                <c:pt idx="37">
                  <c:v>1.2543170204123465E-3</c:v>
                </c:pt>
                <c:pt idx="38">
                  <c:v>1.2499284562970338E-3</c:v>
                </c:pt>
                <c:pt idx="39">
                  <c:v>1.2484656015919295E-3</c:v>
                </c:pt>
                <c:pt idx="40">
                  <c:v>1.2470027468868253E-3</c:v>
                </c:pt>
                <c:pt idx="41">
                  <c:v>1.245539892181721E-3</c:v>
                </c:pt>
                <c:pt idx="42">
                  <c:v>1.2440770374766168E-3</c:v>
                </c:pt>
                <c:pt idx="43">
                  <c:v>1.239688473361304E-3</c:v>
                </c:pt>
                <c:pt idx="44">
                  <c:v>1.2382256186561998E-3</c:v>
                </c:pt>
                <c:pt idx="45">
                  <c:v>1.2367627639510955E-3</c:v>
                </c:pt>
                <c:pt idx="46">
                  <c:v>1.2352999092459912E-3</c:v>
                </c:pt>
                <c:pt idx="47">
                  <c:v>1.233837054540887E-3</c:v>
                </c:pt>
                <c:pt idx="48">
                  <c:v>1.2294484904255742E-3</c:v>
                </c:pt>
                <c:pt idx="49">
                  <c:v>1.22798563572047E-3</c:v>
                </c:pt>
                <c:pt idx="50">
                  <c:v>1.2265227810153657E-3</c:v>
                </c:pt>
                <c:pt idx="51">
                  <c:v>1.2250599263102615E-3</c:v>
                </c:pt>
                <c:pt idx="52">
                  <c:v>1.2235970716051572E-3</c:v>
                </c:pt>
                <c:pt idx="53">
                  <c:v>1.2192085074898445E-3</c:v>
                </c:pt>
                <c:pt idx="54">
                  <c:v>1.2177456527847402E-3</c:v>
                </c:pt>
                <c:pt idx="55">
                  <c:v>1.216282798079636E-3</c:v>
                </c:pt>
                <c:pt idx="56">
                  <c:v>1.2148199433745317E-3</c:v>
                </c:pt>
                <c:pt idx="57">
                  <c:v>1.2133570886694275E-3</c:v>
                </c:pt>
                <c:pt idx="58">
                  <c:v>1.2089685245541147E-3</c:v>
                </c:pt>
                <c:pt idx="59">
                  <c:v>1.2075056698490105E-3</c:v>
                </c:pt>
                <c:pt idx="60">
                  <c:v>1.2060428151439062E-3</c:v>
                </c:pt>
                <c:pt idx="61">
                  <c:v>1.2045799604388019E-3</c:v>
                </c:pt>
                <c:pt idx="62">
                  <c:v>1.2031171057336977E-3</c:v>
                </c:pt>
                <c:pt idx="63">
                  <c:v>1.1987285416183849E-3</c:v>
                </c:pt>
                <c:pt idx="64">
                  <c:v>1.1972656869132807E-3</c:v>
                </c:pt>
                <c:pt idx="65">
                  <c:v>1.1958028322081764E-3</c:v>
                </c:pt>
                <c:pt idx="66">
                  <c:v>1.1943399775030722E-3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'1MSynthDepo'!$AF$3:$AF$132</c:f>
              <c:numCache>
                <c:formatCode>ddd\,\ dd\-mmm\-yyyy</c:formatCode>
                <c:ptCount val="130"/>
                <c:pt idx="0">
                  <c:v>41891</c:v>
                </c:pt>
                <c:pt idx="1">
                  <c:v>41892</c:v>
                </c:pt>
                <c:pt idx="2">
                  <c:v>41893</c:v>
                </c:pt>
                <c:pt idx="3">
                  <c:v>41894</c:v>
                </c:pt>
                <c:pt idx="4">
                  <c:v>41897</c:v>
                </c:pt>
                <c:pt idx="5">
                  <c:v>41898</c:v>
                </c:pt>
                <c:pt idx="6">
                  <c:v>41899</c:v>
                </c:pt>
                <c:pt idx="7">
                  <c:v>41900</c:v>
                </c:pt>
                <c:pt idx="8">
                  <c:v>41901</c:v>
                </c:pt>
                <c:pt idx="9">
                  <c:v>41904</c:v>
                </c:pt>
                <c:pt idx="10">
                  <c:v>41905</c:v>
                </c:pt>
                <c:pt idx="11">
                  <c:v>41906</c:v>
                </c:pt>
                <c:pt idx="12">
                  <c:v>41907</c:v>
                </c:pt>
                <c:pt idx="13">
                  <c:v>41908</c:v>
                </c:pt>
                <c:pt idx="14">
                  <c:v>41911</c:v>
                </c:pt>
                <c:pt idx="15">
                  <c:v>41912</c:v>
                </c:pt>
                <c:pt idx="16">
                  <c:v>41913</c:v>
                </c:pt>
                <c:pt idx="17">
                  <c:v>41914</c:v>
                </c:pt>
                <c:pt idx="18">
                  <c:v>41915</c:v>
                </c:pt>
                <c:pt idx="19">
                  <c:v>41919</c:v>
                </c:pt>
                <c:pt idx="20">
                  <c:v>41920</c:v>
                </c:pt>
                <c:pt idx="21">
                  <c:v>41921</c:v>
                </c:pt>
                <c:pt idx="22">
                  <c:v>41922</c:v>
                </c:pt>
                <c:pt idx="23">
                  <c:v>41925</c:v>
                </c:pt>
                <c:pt idx="24">
                  <c:v>41926</c:v>
                </c:pt>
                <c:pt idx="25">
                  <c:v>41927</c:v>
                </c:pt>
                <c:pt idx="26">
                  <c:v>41928</c:v>
                </c:pt>
                <c:pt idx="27">
                  <c:v>41929</c:v>
                </c:pt>
                <c:pt idx="28">
                  <c:v>41932</c:v>
                </c:pt>
                <c:pt idx="29">
                  <c:v>41933</c:v>
                </c:pt>
                <c:pt idx="30">
                  <c:v>41934</c:v>
                </c:pt>
                <c:pt idx="31">
                  <c:v>41935</c:v>
                </c:pt>
                <c:pt idx="32">
                  <c:v>41936</c:v>
                </c:pt>
                <c:pt idx="33">
                  <c:v>41939</c:v>
                </c:pt>
                <c:pt idx="34">
                  <c:v>41940</c:v>
                </c:pt>
                <c:pt idx="35">
                  <c:v>41941</c:v>
                </c:pt>
                <c:pt idx="36">
                  <c:v>41942</c:v>
                </c:pt>
                <c:pt idx="37">
                  <c:v>41943</c:v>
                </c:pt>
                <c:pt idx="38">
                  <c:v>41946</c:v>
                </c:pt>
                <c:pt idx="39">
                  <c:v>41947</c:v>
                </c:pt>
                <c:pt idx="40">
                  <c:v>41948</c:v>
                </c:pt>
                <c:pt idx="41">
                  <c:v>41949</c:v>
                </c:pt>
                <c:pt idx="42">
                  <c:v>41950</c:v>
                </c:pt>
                <c:pt idx="43">
                  <c:v>41953</c:v>
                </c:pt>
                <c:pt idx="44">
                  <c:v>41954</c:v>
                </c:pt>
                <c:pt idx="45">
                  <c:v>41955</c:v>
                </c:pt>
                <c:pt idx="46">
                  <c:v>41956</c:v>
                </c:pt>
                <c:pt idx="47">
                  <c:v>41957</c:v>
                </c:pt>
                <c:pt idx="48">
                  <c:v>41960</c:v>
                </c:pt>
                <c:pt idx="49">
                  <c:v>41961</c:v>
                </c:pt>
                <c:pt idx="50">
                  <c:v>41962</c:v>
                </c:pt>
                <c:pt idx="51">
                  <c:v>41963</c:v>
                </c:pt>
                <c:pt idx="52">
                  <c:v>41964</c:v>
                </c:pt>
                <c:pt idx="53">
                  <c:v>41967</c:v>
                </c:pt>
                <c:pt idx="54">
                  <c:v>41968</c:v>
                </c:pt>
                <c:pt idx="55">
                  <c:v>41969</c:v>
                </c:pt>
                <c:pt idx="56">
                  <c:v>41970</c:v>
                </c:pt>
                <c:pt idx="57">
                  <c:v>41971</c:v>
                </c:pt>
                <c:pt idx="58">
                  <c:v>41974</c:v>
                </c:pt>
                <c:pt idx="59">
                  <c:v>41975</c:v>
                </c:pt>
                <c:pt idx="60">
                  <c:v>41976</c:v>
                </c:pt>
                <c:pt idx="61">
                  <c:v>41977</c:v>
                </c:pt>
                <c:pt idx="62">
                  <c:v>41978</c:v>
                </c:pt>
                <c:pt idx="63">
                  <c:v>41981</c:v>
                </c:pt>
                <c:pt idx="64">
                  <c:v>41982</c:v>
                </c:pt>
                <c:pt idx="65">
                  <c:v>41983</c:v>
                </c:pt>
                <c:pt idx="66">
                  <c:v>41984</c:v>
                </c:pt>
              </c:numCache>
            </c:numRef>
          </c:cat>
          <c:val>
            <c:numRef>
              <c:f>'1MSynthDepo'!$AJ$3:$AJ$132</c:f>
              <c:numCache>
                <c:formatCode>0.0000%</c:formatCode>
                <c:ptCount val="130"/>
                <c:pt idx="0">
                  <c:v>1.279230406736273E-3</c:v>
                </c:pt>
                <c:pt idx="1">
                  <c:v>1.2794118002925859E-3</c:v>
                </c:pt>
                <c:pt idx="2">
                  <c:v>1.2795751582189748E-3</c:v>
                </c:pt>
                <c:pt idx="3">
                  <c:v>1.2797204805154393E-3</c:v>
                </c:pt>
                <c:pt idx="4">
                  <c:v>1.2800482336252886E-3</c:v>
                </c:pt>
                <c:pt idx="5">
                  <c:v>1.2801214134020565E-3</c:v>
                </c:pt>
                <c:pt idx="6">
                  <c:v>1.2801765575489006E-3</c:v>
                </c:pt>
                <c:pt idx="7">
                  <c:v>1.2802136660658204E-3</c:v>
                </c:pt>
                <c:pt idx="8">
                  <c:v>1.2802327389528161E-3</c:v>
                </c:pt>
                <c:pt idx="9">
                  <c:v>1.2801817438342583E-3</c:v>
                </c:pt>
                <c:pt idx="10">
                  <c:v>1.2801286742015576E-3</c:v>
                </c:pt>
                <c:pt idx="11">
                  <c:v>1.2800575689389325E-3</c:v>
                </c:pt>
                <c:pt idx="12">
                  <c:v>1.2799684280463833E-3</c:v>
                </c:pt>
                <c:pt idx="13">
                  <c:v>1.2798612515239102E-3</c:v>
                </c:pt>
                <c:pt idx="14">
                  <c:v>1.2794315081769453E-3</c:v>
                </c:pt>
                <c:pt idx="15">
                  <c:v>1.2792521891347756E-3</c:v>
                </c:pt>
                <c:pt idx="16">
                  <c:v>1.2790548344626816E-3</c:v>
                </c:pt>
                <c:pt idx="17">
                  <c:v>1.2788394441606637E-3</c:v>
                </c:pt>
                <c:pt idx="18">
                  <c:v>1.2786060182287213E-3</c:v>
                </c:pt>
                <c:pt idx="19">
                  <c:v>1.2774919582017111E-3</c:v>
                </c:pt>
                <c:pt idx="20">
                  <c:v>1.2771683541201483E-3</c:v>
                </c:pt>
                <c:pt idx="21">
                  <c:v>1.2768267144086611E-3</c:v>
                </c:pt>
                <c:pt idx="22">
                  <c:v>1.2764670390672497E-3</c:v>
                </c:pt>
                <c:pt idx="23">
                  <c:v>1.2752797992634716E-3</c:v>
                </c:pt>
                <c:pt idx="24">
                  <c:v>1.2748479814023636E-3</c:v>
                </c:pt>
                <c:pt idx="25">
                  <c:v>1.2743981279113319E-3</c:v>
                </c:pt>
                <c:pt idx="26">
                  <c:v>1.2739302387903759E-3</c:v>
                </c:pt>
                <c:pt idx="27">
                  <c:v>1.2734443140394957E-3</c:v>
                </c:pt>
                <c:pt idx="28">
                  <c:v>1.2718783260073105E-3</c:v>
                </c:pt>
                <c:pt idx="29">
                  <c:v>1.2713202587367339E-3</c:v>
                </c:pt>
                <c:pt idx="30">
                  <c:v>1.2707441558362329E-3</c:v>
                </c:pt>
                <c:pt idx="31">
                  <c:v>1.2701500173058079E-3</c:v>
                </c:pt>
                <c:pt idx="32">
                  <c:v>1.2695378431454589E-3</c:v>
                </c:pt>
                <c:pt idx="33">
                  <c:v>1.2675931068848666E-3</c:v>
                </c:pt>
                <c:pt idx="34">
                  <c:v>1.266908790204821E-3</c:v>
                </c:pt>
                <c:pt idx="35">
                  <c:v>1.2662064378948512E-3</c:v>
                </c:pt>
                <c:pt idx="36">
                  <c:v>1.2654860499549574E-3</c:v>
                </c:pt>
                <c:pt idx="37">
                  <c:v>1.2647476263851392E-3</c:v>
                </c:pt>
                <c:pt idx="38">
                  <c:v>1.2624241418961403E-3</c:v>
                </c:pt>
                <c:pt idx="39">
                  <c:v>1.2616135758066254E-3</c:v>
                </c:pt>
                <c:pt idx="40">
                  <c:v>1.2607849740871868E-3</c:v>
                </c:pt>
                <c:pt idx="41">
                  <c:v>1.259938336737824E-3</c:v>
                </c:pt>
                <c:pt idx="42">
                  <c:v>1.2590736637585367E-3</c:v>
                </c:pt>
                <c:pt idx="43">
                  <c:v>1.256371431041131E-3</c:v>
                </c:pt>
                <c:pt idx="44">
                  <c:v>1.2554346155421474E-3</c:v>
                </c:pt>
                <c:pt idx="45">
                  <c:v>1.2544797644132397E-3</c:v>
                </c:pt>
                <c:pt idx="46">
                  <c:v>1.2535068776544076E-3</c:v>
                </c:pt>
                <c:pt idx="47">
                  <c:v>1.2525159552656518E-3</c:v>
                </c:pt>
                <c:pt idx="48">
                  <c:v>1.249434974319839E-3</c:v>
                </c:pt>
                <c:pt idx="49">
                  <c:v>1.2483719094113865E-3</c:v>
                </c:pt>
                <c:pt idx="50">
                  <c:v>1.2472908088730099E-3</c:v>
                </c:pt>
                <c:pt idx="51">
                  <c:v>1.246191672704709E-3</c:v>
                </c:pt>
                <c:pt idx="52">
                  <c:v>1.2450745009064839E-3</c:v>
                </c:pt>
                <c:pt idx="53">
                  <c:v>1.2416147717322643E-3</c:v>
                </c:pt>
                <c:pt idx="54">
                  <c:v>1.2404254574143428E-3</c:v>
                </c:pt>
                <c:pt idx="55">
                  <c:v>1.2392181074664971E-3</c:v>
                </c:pt>
                <c:pt idx="56">
                  <c:v>1.2379927218887274E-3</c:v>
                </c:pt>
                <c:pt idx="57">
                  <c:v>1.2367493006810336E-3</c:v>
                </c:pt>
                <c:pt idx="58">
                  <c:v>1.2329108232784071E-3</c:v>
                </c:pt>
                <c:pt idx="59">
                  <c:v>1.2315952595510166E-3</c:v>
                </c:pt>
                <c:pt idx="60">
                  <c:v>1.2302616601937021E-3</c:v>
                </c:pt>
                <c:pt idx="61">
                  <c:v>1.2289100252064632E-3</c:v>
                </c:pt>
                <c:pt idx="62">
                  <c:v>1.2275403545893005E-3</c:v>
                </c:pt>
                <c:pt idx="63">
                  <c:v>1.2233231289582669E-3</c:v>
                </c:pt>
                <c:pt idx="64">
                  <c:v>1.2218813158214074E-3</c:v>
                </c:pt>
                <c:pt idx="65">
                  <c:v>1.2204214670546239E-3</c:v>
                </c:pt>
                <c:pt idx="66">
                  <c:v>1.2189435826579162E-3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2240384"/>
        <c:axId val="372241920"/>
      </c:lineChart>
      <c:dateAx>
        <c:axId val="3722403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372241920"/>
        <c:crosses val="autoZero"/>
        <c:auto val="1"/>
        <c:lblOffset val="100"/>
        <c:baseTimeUnit val="days"/>
      </c:dateAx>
      <c:valAx>
        <c:axId val="37224192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722403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34973753280841"/>
          <c:y val="5.1400554097404488E-2"/>
          <c:w val="0.84023490813648294"/>
          <c:h val="0.77592483231262754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'1MSynthDepo'!$M$19</c:f>
              <c:strCache>
                <c:ptCount val="1"/>
                <c:pt idx="0">
                  <c:v>flat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5"/>
          </c:marker>
          <c:cat>
            <c:numRef>
              <c:f>'1MSynthDepo'!$F$20:$F$26</c:f>
              <c:numCache>
                <c:formatCode>ddd\,\ dd\-mmm\-yyyy</c:formatCode>
                <c:ptCount val="7"/>
                <c:pt idx="0">
                  <c:v>41894</c:v>
                </c:pt>
                <c:pt idx="1">
                  <c:v>41900</c:v>
                </c:pt>
                <c:pt idx="2">
                  <c:v>41907</c:v>
                </c:pt>
                <c:pt idx="3">
                  <c:v>41914</c:v>
                </c:pt>
                <c:pt idx="4">
                  <c:v>41925</c:v>
                </c:pt>
                <c:pt idx="5">
                  <c:v>41954</c:v>
                </c:pt>
                <c:pt idx="6">
                  <c:v>41984</c:v>
                </c:pt>
              </c:numCache>
            </c:numRef>
          </c:cat>
          <c:val>
            <c:numRef>
              <c:f>'1MSynthDepo'!$M$20:$M$26</c:f>
              <c:numCache>
                <c:formatCode>0.0000%</c:formatCode>
                <c:ptCount val="7"/>
                <c:pt idx="0">
                  <c:v>2.5917835334914301E-2</c:v>
                </c:pt>
                <c:pt idx="1">
                  <c:v>2.5918235413410349E-2</c:v>
                </c:pt>
                <c:pt idx="2">
                  <c:v>2.5915596237629578E-2</c:v>
                </c:pt>
                <c:pt idx="3">
                  <c:v>2.5912243330325397E-2</c:v>
                </c:pt>
                <c:pt idx="4">
                  <c:v>2.5906416254458088E-2</c:v>
                </c:pt>
                <c:pt idx="5">
                  <c:v>2.5892811465939969E-2</c:v>
                </c:pt>
                <c:pt idx="6">
                  <c:v>2.5872059500607038E-2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'1MSynthDepo'!$N$19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4"/>
          </c:marker>
          <c:cat>
            <c:numRef>
              <c:f>'1MSynthDepo'!$F$20:$F$26</c:f>
              <c:numCache>
                <c:formatCode>ddd\,\ dd\-mmm\-yyyy</c:formatCode>
                <c:ptCount val="7"/>
                <c:pt idx="0">
                  <c:v>41894</c:v>
                </c:pt>
                <c:pt idx="1">
                  <c:v>41900</c:v>
                </c:pt>
                <c:pt idx="2">
                  <c:v>41907</c:v>
                </c:pt>
                <c:pt idx="3">
                  <c:v>41914</c:v>
                </c:pt>
                <c:pt idx="4">
                  <c:v>41925</c:v>
                </c:pt>
                <c:pt idx="5">
                  <c:v>41954</c:v>
                </c:pt>
                <c:pt idx="6">
                  <c:v>41984</c:v>
                </c:pt>
              </c:numCache>
            </c:numRef>
          </c:cat>
          <c:val>
            <c:numRef>
              <c:f>'1MSynthDepo'!$N$20:$N$26</c:f>
              <c:numCache>
                <c:formatCode>0.0000%</c:formatCode>
                <c:ptCount val="7"/>
                <c:pt idx="0">
                  <c:v>2.59851266513491E-2</c:v>
                </c:pt>
                <c:pt idx="1">
                  <c:v>2.5981138165729833E-2</c:v>
                </c:pt>
                <c:pt idx="2">
                  <c:v>2.5973378998481195E-2</c:v>
                </c:pt>
                <c:pt idx="3">
                  <c:v>2.596490609970915E-2</c:v>
                </c:pt>
                <c:pt idx="4">
                  <c:v>2.5951033322963769E-2</c:v>
                </c:pt>
                <c:pt idx="5">
                  <c:v>2.5916217141221637E-2</c:v>
                </c:pt>
                <c:pt idx="6">
                  <c:v>2.587352235531214E-2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'1MSynthDepo'!$O$19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5"/>
          </c:marker>
          <c:cat>
            <c:numRef>
              <c:f>'1MSynthDepo'!$F$20:$F$26</c:f>
              <c:numCache>
                <c:formatCode>ddd\,\ dd\-mmm\-yyyy</c:formatCode>
                <c:ptCount val="7"/>
                <c:pt idx="0">
                  <c:v>41894</c:v>
                </c:pt>
                <c:pt idx="1">
                  <c:v>41900</c:v>
                </c:pt>
                <c:pt idx="2">
                  <c:v>41907</c:v>
                </c:pt>
                <c:pt idx="3">
                  <c:v>41914</c:v>
                </c:pt>
                <c:pt idx="4">
                  <c:v>41925</c:v>
                </c:pt>
                <c:pt idx="5">
                  <c:v>41954</c:v>
                </c:pt>
                <c:pt idx="6">
                  <c:v>41984</c:v>
                </c:pt>
              </c:numCache>
            </c:numRef>
          </c:cat>
          <c:val>
            <c:numRef>
              <c:f>'1MSynthDepo'!$O$20:$O$26</c:f>
              <c:numCache>
                <c:formatCode>0.0000%</c:formatCode>
                <c:ptCount val="7"/>
                <c:pt idx="0">
                  <c:v>2.5934795220107471E-2</c:v>
                </c:pt>
                <c:pt idx="1">
                  <c:v>2.5935622247677953E-2</c:v>
                </c:pt>
                <c:pt idx="2">
                  <c:v>2.59332076387635E-2</c:v>
                </c:pt>
                <c:pt idx="3">
                  <c:v>2.5929784716370214E-2</c:v>
                </c:pt>
                <c:pt idx="4">
                  <c:v>2.5923252441003956E-2</c:v>
                </c:pt>
                <c:pt idx="5">
                  <c:v>2.5904301601718426E-2</c:v>
                </c:pt>
                <c:pt idx="6">
                  <c:v>2.5872698728212275E-2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0584192"/>
        <c:axId val="371335552"/>
      </c:lineChart>
      <c:dateAx>
        <c:axId val="37058419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371335552"/>
        <c:crosses val="autoZero"/>
        <c:auto val="1"/>
        <c:lblOffset val="100"/>
        <c:baseTimeUnit val="days"/>
      </c:dateAx>
      <c:valAx>
        <c:axId val="37133555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3705841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95632753484068"/>
          <c:y val="6.3788437991572688E-2"/>
          <c:w val="0.12232769915292714"/>
          <c:h val="0.1876307229414404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90487</xdr:rowOff>
    </xdr:from>
    <xdr:to>
      <xdr:col>11</xdr:col>
      <xdr:colOff>304799</xdr:colOff>
      <xdr:row>42</xdr:row>
      <xdr:rowOff>31051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22</xdr:row>
      <xdr:rowOff>76200</xdr:rowOff>
    </xdr:from>
    <xdr:to>
      <xdr:col>29</xdr:col>
      <xdr:colOff>514350</xdr:colOff>
      <xdr:row>50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</xdr:colOff>
      <xdr:row>0</xdr:row>
      <xdr:rowOff>0</xdr:rowOff>
    </xdr:from>
    <xdr:to>
      <xdr:col>29</xdr:col>
      <xdr:colOff>504826</xdr:colOff>
      <xdr:row>22</xdr:row>
      <xdr:rowOff>71439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114301</xdr:colOff>
      <xdr:row>15</xdr:row>
      <xdr:rowOff>19049</xdr:rowOff>
    </xdr:from>
    <xdr:to>
      <xdr:col>30</xdr:col>
      <xdr:colOff>114300</xdr:colOff>
      <xdr:row>42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267325" y="126206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934075" y="124777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468850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3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86740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3𝑀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44842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295900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905500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29375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104774</xdr:colOff>
      <xdr:row>24</xdr:row>
      <xdr:rowOff>42862</xdr:rowOff>
    </xdr:from>
    <xdr:to>
      <xdr:col>13</xdr:col>
      <xdr:colOff>380999</xdr:colOff>
      <xdr:row>49</xdr:row>
      <xdr:rowOff>104775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152401</xdr:colOff>
      <xdr:row>14</xdr:row>
      <xdr:rowOff>142874</xdr:rowOff>
    </xdr:from>
    <xdr:to>
      <xdr:col>29</xdr:col>
      <xdr:colOff>295275</xdr:colOff>
      <xdr:row>42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7</xdr:row>
      <xdr:rowOff>138112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4400550" y="115728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400550" y="1157287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123825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5057775" y="114300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5057775" y="1143000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565785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5657850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6𝑀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66198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6619875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15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029200" y="22764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029200" y="227647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15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5629275" y="22860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5629275" y="228600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15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6143625" y="228600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6143625" y="228600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7105649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485774</xdr:colOff>
      <xdr:row>28</xdr:row>
      <xdr:rowOff>14287</xdr:rowOff>
    </xdr:from>
    <xdr:to>
      <xdr:col>14</xdr:col>
      <xdr:colOff>180974</xdr:colOff>
      <xdr:row>53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295276</xdr:colOff>
      <xdr:row>14</xdr:row>
      <xdr:rowOff>180974</xdr:rowOff>
    </xdr:from>
    <xdr:to>
      <xdr:col>30</xdr:col>
      <xdr:colOff>104775</xdr:colOff>
      <xdr:row>42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</xdr:col>
      <xdr:colOff>9525</xdr:colOff>
      <xdr:row>9</xdr:row>
      <xdr:rowOff>80962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334000" y="158591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1,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334000" y="1585912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1,𝑜𝑛@)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19050</xdr:colOff>
      <xdr:row>9</xdr:row>
      <xdr:rowOff>66675</xdr:rowOff>
    </xdr:from>
    <xdr:ext cx="561975" cy="269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953125" y="157162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2,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953125" y="1571625"/>
              <a:ext cx="561975" cy="269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2,𝑜𝑛</a:t>
              </a:r>
              <a:r>
                <a:rPr lang="en-US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32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53552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53552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657225</xdr:colOff>
      <xdr:row>1</xdr:row>
      <xdr:rowOff>19050</xdr:rowOff>
    </xdr:from>
    <xdr:ext cx="514350" cy="2332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5934075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934075" y="171450"/>
              <a:ext cx="514350" cy="233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6𝑀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38100</xdr:colOff>
      <xdr:row>1</xdr:row>
      <xdr:rowOff>28575</xdr:rowOff>
    </xdr:from>
    <xdr:ext cx="619126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515100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9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515100" y="180975"/>
              <a:ext cx="619126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𝐹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r>
                <a:rPr lang="en-US" sz="900" b="0" i="0">
                  <a:solidFill>
                    <a:schemeClr val="bg1"/>
                  </a:solidFill>
                  <a:latin typeface="Cambria Math"/>
                </a:rPr>
                <a:t> </a:t>
              </a:r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9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17</xdr:row>
      <xdr:rowOff>123825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362575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𝑜𝑖𝑠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362575" y="2524125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𝑜𝑖𝑠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17</xdr:row>
      <xdr:rowOff>133350</xdr:rowOff>
    </xdr:from>
    <xdr:ext cx="561975" cy="2286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972175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6</m:t>
                            </m:r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𝑀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972175" y="2533650"/>
              <a:ext cx="561975" cy="2286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6𝑀@)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11</xdr:col>
      <xdr:colOff>19050</xdr:colOff>
      <xdr:row>17</xdr:row>
      <xdr:rowOff>133350</xdr:rowOff>
    </xdr:from>
    <xdr:ext cx="561975" cy="219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496050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𝑜𝑛</m:t>
                        </m: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496050" y="2533650"/>
              <a:ext cx="561975" cy="219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12</xdr:col>
      <xdr:colOff>85724</xdr:colOff>
      <xdr:row>1</xdr:row>
      <xdr:rowOff>0</xdr:rowOff>
    </xdr:from>
    <xdr:ext cx="514351" cy="238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7172324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  <m:sub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6</m:t>
                        </m:r>
                        <m:r>
                          <a:rPr lang="it-IT" sz="9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172324" y="152400"/>
              <a:ext cx="514351" cy="238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900" i="0">
                  <a:solidFill>
                    <a:schemeClr val="bg1"/>
                  </a:solidFill>
                  <a:latin typeface="Cambria Math"/>
                  <a:ea typeface="Cambria Math"/>
                </a:rPr>
                <a:t>∆_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  <a:ea typeface="Cambria Math"/>
                </a:rPr>
                <a:t>6</a:t>
              </a:r>
              <a:r>
                <a:rPr lang="it-IT" sz="900" b="0" i="0">
                  <a:solidFill>
                    <a:schemeClr val="bg1"/>
                  </a:solidFill>
                  <a:latin typeface="Cambria Math"/>
                </a:rPr>
                <a:t>𝑀</a:t>
              </a:r>
              <a:endParaRPr lang="it-IT" sz="900" b="0">
                <a:solidFill>
                  <a:schemeClr val="bg1"/>
                </a:solidFill>
              </a:endParaRPr>
            </a:p>
            <a:p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419099</xdr:colOff>
      <xdr:row>27</xdr:row>
      <xdr:rowOff>42862</xdr:rowOff>
    </xdr:from>
    <xdr:to>
      <xdr:col>14</xdr:col>
      <xdr:colOff>114299</xdr:colOff>
      <xdr:row>52</xdr:row>
      <xdr:rowOff>85725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</xdr:colOff>
      <xdr:row>0</xdr:row>
      <xdr:rowOff>119062</xdr:rowOff>
    </xdr:from>
    <xdr:ext cx="460767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4410075" y="119062"/>
              <a:ext cx="46076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𝑠𝑝𝑟𝑒𝑎𝑑</m:t>
                        </m:r>
                      </m:sub>
                    </m:sSub>
                  </m:oMath>
                </m:oMathPara>
              </a14:m>
              <a:endParaRPr lang="it-IT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410075" y="119062"/>
              <a:ext cx="460767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1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𝜏</a:t>
              </a:r>
              <a:r>
                <a:rPr lang="it-IT" sz="1100" i="0">
                  <a:solidFill>
                    <a:schemeClr val="bg1"/>
                  </a:solidFill>
                  <a:latin typeface="Cambria Math"/>
                  <a:ea typeface="Cambria Math" panose="02040503050406030204" pitchFamily="18" charset="0"/>
                </a:rPr>
                <a:t>_</a:t>
              </a:r>
              <a:r>
                <a:rPr lang="it-IT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𝑠𝑝𝑟𝑒𝑎𝑑</a:t>
              </a:r>
              <a:endParaRPr lang="it-IT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447674</xdr:colOff>
      <xdr:row>0</xdr:row>
      <xdr:rowOff>123825</xdr:rowOff>
    </xdr:from>
    <xdr:ext cx="523875" cy="1831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838699" y="123825"/>
              <a:ext cx="523875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𝑖𝑥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/>
                          </a:rPr>
                          <m:t>1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838699" y="123825"/>
              <a:ext cx="523875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1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𝜏</a:t>
              </a:r>
              <a:r>
                <a:rPr lang="it-IT" sz="1100" i="0">
                  <a:solidFill>
                    <a:schemeClr val="bg1"/>
                  </a:solidFill>
                  <a:latin typeface="Cambria Math"/>
                  <a:ea typeface="Cambria Math" panose="02040503050406030204" pitchFamily="18" charset="0"/>
                </a:rPr>
                <a:t>_</a:t>
              </a:r>
              <a:r>
                <a:rPr lang="it-IT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𝑓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𝑖𝑥1</a:t>
              </a:r>
              <a:r>
                <a:rPr lang="it-IT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𝑀</a:t>
              </a:r>
              <a:endParaRPr lang="it-IT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0</xdr:row>
      <xdr:rowOff>123825</xdr:rowOff>
    </xdr:from>
    <xdr:ext cx="430759" cy="1831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362575" y="123825"/>
              <a:ext cx="430759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it-IT" sz="110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𝜏</m:t>
                        </m:r>
                      </m:e>
                      <m:sub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𝑓𝑖𝑥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 3</m:t>
                        </m:r>
                        <m:r>
                          <a:rPr lang="it-IT" sz="11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it-IT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362575" y="123825"/>
              <a:ext cx="430759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1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𝜏</a:t>
              </a:r>
              <a:r>
                <a:rPr lang="it-IT" sz="1100" i="0">
                  <a:solidFill>
                    <a:schemeClr val="bg1"/>
                  </a:solidFill>
                  <a:latin typeface="Cambria Math"/>
                  <a:ea typeface="Cambria Math" panose="02040503050406030204" pitchFamily="18" charset="0"/>
                </a:rPr>
                <a:t>_(</a:t>
              </a:r>
              <a:r>
                <a:rPr lang="it-IT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𝑓𝑖𝑥 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3</a:t>
              </a:r>
              <a:r>
                <a:rPr lang="it-IT" sz="1100" b="0" i="0">
                  <a:solidFill>
                    <a:schemeClr val="bg1"/>
                  </a:solidFill>
                  <a:latin typeface="Cambria Math" panose="02040503050406030204" pitchFamily="18" charset="0"/>
                </a:rPr>
                <a:t>𝑀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)</a:t>
              </a:r>
              <a:endParaRPr lang="it-IT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BBSWSwapForBasisCalc"/>
      <sheetName val="OIS"/>
      <sheetName val="MT_OIS"/>
      <sheetName val="Deposits"/>
      <sheetName val="FRA"/>
      <sheetName val="Futures1M"/>
      <sheetName val="Futures3M"/>
      <sheetName val="FuturesHWConvAdj"/>
      <sheetName val="Swap3M"/>
      <sheetName val="Swap6M"/>
      <sheetName val="BasisSwap1M3M"/>
      <sheetName val="BasisSwap3M6M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5</v>
          </cell>
        </row>
        <row r="8">
          <cell r="D8">
            <v>1</v>
          </cell>
        </row>
      </sheetData>
      <sheetData sheetId="1">
        <row r="7">
          <cell r="D7">
            <v>0</v>
          </cell>
        </row>
        <row r="8">
          <cell r="D8">
            <v>0</v>
          </cell>
        </row>
      </sheetData>
      <sheetData sheetId="2">
        <row r="7">
          <cell r="D7" t="str">
            <v>3M</v>
          </cell>
        </row>
        <row r="8">
          <cell r="D8" t="str">
            <v>3M</v>
          </cell>
        </row>
      </sheetData>
      <sheetData sheetId="3">
        <row r="7">
          <cell r="D7" t="str">
            <v>AUDOIS3W_Quote</v>
          </cell>
        </row>
        <row r="8">
          <cell r="D8" t="str">
            <v>AUDOIS1M_Quote</v>
          </cell>
        </row>
      </sheetData>
      <sheetData sheetId="4">
        <row r="7">
          <cell r="D7" t="str">
            <v>3W</v>
          </cell>
        </row>
        <row r="8">
          <cell r="D8" t="str">
            <v>1M</v>
          </cell>
        </row>
      </sheetData>
      <sheetData sheetId="5">
        <row r="7">
          <cell r="D7" t="str">
            <v>AUDSND_Quote#0000</v>
          </cell>
        </row>
        <row r="8">
          <cell r="D8" t="str">
            <v>AUDSWD_Quote#0000</v>
          </cell>
        </row>
      </sheetData>
      <sheetData sheetId="6">
        <row r="7">
          <cell r="D7" t="str">
            <v>AUD3x6F_Quote</v>
          </cell>
        </row>
        <row r="8">
          <cell r="D8" t="str">
            <v>AUD4x7F_Quote</v>
          </cell>
        </row>
      </sheetData>
      <sheetData sheetId="7">
        <row r="7">
          <cell r="D7" t="str">
            <v>F5</v>
          </cell>
        </row>
        <row r="8">
          <cell r="D8" t="str">
            <v>G5</v>
          </cell>
        </row>
      </sheetData>
      <sheetData sheetId="8">
        <row r="7">
          <cell r="D7" t="str">
            <v>X4</v>
          </cell>
        </row>
        <row r="8">
          <cell r="D8" t="str">
            <v>Z4</v>
          </cell>
        </row>
      </sheetData>
      <sheetData sheetId="9"/>
      <sheetData sheetId="10">
        <row r="7">
          <cell r="D7" t="str">
            <v>3AB</v>
          </cell>
        </row>
        <row r="8">
          <cell r="D8" t="str">
            <v>3AB</v>
          </cell>
        </row>
      </sheetData>
      <sheetData sheetId="11">
        <row r="7">
          <cell r="D7" t="str">
            <v>6AB</v>
          </cell>
        </row>
        <row r="8">
          <cell r="D8" t="str">
            <v>6AB</v>
          </cell>
        </row>
      </sheetData>
      <sheetData sheetId="12">
        <row r="7">
          <cell r="D7" t="str">
            <v>3BR</v>
          </cell>
        </row>
        <row r="8">
          <cell r="D8" t="str">
            <v>3BR</v>
          </cell>
        </row>
      </sheetData>
      <sheetData sheetId="13">
        <row r="7">
          <cell r="D7" t="str">
            <v>6BR</v>
          </cell>
        </row>
        <row r="8">
          <cell r="D8" t="str">
            <v>6BR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3"/>
  <sheetViews>
    <sheetView tabSelected="1" workbookViewId="0">
      <selection activeCell="D19" sqref="D19"/>
    </sheetView>
  </sheetViews>
  <sheetFormatPr defaultColWidth="10.6640625" defaultRowHeight="11.25" x14ac:dyDescent="0.2"/>
  <cols>
    <col min="1" max="1" width="2.83203125" style="1" customWidth="1"/>
    <col min="2" max="2" width="5.33203125" style="1" customWidth="1"/>
    <col min="3" max="3" width="24.33203125" style="1" customWidth="1"/>
    <col min="4" max="4" width="35.83203125" style="1" customWidth="1"/>
    <col min="5" max="5" width="5" style="1" customWidth="1"/>
    <col min="6" max="6" width="2.83203125" style="1" customWidth="1"/>
    <col min="7" max="7" width="3.5" style="1" customWidth="1"/>
    <col min="8" max="8" width="4.5" style="1" customWidth="1"/>
    <col min="9" max="9" width="27.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6" ht="12" thickBot="1" x14ac:dyDescent="0.25">
      <c r="B1" s="1" t="str">
        <f>_xll.qlxlVersion(TRUE,EvaluationDate)</f>
        <v>QuantLibXL 1.5.0 - MS VC++ 9.0 - Multithreaded Dynamic Runtime library - Release Configuration - Aug  6 2014 11:45:43</v>
      </c>
    </row>
    <row r="2" spans="1:36" ht="19.5" thickBot="1" x14ac:dyDescent="0.3">
      <c r="B2" s="135" t="s">
        <v>0</v>
      </c>
      <c r="C2" s="135"/>
      <c r="D2" s="135"/>
      <c r="E2" s="135"/>
      <c r="F2" s="136"/>
      <c r="H2" s="143" t="s">
        <v>3</v>
      </c>
      <c r="I2" s="144"/>
      <c r="J2" s="144"/>
      <c r="K2" s="145"/>
    </row>
    <row r="3" spans="1:36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6" x14ac:dyDescent="0.2">
      <c r="B4" s="2"/>
      <c r="C4" s="5" t="s">
        <v>1</v>
      </c>
      <c r="D4" s="7" t="s">
        <v>106</v>
      </c>
      <c r="E4" s="3"/>
      <c r="F4" s="4"/>
      <c r="H4" s="9"/>
      <c r="I4" s="13" t="s">
        <v>6</v>
      </c>
      <c r="J4" s="14" t="b">
        <v>1</v>
      </c>
      <c r="K4" s="15"/>
    </row>
    <row r="5" spans="1:36" s="8" customFormat="1" x14ac:dyDescent="0.2">
      <c r="A5" s="1"/>
      <c r="B5" s="2"/>
      <c r="C5" s="5" t="s">
        <v>2</v>
      </c>
      <c r="D5" s="12" t="s">
        <v>107</v>
      </c>
      <c r="E5" s="3"/>
      <c r="F5" s="4"/>
      <c r="G5" s="1"/>
      <c r="H5" s="9"/>
      <c r="I5" s="13" t="s">
        <v>7</v>
      </c>
      <c r="J5" s="14" t="b">
        <v>1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s="8" customFormat="1" x14ac:dyDescent="0.2">
      <c r="A6" s="1"/>
      <c r="B6" s="2"/>
      <c r="C6" s="5" t="s">
        <v>4</v>
      </c>
      <c r="D6" s="7" t="s">
        <v>109</v>
      </c>
      <c r="E6" s="3"/>
      <c r="F6" s="4"/>
      <c r="G6" s="1"/>
      <c r="H6" s="9"/>
      <c r="I6" s="13" t="s">
        <v>9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B7" s="2"/>
      <c r="C7" s="5" t="s">
        <v>5</v>
      </c>
      <c r="D7" s="12" t="s">
        <v>108</v>
      </c>
      <c r="E7" s="3"/>
      <c r="F7" s="4"/>
      <c r="H7" s="9"/>
      <c r="I7" s="13" t="s">
        <v>10</v>
      </c>
      <c r="J7" s="18"/>
      <c r="K7" s="15"/>
    </row>
    <row r="8" spans="1:36" x14ac:dyDescent="0.2">
      <c r="B8" s="2"/>
      <c r="C8" s="5" t="s">
        <v>83</v>
      </c>
      <c r="D8" s="17" t="str">
        <f>Currency&amp;"ON"</f>
        <v>AUDON</v>
      </c>
      <c r="E8" s="3"/>
      <c r="F8" s="4"/>
      <c r="H8" s="9"/>
      <c r="I8" s="13" t="s">
        <v>12</v>
      </c>
      <c r="J8" s="19" t="b">
        <v>1</v>
      </c>
      <c r="K8" s="15"/>
    </row>
    <row r="9" spans="1:36" x14ac:dyDescent="0.2">
      <c r="B9" s="2"/>
      <c r="C9" s="21"/>
      <c r="D9" s="21"/>
      <c r="E9" s="21"/>
      <c r="F9" s="4"/>
      <c r="H9" s="9"/>
      <c r="I9" s="10"/>
      <c r="J9" s="10"/>
      <c r="K9" s="11"/>
    </row>
    <row r="10" spans="1:36" x14ac:dyDescent="0.2">
      <c r="B10" s="2"/>
      <c r="C10" s="67" t="s">
        <v>19</v>
      </c>
      <c r="D10" s="69">
        <v>41864.862141203703</v>
      </c>
      <c r="E10" s="68"/>
      <c r="F10" s="4"/>
      <c r="H10" s="9"/>
      <c r="I10" s="13" t="s">
        <v>14</v>
      </c>
      <c r="J10" s="19" t="s">
        <v>15</v>
      </c>
      <c r="K10" s="15"/>
    </row>
    <row r="11" spans="1:36" x14ac:dyDescent="0.2">
      <c r="B11" s="2"/>
      <c r="C11" s="67" t="s">
        <v>20</v>
      </c>
      <c r="D11" s="133" t="b">
        <v>1</v>
      </c>
      <c r="E11" s="68"/>
      <c r="F11" s="4"/>
      <c r="H11" s="9"/>
      <c r="I11" s="13" t="s">
        <v>17</v>
      </c>
      <c r="J11" s="20">
        <v>1E-4</v>
      </c>
      <c r="K11" s="15"/>
    </row>
    <row r="12" spans="1:36" x14ac:dyDescent="0.2">
      <c r="B12" s="2"/>
      <c r="C12" s="21"/>
      <c r="D12" s="67"/>
      <c r="E12" s="68"/>
      <c r="F12" s="4"/>
      <c r="H12" s="9"/>
      <c r="I12" s="13" t="s">
        <v>18</v>
      </c>
      <c r="J12" s="22">
        <v>-0.01</v>
      </c>
      <c r="K12" s="15"/>
    </row>
    <row r="13" spans="1:36" ht="12" thickBot="1" x14ac:dyDescent="0.25">
      <c r="B13" s="26"/>
      <c r="C13" s="140"/>
      <c r="D13" s="141"/>
      <c r="E13" s="142"/>
      <c r="F13" s="28"/>
      <c r="H13" s="23"/>
      <c r="I13" s="24"/>
      <c r="J13" s="24"/>
      <c r="K13" s="25"/>
    </row>
    <row r="15" spans="1:36" ht="12" thickBot="1" x14ac:dyDescent="0.25">
      <c r="C15" s="29"/>
      <c r="D15" s="29"/>
      <c r="E15" s="29"/>
      <c r="F15" s="29"/>
    </row>
    <row r="16" spans="1:36" ht="19.5" thickBot="1" x14ac:dyDescent="0.25">
      <c r="B16" s="135" t="s">
        <v>62</v>
      </c>
      <c r="C16" s="135"/>
      <c r="D16" s="135"/>
      <c r="E16" s="135"/>
      <c r="F16" s="136"/>
      <c r="H16" s="135" t="s">
        <v>64</v>
      </c>
      <c r="I16" s="135"/>
      <c r="J16" s="135"/>
      <c r="K16" s="136"/>
    </row>
    <row r="17" spans="2:11" x14ac:dyDescent="0.2">
      <c r="B17" s="58"/>
      <c r="C17" s="59"/>
      <c r="D17" s="60"/>
      <c r="E17" s="61"/>
      <c r="F17" s="62"/>
      <c r="H17" s="48"/>
      <c r="I17" s="30"/>
      <c r="J17" s="30"/>
      <c r="K17" s="52"/>
    </row>
    <row r="18" spans="2:11" x14ac:dyDescent="0.2">
      <c r="B18" s="2"/>
      <c r="C18" s="64" t="s">
        <v>8</v>
      </c>
      <c r="D18" s="16">
        <f>_xll.qlCalendarAdvance(Calendar,EvaluationDate,"0D","f")</f>
        <v>41891</v>
      </c>
      <c r="E18" s="3"/>
      <c r="F18" s="4"/>
      <c r="H18" s="48"/>
      <c r="I18" s="5" t="s">
        <v>21</v>
      </c>
      <c r="J18" s="137">
        <v>41891.707418981481</v>
      </c>
      <c r="K18" s="52"/>
    </row>
    <row r="19" spans="2:11" x14ac:dyDescent="0.2">
      <c r="B19" s="2"/>
      <c r="C19" s="64" t="s">
        <v>11</v>
      </c>
      <c r="D19" s="17" t="str">
        <f>_xll.qlDiscountingSwapEngine(,OisCurve,,,,,EvaluationDate)</f>
        <v>obj_00234#0000</v>
      </c>
      <c r="E19" s="3"/>
      <c r="F19" s="4"/>
      <c r="H19" s="48"/>
      <c r="I19" s="5" t="s">
        <v>22</v>
      </c>
      <c r="J19" s="137">
        <f>_xll.qlSettingsEvaluationDate(Trigger)</f>
        <v>41891</v>
      </c>
      <c r="K19" s="52"/>
    </row>
    <row r="20" spans="2:11" x14ac:dyDescent="0.2">
      <c r="B20" s="2"/>
      <c r="C20" s="64" t="s">
        <v>13</v>
      </c>
      <c r="D20" s="63">
        <f>_xll.qlCalendarAdjust(Calendar,DATE(YEAR(SettlementDate),12,31),"Preceding")</f>
        <v>42004</v>
      </c>
      <c r="E20" s="3"/>
      <c r="F20" s="4"/>
      <c r="H20" s="48"/>
      <c r="I20" s="5" t="s">
        <v>23</v>
      </c>
      <c r="J20" s="138">
        <f>[1]!TriggerCounter</f>
        <v>5</v>
      </c>
      <c r="K20" s="52"/>
    </row>
    <row r="21" spans="2:11" x14ac:dyDescent="0.2">
      <c r="B21" s="2"/>
      <c r="C21" s="64" t="s">
        <v>16</v>
      </c>
      <c r="D21" s="63">
        <f>_xll.qlCalendarAdjust(Calendar,DATE(YEAR(SettlementDate)+1,12,31),"Preceding")</f>
        <v>42369</v>
      </c>
      <c r="E21" s="3"/>
      <c r="F21" s="4"/>
      <c r="H21" s="48"/>
      <c r="I21" s="5" t="s">
        <v>24</v>
      </c>
      <c r="J21" s="139">
        <f>[1]!LastFixingsTrigger</f>
        <v>1</v>
      </c>
      <c r="K21" s="52"/>
    </row>
    <row r="22" spans="2:11" x14ac:dyDescent="0.2">
      <c r="B22" s="2"/>
      <c r="C22" s="134"/>
      <c r="D22" s="134"/>
      <c r="E22" s="3"/>
      <c r="F22" s="4"/>
      <c r="H22" s="48"/>
      <c r="I22" s="5" t="s">
        <v>26</v>
      </c>
      <c r="J22" s="6">
        <f>_xll.ohTrigger(InterestRatesTrigger,LastFixingsTrigger)</f>
        <v>4</v>
      </c>
      <c r="K22" s="52"/>
    </row>
    <row r="23" spans="2:11" ht="12" thickBot="1" x14ac:dyDescent="0.25">
      <c r="B23" s="26"/>
      <c r="C23" s="27"/>
      <c r="D23" s="27"/>
      <c r="E23" s="27"/>
      <c r="F23" s="28"/>
      <c r="H23" s="53"/>
      <c r="I23" s="54"/>
      <c r="J23" s="54"/>
      <c r="K23" s="55"/>
    </row>
  </sheetData>
  <conditionalFormatting sqref="D11">
    <cfRule type="cellIs" dxfId="5" priority="2" stopIfTrue="1" operator="equal">
      <formula>TRUE</formula>
    </cfRule>
  </conditionalFormatting>
  <dataValidations count="2">
    <dataValidation type="list" allowBlank="1" showInputMessage="1" showErrorMessage="1" sqref="D4">
      <formula1>"EUR,USD,GBP,JPY,CHF,AUD,CNY,CNH,HKD"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581"/>
  <sheetViews>
    <sheetView showGridLines="0" workbookViewId="0">
      <selection activeCell="A14" sqref="A14"/>
    </sheetView>
  </sheetViews>
  <sheetFormatPr defaultRowHeight="11.25" outlineLevelCol="1" x14ac:dyDescent="0.2"/>
  <cols>
    <col min="1" max="1" width="3.1640625" customWidth="1"/>
    <col min="2" max="2" width="2.1640625" customWidth="1"/>
    <col min="3" max="3" width="3.5" bestFit="1" customWidth="1"/>
    <col min="4" max="4" width="26.1640625" bestFit="1" customWidth="1"/>
    <col min="5" max="6" width="16.5" customWidth="1"/>
    <col min="7" max="7" width="9.83203125" customWidth="1"/>
    <col min="8" max="9" width="9.83203125" hidden="1" customWidth="1" outlineLevel="1"/>
    <col min="10" max="10" width="9.83203125" customWidth="1" collapsed="1"/>
    <col min="11" max="11" width="9.83203125" customWidth="1"/>
    <col min="13" max="14" width="16.6640625" bestFit="1" customWidth="1"/>
    <col min="15" max="15" width="14.6640625" hidden="1" customWidth="1" outlineLevel="1"/>
    <col min="16" max="16" width="5.5" hidden="1" customWidth="1" outlineLevel="1"/>
    <col min="17" max="17" width="9.83203125" customWidth="1" collapsed="1"/>
    <col min="18" max="19" width="9.83203125" customWidth="1"/>
    <col min="20" max="20" width="2.6640625" bestFit="1" customWidth="1"/>
  </cols>
  <sheetData>
    <row r="1" spans="3:19" ht="26.25" customHeight="1" x14ac:dyDescent="0.2">
      <c r="D1" s="200" t="s">
        <v>84</v>
      </c>
      <c r="E1" s="201" t="s">
        <v>81</v>
      </c>
      <c r="F1" s="201" t="s">
        <v>82</v>
      </c>
      <c r="G1" s="201" t="s">
        <v>88</v>
      </c>
      <c r="H1" s="201"/>
      <c r="I1" s="201"/>
      <c r="J1" s="201" t="s">
        <v>89</v>
      </c>
      <c r="K1" s="202" t="s">
        <v>87</v>
      </c>
      <c r="M1" s="200" t="s">
        <v>81</v>
      </c>
      <c r="N1" s="201" t="s">
        <v>82</v>
      </c>
      <c r="O1" s="201"/>
      <c r="P1" s="201"/>
      <c r="Q1" s="201" t="s">
        <v>85</v>
      </c>
      <c r="R1" s="201" t="s">
        <v>86</v>
      </c>
      <c r="S1" s="202" t="s">
        <v>87</v>
      </c>
    </row>
    <row r="2" spans="3:19" ht="11.25" customHeight="1" x14ac:dyDescent="0.2">
      <c r="D2" s="203" t="str">
        <f>PROPER(Currency&amp;IborType)&amp;"3M"&amp;"LastFixing"&amp;QuoteSuffix</f>
        <v>Audbbsw3MLastFixing_Quote</v>
      </c>
      <c r="E2" s="204">
        <f>SettlementDate</f>
        <v>41891</v>
      </c>
      <c r="F2" s="204">
        <f>_xll.qlCalendarAdvance(Calendar,E2,"3M","mf",,Trigger)</f>
        <v>41982</v>
      </c>
      <c r="G2" s="205" t="e">
        <f>_xll.qlQuoteValue(D2,LastFixingsTrigger)</f>
        <v>#NUM!</v>
      </c>
      <c r="H2" s="206" t="str">
        <f>_xll.qlMakeDatedOIS(,E2,F2,OvernightIndex,0,,,,EvaluationDate)</f>
        <v>obj_00257#0000</v>
      </c>
      <c r="I2" s="206" t="b">
        <f>_xll.qlInstrumentSetPricingEngine(H2,OisEngine)</f>
        <v>1</v>
      </c>
      <c r="J2" s="205">
        <f>_xll.qlOvernightIndexedSwapFairRate(H2,AllTriggers)</f>
        <v>2.4616521991435172E-2</v>
      </c>
      <c r="K2" s="207" t="e">
        <f t="shared" ref="K2:K11" si="0">G2-J2</f>
        <v>#NUM!</v>
      </c>
      <c r="M2" s="213">
        <f>SettlementDate</f>
        <v>41891</v>
      </c>
      <c r="N2" s="204">
        <f>_xll.qlInterestRateIndexMaturity("AUDBBSW3M",M2)</f>
        <v>41982</v>
      </c>
      <c r="O2" s="206" t="str">
        <f>_xll.qlMakeDatedOIS(,M2,N2,OvernightIndex,0,,,,EvaluationDate)</f>
        <v>obj_00263#0000</v>
      </c>
      <c r="P2" s="206" t="b">
        <f>_xll.qlInstrumentSetPricingEngine(O2,OisEngine)</f>
        <v>1</v>
      </c>
      <c r="Q2" s="205">
        <f>_xll.qlIndexFixing(Currency&amp;IborType&amp;"3M",_xll.qlInterestRateIndexFixingDate(Currency&amp;IborType&amp;"3M",M2),TRUE,AllTriggers)</f>
        <v>2.6251446758763786E-2</v>
      </c>
      <c r="R2" s="205">
        <f>_xll.qlOvernightIndexedSwapFairRate(O2,AllTriggers)</f>
        <v>2.4616521991435172E-2</v>
      </c>
      <c r="S2" s="207">
        <f>Q2-R2</f>
        <v>1.6349247673286132E-3</v>
      </c>
    </row>
    <row r="3" spans="3:19" ht="11.25" customHeight="1" x14ac:dyDescent="0.2">
      <c r="C3" t="str">
        <f>_xll.qlIMMNextCode(SettlementDate-1,TRUE)</f>
        <v>U4</v>
      </c>
      <c r="D3" s="203" t="str">
        <f t="shared" ref="D3:D11" si="1">Currency&amp;"FUT"&amp;"3M"&amp;C3&amp;QuoteSuffix</f>
        <v>AUDFUT3MU4_Quote</v>
      </c>
      <c r="E3" s="204">
        <f>_xll.qlIMMdate(C3,$E$2,Trigger)</f>
        <v>41899</v>
      </c>
      <c r="F3" s="204">
        <f>_xll.qlCalendarAdvance(Calendar,E3,"3M","mf",,Trigger)</f>
        <v>41990</v>
      </c>
      <c r="G3" s="205">
        <f>1-_xll.qlQuoteValue(D3,AllTriggers)/100</f>
        <v>2.6249999999999996E-2</v>
      </c>
      <c r="H3" s="206" t="str">
        <f>_xll.qlMakeDatedOIS(,E3,F3,OvernightIndex,0,,,,EvaluationDate)</f>
        <v>obj_0026f#0000</v>
      </c>
      <c r="I3" s="206" t="b">
        <f>_xll.qlInstrumentSetPricingEngine(H3,OisEngine)</f>
        <v>1</v>
      </c>
      <c r="J3" s="205">
        <f>_xll.qlOvernightIndexedSwapFairRate(H3,AllTriggers)</f>
        <v>2.4587410122435323E-2</v>
      </c>
      <c r="K3" s="207">
        <f t="shared" si="0"/>
        <v>1.6625898775646727E-3</v>
      </c>
      <c r="M3" s="213">
        <f>_xll.qlCalendarAdvance(Calendar,M2,"1M","f",,Trigger)</f>
        <v>41921</v>
      </c>
      <c r="N3" s="204">
        <f>_xll.qlInterestRateIndexMaturity("AUDBBSW3M",M3)</f>
        <v>42013</v>
      </c>
      <c r="O3" s="206" t="str">
        <f>_xll.qlMakeDatedOIS(,M3,N3,OvernightIndex,0,,,,EvaluationDate)</f>
        <v>obj_0026c#0000</v>
      </c>
      <c r="P3" s="206" t="b">
        <f>_xll.qlInstrumentSetPricingEngine(O3,OisEngine)</f>
        <v>1</v>
      </c>
      <c r="Q3" s="205">
        <f>_xll.qlIndexFixing(Currency&amp;IborType&amp;"3M",_xll.qlInterestRateIndexFixingDate(Currency&amp;IborType&amp;"3M",M3),TRUE,AllTriggers)</f>
        <v>2.6248225389198229E-2</v>
      </c>
      <c r="R3" s="205">
        <f>_xll.qlOvernightIndexedSwapFairRate(O3,AllTriggers)</f>
        <v>2.4498764949179887E-2</v>
      </c>
      <c r="S3" s="207">
        <f t="shared" ref="S3:S66" si="2">Q3-R3</f>
        <v>1.7494604400183425E-3</v>
      </c>
    </row>
    <row r="4" spans="3:19" ht="11.25" customHeight="1" x14ac:dyDescent="0.2">
      <c r="C4" t="str">
        <f>_xll.qlIMMNextCode(E3,TRUE)</f>
        <v>Z4</v>
      </c>
      <c r="D4" s="203" t="str">
        <f t="shared" si="1"/>
        <v>AUDFUT3MZ4_Quote</v>
      </c>
      <c r="E4" s="204">
        <f>_xll.qlIMMdate(C4,$E$2,Trigger)</f>
        <v>41990</v>
      </c>
      <c r="F4" s="204">
        <f>_xll.qlCalendarAdvance(Calendar,E4,"3M","mf",,Trigger)</f>
        <v>42080</v>
      </c>
      <c r="G4" s="205">
        <f>1-_xll.qlQuoteValue(D4,AllTriggers)/100</f>
        <v>2.6249999999999996E-2</v>
      </c>
      <c r="H4" s="206" t="str">
        <f>_xll.qlMakeDatedOIS(,E4,F4,OvernightIndex,0,,,,EvaluationDate)</f>
        <v>obj_00273#0000</v>
      </c>
      <c r="I4" s="206" t="b">
        <f>_xll.qlInstrumentSetPricingEngine(H4,OisEngine)</f>
        <v>1</v>
      </c>
      <c r="J4" s="205">
        <f>_xll.qlOvernightIndexedSwapFairRate(H4,AllTriggers)</f>
        <v>2.4348720336949903E-2</v>
      </c>
      <c r="K4" s="207">
        <f t="shared" si="0"/>
        <v>1.9012796630500928E-3</v>
      </c>
      <c r="M4" s="213">
        <f>_xll.qlCalendarAdvance(Calendar,M3,"1M","f",,Trigger)</f>
        <v>41953</v>
      </c>
      <c r="N4" s="204">
        <f>_xll.qlInterestRateIndexMaturity("AUDBBSW3M",M4)</f>
        <v>42045</v>
      </c>
      <c r="O4" s="206" t="str">
        <f>_xll.qlMakeDatedOIS(,M4,N4,OvernightIndex,0,,,,EvaluationDate)</f>
        <v>obj_0026e#0000</v>
      </c>
      <c r="P4" s="206" t="b">
        <f>_xll.qlInstrumentSetPricingEngine(O4,OisEngine)</f>
        <v>1</v>
      </c>
      <c r="Q4" s="205">
        <f>_xll.qlIndexFixing(Currency&amp;IborType&amp;"3M",_xll.qlInterestRateIndexFixingDate(Currency&amp;IborType&amp;"3M",M4),TRUE,AllTriggers)</f>
        <v>2.6247013409427169E-2</v>
      </c>
      <c r="R4" s="205">
        <f>_xll.qlOvernightIndexedSwapFairRate(O4,AllTriggers)</f>
        <v>2.4407980487734977E-2</v>
      </c>
      <c r="S4" s="207">
        <f t="shared" si="2"/>
        <v>1.8390329216921922E-3</v>
      </c>
    </row>
    <row r="5" spans="3:19" ht="11.25" customHeight="1" x14ac:dyDescent="0.2">
      <c r="C5" t="str">
        <f>_xll.qlIMMNextCode(E4,TRUE)</f>
        <v>H5</v>
      </c>
      <c r="D5" s="203" t="str">
        <f t="shared" si="1"/>
        <v>AUDFUT3MH5_Quote</v>
      </c>
      <c r="E5" s="204">
        <f>_xll.qlIMMdate(C5,$E$2,Trigger)</f>
        <v>42081</v>
      </c>
      <c r="F5" s="204">
        <f>_xll.qlCalendarAdvance(Calendar,E5,"3M","mf",,Trigger)</f>
        <v>42173</v>
      </c>
      <c r="G5" s="205">
        <f>1-_xll.qlQuoteValue(D5,AllTriggers)/100</f>
        <v>2.6349999999999874E-2</v>
      </c>
      <c r="H5" s="206" t="str">
        <f>_xll.qlMakeDatedOIS(,E5,F5,OvernightIndex,0,,,,EvaluationDate)</f>
        <v>obj_00277#0000</v>
      </c>
      <c r="I5" s="206" t="b">
        <f>_xll.qlInstrumentSetPricingEngine(H5,OisEngine)</f>
        <v>1</v>
      </c>
      <c r="J5" s="205">
        <f>_xll.qlOvernightIndexedSwapFairRate(H5,AllTriggers)</f>
        <v>2.4423041157925075E-2</v>
      </c>
      <c r="K5" s="207">
        <f t="shared" si="0"/>
        <v>1.9269588420747982E-3</v>
      </c>
      <c r="M5" s="213">
        <f>_xll.qlCalendarAdvance(Calendar,M4,"1M","f",,Trigger)</f>
        <v>41983</v>
      </c>
      <c r="N5" s="204">
        <f>_xll.qlInterestRateIndexMaturity("AUDBBSW3M",M5)</f>
        <v>42073</v>
      </c>
      <c r="O5" s="206" t="str">
        <f>_xll.qlMakeDatedOIS(,M5,N5,OvernightIndex,0,,,,EvaluationDate)</f>
        <v>obj_00271#0000</v>
      </c>
      <c r="P5" s="206" t="b">
        <f>_xll.qlInstrumentSetPricingEngine(O5,OisEngine)</f>
        <v>1</v>
      </c>
      <c r="Q5" s="205">
        <f>_xll.qlIndexFixing(Currency&amp;IborType&amp;"3M",_xll.qlInterestRateIndexFixingDate(Currency&amp;IborType&amp;"3M",M5),TRUE,AllTriggers)</f>
        <v>2.6249372454726597E-2</v>
      </c>
      <c r="R5" s="205">
        <f>_xll.qlOvernightIndexedSwapFairRate(O5,AllTriggers)</f>
        <v>2.4352541620732637E-2</v>
      </c>
      <c r="S5" s="207">
        <f t="shared" si="2"/>
        <v>1.8968308339939594E-3</v>
      </c>
    </row>
    <row r="6" spans="3:19" ht="11.25" customHeight="1" x14ac:dyDescent="0.2">
      <c r="C6" t="str">
        <f>_xll.qlIMMNextCode(E5,TRUE)</f>
        <v>M5</v>
      </c>
      <c r="D6" s="203" t="str">
        <f t="shared" si="1"/>
        <v>AUDFUT3MM5_Quote</v>
      </c>
      <c r="E6" s="204">
        <f>_xll.qlIMMdate(C6,$E$2,Trigger)</f>
        <v>42172</v>
      </c>
      <c r="F6" s="204">
        <f>_xll.qlCalendarAdvance(Calendar,E6,"3M","mf",,Trigger)</f>
        <v>42264</v>
      </c>
      <c r="G6" s="205">
        <f>1-_xll.qlQuoteValue(D6,AllTriggers)/100</f>
        <v>2.6949999999999918E-2</v>
      </c>
      <c r="H6" s="206" t="str">
        <f>_xll.qlMakeDatedOIS(,E6,F6,OvernightIndex,0,,,,EvaluationDate)</f>
        <v>obj_00279#0000</v>
      </c>
      <c r="I6" s="206" t="b">
        <f>_xll.qlInstrumentSetPricingEngine(H6,OisEngine)</f>
        <v>1</v>
      </c>
      <c r="J6" s="205">
        <f>_xll.qlOvernightIndexedSwapFairRate(H6,AllTriggers)</f>
        <v>2.4902260501569184E-2</v>
      </c>
      <c r="K6" s="207">
        <f t="shared" si="0"/>
        <v>2.047739498430734E-3</v>
      </c>
      <c r="M6" s="213">
        <f>_xll.qlCalendarAdvance(Calendar,M5,"1M","f",,Trigger)</f>
        <v>42016</v>
      </c>
      <c r="N6" s="204">
        <f>_xll.qlInterestRateIndexMaturity("AUDBBSW3M",M6)</f>
        <v>42107</v>
      </c>
      <c r="O6" s="206" t="str">
        <f>_xll.qlMakeDatedOIS(,M6,N6,OvernightIndex,0,,,,EvaluationDate)</f>
        <v>obj_00270#0000</v>
      </c>
      <c r="P6" s="206" t="b">
        <f>_xll.qlInstrumentSetPricingEngine(O6,OisEngine)</f>
        <v>1</v>
      </c>
      <c r="Q6" s="205">
        <f>_xll.qlIndexFixing(Currency&amp;IborType&amp;"3M",_xll.qlInterestRateIndexFixingDate(Currency&amp;IborType&amp;"3M",M6),TRUE,AllTriggers)</f>
        <v>2.6250863542150674E-2</v>
      </c>
      <c r="R6" s="205">
        <f>_xll.qlOvernightIndexedSwapFairRate(O6,AllTriggers)</f>
        <v>2.4355064437261077E-2</v>
      </c>
      <c r="S6" s="207">
        <f t="shared" si="2"/>
        <v>1.8957991048895971E-3</v>
      </c>
    </row>
    <row r="7" spans="3:19" ht="11.25" customHeight="1" x14ac:dyDescent="0.2">
      <c r="C7" t="str">
        <f>_xll.qlIMMNextCode(E6,TRUE)</f>
        <v>U5</v>
      </c>
      <c r="D7" s="203" t="str">
        <f t="shared" si="1"/>
        <v>AUDFUT3MU5_Quote</v>
      </c>
      <c r="E7" s="204">
        <f>_xll.qlIMMdate(C7,$E$2,Trigger)</f>
        <v>42263</v>
      </c>
      <c r="F7" s="204">
        <f>_xll.qlCalendarAdvance(Calendar,E7,"3M","mf",,Trigger)</f>
        <v>42354</v>
      </c>
      <c r="G7" s="205">
        <f>1-_xll.qlQuoteValue(D7,AllTriggers)/100</f>
        <v>2.7750000000000052E-2</v>
      </c>
      <c r="H7" s="206" t="str">
        <f>_xll.qlMakeDatedOIS(,E7,F7,OvernightIndex,0,,,,EvaluationDate)</f>
        <v>obj_0030e#0000</v>
      </c>
      <c r="I7" s="206" t="b">
        <f>_xll.qlInstrumentSetPricingEngine(H7,OisEngine)</f>
        <v>1</v>
      </c>
      <c r="J7" s="205">
        <f>_xll.qlOvernightIndexedSwapFairRate(H7,AllTriggers)</f>
        <v>2.5733066104507821E-2</v>
      </c>
      <c r="K7" s="207">
        <f t="shared" si="0"/>
        <v>2.016933895492231E-3</v>
      </c>
      <c r="M7" s="213">
        <f>_xll.qlCalendarAdvance(Calendar,M6,"1M","f",,Trigger)</f>
        <v>42047</v>
      </c>
      <c r="N7" s="204">
        <f>_xll.qlInterestRateIndexMaturity("AUDBBSW3M",M7)</f>
        <v>42136</v>
      </c>
      <c r="O7" s="206" t="str">
        <f>_xll.qlMakeDatedOIS(,M7,N7,OvernightIndex,0,,,,EvaluationDate)</f>
        <v>obj_0026d#0000</v>
      </c>
      <c r="P7" s="206" t="b">
        <f>_xll.qlInstrumentSetPricingEngine(O7,OisEngine)</f>
        <v>1</v>
      </c>
      <c r="Q7" s="205">
        <f>_xll.qlIndexFixing(Currency&amp;IborType&amp;"3M",_xll.qlInterestRateIndexFixingDate(Currency&amp;IborType&amp;"3M",M7),TRUE,AllTriggers)</f>
        <v>2.6263849988668878E-2</v>
      </c>
      <c r="R7" s="205">
        <f>_xll.qlOvernightIndexedSwapFairRate(O7,AllTriggers)</f>
        <v>2.4362128180795709E-2</v>
      </c>
      <c r="S7" s="207">
        <f t="shared" si="2"/>
        <v>1.9017218078731697E-3</v>
      </c>
    </row>
    <row r="8" spans="3:19" ht="11.25" customHeight="1" x14ac:dyDescent="0.2">
      <c r="C8" t="str">
        <f>_xll.qlIMMNextCode(E7,TRUE)</f>
        <v>Z5</v>
      </c>
      <c r="D8" s="203" t="str">
        <f t="shared" si="1"/>
        <v>AUDFUT3MZ5_Quote</v>
      </c>
      <c r="E8" s="204">
        <f>_xll.qlIMMdate(C8,$E$2,Trigger)</f>
        <v>42354</v>
      </c>
      <c r="F8" s="204">
        <f>_xll.qlCalendarAdvance(Calendar,E8,"3M","mf",,Trigger)</f>
        <v>42445</v>
      </c>
      <c r="G8" s="205">
        <f>1-_xll.qlQuoteValue(D8,AllTriggers)/100</f>
        <v>2.8849999999999931E-2</v>
      </c>
      <c r="H8" s="206" t="str">
        <f>_xll.qlMakeDatedOIS(,E8,F8,OvernightIndex,0,,,,EvaluationDate)</f>
        <v>obj_002aa#0000</v>
      </c>
      <c r="I8" s="206" t="b">
        <f>_xll.qlInstrumentSetPricingEngine(H8,OisEngine)</f>
        <v>1</v>
      </c>
      <c r="J8" s="205">
        <f>_xll.qlOvernightIndexedSwapFairRate(H8,AllTriggers)</f>
        <v>2.6590603575245571E-2</v>
      </c>
      <c r="K8" s="207">
        <f t="shared" si="0"/>
        <v>2.2593964247543605E-3</v>
      </c>
      <c r="M8" s="213">
        <f>_xll.qlCalendarAdvance(Calendar,M7,"1M","f",,Trigger)</f>
        <v>42075</v>
      </c>
      <c r="N8" s="204">
        <f>_xll.qlInterestRateIndexMaturity("AUDBBSW3M",M8)</f>
        <v>42167</v>
      </c>
      <c r="O8" s="206" t="str">
        <f>_xll.qlMakeDatedOIS(,M8,N8,OvernightIndex,0,,,,EvaluationDate)</f>
        <v>obj_00272#0000</v>
      </c>
      <c r="P8" s="206" t="b">
        <f>_xll.qlInstrumentSetPricingEngine(O8,OisEngine)</f>
        <v>1</v>
      </c>
      <c r="Q8" s="205">
        <f>_xll.qlIndexFixing(Currency&amp;IborType&amp;"3M",_xll.qlInterestRateIndexFixingDate(Currency&amp;IborType&amp;"3M",M8),TRUE,AllTriggers)</f>
        <v>2.6329330231050229E-2</v>
      </c>
      <c r="R8" s="205">
        <f>_xll.qlOvernightIndexedSwapFairRate(O8,AllTriggers)</f>
        <v>2.4408333263750331E-2</v>
      </c>
      <c r="S8" s="207">
        <f t="shared" si="2"/>
        <v>1.9209969672998976E-3</v>
      </c>
    </row>
    <row r="9" spans="3:19" ht="11.25" customHeight="1" x14ac:dyDescent="0.2">
      <c r="C9" t="str">
        <f>_xll.qlIMMNextCode(E8,TRUE)</f>
        <v>H6</v>
      </c>
      <c r="D9" s="203" t="str">
        <f t="shared" si="1"/>
        <v>AUDFUT3MH6_Quote</v>
      </c>
      <c r="E9" s="204">
        <f>_xll.qlIMMdate(C9,$E$2,Trigger)</f>
        <v>42445</v>
      </c>
      <c r="F9" s="204">
        <f>_xll.qlCalendarAdvance(Calendar,E9,"3M","mf",,Trigger)</f>
        <v>42537</v>
      </c>
      <c r="G9" s="205">
        <f>1-_xll.qlQuoteValue(D9,AllTriggers)/100</f>
        <v>2.9950000000000032E-2</v>
      </c>
      <c r="H9" s="206" t="str">
        <f>_xll.qlMakeDatedOIS(,E9,F9,OvernightIndex,0,,,,EvaluationDate)</f>
        <v>obj_002ac#0000</v>
      </c>
      <c r="I9" s="206" t="b">
        <f>_xll.qlInstrumentSetPricingEngine(H9,OisEngine)</f>
        <v>1</v>
      </c>
      <c r="J9" s="205">
        <f>_xll.qlOvernightIndexedSwapFairRate(H9,AllTriggers)</f>
        <v>2.7463419540373686E-2</v>
      </c>
      <c r="K9" s="207">
        <f t="shared" si="0"/>
        <v>2.4865804596263461E-3</v>
      </c>
      <c r="M9" s="213">
        <f>_xll.qlCalendarAdvance(Calendar,M8,"1M","f",,Trigger)</f>
        <v>42107</v>
      </c>
      <c r="N9" s="204">
        <f>_xll.qlInterestRateIndexMaturity("AUDBBSW3M",M9)</f>
        <v>42198</v>
      </c>
      <c r="O9" s="206" t="str">
        <f>_xll.qlMakeDatedOIS(,M9,N9,OvernightIndex,0,,,,EvaluationDate)</f>
        <v>obj_00297#0000</v>
      </c>
      <c r="P9" s="206" t="b">
        <f>_xll.qlInstrumentSetPricingEngine(O9,OisEngine)</f>
        <v>1</v>
      </c>
      <c r="Q9" s="205">
        <f>_xll.qlIndexFixing(Currency&amp;IborType&amp;"3M",_xll.qlInterestRateIndexFixingDate(Currency&amp;IborType&amp;"3M",M9),TRUE,AllTriggers)</f>
        <v>2.6470462621446072E-2</v>
      </c>
      <c r="R9" s="205">
        <f>_xll.qlOvernightIndexedSwapFairRate(O9,AllTriggers)</f>
        <v>2.4508073702444375E-2</v>
      </c>
      <c r="S9" s="207">
        <f t="shared" si="2"/>
        <v>1.9623889190016966E-3</v>
      </c>
    </row>
    <row r="10" spans="3:19" ht="11.25" customHeight="1" x14ac:dyDescent="0.2">
      <c r="C10" t="str">
        <f>_xll.qlIMMNextCode(E9,TRUE)</f>
        <v>M6</v>
      </c>
      <c r="D10" s="203" t="str">
        <f t="shared" si="1"/>
        <v>AUDFUT3MM6_Quote</v>
      </c>
      <c r="E10" s="204">
        <f>_xll.qlIMMdate(C10,$E$2,Trigger)</f>
        <v>42536</v>
      </c>
      <c r="F10" s="204">
        <f>_xll.qlCalendarAdvance(Calendar,E10,"3M","mf",,Trigger)</f>
        <v>42628</v>
      </c>
      <c r="G10" s="205">
        <f>1-_xll.qlQuoteValue(D10,AllTriggers)/100</f>
        <v>3.1050000000000022E-2</v>
      </c>
      <c r="H10" s="206" t="str">
        <f>_xll.qlMakeDatedOIS(,E10,F10,OvernightIndex,0,,,,EvaluationDate)</f>
        <v>obj_00375#0000</v>
      </c>
      <c r="I10" s="206" t="b">
        <f>_xll.qlInstrumentSetPricingEngine(H10,OisEngine)</f>
        <v>1</v>
      </c>
      <c r="J10" s="205">
        <f>_xll.qlOvernightIndexedSwapFairRate(H10,AllTriggers)</f>
        <v>2.8522099934372862E-2</v>
      </c>
      <c r="K10" s="207">
        <f t="shared" si="0"/>
        <v>2.5279000656271595E-3</v>
      </c>
      <c r="M10" s="213">
        <f>_xll.qlCalendarAdvance(Calendar,M9,"1M","f",,Trigger)</f>
        <v>42137</v>
      </c>
      <c r="N10" s="204">
        <f>_xll.qlInterestRateIndexMaturity("AUDBBSW3M",M10)</f>
        <v>42229</v>
      </c>
      <c r="O10" s="206" t="str">
        <f>_xll.qlMakeDatedOIS(,M10,N10,OvernightIndex,0,,,,EvaluationDate)</f>
        <v>obj_002a4#0000</v>
      </c>
      <c r="P10" s="206" t="b">
        <f>_xll.qlInstrumentSetPricingEngine(O10,OisEngine)</f>
        <v>1</v>
      </c>
      <c r="Q10" s="205">
        <f>_xll.qlIndexFixing(Currency&amp;IborType&amp;"3M",_xll.qlInterestRateIndexFixingDate(Currency&amp;IborType&amp;"3M",M10),TRUE,AllTriggers)</f>
        <v>2.6674460621087463E-2</v>
      </c>
      <c r="R10" s="205">
        <f>_xll.qlOvernightIndexedSwapFairRate(O10,AllTriggers)</f>
        <v>2.4662213929280027E-2</v>
      </c>
      <c r="S10" s="207">
        <f t="shared" si="2"/>
        <v>2.0122466918074365E-3</v>
      </c>
    </row>
    <row r="11" spans="3:19" ht="11.25" customHeight="1" thickBot="1" x14ac:dyDescent="0.25">
      <c r="C11" t="str">
        <f>_xll.qlIMMNextCode(E10,TRUE)</f>
        <v>U6</v>
      </c>
      <c r="D11" s="208" t="str">
        <f t="shared" si="1"/>
        <v>AUDFUT3MU6_Quote</v>
      </c>
      <c r="E11" s="209">
        <f>_xll.qlIMMdate(C11,$E$2,Trigger)</f>
        <v>42634</v>
      </c>
      <c r="F11" s="209">
        <f>_xll.qlCalendarAdvance(Calendar,E11,"3M","mf",,Trigger)</f>
        <v>42725</v>
      </c>
      <c r="G11" s="210">
        <f>1-_xll.qlQuoteValue(D11,AllTriggers)/100</f>
        <v>3.2100000000000128E-2</v>
      </c>
      <c r="H11" s="211" t="str">
        <f>_xll.qlMakeDatedOIS(,E11,F11,OvernightIndex,0,,,,EvaluationDate)</f>
        <v>obj_0037d#0000</v>
      </c>
      <c r="I11" s="211" t="b">
        <f>_xll.qlInstrumentSetPricingEngine(H11,OisEngine)</f>
        <v>1</v>
      </c>
      <c r="J11" s="210">
        <f>_xll.qlOvernightIndexedSwapFairRate(H11,AllTriggers)</f>
        <v>2.9819164487007669E-2</v>
      </c>
      <c r="K11" s="212">
        <f t="shared" si="0"/>
        <v>2.2808355129924594E-3</v>
      </c>
      <c r="M11" s="213">
        <f>_xll.qlCalendarAdvance(Calendar,M10,"1M","f",,Trigger)</f>
        <v>42170</v>
      </c>
      <c r="N11" s="204">
        <f>_xll.qlInterestRateIndexMaturity("AUDBBSW3M",M11)</f>
        <v>42262</v>
      </c>
      <c r="O11" s="206" t="str">
        <f>_xll.qlMakeDatedOIS(,M11,N11,OvernightIndex,0,,,,EvaluationDate)</f>
        <v>obj_002a2#0000</v>
      </c>
      <c r="P11" s="206" t="b">
        <f>_xll.qlInstrumentSetPricingEngine(O11,OisEngine)</f>
        <v>1</v>
      </c>
      <c r="Q11" s="205">
        <f>_xll.qlIndexFixing(Currency&amp;IborType&amp;"3M",_xll.qlInterestRateIndexFixingDate(Currency&amp;IborType&amp;"3M",M11),TRUE,AllTriggers)</f>
        <v>2.693366791402755E-2</v>
      </c>
      <c r="R11" s="205">
        <f>_xll.qlOvernightIndexedSwapFairRate(O11,AllTriggers)</f>
        <v>2.4886740753426909E-2</v>
      </c>
      <c r="S11" s="207">
        <f t="shared" si="2"/>
        <v>2.0469271606006409E-3</v>
      </c>
    </row>
    <row r="12" spans="3:19" ht="11.25" customHeight="1" x14ac:dyDescent="0.2">
      <c r="E12" s="199"/>
      <c r="F12" s="199"/>
      <c r="G12" s="198"/>
      <c r="J12" s="198"/>
      <c r="K12" s="198"/>
      <c r="M12" s="213">
        <f>_xll.qlCalendarAdvance(Calendar,M11,"1M","f",,Trigger)</f>
        <v>42200</v>
      </c>
      <c r="N12" s="204">
        <f>_xll.qlInterestRateIndexMaturity("AUDBBSW3M",M12)</f>
        <v>42292</v>
      </c>
      <c r="O12" s="206" t="str">
        <f>_xll.qlMakeDatedOIS(,M12,N12,OvernightIndex,0,,,,EvaluationDate)</f>
        <v>obj_0029d#0000</v>
      </c>
      <c r="P12" s="206" t="b">
        <f>_xll.qlInstrumentSetPricingEngine(O12,OisEngine)</f>
        <v>1</v>
      </c>
      <c r="Q12" s="205">
        <f>_xll.qlIndexFixing(Currency&amp;IborType&amp;"3M",_xll.qlInterestRateIndexFixingDate(Currency&amp;IborType&amp;"3M",M12),TRUE,AllTriggers)</f>
        <v>2.7182098776927833E-2</v>
      </c>
      <c r="R12" s="205">
        <f>_xll.qlOvernightIndexedSwapFairRate(O12,AllTriggers)</f>
        <v>2.513828002111838E-2</v>
      </c>
      <c r="S12" s="207">
        <f t="shared" si="2"/>
        <v>2.0438187558094525E-3</v>
      </c>
    </row>
    <row r="13" spans="3:19" ht="11.25" customHeight="1" x14ac:dyDescent="0.2">
      <c r="E13" s="199"/>
      <c r="F13" s="199"/>
      <c r="G13" s="198"/>
      <c r="J13" s="198"/>
      <c r="K13" s="198"/>
      <c r="M13" s="213">
        <f>_xll.qlCalendarAdvance(Calendar,M12,"1M","f",,Trigger)</f>
        <v>42233</v>
      </c>
      <c r="N13" s="204">
        <f>_xll.qlInterestRateIndexMaturity("AUDBBSW3M",M13)</f>
        <v>42325</v>
      </c>
      <c r="O13" s="206" t="str">
        <f>_xll.qlMakeDatedOIS(,M13,N13,OvernightIndex,0,,,,EvaluationDate)</f>
        <v>obj_0029c#0000</v>
      </c>
      <c r="P13" s="206" t="b">
        <f>_xll.qlInstrumentSetPricingEngine(O13,OisEngine)</f>
        <v>1</v>
      </c>
      <c r="Q13" s="205">
        <f>_xll.qlIndexFixing(Currency&amp;IborType&amp;"3M",_xll.qlInterestRateIndexFixingDate(Currency&amp;IborType&amp;"3M",M13),TRUE,AllTriggers)</f>
        <v>2.7470628388873441E-2</v>
      </c>
      <c r="R13" s="205">
        <f>_xll.qlOvernightIndexedSwapFairRate(O13,AllTriggers)</f>
        <v>2.5447451024411916E-2</v>
      </c>
      <c r="S13" s="207">
        <f t="shared" si="2"/>
        <v>2.0231773644615245E-3</v>
      </c>
    </row>
    <row r="14" spans="3:19" ht="11.25" customHeight="1" x14ac:dyDescent="0.2">
      <c r="E14" s="199"/>
      <c r="F14" s="199"/>
      <c r="G14" s="198"/>
      <c r="J14" s="198"/>
      <c r="K14" s="198"/>
      <c r="M14" s="213">
        <f>_xll.qlCalendarAdvance(Calendar,M13,"1M","f",,Trigger)</f>
        <v>42264</v>
      </c>
      <c r="N14" s="204">
        <f>_xll.qlInterestRateIndexMaturity("AUDBBSW3M",M14)</f>
        <v>42355</v>
      </c>
      <c r="O14" s="206" t="str">
        <f>_xll.qlMakeDatedOIS(,M14,N14,OvernightIndex,0,,,,EvaluationDate)</f>
        <v>obj_00274#0000</v>
      </c>
      <c r="P14" s="206" t="b">
        <f>_xll.qlInstrumentSetPricingEngine(O14,OisEngine)</f>
        <v>1</v>
      </c>
      <c r="Q14" s="205">
        <f>_xll.qlIndexFixing(Currency&amp;IborType&amp;"3M",_xll.qlInterestRateIndexFixingDate(Currency&amp;IborType&amp;"3M",M14),TRUE,AllTriggers)</f>
        <v>2.7759995669262932E-2</v>
      </c>
      <c r="R14" s="205">
        <f>_xll.qlOvernightIndexedSwapFairRate(O14,AllTriggers)</f>
        <v>2.5742742593790637E-2</v>
      </c>
      <c r="S14" s="207">
        <f t="shared" si="2"/>
        <v>2.0172530754722952E-3</v>
      </c>
    </row>
    <row r="15" spans="3:19" ht="11.25" customHeight="1" x14ac:dyDescent="0.2">
      <c r="E15" s="199"/>
      <c r="F15" s="199"/>
      <c r="G15" s="198"/>
      <c r="J15" s="198"/>
      <c r="K15" s="198"/>
      <c r="M15" s="213">
        <f>_xll.qlCalendarAdvance(Calendar,M14,"1M","f",,Trigger)</f>
        <v>42296</v>
      </c>
      <c r="N15" s="204">
        <f>_xll.qlInterestRateIndexMaturity("AUDBBSW3M",M15)</f>
        <v>42388</v>
      </c>
      <c r="O15" s="206" t="str">
        <f>_xll.qlMakeDatedOIS(,M15,N15,OvernightIndex,0,,,,EvaluationDate)</f>
        <v>obj_00275#0000</v>
      </c>
      <c r="P15" s="206" t="b">
        <f>_xll.qlInstrumentSetPricingEngine(O15,OisEngine)</f>
        <v>1</v>
      </c>
      <c r="Q15" s="205">
        <f>_xll.qlIndexFixing(Currency&amp;IborType&amp;"3M",_xll.qlInterestRateIndexFixingDate(Currency&amp;IborType&amp;"3M",M15),TRUE,AllTriggers)</f>
        <v>2.8107729338740409E-2</v>
      </c>
      <c r="R15" s="205">
        <f>_xll.qlOvernightIndexedSwapFairRate(O15,AllTriggers)</f>
        <v>2.6055064261426227E-2</v>
      </c>
      <c r="S15" s="207">
        <f t="shared" si="2"/>
        <v>2.0526650773141815E-3</v>
      </c>
    </row>
    <row r="16" spans="3:19" ht="11.25" customHeight="1" x14ac:dyDescent="0.2">
      <c r="E16" s="199"/>
      <c r="F16" s="199"/>
      <c r="G16" s="198"/>
      <c r="J16" s="198"/>
      <c r="K16" s="198"/>
      <c r="M16" s="213">
        <f>_xll.qlCalendarAdvance(Calendar,M15,"1M","f",,Trigger)</f>
        <v>42327</v>
      </c>
      <c r="N16" s="204">
        <f>_xll.qlInterestRateIndexMaturity("AUDBBSW3M",M16)</f>
        <v>42419</v>
      </c>
      <c r="O16" s="206" t="str">
        <f>_xll.qlMakeDatedOIS(,M16,N16,OvernightIndex,0,,,,EvaluationDate)</f>
        <v>obj_00276#0000</v>
      </c>
      <c r="P16" s="206" t="b">
        <f>_xll.qlInstrumentSetPricingEngine(O16,OisEngine)</f>
        <v>1</v>
      </c>
      <c r="Q16" s="205">
        <f>_xll.qlIndexFixing(Currency&amp;IborType&amp;"3M",_xll.qlInterestRateIndexFixingDate(Currency&amp;IborType&amp;"3M",M16),TRUE,AllTriggers)</f>
        <v>2.8484819127631299E-2</v>
      </c>
      <c r="R16" s="205">
        <f>_xll.qlOvernightIndexedSwapFairRate(O16,AllTriggers)</f>
        <v>2.6346599027413559E-2</v>
      </c>
      <c r="S16" s="207">
        <f t="shared" si="2"/>
        <v>2.1382201002177401E-3</v>
      </c>
    </row>
    <row r="17" spans="5:19" ht="11.25" customHeight="1" x14ac:dyDescent="0.2">
      <c r="E17" s="199"/>
      <c r="F17" s="199"/>
      <c r="G17" s="198"/>
      <c r="J17" s="198"/>
      <c r="K17" s="198"/>
      <c r="M17" s="213">
        <f>_xll.qlCalendarAdvance(Calendar,M16,"1M","f",,Trigger)</f>
        <v>42359</v>
      </c>
      <c r="N17" s="204">
        <f>_xll.qlInterestRateIndexMaturity("AUDBBSW3M",M17)</f>
        <v>42450</v>
      </c>
      <c r="O17" s="206" t="str">
        <f>_xll.qlMakeDatedOIS(,M17,N17,OvernightIndex,0,,,,EvaluationDate)</f>
        <v>obj_00299#0000</v>
      </c>
      <c r="P17" s="206" t="b">
        <f>_xll.qlInstrumentSetPricingEngine(O17,OisEngine)</f>
        <v>1</v>
      </c>
      <c r="Q17" s="205">
        <f>_xll.qlIndexFixing(Currency&amp;IborType&amp;"3M",_xll.qlInterestRateIndexFixingDate(Currency&amp;IborType&amp;"3M",M17),TRUE,AllTriggers)</f>
        <v>2.8924377075813235E-2</v>
      </c>
      <c r="R17" s="205">
        <f>_xll.qlOvernightIndexedSwapFairRate(O17,AllTriggers)</f>
        <v>2.663643765457659E-2</v>
      </c>
      <c r="S17" s="207">
        <f t="shared" si="2"/>
        <v>2.2879394212366455E-3</v>
      </c>
    </row>
    <row r="18" spans="5:19" ht="11.25" customHeight="1" x14ac:dyDescent="0.2">
      <c r="E18" s="199"/>
      <c r="F18" s="199"/>
      <c r="G18" s="198"/>
      <c r="J18" s="198"/>
      <c r="K18" s="198"/>
      <c r="M18" s="213">
        <f>_xll.qlCalendarAdvance(Calendar,M17,"1M","f",,Trigger)</f>
        <v>42390</v>
      </c>
      <c r="N18" s="204">
        <f>_xll.qlInterestRateIndexMaturity("AUDBBSW3M",M18)</f>
        <v>42481</v>
      </c>
      <c r="O18" s="206" t="str">
        <f>_xll.qlMakeDatedOIS(,M18,N18,OvernightIndex,0,,,,EvaluationDate)</f>
        <v>obj_00278#0000</v>
      </c>
      <c r="P18" s="206" t="b">
        <f>_xll.qlInstrumentSetPricingEngine(O18,OisEngine)</f>
        <v>1</v>
      </c>
      <c r="Q18" s="205">
        <f>_xll.qlIndexFixing(Currency&amp;IborType&amp;"3M",_xll.qlInterestRateIndexFixingDate(Currency&amp;IborType&amp;"3M",M18),TRUE,AllTriggers)</f>
        <v>2.9414049756621312E-2</v>
      </c>
      <c r="R18" s="205">
        <f>_xll.qlOvernightIndexedSwapFairRate(O18,AllTriggers)</f>
        <v>2.6921470473747135E-2</v>
      </c>
      <c r="S18" s="207">
        <f t="shared" si="2"/>
        <v>2.4925792828741772E-3</v>
      </c>
    </row>
    <row r="19" spans="5:19" ht="11.25" customHeight="1" x14ac:dyDescent="0.2">
      <c r="E19" s="199"/>
      <c r="F19" s="199"/>
      <c r="G19" s="198"/>
      <c r="J19" s="198"/>
      <c r="K19" s="198"/>
      <c r="M19" s="213">
        <f>_xll.qlCalendarAdvance(Calendar,M18,"1M","f",,Trigger)</f>
        <v>42422</v>
      </c>
      <c r="N19" s="204">
        <f>_xll.qlInterestRateIndexMaturity("AUDBBSW3M",M19)</f>
        <v>42513</v>
      </c>
      <c r="O19" s="206" t="str">
        <f>_xll.qlMakeDatedOIS(,M19,N19,OvernightIndex,0,,,,EvaluationDate)</f>
        <v>obj_0027a#0000</v>
      </c>
      <c r="P19" s="206" t="b">
        <f>_xll.qlInstrumentSetPricingEngine(O19,OisEngine)</f>
        <v>1</v>
      </c>
      <c r="Q19" s="205">
        <f>_xll.qlIndexFixing(Currency&amp;IborType&amp;"3M",_xll.qlInterestRateIndexFixingDate(Currency&amp;IborType&amp;"3M",M19),TRUE,AllTriggers)</f>
        <v>2.994147368188254E-2</v>
      </c>
      <c r="R19" s="205">
        <f>_xll.qlOvernightIndexedSwapFairRate(O19,AllTriggers)</f>
        <v>2.7225587550618855E-2</v>
      </c>
      <c r="S19" s="207">
        <f t="shared" si="2"/>
        <v>2.7158861312636846E-3</v>
      </c>
    </row>
    <row r="20" spans="5:19" ht="11.25" customHeight="1" x14ac:dyDescent="0.2">
      <c r="E20" s="199"/>
      <c r="F20" s="199"/>
      <c r="G20" s="198"/>
      <c r="J20" s="198"/>
      <c r="K20" s="198"/>
      <c r="M20" s="213">
        <f>_xll.qlCalendarAdvance(Calendar,M19,"1M","f",,Trigger)</f>
        <v>42451</v>
      </c>
      <c r="N20" s="204">
        <f>_xll.qlInterestRateIndexMaturity("AUDBBSW3M",M20)</f>
        <v>42543</v>
      </c>
      <c r="O20" s="206" t="str">
        <f>_xll.qlMakeDatedOIS(,M20,N20,OvernightIndex,0,,,,EvaluationDate)</f>
        <v>obj_00296#0000</v>
      </c>
      <c r="P20" s="206" t="b">
        <f>_xll.qlInstrumentSetPricingEngine(O20,OisEngine)</f>
        <v>1</v>
      </c>
      <c r="Q20" s="205">
        <f>_xll.qlIndexFixing(Currency&amp;IborType&amp;"3M",_xll.qlInterestRateIndexFixingDate(Currency&amp;IborType&amp;"3M",M20),TRUE,AllTriggers)</f>
        <v>3.0412160639127252E-2</v>
      </c>
      <c r="R20" s="205">
        <f>_xll.qlOvernightIndexedSwapFairRate(O20,AllTriggers)</f>
        <v>2.7526190369595971E-2</v>
      </c>
      <c r="S20" s="207">
        <f t="shared" si="2"/>
        <v>2.8859702695312808E-3</v>
      </c>
    </row>
    <row r="21" spans="5:19" ht="11.25" customHeight="1" x14ac:dyDescent="0.2">
      <c r="E21" s="199"/>
      <c r="F21" s="199"/>
      <c r="G21" s="198"/>
      <c r="J21" s="198"/>
      <c r="K21" s="198"/>
      <c r="M21" s="213">
        <f>_xll.qlCalendarAdvance(Calendar,M20,"1M","f",,Trigger)</f>
        <v>42482</v>
      </c>
      <c r="N21" s="204">
        <f>_xll.qlInterestRateIndexMaturity("AUDBBSW3M",M21)</f>
        <v>42573</v>
      </c>
      <c r="O21" s="206" t="str">
        <f>_xll.qlMakeDatedOIS(,M21,N21,OvernightIndex,0,,,,EvaluationDate)</f>
        <v>obj_0027b#0000</v>
      </c>
      <c r="P21" s="206" t="b">
        <f>_xll.qlInstrumentSetPricingEngine(O21,OisEngine)</f>
        <v>1</v>
      </c>
      <c r="Q21" s="205">
        <f>_xll.qlIndexFixing(Currency&amp;IborType&amp;"3M",_xll.qlInterestRateIndexFixingDate(Currency&amp;IborType&amp;"3M",M21),TRUE,AllTriggers)</f>
        <v>3.0854818732264231E-2</v>
      </c>
      <c r="R21" s="205">
        <f>_xll.qlOvernightIndexedSwapFairRate(O21,AllTriggers)</f>
        <v>2.7859338193871756E-2</v>
      </c>
      <c r="S21" s="207">
        <f t="shared" si="2"/>
        <v>2.9954805383924747E-3</v>
      </c>
    </row>
    <row r="22" spans="5:19" ht="11.25" customHeight="1" x14ac:dyDescent="0.2">
      <c r="E22" s="199"/>
      <c r="F22" s="199"/>
      <c r="G22" s="198"/>
      <c r="J22" s="198"/>
      <c r="K22" s="198"/>
      <c r="M22" s="213">
        <f>_xll.qlCalendarAdvance(Calendar,M21,"1M","f",,Trigger)</f>
        <v>42513</v>
      </c>
      <c r="N22" s="204">
        <f>_xll.qlInterestRateIndexMaturity("AUDBBSW3M",M22)</f>
        <v>42605</v>
      </c>
      <c r="O22" s="206" t="str">
        <f>_xll.qlMakeDatedOIS(,M22,N22,OvernightIndex,0,,,,EvaluationDate)</f>
        <v>obj_002a3#0000</v>
      </c>
      <c r="P22" s="206" t="b">
        <f>_xll.qlInstrumentSetPricingEngine(O22,OisEngine)</f>
        <v>1</v>
      </c>
      <c r="Q22" s="205">
        <f>_xll.qlIndexFixing(Currency&amp;IborType&amp;"3M",_xll.qlInterestRateIndexFixingDate(Currency&amp;IborType&amp;"3M",M22),TRUE,AllTriggers)</f>
        <v>3.1265943887627677E-2</v>
      </c>
      <c r="R22" s="205">
        <f>_xll.qlOvernightIndexedSwapFairRate(O22,AllTriggers)</f>
        <v>2.8232953130884576E-2</v>
      </c>
      <c r="S22" s="207">
        <f t="shared" si="2"/>
        <v>3.0329907567431015E-3</v>
      </c>
    </row>
    <row r="23" spans="5:19" ht="11.25" customHeight="1" x14ac:dyDescent="0.2">
      <c r="E23" s="199"/>
      <c r="F23" s="199"/>
      <c r="G23" s="198"/>
      <c r="J23" s="198"/>
      <c r="K23" s="198"/>
      <c r="M23" s="213">
        <f>_xll.qlCalendarAdvance(Calendar,M22,"1M","f",,Trigger)</f>
        <v>42544</v>
      </c>
      <c r="N23" s="204">
        <f>_xll.qlInterestRateIndexMaturity("AUDBBSW3M",M23)</f>
        <v>42636</v>
      </c>
      <c r="O23" s="206" t="str">
        <f>_xll.qlMakeDatedOIS(,M23,N23,OvernightIndex,0,,,,EvaluationDate)</f>
        <v>obj_0027c#0000</v>
      </c>
      <c r="P23" s="206" t="b">
        <f>_xll.qlInstrumentSetPricingEngine(O23,OisEngine)</f>
        <v>1</v>
      </c>
      <c r="Q23" s="205">
        <f>_xll.qlIndexFixing(Currency&amp;IborType&amp;"3M",_xll.qlInterestRateIndexFixingDate(Currency&amp;IborType&amp;"3M",M23),TRUE,AllTriggers)</f>
        <v>3.1622189474569913E-2</v>
      </c>
      <c r="R23" s="205">
        <f>_xll.qlOvernightIndexedSwapFairRate(O23,AllTriggers)</f>
        <v>2.8625979601726113E-2</v>
      </c>
      <c r="S23" s="207">
        <f t="shared" si="2"/>
        <v>2.9962098728438004E-3</v>
      </c>
    </row>
    <row r="24" spans="5:19" ht="11.25" customHeight="1" x14ac:dyDescent="0.2">
      <c r="E24" s="199"/>
      <c r="F24" s="199"/>
      <c r="G24" s="198"/>
      <c r="J24" s="198"/>
      <c r="K24" s="198"/>
      <c r="M24" s="213">
        <f>_xll.qlCalendarAdvance(Calendar,M23,"1M","f",,Trigger)</f>
        <v>42576</v>
      </c>
      <c r="N24" s="204">
        <f>_xll.qlInterestRateIndexMaturity("AUDBBSW3M",M24)</f>
        <v>42668</v>
      </c>
      <c r="O24" s="206" t="str">
        <f>_xll.qlMakeDatedOIS(,M24,N24,OvernightIndex,0,,,,EvaluationDate)</f>
        <v>obj_0027d#0000</v>
      </c>
      <c r="P24" s="206" t="b">
        <f>_xll.qlInstrumentSetPricingEngine(O24,OisEngine)</f>
        <v>1</v>
      </c>
      <c r="Q24" s="205">
        <f>_xll.qlIndexFixing(Currency&amp;IborType&amp;"3M",_xll.qlInterestRateIndexFixingDate(Currency&amp;IborType&amp;"3M",M24),TRUE,AllTriggers)</f>
        <v>3.1947400065486783E-2</v>
      </c>
      <c r="R24" s="205">
        <f>_xll.qlOvernightIndexedSwapFairRate(O24,AllTriggers)</f>
        <v>2.9052707581750142E-2</v>
      </c>
      <c r="S24" s="207">
        <f t="shared" si="2"/>
        <v>2.8946924837366418E-3</v>
      </c>
    </row>
    <row r="25" spans="5:19" ht="11.25" customHeight="1" x14ac:dyDescent="0.2">
      <c r="E25" s="199"/>
      <c r="F25" s="199"/>
      <c r="G25" s="198"/>
      <c r="J25" s="198"/>
      <c r="K25" s="198"/>
      <c r="M25" s="213">
        <f>_xll.qlCalendarAdvance(Calendar,M24,"1M","f",,Trigger)</f>
        <v>42607</v>
      </c>
      <c r="N25" s="204">
        <f>_xll.qlInterestRateIndexMaturity("AUDBBSW3M",M25)</f>
        <v>42699</v>
      </c>
      <c r="O25" s="206" t="str">
        <f>_xll.qlMakeDatedOIS(,M25,N25,OvernightIndex,0,,,,EvaluationDate)</f>
        <v>obj_002a1#0000</v>
      </c>
      <c r="P25" s="206" t="b">
        <f>_xll.qlInstrumentSetPricingEngine(O25,OisEngine)</f>
        <v>1</v>
      </c>
      <c r="Q25" s="205">
        <f>_xll.qlIndexFixing(Currency&amp;IborType&amp;"3M",_xll.qlInterestRateIndexFixingDate(Currency&amp;IborType&amp;"3M",M25),TRUE,AllTriggers)</f>
        <v>3.22371915095363E-2</v>
      </c>
      <c r="R25" s="205">
        <f>_xll.qlOvernightIndexedSwapFairRate(O25,AllTriggers)</f>
        <v>2.9470942103448822E-2</v>
      </c>
      <c r="S25" s="207">
        <f t="shared" si="2"/>
        <v>2.766249406087478E-3</v>
      </c>
    </row>
    <row r="26" spans="5:19" ht="11.25" customHeight="1" x14ac:dyDescent="0.2">
      <c r="E26" s="199"/>
      <c r="F26" s="199"/>
      <c r="G26" s="198"/>
      <c r="J26" s="198"/>
      <c r="K26" s="198"/>
      <c r="M26" s="213">
        <f>_xll.qlCalendarAdvance(Calendar,M25,"1M","f",,Trigger)</f>
        <v>42639</v>
      </c>
      <c r="N26" s="204">
        <f>_xll.qlInterestRateIndexMaturity("AUDBBSW3M",M26)</f>
        <v>42732</v>
      </c>
      <c r="O26" s="206" t="str">
        <f>_xll.qlMakeDatedOIS(,M26,N26,OvernightIndex,0,,,,EvaluationDate)</f>
        <v>obj_0027e#0000</v>
      </c>
      <c r="P26" s="206" t="b">
        <f>_xll.qlInstrumentSetPricingEngine(O26,OisEngine)</f>
        <v>1</v>
      </c>
      <c r="Q26" s="205">
        <f>_xll.qlIndexFixing(Currency&amp;IborType&amp;"3M",_xll.qlInterestRateIndexFixingDate(Currency&amp;IborType&amp;"3M",M26),TRUE,AllTriggers)</f>
        <v>3.2533393687349713E-2</v>
      </c>
      <c r="R26" s="205">
        <f>_xll.qlOvernightIndexedSwapFairRate(O26,AllTriggers)</f>
        <v>2.9898440727102869E-2</v>
      </c>
      <c r="S26" s="207">
        <f t="shared" si="2"/>
        <v>2.6349529602468433E-3</v>
      </c>
    </row>
    <row r="27" spans="5:19" ht="11.25" customHeight="1" x14ac:dyDescent="0.2">
      <c r="E27" s="199"/>
      <c r="F27" s="199"/>
      <c r="G27" s="198"/>
      <c r="J27" s="198"/>
      <c r="K27" s="198"/>
      <c r="M27" s="213">
        <f>_xll.qlCalendarAdvance(Calendar,M26,"1M","f",,Trigger)</f>
        <v>42669</v>
      </c>
      <c r="N27" s="204">
        <f>_xll.qlInterestRateIndexMaturity("AUDBBSW3M",M27)</f>
        <v>42762</v>
      </c>
      <c r="O27" s="206" t="str">
        <f>_xll.qlMakeDatedOIS(,M27,N27,OvernightIndex,0,,,,EvaluationDate)</f>
        <v>obj_0027f#0000</v>
      </c>
      <c r="P27" s="206" t="b">
        <f>_xll.qlInstrumentSetPricingEngine(O27,OisEngine)</f>
        <v>1</v>
      </c>
      <c r="Q27" s="205">
        <f>_xll.qlIndexFixing(Currency&amp;IborType&amp;"3M",_xll.qlInterestRateIndexFixingDate(Currency&amp;IborType&amp;"3M",M27),TRUE,AllTriggers)</f>
        <v>3.2805962632793902E-2</v>
      </c>
      <c r="R27" s="205">
        <f>_xll.qlOvernightIndexedSwapFairRate(O27,AllTriggers)</f>
        <v>3.0272667550684054E-2</v>
      </c>
      <c r="S27" s="207">
        <f t="shared" si="2"/>
        <v>2.5332950821098481E-3</v>
      </c>
    </row>
    <row r="28" spans="5:19" ht="11.25" customHeight="1" x14ac:dyDescent="0.2">
      <c r="E28" s="199"/>
      <c r="F28" s="199"/>
      <c r="G28" s="198"/>
      <c r="J28" s="198"/>
      <c r="K28" s="198"/>
      <c r="M28" s="213">
        <f>_xll.qlCalendarAdvance(Calendar,M27,"1M","f",,Trigger)</f>
        <v>42702</v>
      </c>
      <c r="N28" s="204">
        <f>_xll.qlInterestRateIndexMaturity("AUDBBSW3M",M28)</f>
        <v>42794</v>
      </c>
      <c r="O28" s="206" t="str">
        <f>_xll.qlMakeDatedOIS(,M28,N28,OvernightIndex,0,,,,EvaluationDate)</f>
        <v>obj_00280#0000</v>
      </c>
      <c r="P28" s="206" t="b">
        <f>_xll.qlInstrumentSetPricingEngine(O28,OisEngine)</f>
        <v>1</v>
      </c>
      <c r="Q28" s="205">
        <f>_xll.qlIndexFixing(Currency&amp;IborType&amp;"3M",_xll.qlInterestRateIndexFixingDate(Currency&amp;IborType&amp;"3M",M28),TRUE,AllTriggers)</f>
        <v>3.3100779619611921E-2</v>
      </c>
      <c r="R28" s="205">
        <f>_xll.qlOvernightIndexedSwapFairRate(O28,AllTriggers)</f>
        <v>3.0655372760434903E-2</v>
      </c>
      <c r="S28" s="207">
        <f t="shared" si="2"/>
        <v>2.4454068591770184E-3</v>
      </c>
    </row>
    <row r="29" spans="5:19" ht="11.25" customHeight="1" x14ac:dyDescent="0.2">
      <c r="E29" s="199"/>
      <c r="F29" s="199"/>
      <c r="G29" s="198"/>
      <c r="J29" s="198"/>
      <c r="K29" s="198"/>
      <c r="M29" s="213">
        <f>_xll.qlCalendarAdvance(Calendar,M28,"1M","f",,Trigger)</f>
        <v>42732</v>
      </c>
      <c r="N29" s="204">
        <f>_xll.qlInterestRateIndexMaturity("AUDBBSW3M",M29)</f>
        <v>42822</v>
      </c>
      <c r="O29" s="206" t="str">
        <f>_xll.qlMakeDatedOIS(,M29,N29,OvernightIndex,0,,,,EvaluationDate)</f>
        <v>obj_0029f#0000</v>
      </c>
      <c r="P29" s="206" t="b">
        <f>_xll.qlInstrumentSetPricingEngine(O29,OisEngine)</f>
        <v>1</v>
      </c>
      <c r="Q29" s="205">
        <f>_xll.qlIndexFixing(Currency&amp;IborType&amp;"3M",_xll.qlInterestRateIndexFixingDate(Currency&amp;IborType&amp;"3M",M29),TRUE,AllTriggers)</f>
        <v>3.3363020911947157E-2</v>
      </c>
      <c r="R29" s="205">
        <f>_xll.qlOvernightIndexedSwapFairRate(O29,AllTriggers)</f>
        <v>3.0976571486499793E-2</v>
      </c>
      <c r="S29" s="207">
        <f t="shared" si="2"/>
        <v>2.3864494254473637E-3</v>
      </c>
    </row>
    <row r="30" spans="5:19" ht="11.25" customHeight="1" x14ac:dyDescent="0.2">
      <c r="E30" s="199"/>
      <c r="F30" s="199"/>
      <c r="G30" s="198"/>
      <c r="J30" s="198"/>
      <c r="K30" s="198"/>
      <c r="M30" s="213">
        <f>_xll.qlCalendarAdvance(Calendar,M29,"1M","f",,Trigger)</f>
        <v>42765</v>
      </c>
      <c r="N30" s="204">
        <f>_xll.qlInterestRateIndexMaturity("AUDBBSW3M",M30)</f>
        <v>42853</v>
      </c>
      <c r="O30" s="206" t="str">
        <f>_xll.qlMakeDatedOIS(,M30,N30,OvernightIndex,0,,,,EvaluationDate)</f>
        <v>obj_0029e#0000</v>
      </c>
      <c r="P30" s="206" t="b">
        <f>_xll.qlInstrumentSetPricingEngine(O30,OisEngine)</f>
        <v>1</v>
      </c>
      <c r="Q30" s="205">
        <f>_xll.qlIndexFixing(Currency&amp;IborType&amp;"3M",_xll.qlInterestRateIndexFixingDate(Currency&amp;IborType&amp;"3M",M30),TRUE,AllTriggers)</f>
        <v>3.3653598181975733E-2</v>
      </c>
      <c r="R30" s="205">
        <f>_xll.qlOvernightIndexedSwapFairRate(O30,AllTriggers)</f>
        <v>3.1310378937227608E-2</v>
      </c>
      <c r="S30" s="207">
        <f t="shared" si="2"/>
        <v>2.3432192447481251E-3</v>
      </c>
    </row>
    <row r="31" spans="5:19" ht="11.25" customHeight="1" x14ac:dyDescent="0.2">
      <c r="E31" s="199"/>
      <c r="F31" s="199"/>
      <c r="G31" s="198"/>
      <c r="J31" s="198"/>
      <c r="K31" s="198"/>
      <c r="M31" s="213">
        <f>_xll.qlCalendarAdvance(Calendar,M30,"1M","f",,Trigger)</f>
        <v>42794</v>
      </c>
      <c r="N31" s="204">
        <f>_xll.qlInterestRateIndexMaturity("AUDBBSW3M",M31)</f>
        <v>42886</v>
      </c>
      <c r="O31" s="206" t="str">
        <f>_xll.qlMakeDatedOIS(,M31,N31,OvernightIndex,0,,,,EvaluationDate)</f>
        <v>obj_00281#0000</v>
      </c>
      <c r="P31" s="206" t="b">
        <f>_xll.qlInstrumentSetPricingEngine(O31,OisEngine)</f>
        <v>1</v>
      </c>
      <c r="Q31" s="205">
        <f>_xll.qlIndexFixing(Currency&amp;IborType&amp;"3M",_xll.qlInterestRateIndexFixingDate(Currency&amp;IborType&amp;"3M",M31),TRUE,AllTriggers)</f>
        <v>3.3945378086666568E-2</v>
      </c>
      <c r="R31" s="205">
        <f>_xll.qlOvernightIndexedSwapFairRate(O31,AllTriggers)</f>
        <v>3.1620178200677536E-2</v>
      </c>
      <c r="S31" s="207">
        <f t="shared" si="2"/>
        <v>2.3251998859890322E-3</v>
      </c>
    </row>
    <row r="32" spans="5:19" ht="11.25" customHeight="1" x14ac:dyDescent="0.2">
      <c r="E32" s="199"/>
      <c r="F32" s="199"/>
      <c r="G32" s="198"/>
      <c r="J32" s="198"/>
      <c r="K32" s="198"/>
      <c r="M32" s="213">
        <f>_xll.qlCalendarAdvance(Calendar,M31,"1M","f",,Trigger)</f>
        <v>42822</v>
      </c>
      <c r="N32" s="204">
        <f>_xll.qlInterestRateIndexMaturity("AUDBBSW3M",M32)</f>
        <v>42914</v>
      </c>
      <c r="O32" s="206" t="str">
        <f>_xll.qlMakeDatedOIS(,M32,N32,OvernightIndex,0,,,,EvaluationDate)</f>
        <v>obj_00282#0000</v>
      </c>
      <c r="P32" s="206" t="b">
        <f>_xll.qlInstrumentSetPricingEngine(O32,OisEngine)</f>
        <v>1</v>
      </c>
      <c r="Q32" s="205">
        <f>_xll.qlIndexFixing(Currency&amp;IborType&amp;"3M",_xll.qlInterestRateIndexFixingDate(Currency&amp;IborType&amp;"3M",M32),TRUE,AllTriggers)</f>
        <v>3.4204148255290452E-2</v>
      </c>
      <c r="R32" s="205">
        <f>_xll.qlOvernightIndexedSwapFairRate(O32,AllTriggers)</f>
        <v>3.1878107344925577E-2</v>
      </c>
      <c r="S32" s="207">
        <f t="shared" si="2"/>
        <v>2.3260409103648752E-3</v>
      </c>
    </row>
    <row r="33" spans="5:19" ht="11.25" customHeight="1" x14ac:dyDescent="0.2">
      <c r="E33" s="199"/>
      <c r="F33" s="199"/>
      <c r="G33" s="198"/>
      <c r="J33" s="198"/>
      <c r="K33" s="198"/>
      <c r="M33" s="213">
        <f>_xll.qlCalendarAdvance(Calendar,M32,"1M","f",,Trigger)</f>
        <v>42853</v>
      </c>
      <c r="N33" s="204">
        <f>_xll.qlInterestRateIndexMaturity("AUDBBSW3M",M33)</f>
        <v>42947</v>
      </c>
      <c r="O33" s="206" t="str">
        <f>_xll.qlMakeDatedOIS(,M33,N33,OvernightIndex,0,,,,EvaluationDate)</f>
        <v>obj_00295#0000</v>
      </c>
      <c r="P33" s="206" t="b">
        <f>_xll.qlInstrumentSetPricingEngine(O33,OisEngine)</f>
        <v>1</v>
      </c>
      <c r="Q33" s="205">
        <f>_xll.qlIndexFixing(Currency&amp;IborType&amp;"3M",_xll.qlInterestRateIndexFixingDate(Currency&amp;IborType&amp;"3M",M33),TRUE,AllTriggers)</f>
        <v>3.4504135355590486E-2</v>
      </c>
      <c r="R33" s="205">
        <f>_xll.qlOvernightIndexedSwapFairRate(O33,AllTriggers)</f>
        <v>3.2155005839339793E-2</v>
      </c>
      <c r="S33" s="207">
        <f t="shared" si="2"/>
        <v>2.3491295162506934E-3</v>
      </c>
    </row>
    <row r="34" spans="5:19" ht="11.25" customHeight="1" x14ac:dyDescent="0.2">
      <c r="E34" s="199"/>
      <c r="F34" s="199"/>
      <c r="G34" s="198"/>
      <c r="J34" s="198"/>
      <c r="K34" s="198"/>
      <c r="M34" s="213">
        <f>_xll.qlCalendarAdvance(Calendar,M33,"1M","f",,Trigger)</f>
        <v>42884</v>
      </c>
      <c r="N34" s="204">
        <f>_xll.qlInterestRateIndexMaturity("AUDBBSW3M",M34)</f>
        <v>42976</v>
      </c>
      <c r="O34" s="206" t="str">
        <f>_xll.qlMakeDatedOIS(,M34,N34,OvernightIndex,0,,,,EvaluationDate)</f>
        <v>obj_00283#0000</v>
      </c>
      <c r="P34" s="206" t="b">
        <f>_xll.qlInstrumentSetPricingEngine(O34,OisEngine)</f>
        <v>1</v>
      </c>
      <c r="Q34" s="205">
        <f>_xll.qlIndexFixing(Currency&amp;IborType&amp;"3M",_xll.qlInterestRateIndexFixingDate(Currency&amp;IborType&amp;"3M",M34),TRUE,AllTriggers)</f>
        <v>3.4779994398349313E-2</v>
      </c>
      <c r="R34" s="205">
        <f>_xll.qlOvernightIndexedSwapFairRate(O34,AllTriggers)</f>
        <v>3.2389910888895437E-2</v>
      </c>
      <c r="S34" s="207">
        <f t="shared" si="2"/>
        <v>2.3900835094538761E-3</v>
      </c>
    </row>
    <row r="35" spans="5:19" ht="11.25" customHeight="1" x14ac:dyDescent="0.2">
      <c r="E35" s="199"/>
      <c r="F35" s="199"/>
      <c r="G35" s="198"/>
      <c r="J35" s="198"/>
      <c r="K35" s="198"/>
      <c r="M35" s="213">
        <f>_xll.qlCalendarAdvance(Calendar,M34,"1M","f",,Trigger)</f>
        <v>42915</v>
      </c>
      <c r="N35" s="204">
        <f>_xll.qlInterestRateIndexMaturity("AUDBBSW3M",M35)</f>
        <v>43007</v>
      </c>
      <c r="O35" s="206" t="str">
        <f>_xll.qlMakeDatedOIS(,M35,N35,OvernightIndex,0,,,,EvaluationDate)</f>
        <v>obj_00284#0000</v>
      </c>
      <c r="P35" s="206" t="b">
        <f>_xll.qlInstrumentSetPricingEngine(O35,OisEngine)</f>
        <v>1</v>
      </c>
      <c r="Q35" s="205">
        <f>_xll.qlIndexFixing(Currency&amp;IborType&amp;"3M",_xll.qlInterestRateIndexFixingDate(Currency&amp;IborType&amp;"3M",M35),TRUE,AllTriggers)</f>
        <v>3.5069330514614902E-2</v>
      </c>
      <c r="R35" s="205">
        <f>_xll.qlOvernightIndexedSwapFairRate(O35,AllTriggers)</f>
        <v>3.2615466987088317E-2</v>
      </c>
      <c r="S35" s="207">
        <f t="shared" si="2"/>
        <v>2.4538635275265855E-3</v>
      </c>
    </row>
    <row r="36" spans="5:19" ht="11.25" customHeight="1" x14ac:dyDescent="0.2">
      <c r="E36" s="199"/>
      <c r="F36" s="199"/>
      <c r="G36" s="198"/>
      <c r="J36" s="198"/>
      <c r="K36" s="198"/>
      <c r="M36" s="213">
        <f>_xll.qlCalendarAdvance(Calendar,M35,"1M","f",,Trigger)</f>
        <v>42947</v>
      </c>
      <c r="N36" s="204">
        <f>_xll.qlInterestRateIndexMaturity("AUDBBSW3M",M36)</f>
        <v>43039</v>
      </c>
      <c r="O36" s="206" t="str">
        <f>_xll.qlMakeDatedOIS(,M36,N36,OvernightIndex,0,,,,EvaluationDate)</f>
        <v>obj_00285#0000</v>
      </c>
      <c r="P36" s="206" t="b">
        <f>_xll.qlInstrumentSetPricingEngine(O36,OisEngine)</f>
        <v>1</v>
      </c>
      <c r="Q36" s="205">
        <f>_xll.qlIndexFixing(Currency&amp;IborType&amp;"3M",_xll.qlInterestRateIndexFixingDate(Currency&amp;IborType&amp;"3M",M36),TRUE,AllTriggers)</f>
        <v>3.5367819934807962E-2</v>
      </c>
      <c r="R36" s="205">
        <f>_xll.qlOvernightIndexedSwapFairRate(O36,AllTriggers)</f>
        <v>3.2832937018433796E-2</v>
      </c>
      <c r="S36" s="207">
        <f t="shared" si="2"/>
        <v>2.5348829163741662E-3</v>
      </c>
    </row>
    <row r="37" spans="5:19" ht="11.25" customHeight="1" x14ac:dyDescent="0.2">
      <c r="E37" s="199"/>
      <c r="F37" s="199"/>
      <c r="G37" s="198"/>
      <c r="J37" s="198"/>
      <c r="K37" s="198"/>
      <c r="M37" s="213">
        <f>_xll.qlCalendarAdvance(Calendar,M36,"1M","f",,Trigger)</f>
        <v>42978</v>
      </c>
      <c r="N37" s="204">
        <f>_xll.qlInterestRateIndexMaturity("AUDBBSW3M",M37)</f>
        <v>43069</v>
      </c>
      <c r="O37" s="206" t="str">
        <f>_xll.qlMakeDatedOIS(,M37,N37,OvernightIndex,0,,,,EvaluationDate)</f>
        <v>obj_002a5#0000</v>
      </c>
      <c r="P37" s="206" t="b">
        <f>_xll.qlInstrumentSetPricingEngine(O37,OisEngine)</f>
        <v>1</v>
      </c>
      <c r="Q37" s="205">
        <f>_xll.qlIndexFixing(Currency&amp;IborType&amp;"3M",_xll.qlInterestRateIndexFixingDate(Currency&amp;IborType&amp;"3M",M37),TRUE,AllTriggers)</f>
        <v>3.5648560464192056E-2</v>
      </c>
      <c r="R37" s="205">
        <f>_xll.qlOvernightIndexedSwapFairRate(O37,AllTriggers)</f>
        <v>3.3033584897714845E-2</v>
      </c>
      <c r="S37" s="207">
        <f t="shared" si="2"/>
        <v>2.6149755664772109E-3</v>
      </c>
    </row>
    <row r="38" spans="5:19" ht="11.25" customHeight="1" x14ac:dyDescent="0.2">
      <c r="E38" s="199"/>
      <c r="F38" s="199"/>
      <c r="G38" s="198"/>
      <c r="J38" s="198"/>
      <c r="K38" s="198"/>
      <c r="M38" s="213">
        <f>_xll.qlCalendarAdvance(Calendar,M37,"1M","f",,Trigger)</f>
        <v>43011</v>
      </c>
      <c r="N38" s="204">
        <f>_xll.qlInterestRateIndexMaturity("AUDBBSW3M",M38)</f>
        <v>43103</v>
      </c>
      <c r="O38" s="206" t="str">
        <f>_xll.qlMakeDatedOIS(,M38,N38,OvernightIndex,0,,,,EvaluationDate)</f>
        <v>obj_00286#0000</v>
      </c>
      <c r="P38" s="206" t="b">
        <f>_xll.qlInstrumentSetPricingEngine(O38,OisEngine)</f>
        <v>1</v>
      </c>
      <c r="Q38" s="205">
        <f>_xll.qlIndexFixing(Currency&amp;IborType&amp;"3M",_xll.qlInterestRateIndexFixingDate(Currency&amp;IborType&amp;"3M",M38),TRUE,AllTriggers)</f>
        <v>3.5956077061501376E-2</v>
      </c>
      <c r="R38" s="205">
        <f>_xll.qlOvernightIndexedSwapFairRate(O38,AllTriggers)</f>
        <v>3.3262052316175253E-2</v>
      </c>
      <c r="S38" s="207">
        <f t="shared" si="2"/>
        <v>2.6940247453261235E-3</v>
      </c>
    </row>
    <row r="39" spans="5:19" ht="11.25" customHeight="1" x14ac:dyDescent="0.2">
      <c r="E39" s="199"/>
      <c r="F39" s="199"/>
      <c r="G39" s="198"/>
      <c r="J39" s="198"/>
      <c r="K39" s="198"/>
      <c r="M39" s="213">
        <f>_xll.qlCalendarAdvance(Calendar,M38,"1M","f",,Trigger)</f>
        <v>43042</v>
      </c>
      <c r="N39" s="204">
        <f>_xll.qlInterestRateIndexMaturity("AUDBBSW3M",M39)</f>
        <v>43136</v>
      </c>
      <c r="O39" s="206" t="str">
        <f>_xll.qlMakeDatedOIS(,M39,N39,OvernightIndex,0,,,,EvaluationDate)</f>
        <v>obj_00287#0000</v>
      </c>
      <c r="P39" s="206" t="b">
        <f>_xll.qlInstrumentSetPricingEngine(O39,OisEngine)</f>
        <v>1</v>
      </c>
      <c r="Q39" s="205">
        <f>_xll.qlIndexFixing(Currency&amp;IborType&amp;"3M",_xll.qlInterestRateIndexFixingDate(Currency&amp;IborType&amp;"3M",M39),TRUE,AllTriggers)</f>
        <v>3.6246600989340398E-2</v>
      </c>
      <c r="R39" s="205">
        <f>_xll.qlOvernightIndexedSwapFairRate(O39,AllTriggers)</f>
        <v>3.3490752646815593E-2</v>
      </c>
      <c r="S39" s="207">
        <f t="shared" si="2"/>
        <v>2.7558483425248054E-3</v>
      </c>
    </row>
    <row r="40" spans="5:19" ht="11.25" customHeight="1" x14ac:dyDescent="0.2">
      <c r="E40" s="199"/>
      <c r="F40" s="199"/>
      <c r="G40" s="198"/>
      <c r="J40" s="198"/>
      <c r="K40" s="198"/>
      <c r="M40" s="213">
        <f>_xll.qlCalendarAdvance(Calendar,M39,"1M","f",,Trigger)</f>
        <v>43073</v>
      </c>
      <c r="N40" s="204">
        <f>_xll.qlInterestRateIndexMaturity("AUDBBSW3M",M40)</f>
        <v>43164</v>
      </c>
      <c r="O40" s="206" t="str">
        <f>_xll.qlMakeDatedOIS(,M40,N40,OvernightIndex,0,,,,EvaluationDate)</f>
        <v>obj_00288#0000</v>
      </c>
      <c r="P40" s="206" t="b">
        <f>_xll.qlInstrumentSetPricingEngine(O40,OisEngine)</f>
        <v>1</v>
      </c>
      <c r="Q40" s="205">
        <f>_xll.qlIndexFixing(Currency&amp;IborType&amp;"3M",_xll.qlInterestRateIndexFixingDate(Currency&amp;IborType&amp;"3M",M40),TRUE,AllTriggers)</f>
        <v>3.6501457416132463E-2</v>
      </c>
      <c r="R40" s="205">
        <f>_xll.qlOvernightIndexedSwapFairRate(O40,AllTriggers)</f>
        <v>3.3701347487891671E-2</v>
      </c>
      <c r="S40" s="207">
        <f t="shared" si="2"/>
        <v>2.8001099282407918E-3</v>
      </c>
    </row>
    <row r="41" spans="5:19" ht="11.25" customHeight="1" x14ac:dyDescent="0.2">
      <c r="E41" s="199"/>
      <c r="F41" s="199"/>
      <c r="G41" s="198"/>
      <c r="J41" s="198"/>
      <c r="K41" s="198"/>
      <c r="M41" s="213">
        <f>_xll.qlCalendarAdvance(Calendar,M40,"1M","f",,Trigger)</f>
        <v>43104</v>
      </c>
      <c r="N41" s="204">
        <f>_xll.qlInterestRateIndexMaturity("AUDBBSW3M",M41)</f>
        <v>43194</v>
      </c>
      <c r="O41" s="206" t="str">
        <f>_xll.qlMakeDatedOIS(,M41,N41,OvernightIndex,0,,,,EvaluationDate)</f>
        <v>obj_00289#0000</v>
      </c>
      <c r="P41" s="206" t="b">
        <f>_xll.qlInstrumentSetPricingEngine(O41,OisEngine)</f>
        <v>1</v>
      </c>
      <c r="Q41" s="205">
        <f>_xll.qlIndexFixing(Currency&amp;IborType&amp;"3M",_xll.qlInterestRateIndexFixingDate(Currency&amp;IborType&amp;"3M",M41),TRUE,AllTriggers)</f>
        <v>3.6764113362365382E-2</v>
      </c>
      <c r="R41" s="205">
        <f>_xll.qlOvernightIndexedSwapFairRate(O41,AllTriggers)</f>
        <v>3.3930126513889824E-2</v>
      </c>
      <c r="S41" s="207">
        <f t="shared" si="2"/>
        <v>2.8339868484755573E-3</v>
      </c>
    </row>
    <row r="42" spans="5:19" ht="11.25" customHeight="1" x14ac:dyDescent="0.2">
      <c r="E42" s="199"/>
      <c r="F42" s="199"/>
      <c r="G42" s="198"/>
      <c r="J42" s="198"/>
      <c r="K42" s="198"/>
      <c r="M42" s="213">
        <f>_xll.qlCalendarAdvance(Calendar,M41,"1M","f",,Trigger)</f>
        <v>43136</v>
      </c>
      <c r="N42" s="204">
        <f>_xll.qlInterestRateIndexMaturity("AUDBBSW3M",M42)</f>
        <v>43227</v>
      </c>
      <c r="O42" s="206" t="str">
        <f>_xll.qlMakeDatedOIS(,M42,N42,OvernightIndex,0,,,,EvaluationDate)</f>
        <v>obj_0028a#0000</v>
      </c>
      <c r="P42" s="206" t="b">
        <f>_xll.qlInstrumentSetPricingEngine(O42,OisEngine)</f>
        <v>1</v>
      </c>
      <c r="Q42" s="205">
        <f>_xll.qlIndexFixing(Currency&amp;IborType&amp;"3M",_xll.qlInterestRateIndexFixingDate(Currency&amp;IborType&amp;"3M",M42),TRUE,AllTriggers)</f>
        <v>3.7042718264748656E-2</v>
      </c>
      <c r="R42" s="205">
        <f>_xll.qlOvernightIndexedSwapFairRate(O42,AllTriggers)</f>
        <v>3.4185931817399658E-2</v>
      </c>
      <c r="S42" s="207">
        <f t="shared" si="2"/>
        <v>2.8567864473489982E-3</v>
      </c>
    </row>
    <row r="43" spans="5:19" ht="11.25" customHeight="1" x14ac:dyDescent="0.2">
      <c r="E43" s="199"/>
      <c r="F43" s="199"/>
      <c r="G43" s="198"/>
      <c r="J43" s="198"/>
      <c r="K43" s="198"/>
      <c r="M43" s="213">
        <f>_xll.qlCalendarAdvance(Calendar,M42,"1M","f",,Trigger)</f>
        <v>43164</v>
      </c>
      <c r="N43" s="204">
        <f>_xll.qlInterestRateIndexMaturity("AUDBBSW3M",M43)</f>
        <v>43256</v>
      </c>
      <c r="O43" s="206" t="str">
        <f>_xll.qlMakeDatedOIS(,M43,N43,OvernightIndex,0,,,,EvaluationDate)</f>
        <v>obj_0028b#0000</v>
      </c>
      <c r="P43" s="206" t="b">
        <f>_xll.qlInstrumentSetPricingEngine(O43,OisEngine)</f>
        <v>1</v>
      </c>
      <c r="Q43" s="205">
        <f>_xll.qlIndexFixing(Currency&amp;IborType&amp;"3M",_xll.qlInterestRateIndexFixingDate(Currency&amp;IborType&amp;"3M",M43),TRUE,AllTriggers)</f>
        <v>3.7283052206023654E-2</v>
      </c>
      <c r="R43" s="205">
        <f>_xll.qlOvernightIndexedSwapFairRate(O43,AllTriggers)</f>
        <v>3.4417807589304336E-2</v>
      </c>
      <c r="S43" s="207">
        <f t="shared" si="2"/>
        <v>2.8652446167193174E-3</v>
      </c>
    </row>
    <row r="44" spans="5:19" ht="11.25" customHeight="1" x14ac:dyDescent="0.2">
      <c r="E44" s="199"/>
      <c r="F44" s="199"/>
      <c r="G44" s="198"/>
      <c r="J44" s="198"/>
      <c r="K44" s="198"/>
      <c r="M44" s="213">
        <f>_xll.qlCalendarAdvance(Calendar,M43,"1M","f",,Trigger)</f>
        <v>43195</v>
      </c>
      <c r="N44" s="204">
        <f>_xll.qlInterestRateIndexMaturity("AUDBBSW3M",M44)</f>
        <v>43286</v>
      </c>
      <c r="O44" s="206" t="str">
        <f>_xll.qlMakeDatedOIS(,M44,N44,OvernightIndex,0,,,,EvaluationDate)</f>
        <v>obj_0028c#0000</v>
      </c>
      <c r="P44" s="206" t="b">
        <f>_xll.qlInstrumentSetPricingEngine(O44,OisEngine)</f>
        <v>1</v>
      </c>
      <c r="Q44" s="205">
        <f>_xll.qlIndexFixing(Currency&amp;IborType&amp;"3M",_xll.qlInterestRateIndexFixingDate(Currency&amp;IborType&amp;"3M",M44),TRUE,AllTriggers)</f>
        <v>3.753199410770458E-2</v>
      </c>
      <c r="R44" s="205">
        <f>_xll.qlOvernightIndexedSwapFairRate(O44,AllTriggers)</f>
        <v>3.4669988268036488E-2</v>
      </c>
      <c r="S44" s="207">
        <f t="shared" si="2"/>
        <v>2.8620058396680928E-3</v>
      </c>
    </row>
    <row r="45" spans="5:19" ht="11.25" customHeight="1" x14ac:dyDescent="0.2">
      <c r="E45" s="199"/>
      <c r="F45" s="199"/>
      <c r="G45" s="198"/>
      <c r="J45" s="198"/>
      <c r="K45" s="198"/>
      <c r="M45" s="213">
        <f>_xll.qlCalendarAdvance(Calendar,M44,"1M","f",,Trigger)</f>
        <v>43227</v>
      </c>
      <c r="N45" s="204">
        <f>_xll.qlInterestRateIndexMaturity("AUDBBSW3M",M45)</f>
        <v>43319</v>
      </c>
      <c r="O45" s="206" t="str">
        <f>_xll.qlMakeDatedOIS(,M45,N45,OvernightIndex,0,,,,EvaluationDate)</f>
        <v>obj_0028d#0000</v>
      </c>
      <c r="P45" s="206" t="b">
        <f>_xll.qlInstrumentSetPricingEngine(O45,OisEngine)</f>
        <v>1</v>
      </c>
      <c r="Q45" s="205">
        <f>_xll.qlIndexFixing(Currency&amp;IborType&amp;"3M",_xll.qlInterestRateIndexFixingDate(Currency&amp;IborType&amp;"3M",M45),TRUE,AllTriggers)</f>
        <v>3.7796142201153154E-2</v>
      </c>
      <c r="R45" s="205">
        <f>_xll.qlOvernightIndexedSwapFairRate(O45,AllTriggers)</f>
        <v>3.4950881921861215E-2</v>
      </c>
      <c r="S45" s="207">
        <f t="shared" si="2"/>
        <v>2.845260279291939E-3</v>
      </c>
    </row>
    <row r="46" spans="5:19" ht="11.25" customHeight="1" x14ac:dyDescent="0.2">
      <c r="E46" s="199"/>
      <c r="F46" s="199"/>
      <c r="G46" s="198"/>
      <c r="J46" s="198"/>
      <c r="K46" s="198"/>
      <c r="M46" s="213">
        <f>_xll.qlCalendarAdvance(Calendar,M45,"1M","f",,Trigger)</f>
        <v>43258</v>
      </c>
      <c r="N46" s="204">
        <f>_xll.qlInterestRateIndexMaturity("AUDBBSW3M",M46)</f>
        <v>43350</v>
      </c>
      <c r="O46" s="206" t="str">
        <f>_xll.qlMakeDatedOIS(,M46,N46,OvernightIndex,0,,,,EvaluationDate)</f>
        <v>obj_0028e#0000</v>
      </c>
      <c r="P46" s="206" t="b">
        <f>_xll.qlInstrumentSetPricingEngine(O46,OisEngine)</f>
        <v>1</v>
      </c>
      <c r="Q46" s="205">
        <f>_xll.qlIndexFixing(Currency&amp;IborType&amp;"3M",_xll.qlInterestRateIndexFixingDate(Currency&amp;IborType&amp;"3M",M46),TRUE,AllTriggers)</f>
        <v>3.8041478107546677E-2</v>
      </c>
      <c r="R46" s="205">
        <f>_xll.qlOvernightIndexedSwapFairRate(O46,AllTriggers)</f>
        <v>3.5225438022552229E-2</v>
      </c>
      <c r="S46" s="207">
        <f t="shared" si="2"/>
        <v>2.8160400849944478E-3</v>
      </c>
    </row>
    <row r="47" spans="5:19" ht="11.25" customHeight="1" x14ac:dyDescent="0.2">
      <c r="E47" s="199"/>
      <c r="F47" s="199"/>
      <c r="G47" s="198"/>
      <c r="J47" s="198"/>
      <c r="K47" s="198"/>
      <c r="M47" s="213">
        <f>_xll.qlCalendarAdvance(Calendar,M46,"1M","f",,Trigger)</f>
        <v>43290</v>
      </c>
      <c r="N47" s="204">
        <f>_xll.qlInterestRateIndexMaturity("AUDBBSW3M",M47)</f>
        <v>43382</v>
      </c>
      <c r="O47" s="206" t="str">
        <f>_xll.qlMakeDatedOIS(,M47,N47,OvernightIndex,0,,,,EvaluationDate)</f>
        <v>obj_002a0#0000</v>
      </c>
      <c r="P47" s="206" t="b">
        <f>_xll.qlInstrumentSetPricingEngine(O47,OisEngine)</f>
        <v>1</v>
      </c>
      <c r="Q47" s="205">
        <f>_xll.qlIndexFixing(Currency&amp;IborType&amp;"3M",_xll.qlInterestRateIndexFixingDate(Currency&amp;IborType&amp;"3M",M47),TRUE,AllTriggers)</f>
        <v>3.8289985366168837E-2</v>
      </c>
      <c r="R47" s="205">
        <f>_xll.qlOvernightIndexedSwapFairRate(O47,AllTriggers)</f>
        <v>3.5516068397000514E-2</v>
      </c>
      <c r="S47" s="207">
        <f t="shared" si="2"/>
        <v>2.7739169691683233E-3</v>
      </c>
    </row>
    <row r="48" spans="5:19" ht="11.25" customHeight="1" x14ac:dyDescent="0.2">
      <c r="E48" s="199"/>
      <c r="F48" s="199"/>
      <c r="G48" s="198"/>
      <c r="J48" s="198"/>
      <c r="K48" s="198"/>
      <c r="M48" s="213">
        <f>_xll.qlCalendarAdvance(Calendar,M47,"1M","f",,Trigger)</f>
        <v>43321</v>
      </c>
      <c r="N48" s="204">
        <f>_xll.qlInterestRateIndexMaturity("AUDBBSW3M",M48)</f>
        <v>43413</v>
      </c>
      <c r="O48" s="206" t="str">
        <f>_xll.qlMakeDatedOIS(,M48,N48,OvernightIndex,0,,,,EvaluationDate)</f>
        <v>obj_0028f#0000</v>
      </c>
      <c r="P48" s="206" t="b">
        <f>_xll.qlInstrumentSetPricingEngine(O48,OisEngine)</f>
        <v>1</v>
      </c>
      <c r="Q48" s="205">
        <f>_xll.qlIndexFixing(Currency&amp;IborType&amp;"3M",_xll.qlInterestRateIndexFixingDate(Currency&amp;IborType&amp;"3M",M48),TRUE,AllTriggers)</f>
        <v>3.8527292219646993E-2</v>
      </c>
      <c r="R48" s="205">
        <f>_xll.qlOvernightIndexedSwapFairRate(O48,AllTriggers)</f>
        <v>3.5797154828008888E-2</v>
      </c>
      <c r="S48" s="207">
        <f t="shared" si="2"/>
        <v>2.7301373916381044E-3</v>
      </c>
    </row>
    <row r="49" spans="5:20" ht="11.25" customHeight="1" x14ac:dyDescent="0.2">
      <c r="E49" s="199"/>
      <c r="F49" s="199"/>
      <c r="G49" s="198"/>
      <c r="J49" s="198"/>
      <c r="K49" s="198"/>
      <c r="M49" s="213">
        <f>_xll.qlCalendarAdvance(Calendar,M48,"1M","f",,Trigger)</f>
        <v>43353</v>
      </c>
      <c r="N49" s="204">
        <f>_xll.qlInterestRateIndexMaturity("AUDBBSW3M",M49)</f>
        <v>43444</v>
      </c>
      <c r="O49" s="206" t="str">
        <f>_xll.qlMakeDatedOIS(,M49,N49,OvernightIndex,0,,,,EvaluationDate)</f>
        <v>obj_0029b#0000</v>
      </c>
      <c r="P49" s="206" t="b">
        <f>_xll.qlInstrumentSetPricingEngine(O49,OisEngine)</f>
        <v>1</v>
      </c>
      <c r="Q49" s="205">
        <f>_xll.qlIndexFixing(Currency&amp;IborType&amp;"3M",_xll.qlInterestRateIndexFixingDate(Currency&amp;IborType&amp;"3M",M49),TRUE,AllTriggers)</f>
        <v>3.8764411314888773E-2</v>
      </c>
      <c r="R49" s="205">
        <f>_xll.qlOvernightIndexedSwapFairRate(O49,AllTriggers)</f>
        <v>3.6071053339076578E-2</v>
      </c>
      <c r="S49" s="207">
        <f t="shared" si="2"/>
        <v>2.6933579758121953E-3</v>
      </c>
    </row>
    <row r="50" spans="5:20" ht="11.25" customHeight="1" x14ac:dyDescent="0.2">
      <c r="E50" s="199"/>
      <c r="F50" s="199"/>
      <c r="G50" s="198"/>
      <c r="J50" s="198"/>
      <c r="K50" s="198"/>
      <c r="M50" s="213">
        <f>_xll.qlCalendarAdvance(Calendar,M49,"1M","f",,Trigger)</f>
        <v>43383</v>
      </c>
      <c r="N50" s="204">
        <f>_xll.qlInterestRateIndexMaturity("AUDBBSW3M",M50)</f>
        <v>43475</v>
      </c>
      <c r="O50" s="206" t="str">
        <f>_xll.qlMakeDatedOIS(,M50,N50,OvernightIndex,0,,,,EvaluationDate)</f>
        <v>obj_00290#0000</v>
      </c>
      <c r="P50" s="206" t="b">
        <f>_xll.qlInstrumentSetPricingEngine(O50,OisEngine)</f>
        <v>1</v>
      </c>
      <c r="Q50" s="205">
        <f>_xll.qlIndexFixing(Currency&amp;IborType&amp;"3M",_xll.qlInterestRateIndexFixingDate(Currency&amp;IborType&amp;"3M",M50),TRUE,AllTriggers)</f>
        <v>3.8997341910259518E-2</v>
      </c>
      <c r="R50" s="205">
        <f>_xll.qlOvernightIndexedSwapFairRate(O50,AllTriggers)</f>
        <v>3.6322134447180091E-2</v>
      </c>
      <c r="S50" s="207">
        <f t="shared" si="2"/>
        <v>2.6752074630794279E-3</v>
      </c>
    </row>
    <row r="51" spans="5:20" ht="11.25" customHeight="1" x14ac:dyDescent="0.2">
      <c r="E51" s="199"/>
      <c r="F51" s="199"/>
      <c r="G51" s="198"/>
      <c r="J51" s="198"/>
      <c r="K51" s="198"/>
      <c r="M51" s="213">
        <f>_xll.qlCalendarAdvance(Calendar,M50,"1M","f",,Trigger)</f>
        <v>43416</v>
      </c>
      <c r="N51" s="204">
        <f>_xll.qlInterestRateIndexMaturity("AUDBBSW3M",M51)</f>
        <v>43508</v>
      </c>
      <c r="O51" s="206" t="str">
        <f>_xll.qlMakeDatedOIS(,M51,N51,OvernightIndex,0,,,,EvaluationDate)</f>
        <v>obj_0029a#0000</v>
      </c>
      <c r="P51" s="206" t="b">
        <f>_xll.qlInstrumentSetPricingEngine(O51,OisEngine)</f>
        <v>1</v>
      </c>
      <c r="Q51" s="205">
        <f>_xll.qlIndexFixing(Currency&amp;IborType&amp;"3M",_xll.qlInterestRateIndexFixingDate(Currency&amp;IborType&amp;"3M",M51),TRUE,AllTriggers)</f>
        <v>3.9246664232662348E-2</v>
      </c>
      <c r="R51" s="205">
        <f>_xll.qlOvernightIndexedSwapFairRate(O51,AllTriggers)</f>
        <v>3.6570948087893525E-2</v>
      </c>
      <c r="S51" s="207">
        <f t="shared" si="2"/>
        <v>2.6757161447688235E-3</v>
      </c>
    </row>
    <row r="52" spans="5:20" ht="11.25" customHeight="1" x14ac:dyDescent="0.2">
      <c r="E52" s="199"/>
      <c r="F52" s="199"/>
      <c r="G52" s="198"/>
      <c r="J52" s="198"/>
      <c r="K52" s="198"/>
      <c r="M52" s="213">
        <f>_xll.qlCalendarAdvance(Calendar,M51,"1M","f",,Trigger)</f>
        <v>43446</v>
      </c>
      <c r="N52" s="204">
        <f>_xll.qlInterestRateIndexMaturity("AUDBBSW3M",M52)</f>
        <v>43536</v>
      </c>
      <c r="O52" s="206" t="str">
        <f>_xll.qlMakeDatedOIS(,M52,N52,OvernightIndex,0,,,,EvaluationDate)</f>
        <v>obj_00291#0000</v>
      </c>
      <c r="P52" s="206" t="b">
        <f>_xll.qlInstrumentSetPricingEngine(O52,OisEngine)</f>
        <v>1</v>
      </c>
      <c r="Q52" s="205">
        <f>_xll.qlIndexFixing(Currency&amp;IborType&amp;"3M",_xll.qlInterestRateIndexFixingDate(Currency&amp;IborType&amp;"3M",M52),TRUE,AllTriggers)</f>
        <v>3.9461104120276196E-2</v>
      </c>
      <c r="R52" s="205">
        <f>_xll.qlOvernightIndexedSwapFairRate(O52,AllTriggers)</f>
        <v>3.6768086498135226E-2</v>
      </c>
      <c r="S52" s="207">
        <f t="shared" si="2"/>
        <v>2.6930176221409696E-3</v>
      </c>
    </row>
    <row r="53" spans="5:20" ht="11.25" customHeight="1" x14ac:dyDescent="0.2">
      <c r="E53" s="199"/>
      <c r="F53" s="199"/>
      <c r="G53" s="198"/>
      <c r="J53" s="198"/>
      <c r="K53" s="198"/>
      <c r="M53" s="213">
        <f>_xll.qlCalendarAdvance(Calendar,M52,"1M","f",,Trigger)</f>
        <v>43479</v>
      </c>
      <c r="N53" s="204">
        <f>_xll.qlInterestRateIndexMaturity("AUDBBSW3M",M53)</f>
        <v>43570</v>
      </c>
      <c r="O53" s="206" t="str">
        <f>_xll.qlMakeDatedOIS(,M53,N53,OvernightIndex,0,,,,EvaluationDate)</f>
        <v>obj_00292#0000</v>
      </c>
      <c r="P53" s="206" t="b">
        <f>_xll.qlInstrumentSetPricingEngine(O53,OisEngine)</f>
        <v>1</v>
      </c>
      <c r="Q53" s="205">
        <f>_xll.qlIndexFixing(Currency&amp;IborType&amp;"3M",_xll.qlInterestRateIndexFixingDate(Currency&amp;IborType&amp;"3M",M53),TRUE,AllTriggers)</f>
        <v>3.9715334482560372E-2</v>
      </c>
      <c r="R53" s="205">
        <f>_xll.qlOvernightIndexedSwapFairRate(O53,AllTriggers)</f>
        <v>3.6980432458866168E-2</v>
      </c>
      <c r="S53" s="207">
        <f t="shared" si="2"/>
        <v>2.7349020236942037E-3</v>
      </c>
    </row>
    <row r="54" spans="5:20" ht="11.25" customHeight="1" x14ac:dyDescent="0.2">
      <c r="E54" s="199"/>
      <c r="F54" s="199"/>
      <c r="G54" s="198"/>
      <c r="J54" s="198"/>
      <c r="K54" s="198"/>
      <c r="M54" s="213">
        <f>_xll.qlCalendarAdvance(Calendar,M53,"1M","f",,Trigger)</f>
        <v>43510</v>
      </c>
      <c r="N54" s="204">
        <f>_xll.qlInterestRateIndexMaturity("AUDBBSW3M",M54)</f>
        <v>43599</v>
      </c>
      <c r="O54" s="206" t="str">
        <f>_xll.qlMakeDatedOIS(,M54,N54,OvernightIndex,0,,,,EvaluationDate)</f>
        <v>obj_00293#0000</v>
      </c>
      <c r="P54" s="206" t="b">
        <f>_xll.qlInstrumentSetPricingEngine(O54,OisEngine)</f>
        <v>1</v>
      </c>
      <c r="Q54" s="205">
        <f>_xll.qlIndexFixing(Currency&amp;IborType&amp;"3M",_xll.qlInterestRateIndexFixingDate(Currency&amp;IborType&amp;"3M",M54),TRUE,AllTriggers)</f>
        <v>3.9936312846365833E-2</v>
      </c>
      <c r="R54" s="205">
        <f>_xll.qlOvernightIndexedSwapFairRate(O54,AllTriggers)</f>
        <v>3.7146375773640279E-2</v>
      </c>
      <c r="S54" s="207">
        <f t="shared" si="2"/>
        <v>2.789937072725554E-3</v>
      </c>
    </row>
    <row r="55" spans="5:20" ht="11.25" customHeight="1" x14ac:dyDescent="0.2">
      <c r="E55" s="199"/>
      <c r="F55" s="199"/>
      <c r="G55" s="198"/>
      <c r="J55" s="198"/>
      <c r="K55" s="198"/>
      <c r="M55" s="213">
        <f>_xll.qlCalendarAdvance(Calendar,M54,"1M","f",,Trigger)</f>
        <v>43538</v>
      </c>
      <c r="N55" s="204">
        <f>_xll.qlInterestRateIndexMaturity("AUDBBSW3M",M55)</f>
        <v>43630</v>
      </c>
      <c r="O55" s="206" t="str">
        <f>_xll.qlMakeDatedOIS(,M55,N55,OvernightIndex,0,,,,EvaluationDate)</f>
        <v>obj_00298#0000</v>
      </c>
      <c r="P55" s="206" t="b">
        <f>_xll.qlInstrumentSetPricingEngine(O55,OisEngine)</f>
        <v>1</v>
      </c>
      <c r="Q55" s="205">
        <f>_xll.qlIndexFixing(Currency&amp;IborType&amp;"3M",_xll.qlInterestRateIndexFixingDate(Currency&amp;IborType&amp;"3M",M55),TRUE,AllTriggers)</f>
        <v>4.016402531592201E-2</v>
      </c>
      <c r="R55" s="205">
        <f>_xll.qlOvernightIndexedSwapFairRate(O55,AllTriggers)</f>
        <v>3.7300653364397578E-2</v>
      </c>
      <c r="S55" s="207">
        <f t="shared" si="2"/>
        <v>2.8633719515244321E-3</v>
      </c>
    </row>
    <row r="56" spans="5:20" ht="11.25" customHeight="1" x14ac:dyDescent="0.2">
      <c r="E56" s="199"/>
      <c r="F56" s="199"/>
      <c r="G56" s="198"/>
      <c r="J56" s="198"/>
      <c r="K56" s="198"/>
      <c r="M56" s="213">
        <f>_xll.qlCalendarAdvance(Calendar,M55,"1M","f",,Trigger)</f>
        <v>43570</v>
      </c>
      <c r="N56" s="204">
        <f>_xll.qlInterestRateIndexMaturity("AUDBBSW3M",M56)</f>
        <v>43661</v>
      </c>
      <c r="O56" s="206" t="str">
        <f>_xll.qlMakeDatedOIS(,M56,N56,OvernightIndex,0,,,,EvaluationDate)</f>
        <v>obj_00294#0000</v>
      </c>
      <c r="P56" s="206" t="b">
        <f>_xll.qlInstrumentSetPricingEngine(O56,OisEngine)</f>
        <v>1</v>
      </c>
      <c r="Q56" s="205">
        <f>_xll.qlIndexFixing(Currency&amp;IborType&amp;"3M",_xll.qlInterestRateIndexFixingDate(Currency&amp;IborType&amp;"3M",M56),TRUE,AllTriggers)</f>
        <v>4.0397541069133465E-2</v>
      </c>
      <c r="R56" s="205">
        <f>_xll.qlOvernightIndexedSwapFairRate(O56,AllTriggers)</f>
        <v>3.7438638592848267E-2</v>
      </c>
      <c r="S56" s="207">
        <f t="shared" si="2"/>
        <v>2.9589024762851981E-3</v>
      </c>
    </row>
    <row r="57" spans="5:20" ht="11.25" customHeight="1" x14ac:dyDescent="0.2">
      <c r="E57" s="199"/>
      <c r="F57" s="199"/>
      <c r="G57" s="198"/>
      <c r="J57" s="198"/>
      <c r="K57" s="198"/>
      <c r="M57" s="213">
        <f>_xll.qlCalendarAdvance(Calendar,M56,"1M","f",,Trigger)</f>
        <v>43600</v>
      </c>
      <c r="N57" s="204">
        <f>_xll.qlInterestRateIndexMaturity("AUDBBSW3M",M57)</f>
        <v>43692</v>
      </c>
      <c r="O57" s="206" t="str">
        <f>_xll.qlMakeDatedOIS(,M57,N57,OvernightIndex,0,,,,EvaluationDate)</f>
        <v>obj_002a6#0000</v>
      </c>
      <c r="P57" s="206" t="b">
        <f>_xll.qlInstrumentSetPricingEngine(O57,OisEngine)</f>
        <v>1</v>
      </c>
      <c r="Q57" s="205">
        <f>_xll.qlIndexFixing(Currency&amp;IborType&amp;"3M",_xll.qlInterestRateIndexFixingDate(Currency&amp;IborType&amp;"3M",M57),TRUE,AllTriggers)</f>
        <v>4.0627584174175696E-2</v>
      </c>
      <c r="R57" s="205">
        <f>_xll.qlOvernightIndexedSwapFairRate(O57,AllTriggers)</f>
        <v>3.7556736227641892E-2</v>
      </c>
      <c r="S57" s="207">
        <f t="shared" si="2"/>
        <v>3.0708479465338043E-3</v>
      </c>
    </row>
    <row r="58" spans="5:20" ht="11.25" customHeight="1" x14ac:dyDescent="0.2">
      <c r="E58" s="199"/>
      <c r="F58" s="199"/>
      <c r="G58" s="198"/>
      <c r="J58" s="198"/>
      <c r="K58" s="198"/>
      <c r="M58" s="213">
        <f>_xll.qlCalendarAdvance(Calendar,M57,"1M","f",,Trigger)</f>
        <v>43633</v>
      </c>
      <c r="N58" s="204">
        <f>_xll.qlInterestRateIndexMaturity("AUDBBSW3M",M58)</f>
        <v>43725</v>
      </c>
      <c r="O58" s="206" t="str">
        <f>_xll.qlMakeDatedOIS(,M58,N58,OvernightIndex,0,,,,EvaluationDate)</f>
        <v>obj_002a7#0000</v>
      </c>
      <c r="P58" s="206" t="b">
        <f>_xll.qlInstrumentSetPricingEngine(O58,OisEngine)</f>
        <v>1</v>
      </c>
      <c r="Q58" s="205">
        <f>_xll.qlIndexFixing(Currency&amp;IborType&amp;"3M",_xll.qlInterestRateIndexFixingDate(Currency&amp;IborType&amp;"3M",M58),TRUE,AllTriggers)</f>
        <v>4.0873587196572803E-2</v>
      </c>
      <c r="R58" s="205">
        <f>_xll.qlOvernightIndexedSwapFairRate(O58,AllTriggers)</f>
        <v>3.766152581775576E-2</v>
      </c>
      <c r="S58" s="207">
        <f t="shared" si="2"/>
        <v>3.2120613788170424E-3</v>
      </c>
    </row>
    <row r="59" spans="5:20" ht="11.25" customHeight="1" x14ac:dyDescent="0.2">
      <c r="E59" s="199"/>
      <c r="F59" s="199"/>
      <c r="G59" s="198"/>
      <c r="J59" s="198"/>
      <c r="K59" s="198"/>
      <c r="M59" s="213">
        <f>_xll.qlCalendarAdvance(Calendar,M58,"1M","f",,Trigger)</f>
        <v>43663</v>
      </c>
      <c r="N59" s="204">
        <f>_xll.qlInterestRateIndexMaturity("AUDBBSW3M",M59)</f>
        <v>43755</v>
      </c>
      <c r="O59" s="206" t="str">
        <f>_xll.qlMakeDatedOIS(,M59,N59,OvernightIndex,0,,,,EvaluationDate)</f>
        <v>obj_002a8#0000</v>
      </c>
      <c r="P59" s="206" t="b">
        <f>_xll.qlInstrumentSetPricingEngine(O59,OisEngine)</f>
        <v>1</v>
      </c>
      <c r="Q59" s="205">
        <f>_xll.qlIndexFixing(Currency&amp;IborType&amp;"3M",_xll.qlInterestRateIndexFixingDate(Currency&amp;IborType&amp;"3M",M59),TRUE,AllTriggers)</f>
        <v>4.1096228352618495E-2</v>
      </c>
      <c r="R59" s="205">
        <f>_xll.qlOvernightIndexedSwapFairRate(O59,AllTriggers)</f>
        <v>3.7742106279018466E-2</v>
      </c>
      <c r="S59" s="207">
        <f t="shared" si="2"/>
        <v>3.3541220736000299E-3</v>
      </c>
    </row>
    <row r="60" spans="5:20" ht="11.25" customHeight="1" x14ac:dyDescent="0.2">
      <c r="E60" s="199"/>
      <c r="F60" s="199"/>
      <c r="G60" s="198"/>
      <c r="J60" s="198"/>
      <c r="K60" s="198"/>
      <c r="M60" s="213">
        <f>_xll.qlCalendarAdvance(Calendar,M59,"1M","f",,Trigger)</f>
        <v>43696</v>
      </c>
      <c r="N60" s="204">
        <f>_xll.qlInterestRateIndexMaturity("AUDBBSW3M",M60)</f>
        <v>43788</v>
      </c>
      <c r="O60" s="206" t="str">
        <f>_xll.qlMakeDatedOIS(,M60,N60,OvernightIndex,0,,,,EvaluationDate)</f>
        <v>obj_002a9#0000</v>
      </c>
      <c r="P60" s="206" t="b">
        <f>_xll.qlInstrumentSetPricingEngine(O60,OisEngine)</f>
        <v>1</v>
      </c>
      <c r="Q60" s="205">
        <f>_xll.qlIndexFixing(Currency&amp;IborType&amp;"3M",_xll.qlInterestRateIndexFixingDate(Currency&amp;IborType&amp;"3M",M60),TRUE,AllTriggers)</f>
        <v>4.1337996549259126E-2</v>
      </c>
      <c r="R60" s="205">
        <f>_xll.qlOvernightIndexedSwapFairRate(O60,AllTriggers)</f>
        <v>3.7830374181343156E-2</v>
      </c>
      <c r="S60" s="207">
        <f t="shared" si="2"/>
        <v>3.5076223679159704E-3</v>
      </c>
    </row>
    <row r="61" spans="5:20" ht="11.25" customHeight="1" x14ac:dyDescent="0.2">
      <c r="E61" s="199"/>
      <c r="F61" s="199"/>
      <c r="G61" s="198"/>
      <c r="J61" s="198"/>
      <c r="K61" s="198"/>
      <c r="M61" s="213">
        <f>_xll.qlCalendarAdvance(Calendar,M60,"1M","f",,Trigger)</f>
        <v>43727</v>
      </c>
      <c r="N61" s="204">
        <f>_xll.qlInterestRateIndexMaturity("AUDBBSW3M",M61)</f>
        <v>43818</v>
      </c>
      <c r="O61" s="206" t="str">
        <f>_xll.qlMakeDatedOIS(,M61,N61,OvernightIndex,0,,,,EvaluationDate)</f>
        <v>obj_0032b#0000</v>
      </c>
      <c r="P61" s="206" t="b">
        <f>_xll.qlInstrumentSetPricingEngine(O61,OisEngine)</f>
        <v>1</v>
      </c>
      <c r="Q61" s="205">
        <f>_xll.qlIndexFixing(Currency&amp;IborType&amp;"3M",_xll.qlInterestRateIndexFixingDate(Currency&amp;IborType&amp;"3M",M61),TRUE,AllTriggers)</f>
        <v>4.1554197436173154E-2</v>
      </c>
      <c r="R61" s="205">
        <f>_xll.qlOvernightIndexedSwapFairRate(O61,AllTriggers)</f>
        <v>3.7925055730476914E-2</v>
      </c>
      <c r="S61" s="207">
        <f t="shared" si="2"/>
        <v>3.62914170569624E-3</v>
      </c>
    </row>
    <row r="62" spans="5:20" ht="11.25" customHeight="1" x14ac:dyDescent="0.2">
      <c r="E62" s="199"/>
      <c r="F62" s="199"/>
      <c r="G62" s="198"/>
      <c r="J62" s="198"/>
      <c r="K62" s="198"/>
      <c r="M62" s="213">
        <f>_xll.qlCalendarAdvance(Calendar,M61,"1M","f",,Trigger)</f>
        <v>43759</v>
      </c>
      <c r="N62" s="204">
        <f>_xll.qlInterestRateIndexMaturity("AUDBBSW3M",M62)</f>
        <v>43851</v>
      </c>
      <c r="O62" s="206" t="str">
        <f>_xll.qlMakeDatedOIS(,M62,N62,OvernightIndex,0,,,,EvaluationDate)</f>
        <v>obj_002ab#0000</v>
      </c>
      <c r="P62" s="206" t="b">
        <f>_xll.qlInstrumentSetPricingEngine(O62,OisEngine)</f>
        <v>1</v>
      </c>
      <c r="Q62" s="205">
        <f>_xll.qlIndexFixing(Currency&amp;IborType&amp;"3M",_xll.qlInterestRateIndexFixingDate(Currency&amp;IborType&amp;"3M",M62),TRUE,AllTriggers)</f>
        <v>4.1782659560012425E-2</v>
      </c>
      <c r="R62" s="205">
        <f>_xll.qlOvernightIndexedSwapFairRate(O62,AllTriggers)</f>
        <v>3.8057910127727516E-2</v>
      </c>
      <c r="S62" s="207">
        <f t="shared" si="2"/>
        <v>3.7247494322849087E-3</v>
      </c>
    </row>
    <row r="63" spans="5:20" ht="11.25" customHeight="1" x14ac:dyDescent="0.2">
      <c r="E63" s="199"/>
      <c r="F63" s="199"/>
      <c r="G63" s="198"/>
      <c r="J63" s="198"/>
      <c r="K63" s="198"/>
      <c r="M63" s="213">
        <f>_xll.qlCalendarAdvance(Calendar,M62,"1M","f",,Trigger)</f>
        <v>43790</v>
      </c>
      <c r="N63" s="204">
        <f>_xll.qlInterestRateIndexMaturity("AUDBBSW3M",M63)</f>
        <v>43882</v>
      </c>
      <c r="O63" s="206" t="str">
        <f>_xll.qlMakeDatedOIS(,M63,N63,OvernightIndex,0,,,,EvaluationDate)</f>
        <v>obj_0030b#0000</v>
      </c>
      <c r="P63" s="206" t="b">
        <f>_xll.qlInstrumentSetPricingEngine(O63,OisEngine)</f>
        <v>1</v>
      </c>
      <c r="Q63" s="205">
        <f>_xll.qlIndexFixing(Currency&amp;IborType&amp;"3M",_xll.qlInterestRateIndexFixingDate(Currency&amp;IborType&amp;"3M",M63),TRUE,AllTriggers)</f>
        <v>4.1991831346943349E-2</v>
      </c>
      <c r="R63" s="205">
        <f>_xll.qlOvernightIndexedSwapFairRate(O63,AllTriggers)</f>
        <v>3.820983639369524E-2</v>
      </c>
      <c r="S63" s="207">
        <f t="shared" si="2"/>
        <v>3.7819949532481092E-3</v>
      </c>
      <c r="T63" s="214" t="s">
        <v>90</v>
      </c>
    </row>
    <row r="64" spans="5:20" ht="11.25" customHeight="1" x14ac:dyDescent="0.2">
      <c r="E64" s="199"/>
      <c r="F64" s="199"/>
      <c r="G64" s="198"/>
      <c r="J64" s="198"/>
      <c r="K64" s="198"/>
      <c r="M64" s="213">
        <f>_xll.qlCalendarAdvance(Calendar,M63,"1M","f",,Trigger)</f>
        <v>43822</v>
      </c>
      <c r="N64" s="204">
        <f>_xll.qlInterestRateIndexMaturity("AUDBBSW3M",M64)</f>
        <v>43913</v>
      </c>
      <c r="O64" s="206" t="str">
        <f>_xll.qlMakeDatedOIS(,M64,N64,OvernightIndex,0,,,,EvaluationDate)</f>
        <v>obj_002ad#0000</v>
      </c>
      <c r="P64" s="206" t="b">
        <f>_xll.qlInstrumentSetPricingEngine(O64,OisEngine)</f>
        <v>1</v>
      </c>
      <c r="Q64" s="205">
        <f>_xll.qlIndexFixing(Currency&amp;IborType&amp;"3M",_xll.qlInterestRateIndexFixingDate(Currency&amp;IborType&amp;"3M",M64),TRUE,AllTriggers)</f>
        <v>4.2195449421528572E-2</v>
      </c>
      <c r="R64" s="205">
        <f>_xll.qlOvernightIndexedSwapFairRate(O64,AllTriggers)</f>
        <v>3.838927270895455E-2</v>
      </c>
      <c r="S64" s="207">
        <f t="shared" si="2"/>
        <v>3.806176712574022E-3</v>
      </c>
    </row>
    <row r="65" spans="5:19" ht="11.25" customHeight="1" x14ac:dyDescent="0.2">
      <c r="E65" s="199"/>
      <c r="F65" s="199"/>
      <c r="G65" s="198"/>
      <c r="J65" s="198"/>
      <c r="K65" s="198"/>
      <c r="M65" s="213">
        <f>_xll.qlCalendarAdvance(Calendar,M64,"1M","f",,Trigger)</f>
        <v>43853</v>
      </c>
      <c r="N65" s="204">
        <f>_xll.qlInterestRateIndexMaturity("AUDBBSW3M",M65)</f>
        <v>43944</v>
      </c>
      <c r="O65" s="206" t="str">
        <f>_xll.qlMakeDatedOIS(,M65,N65,OvernightIndex,0,,,,EvaluationDate)</f>
        <v>obj_002ae#0000</v>
      </c>
      <c r="P65" s="206" t="b">
        <f>_xll.qlInstrumentSetPricingEngine(O65,OisEngine)</f>
        <v>1</v>
      </c>
      <c r="Q65" s="205">
        <f>_xll.qlIndexFixing(Currency&amp;IborType&amp;"3M",_xll.qlInterestRateIndexFixingDate(Currency&amp;IborType&amp;"3M",M65),TRUE,AllTriggers)</f>
        <v>4.2391710086879038E-2</v>
      </c>
      <c r="R65" s="205">
        <f>_xll.qlOvernightIndexedSwapFairRate(O65,AllTriggers)</f>
        <v>3.8594936665499208E-2</v>
      </c>
      <c r="S65" s="207">
        <f t="shared" si="2"/>
        <v>3.7967734213798301E-3</v>
      </c>
    </row>
    <row r="66" spans="5:19" ht="11.25" customHeight="1" x14ac:dyDescent="0.2">
      <c r="E66" s="199"/>
      <c r="F66" s="199"/>
      <c r="G66" s="198"/>
      <c r="J66" s="198"/>
      <c r="K66" s="198"/>
      <c r="M66" s="213">
        <f>_xll.qlCalendarAdvance(Calendar,M65,"1M","f",,Trigger)</f>
        <v>43885</v>
      </c>
      <c r="N66" s="204">
        <f>_xll.qlInterestRateIndexMaturity("AUDBBSW3M",M66)</f>
        <v>43976</v>
      </c>
      <c r="O66" s="206" t="str">
        <f>_xll.qlMakeDatedOIS(,M66,N66,OvernightIndex,0,,,,EvaluationDate)</f>
        <v>obj_0035e#0000</v>
      </c>
      <c r="P66" s="206" t="b">
        <f>_xll.qlInstrumentSetPricingEngine(O66,OisEngine)</f>
        <v>1</v>
      </c>
      <c r="Q66" s="205">
        <f>_xll.qlIndexFixing(Currency&amp;IborType&amp;"3M",_xll.qlInterestRateIndexFixingDate(Currency&amp;IborType&amp;"3M",M66),TRUE,AllTriggers)</f>
        <v>4.2587595550436362E-2</v>
      </c>
      <c r="R66" s="205">
        <f>_xll.qlOvernightIndexedSwapFairRate(O66,AllTriggers)</f>
        <v>3.8835207024257169E-2</v>
      </c>
      <c r="S66" s="207">
        <f t="shared" si="2"/>
        <v>3.7523885261791928E-3</v>
      </c>
    </row>
    <row r="67" spans="5:19" ht="11.25" customHeight="1" x14ac:dyDescent="0.2">
      <c r="E67" s="199"/>
      <c r="F67" s="199"/>
      <c r="G67" s="198"/>
      <c r="J67" s="198"/>
      <c r="K67" s="198"/>
      <c r="M67" s="213">
        <f>_xll.qlCalendarAdvance(Calendar,M66,"1M","f",,Trigger)</f>
        <v>43914</v>
      </c>
      <c r="N67" s="204">
        <f>_xll.qlInterestRateIndexMaturity("AUDBBSW3M",M67)</f>
        <v>44006</v>
      </c>
      <c r="O67" s="206" t="str">
        <f>_xll.qlMakeDatedOIS(,M67,N67,OvernightIndex,0,,,,EvaluationDate)</f>
        <v>obj_0030a#0000</v>
      </c>
      <c r="P67" s="206" t="b">
        <f>_xll.qlInstrumentSetPricingEngine(O67,OisEngine)</f>
        <v>1</v>
      </c>
      <c r="Q67" s="205">
        <f>_xll.qlIndexFixing(Currency&amp;IborType&amp;"3M",_xll.qlInterestRateIndexFixingDate(Currency&amp;IborType&amp;"3M",M67),TRUE,AllTriggers)</f>
        <v>4.2764586907491915E-2</v>
      </c>
      <c r="R67" s="205">
        <f>_xll.qlOvernightIndexedSwapFairRate(O67,AllTriggers)</f>
        <v>3.9084209474104299E-2</v>
      </c>
      <c r="S67" s="207">
        <f t="shared" ref="S67:S130" si="3">Q67-R67</f>
        <v>3.680377433387616E-3</v>
      </c>
    </row>
    <row r="68" spans="5:19" ht="11.25" customHeight="1" x14ac:dyDescent="0.2">
      <c r="E68" s="199"/>
      <c r="F68" s="199"/>
      <c r="G68" s="198"/>
      <c r="J68" s="198"/>
      <c r="K68" s="198"/>
      <c r="M68" s="213">
        <f>_xll.qlCalendarAdvance(Calendar,M67,"1M","f",,Trigger)</f>
        <v>43945</v>
      </c>
      <c r="N68" s="204">
        <f>_xll.qlInterestRateIndexMaturity("AUDBBSW3M",M68)</f>
        <v>44036</v>
      </c>
      <c r="O68" s="206" t="str">
        <f>_xll.qlMakeDatedOIS(,M68,N68,OvernightIndex,0,,,,EvaluationDate)</f>
        <v>obj_002af#0000</v>
      </c>
      <c r="P68" s="206" t="b">
        <f>_xll.qlInstrumentSetPricingEngine(O68,OisEngine)</f>
        <v>1</v>
      </c>
      <c r="Q68" s="205">
        <f>_xll.qlIndexFixing(Currency&amp;IborType&amp;"3M",_xll.qlInterestRateIndexFixingDate(Currency&amp;IborType&amp;"3M",M68),TRUE,AllTriggers)</f>
        <v>4.2936515217670369E-2</v>
      </c>
      <c r="R68" s="205">
        <f>_xll.qlOvernightIndexedSwapFairRate(O68,AllTriggers)</f>
        <v>3.9362322345689066E-2</v>
      </c>
      <c r="S68" s="207">
        <f t="shared" si="3"/>
        <v>3.5741928719813035E-3</v>
      </c>
    </row>
    <row r="69" spans="5:19" ht="11.25" customHeight="1" x14ac:dyDescent="0.2">
      <c r="E69" s="199"/>
      <c r="F69" s="199"/>
      <c r="G69" s="198"/>
      <c r="J69" s="198"/>
      <c r="K69" s="198"/>
      <c r="M69" s="213">
        <f>_xll.qlCalendarAdvance(Calendar,M68,"1M","f",,Trigger)</f>
        <v>43976</v>
      </c>
      <c r="N69" s="204">
        <f>_xll.qlInterestRateIndexMaturity("AUDBBSW3M",M69)</f>
        <v>44068</v>
      </c>
      <c r="O69" s="206" t="str">
        <f>_xll.qlMakeDatedOIS(,M69,N69,OvernightIndex,0,,,,EvaluationDate)</f>
        <v>obj_00370#0000</v>
      </c>
      <c r="P69" s="206" t="b">
        <f>_xll.qlInstrumentSetPricingEngine(O69,OisEngine)</f>
        <v>1</v>
      </c>
      <c r="Q69" s="205">
        <f>_xll.qlIndexFixing(Currency&amp;IborType&amp;"3M",_xll.qlInterestRateIndexFixingDate(Currency&amp;IborType&amp;"3M",M69),TRUE,AllTriggers)</f>
        <v>4.3112592891295168E-2</v>
      </c>
      <c r="R69" s="205">
        <f>_xll.qlOvernightIndexedSwapFairRate(O69,AllTriggers)</f>
        <v>3.9681460661011962E-2</v>
      </c>
      <c r="S69" s="207">
        <f t="shared" si="3"/>
        <v>3.4311322302832056E-3</v>
      </c>
    </row>
    <row r="70" spans="5:19" ht="11.25" customHeight="1" x14ac:dyDescent="0.2">
      <c r="E70" s="199"/>
      <c r="F70" s="199"/>
      <c r="G70" s="198"/>
      <c r="J70" s="198"/>
      <c r="K70" s="198"/>
      <c r="M70" s="213">
        <f>_xll.qlCalendarAdvance(Calendar,M69,"1M","f",,Trigger)</f>
        <v>44007</v>
      </c>
      <c r="N70" s="204">
        <f>_xll.qlInterestRateIndexMaturity("AUDBBSW3M",M70)</f>
        <v>44099</v>
      </c>
      <c r="O70" s="206" t="str">
        <f>_xll.qlMakeDatedOIS(,M70,N70,OvernightIndex,0,,,,EvaluationDate)</f>
        <v>obj_002b0#0000</v>
      </c>
      <c r="P70" s="206" t="b">
        <f>_xll.qlInstrumentSetPricingEngine(O70,OisEngine)</f>
        <v>1</v>
      </c>
      <c r="Q70" s="205">
        <f>_xll.qlIndexFixing(Currency&amp;IborType&amp;"3M",_xll.qlInterestRateIndexFixingDate(Currency&amp;IborType&amp;"3M",M70),TRUE,AllTriggers)</f>
        <v>4.3276999937216613E-2</v>
      </c>
      <c r="R70" s="205">
        <f>_xll.qlOvernightIndexedSwapFairRate(O70,AllTriggers)</f>
        <v>4.0019640316349442E-2</v>
      </c>
      <c r="S70" s="207">
        <f t="shared" si="3"/>
        <v>3.2573596208671715E-3</v>
      </c>
    </row>
    <row r="71" spans="5:19" ht="11.25" customHeight="1" x14ac:dyDescent="0.2">
      <c r="E71" s="199"/>
      <c r="F71" s="199"/>
      <c r="G71" s="198"/>
      <c r="J71" s="198"/>
      <c r="K71" s="198"/>
      <c r="M71" s="213">
        <f>_xll.qlCalendarAdvance(Calendar,M70,"1M","f",,Trigger)</f>
        <v>44039</v>
      </c>
      <c r="N71" s="204">
        <f>_xll.qlInterestRateIndexMaturity("AUDBBSW3M",M71)</f>
        <v>44131</v>
      </c>
      <c r="O71" s="206" t="str">
        <f>_xll.qlMakeDatedOIS(,M71,N71,OvernightIndex,0,,,,EvaluationDate)</f>
        <v>obj_00317#0000</v>
      </c>
      <c r="P71" s="206" t="b">
        <f>_xll.qlInstrumentSetPricingEngine(O71,OisEngine)</f>
        <v>1</v>
      </c>
      <c r="Q71" s="205">
        <f>_xll.qlIndexFixing(Currency&amp;IborType&amp;"3M",_xll.qlInterestRateIndexFixingDate(Currency&amp;IborType&amp;"3M",M71),TRUE,AllTriggers)</f>
        <v>4.3439999143311217E-2</v>
      </c>
      <c r="R71" s="205">
        <f>_xll.qlOvernightIndexedSwapFairRate(O71,AllTriggers)</f>
        <v>4.0382889720899144E-2</v>
      </c>
      <c r="S71" s="207">
        <f t="shared" si="3"/>
        <v>3.0571094224120729E-3</v>
      </c>
    </row>
    <row r="72" spans="5:19" ht="11.25" customHeight="1" x14ac:dyDescent="0.2">
      <c r="E72" s="199"/>
      <c r="F72" s="199"/>
      <c r="G72" s="198"/>
      <c r="J72" s="198"/>
      <c r="K72" s="198"/>
      <c r="M72" s="213">
        <f>_xll.qlCalendarAdvance(Calendar,M71,"1M","f",,Trigger)</f>
        <v>44070</v>
      </c>
      <c r="N72" s="204">
        <f>_xll.qlInterestRateIndexMaturity("AUDBBSW3M",M72)</f>
        <v>44162</v>
      </c>
      <c r="O72" s="206" t="str">
        <f>_xll.qlMakeDatedOIS(,M72,N72,OvernightIndex,0,,,,EvaluationDate)</f>
        <v>obj_002b1#0000</v>
      </c>
      <c r="P72" s="206" t="b">
        <f>_xll.qlInstrumentSetPricingEngine(O72,OisEngine)</f>
        <v>1</v>
      </c>
      <c r="Q72" s="205">
        <f>_xll.qlIndexFixing(Currency&amp;IborType&amp;"3M",_xll.qlInterestRateIndexFixingDate(Currency&amp;IborType&amp;"3M",M72),TRUE,AllTriggers)</f>
        <v>4.3591402282482004E-2</v>
      </c>
      <c r="R72" s="205">
        <f>_xll.qlOvernightIndexedSwapFairRate(O72,AllTriggers)</f>
        <v>4.0722880061969287E-2</v>
      </c>
      <c r="S72" s="207">
        <f t="shared" si="3"/>
        <v>2.8685222205127175E-3</v>
      </c>
    </row>
    <row r="73" spans="5:19" ht="11.25" customHeight="1" x14ac:dyDescent="0.2">
      <c r="E73" s="199"/>
      <c r="F73" s="199"/>
      <c r="G73" s="198"/>
      <c r="J73" s="198"/>
      <c r="K73" s="198"/>
      <c r="M73" s="213">
        <f>_xll.qlCalendarAdvance(Calendar,M72,"1M","f",,Trigger)</f>
        <v>44102</v>
      </c>
      <c r="N73" s="204">
        <f>_xll.qlInterestRateIndexMaturity("AUDBBSW3M",M73)</f>
        <v>44194</v>
      </c>
      <c r="O73" s="206" t="str">
        <f>_xll.qlMakeDatedOIS(,M73,N73,OvernightIndex,0,,,,EvaluationDate)</f>
        <v>obj_0036a#0000</v>
      </c>
      <c r="P73" s="206" t="b">
        <f>_xll.qlInstrumentSetPricingEngine(O73,OisEngine)</f>
        <v>1</v>
      </c>
      <c r="Q73" s="205">
        <f>_xll.qlIndexFixing(Currency&amp;IborType&amp;"3M",_xll.qlInterestRateIndexFixingDate(Currency&amp;IborType&amp;"3M",M73),TRUE,AllTriggers)</f>
        <v>4.3740976522234847E-2</v>
      </c>
      <c r="R73" s="205">
        <f>_xll.qlOvernightIndexedSwapFairRate(O73,AllTriggers)</f>
        <v>4.1035025831572612E-2</v>
      </c>
      <c r="S73" s="207">
        <f t="shared" si="3"/>
        <v>2.7059506906622344E-3</v>
      </c>
    </row>
    <row r="74" spans="5:19" ht="11.25" customHeight="1" x14ac:dyDescent="0.2">
      <c r="E74" s="199"/>
      <c r="F74" s="199"/>
      <c r="G74" s="198"/>
      <c r="J74" s="198"/>
      <c r="K74" s="198"/>
      <c r="M74" s="213">
        <f>_xll.qlCalendarAdvance(Calendar,M73,"1M","f",,Trigger)</f>
        <v>44132</v>
      </c>
      <c r="N74" s="204">
        <f>_xll.qlInterestRateIndexMaturity("AUDBBSW3M",M74)</f>
        <v>44224</v>
      </c>
      <c r="O74" s="206" t="str">
        <f>_xll.qlMakeDatedOIS(,M74,N74,OvernightIndex,0,,,,EvaluationDate)</f>
        <v>obj_002b2#0000</v>
      </c>
      <c r="P74" s="206" t="b">
        <f>_xll.qlInstrumentSetPricingEngine(O74,OisEngine)</f>
        <v>1</v>
      </c>
      <c r="Q74" s="205">
        <f>_xll.qlIndexFixing(Currency&amp;IborType&amp;"3M",_xll.qlInterestRateIndexFixingDate(Currency&amp;IborType&amp;"3M",M74),TRUE,AllTriggers)</f>
        <v>4.3875008276898775E-2</v>
      </c>
      <c r="R74" s="205">
        <f>_xll.qlOvernightIndexedSwapFairRate(O74,AllTriggers)</f>
        <v>4.1280553576184764E-2</v>
      </c>
      <c r="S74" s="207">
        <f t="shared" si="3"/>
        <v>2.5944547007140106E-3</v>
      </c>
    </row>
    <row r="75" spans="5:19" ht="11.25" customHeight="1" x14ac:dyDescent="0.2">
      <c r="E75" s="199"/>
      <c r="F75" s="199"/>
      <c r="G75" s="198"/>
      <c r="J75" s="198"/>
      <c r="K75" s="198"/>
      <c r="M75" s="213">
        <f>_xll.qlCalendarAdvance(Calendar,M74,"1M","f",,Trigger)</f>
        <v>44165</v>
      </c>
      <c r="N75" s="204">
        <f>_xll.qlInterestRateIndexMaturity("AUDBBSW3M",M75)</f>
        <v>44253</v>
      </c>
      <c r="O75" s="206" t="str">
        <f>_xll.qlMakeDatedOIS(,M75,N75,OvernightIndex,0,,,,EvaluationDate)</f>
        <v>obj_002b3#0000</v>
      </c>
      <c r="P75" s="206" t="b">
        <f>_xll.qlInstrumentSetPricingEngine(O75,OisEngine)</f>
        <v>1</v>
      </c>
      <c r="Q75" s="205">
        <f>_xll.qlIndexFixing(Currency&amp;IborType&amp;"3M",_xll.qlInterestRateIndexFixingDate(Currency&amp;IborType&amp;"3M",M75),TRUE,AllTriggers)</f>
        <v>4.3996838672553183E-2</v>
      </c>
      <c r="R75" s="205">
        <f>_xll.qlOvernightIndexedSwapFairRate(O75,AllTriggers)</f>
        <v>4.1477993808523017E-2</v>
      </c>
      <c r="S75" s="207">
        <f t="shared" si="3"/>
        <v>2.5188448640301661E-3</v>
      </c>
    </row>
    <row r="76" spans="5:19" ht="11.25" customHeight="1" x14ac:dyDescent="0.2">
      <c r="E76" s="199"/>
      <c r="F76" s="199"/>
      <c r="G76" s="198"/>
      <c r="J76" s="198"/>
      <c r="K76" s="198"/>
      <c r="M76" s="213">
        <f>_xll.qlCalendarAdvance(Calendar,M75,"1M","f",,Trigger)</f>
        <v>44195</v>
      </c>
      <c r="N76" s="204">
        <f>_xll.qlInterestRateIndexMaturity("AUDBBSW3M",M76)</f>
        <v>44285</v>
      </c>
      <c r="O76" s="206" t="str">
        <f>_xll.qlMakeDatedOIS(,M76,N76,OvernightIndex,0,,,,EvaluationDate)</f>
        <v>obj_002b4#0000</v>
      </c>
      <c r="P76" s="206" t="b">
        <f>_xll.qlInstrumentSetPricingEngine(O76,OisEngine)</f>
        <v>1</v>
      </c>
      <c r="Q76" s="205">
        <f>_xll.qlIndexFixing(Currency&amp;IborType&amp;"3M",_xll.qlInterestRateIndexFixingDate(Currency&amp;IborType&amp;"3M",M76),TRUE,AllTriggers)</f>
        <v>4.4127794373270059E-2</v>
      </c>
      <c r="R76" s="205">
        <f>_xll.qlOvernightIndexedSwapFairRate(O76,AllTriggers)</f>
        <v>4.1638323090793961E-2</v>
      </c>
      <c r="S76" s="207">
        <f t="shared" si="3"/>
        <v>2.4894712824760981E-3</v>
      </c>
    </row>
    <row r="77" spans="5:19" ht="11.25" customHeight="1" x14ac:dyDescent="0.2">
      <c r="E77" s="199"/>
      <c r="F77" s="199"/>
      <c r="G77" s="198"/>
      <c r="J77" s="198"/>
      <c r="K77" s="198"/>
      <c r="M77" s="213">
        <f>_xll.qlCalendarAdvance(Calendar,M76,"1M","f",,Trigger)</f>
        <v>44228</v>
      </c>
      <c r="N77" s="204">
        <f>_xll.qlInterestRateIndexMaturity("AUDBBSW3M",M77)</f>
        <v>44319</v>
      </c>
      <c r="O77" s="206" t="str">
        <f>_xll.qlMakeDatedOIS(,M77,N77,OvernightIndex,0,,,,EvaluationDate)</f>
        <v>obj_002b5#0000</v>
      </c>
      <c r="P77" s="206" t="b">
        <f>_xll.qlInstrumentSetPricingEngine(O77,OisEngine)</f>
        <v>1</v>
      </c>
      <c r="Q77" s="205">
        <f>_xll.qlIndexFixing(Currency&amp;IborType&amp;"3M",_xll.qlInterestRateIndexFixingDate(Currency&amp;IborType&amp;"3M",M77),TRUE,AllTriggers)</f>
        <v>4.4259133560108438E-2</v>
      </c>
      <c r="R77" s="205">
        <f>_xll.qlOvernightIndexedSwapFairRate(O77,AllTriggers)</f>
        <v>4.1754114926277626E-2</v>
      </c>
      <c r="S77" s="207">
        <f t="shared" si="3"/>
        <v>2.505018633830812E-3</v>
      </c>
    </row>
    <row r="78" spans="5:19" ht="11.25" customHeight="1" x14ac:dyDescent="0.2">
      <c r="E78" s="199"/>
      <c r="F78" s="199"/>
      <c r="G78" s="198"/>
      <c r="J78" s="198"/>
      <c r="K78" s="198"/>
      <c r="M78" s="213">
        <f>_xll.qlCalendarAdvance(Calendar,M77,"1M","f",,Trigger)</f>
        <v>44256</v>
      </c>
      <c r="N78" s="204">
        <f>_xll.qlInterestRateIndexMaturity("AUDBBSW3M",M78)</f>
        <v>44348</v>
      </c>
      <c r="O78" s="206" t="str">
        <f>_xll.qlMakeDatedOIS(,M78,N78,OvernightIndex,0,,,,EvaluationDate)</f>
        <v>obj_002b6#0000</v>
      </c>
      <c r="P78" s="206" t="b">
        <f>_xll.qlInstrumentSetPricingEngine(O78,OisEngine)</f>
        <v>1</v>
      </c>
      <c r="Q78" s="205">
        <f>_xll.qlIndexFixing(Currency&amp;IborType&amp;"3M",_xll.qlInterestRateIndexFixingDate(Currency&amp;IborType&amp;"3M",M78),TRUE,AllTriggers)</f>
        <v>4.4365400756576918E-2</v>
      </c>
      <c r="R78" s="205">
        <f>_xll.qlOvernightIndexedSwapFairRate(O78,AllTriggers)</f>
        <v>4.1807817987886783E-2</v>
      </c>
      <c r="S78" s="207">
        <f t="shared" si="3"/>
        <v>2.5575827686901351E-3</v>
      </c>
    </row>
    <row r="79" spans="5:19" ht="11.25" customHeight="1" x14ac:dyDescent="0.2">
      <c r="E79" s="199"/>
      <c r="F79" s="199"/>
      <c r="G79" s="198"/>
      <c r="J79" s="198"/>
      <c r="K79" s="198"/>
      <c r="M79" s="213">
        <f>_xll.qlCalendarAdvance(Calendar,M78,"1M","f",,Trigger)</f>
        <v>44287</v>
      </c>
      <c r="N79" s="204">
        <f>_xll.qlInterestRateIndexMaturity("AUDBBSW3M",M79)</f>
        <v>44378</v>
      </c>
      <c r="O79" s="206" t="str">
        <f>_xll.qlMakeDatedOIS(,M79,N79,OvernightIndex,0,,,,EvaluationDate)</f>
        <v>obj_002b7#0000</v>
      </c>
      <c r="P79" s="206" t="b">
        <f>_xll.qlInstrumentSetPricingEngine(O79,OisEngine)</f>
        <v>1</v>
      </c>
      <c r="Q79" s="205">
        <f>_xll.qlIndexFixing(Currency&amp;IborType&amp;"3M",_xll.qlInterestRateIndexFixingDate(Currency&amp;IborType&amp;"3M",M79),TRUE,AllTriggers)</f>
        <v>4.4467674898519195E-2</v>
      </c>
      <c r="R79" s="205">
        <f>_xll.qlOvernightIndexedSwapFairRate(O79,AllTriggers)</f>
        <v>4.1815134394959902E-2</v>
      </c>
      <c r="S79" s="207">
        <f t="shared" si="3"/>
        <v>2.6525405035592933E-3</v>
      </c>
    </row>
    <row r="80" spans="5:19" ht="11.25" customHeight="1" x14ac:dyDescent="0.2">
      <c r="E80" s="199"/>
      <c r="F80" s="199"/>
      <c r="G80" s="198"/>
      <c r="J80" s="198"/>
      <c r="K80" s="198"/>
      <c r="M80" s="213">
        <f>_xll.qlCalendarAdvance(Calendar,M79,"1M","f",,Trigger)</f>
        <v>44319</v>
      </c>
      <c r="N80" s="204">
        <f>_xll.qlInterestRateIndexMaturity("AUDBBSW3M",M80)</f>
        <v>44411</v>
      </c>
      <c r="O80" s="206" t="str">
        <f>_xll.qlMakeDatedOIS(,M80,N80,OvernightIndex,0,,,,EvaluationDate)</f>
        <v>obj_002b8#0000</v>
      </c>
      <c r="P80" s="206" t="b">
        <f>_xll.qlInstrumentSetPricingEngine(O80,OisEngine)</f>
        <v>1</v>
      </c>
      <c r="Q80" s="205">
        <f>_xll.qlIndexFixing(Currency&amp;IborType&amp;"3M",_xll.qlInterestRateIndexFixingDate(Currency&amp;IborType&amp;"3M",M80),TRUE,AllTriggers)</f>
        <v>4.4575303039727412E-2</v>
      </c>
      <c r="R80" s="205">
        <f>_xll.qlOvernightIndexedSwapFairRate(O80,AllTriggers)</f>
        <v>4.1774831460893405E-2</v>
      </c>
      <c r="S80" s="207">
        <f t="shared" si="3"/>
        <v>2.8004715788340073E-3</v>
      </c>
    </row>
    <row r="81" spans="5:19" ht="11.25" customHeight="1" x14ac:dyDescent="0.2">
      <c r="E81" s="199"/>
      <c r="F81" s="199"/>
      <c r="G81" s="198"/>
      <c r="J81" s="198"/>
      <c r="K81" s="198"/>
      <c r="M81" s="213">
        <f>_xll.qlCalendarAdvance(Calendar,M80,"1M","f",,Trigger)</f>
        <v>44350</v>
      </c>
      <c r="N81" s="204">
        <f>_xll.qlInterestRateIndexMaturity("AUDBBSW3M",M81)</f>
        <v>44442</v>
      </c>
      <c r="O81" s="206" t="str">
        <f>_xll.qlMakeDatedOIS(,M81,N81,OvernightIndex,0,,,,EvaluationDate)</f>
        <v>obj_00366#0000</v>
      </c>
      <c r="P81" s="206" t="b">
        <f>_xll.qlInstrumentSetPricingEngine(O81,OisEngine)</f>
        <v>1</v>
      </c>
      <c r="Q81" s="205">
        <f>_xll.qlIndexFixing(Currency&amp;IborType&amp;"3M",_xll.qlInterestRateIndexFixingDate(Currency&amp;IborType&amp;"3M",M81),TRUE,AllTriggers)</f>
        <v>4.4668878376674284E-2</v>
      </c>
      <c r="R81" s="205">
        <f>_xll.qlOvernightIndexedSwapFairRate(O81,AllTriggers)</f>
        <v>4.1684177637909402E-2</v>
      </c>
      <c r="S81" s="207">
        <f t="shared" si="3"/>
        <v>2.9847007387648825E-3</v>
      </c>
    </row>
    <row r="82" spans="5:19" ht="11.25" customHeight="1" x14ac:dyDescent="0.2">
      <c r="E82" s="199"/>
      <c r="F82" s="199"/>
      <c r="G82" s="198"/>
      <c r="J82" s="198"/>
      <c r="K82" s="198"/>
      <c r="M82" s="213">
        <f>_xll.qlCalendarAdvance(Calendar,M81,"1M","f",,Trigger)</f>
        <v>44382</v>
      </c>
      <c r="N82" s="204">
        <f>_xll.qlInterestRateIndexMaturity("AUDBBSW3M",M82)</f>
        <v>44474</v>
      </c>
      <c r="O82" s="206" t="str">
        <f>_xll.qlMakeDatedOIS(,M82,N82,OvernightIndex,0,,,,EvaluationDate)</f>
        <v>obj_0031d#0000</v>
      </c>
      <c r="P82" s="206" t="b">
        <f>_xll.qlInstrumentSetPricingEngine(O82,OisEngine)</f>
        <v>1</v>
      </c>
      <c r="Q82" s="205">
        <f>_xll.qlIndexFixing(Currency&amp;IborType&amp;"3M",_xll.qlInterestRateIndexFixingDate(Currency&amp;IborType&amp;"3M",M82),TRUE,AllTriggers)</f>
        <v>4.4758996568362075E-2</v>
      </c>
      <c r="R82" s="205">
        <f>_xll.qlOvernightIndexedSwapFairRate(O82,AllTriggers)</f>
        <v>4.1541651823122645E-2</v>
      </c>
      <c r="S82" s="207">
        <f t="shared" si="3"/>
        <v>3.2173447452394296E-3</v>
      </c>
    </row>
    <row r="83" spans="5:19" ht="11.25" customHeight="1" x14ac:dyDescent="0.2">
      <c r="E83" s="199"/>
      <c r="F83" s="199"/>
      <c r="G83" s="198"/>
      <c r="J83" s="198"/>
      <c r="K83" s="198"/>
      <c r="M83" s="213">
        <f>_xll.qlCalendarAdvance(Calendar,M82,"1M","f",,Trigger)</f>
        <v>44413</v>
      </c>
      <c r="N83" s="204">
        <f>_xll.qlInterestRateIndexMaturity("AUDBBSW3M",M83)</f>
        <v>44505</v>
      </c>
      <c r="O83" s="206" t="str">
        <f>_xll.qlMakeDatedOIS(,M83,N83,OvernightIndex,0,,,,EvaluationDate)</f>
        <v>obj_002b9#0000</v>
      </c>
      <c r="P83" s="206" t="b">
        <f>_xll.qlInstrumentSetPricingEngine(O83,OisEngine)</f>
        <v>1</v>
      </c>
      <c r="Q83" s="205">
        <f>_xll.qlIndexFixing(Currency&amp;IborType&amp;"3M",_xll.qlInterestRateIndexFixingDate(Currency&amp;IborType&amp;"3M",M83),TRUE,AllTriggers)</f>
        <v>4.4842038714475028E-2</v>
      </c>
      <c r="R83" s="205">
        <f>_xll.qlOvernightIndexedSwapFairRate(O83,AllTriggers)</f>
        <v>4.1377219533127257E-2</v>
      </c>
      <c r="S83" s="207">
        <f t="shared" si="3"/>
        <v>3.4648191813477711E-3</v>
      </c>
    </row>
    <row r="84" spans="5:19" ht="11.25" customHeight="1" x14ac:dyDescent="0.2">
      <c r="E84" s="199"/>
      <c r="F84" s="199"/>
      <c r="G84" s="198"/>
      <c r="J84" s="198"/>
      <c r="K84" s="198"/>
      <c r="M84" s="213">
        <f>_xll.qlCalendarAdvance(Calendar,M83,"1M","f",,Trigger)</f>
        <v>44445</v>
      </c>
      <c r="N84" s="204">
        <f>_xll.qlInterestRateIndexMaturity("AUDBBSW3M",M84)</f>
        <v>44536</v>
      </c>
      <c r="O84" s="206" t="str">
        <f>_xll.qlMakeDatedOIS(,M84,N84,OvernightIndex,0,,,,EvaluationDate)</f>
        <v>obj_00309#0000</v>
      </c>
      <c r="P84" s="206" t="b">
        <f>_xll.qlInstrumentSetPricingEngine(O84,OisEngine)</f>
        <v>1</v>
      </c>
      <c r="Q84" s="205">
        <f>_xll.qlIndexFixing(Currency&amp;IborType&amp;"3M",_xll.qlInterestRateIndexFixingDate(Currency&amp;IborType&amp;"3M",M84),TRUE,AllTriggers)</f>
        <v>4.4922240719775512E-2</v>
      </c>
      <c r="R84" s="205">
        <f>_xll.qlOvernightIndexedSwapFairRate(O84,AllTriggers)</f>
        <v>4.121106436999275E-2</v>
      </c>
      <c r="S84" s="207">
        <f t="shared" si="3"/>
        <v>3.7111763497827618E-3</v>
      </c>
    </row>
    <row r="85" spans="5:19" ht="11.25" customHeight="1" x14ac:dyDescent="0.2">
      <c r="E85" s="199"/>
      <c r="F85" s="199"/>
      <c r="G85" s="198"/>
      <c r="J85" s="198"/>
      <c r="K85" s="198"/>
      <c r="M85" s="213">
        <f>_xll.qlCalendarAdvance(Calendar,M84,"1M","f",,Trigger)</f>
        <v>44475</v>
      </c>
      <c r="N85" s="204">
        <f>_xll.qlInterestRateIndexMaturity("AUDBBSW3M",M85)</f>
        <v>44567</v>
      </c>
      <c r="O85" s="206" t="str">
        <f>_xll.qlMakeDatedOIS(,M85,N85,OvernightIndex,0,,,,EvaluationDate)</f>
        <v>obj_00330#0000</v>
      </c>
      <c r="P85" s="206" t="b">
        <f>_xll.qlInstrumentSetPricingEngine(O85,OisEngine)</f>
        <v>1</v>
      </c>
      <c r="Q85" s="205">
        <f>_xll.qlIndexFixing(Currency&amp;IborType&amp;"3M",_xll.qlInterestRateIndexFixingDate(Currency&amp;IborType&amp;"3M",M85),TRUE,AllTriggers)</f>
        <v>4.5006447436393038E-2</v>
      </c>
      <c r="R85" s="205">
        <f>_xll.qlOvernightIndexedSwapFairRate(O85,AllTriggers)</f>
        <v>4.1084495829153606E-2</v>
      </c>
      <c r="S85" s="207">
        <f t="shared" si="3"/>
        <v>3.9219516072394323E-3</v>
      </c>
    </row>
    <row r="86" spans="5:19" ht="11.25" customHeight="1" x14ac:dyDescent="0.2">
      <c r="E86" s="199"/>
      <c r="F86" s="199"/>
      <c r="G86" s="198"/>
      <c r="J86" s="198"/>
      <c r="K86" s="198"/>
      <c r="M86" s="213">
        <f>_xll.qlCalendarAdvance(Calendar,M85,"1M","f",,Trigger)</f>
        <v>44508</v>
      </c>
      <c r="N86" s="204">
        <f>_xll.qlInterestRateIndexMaturity("AUDBBSW3M",M86)</f>
        <v>44600</v>
      </c>
      <c r="O86" s="206" t="str">
        <f>_xll.qlMakeDatedOIS(,M86,N86,OvernightIndex,0,,,,EvaluationDate)</f>
        <v>obj_002ba#0000</v>
      </c>
      <c r="P86" s="206" t="b">
        <f>_xll.qlInstrumentSetPricingEngine(O86,OisEngine)</f>
        <v>1</v>
      </c>
      <c r="Q86" s="205">
        <f>_xll.qlIndexFixing(Currency&amp;IborType&amp;"3M",_xll.qlInterestRateIndexFixingDate(Currency&amp;IborType&amp;"3M",M86),TRUE,AllTriggers)</f>
        <v>4.5096554981166589E-2</v>
      </c>
      <c r="R86" s="205">
        <f>_xll.qlOvernightIndexedSwapFairRate(O86,AllTriggers)</f>
        <v>4.0985032620956138E-2</v>
      </c>
      <c r="S86" s="207">
        <f t="shared" si="3"/>
        <v>4.1115223602104511E-3</v>
      </c>
    </row>
    <row r="87" spans="5:19" ht="11.25" customHeight="1" x14ac:dyDescent="0.2">
      <c r="E87" s="199"/>
      <c r="F87" s="199"/>
      <c r="G87" s="198"/>
      <c r="J87" s="198"/>
      <c r="K87" s="198"/>
      <c r="M87" s="213">
        <f>_xll.qlCalendarAdvance(Calendar,M86,"1M","f",,Trigger)</f>
        <v>44538</v>
      </c>
      <c r="N87" s="204">
        <f>_xll.qlInterestRateIndexMaturity("AUDBBSW3M",M87)</f>
        <v>44628</v>
      </c>
      <c r="O87" s="206" t="str">
        <f>_xll.qlMakeDatedOIS(,M87,N87,OvernightIndex,0,,,,EvaluationDate)</f>
        <v>obj_002bb#0000</v>
      </c>
      <c r="P87" s="206" t="b">
        <f>_xll.qlInstrumentSetPricingEngine(O87,OisEngine)</f>
        <v>1</v>
      </c>
      <c r="Q87" s="205">
        <f>_xll.qlIndexFixing(Currency&amp;IborType&amp;"3M",_xll.qlInterestRateIndexFixingDate(Currency&amp;IborType&amp;"3M",M87),TRUE,AllTriggers)</f>
        <v>4.5171853562499781E-2</v>
      </c>
      <c r="R87" s="205">
        <f>_xll.qlOvernightIndexedSwapFairRate(O87,AllTriggers)</f>
        <v>4.0927025136624273E-2</v>
      </c>
      <c r="S87" s="207">
        <f t="shared" si="3"/>
        <v>4.2448284258755076E-3</v>
      </c>
    </row>
    <row r="88" spans="5:19" ht="11.25" customHeight="1" x14ac:dyDescent="0.2">
      <c r="E88" s="199"/>
      <c r="F88" s="199"/>
      <c r="G88" s="198"/>
      <c r="J88" s="198"/>
      <c r="K88" s="198"/>
      <c r="M88" s="213">
        <f>_xll.qlCalendarAdvance(Calendar,M87,"1M","f",,Trigger)</f>
        <v>44571</v>
      </c>
      <c r="N88" s="204">
        <f>_xll.qlInterestRateIndexMaturity("AUDBBSW3M",M88)</f>
        <v>44662</v>
      </c>
      <c r="O88" s="206" t="str">
        <f>_xll.qlMakeDatedOIS(,M88,N88,OvernightIndex,0,,,,EvaluationDate)</f>
        <v>obj_00345#0000</v>
      </c>
      <c r="P88" s="206" t="b">
        <f>_xll.qlInstrumentSetPricingEngine(O88,OisEngine)</f>
        <v>1</v>
      </c>
      <c r="Q88" s="205">
        <f>_xll.qlIndexFixing(Currency&amp;IborType&amp;"3M",_xll.qlInterestRateIndexFixingDate(Currency&amp;IborType&amp;"3M",M88),TRUE,AllTriggers)</f>
        <v>4.5270085902617302E-2</v>
      </c>
      <c r="R88" s="205">
        <f>_xll.qlOvernightIndexedSwapFairRate(O88,AllTriggers)</f>
        <v>4.0908973501311272E-2</v>
      </c>
      <c r="S88" s="207">
        <f t="shared" si="3"/>
        <v>4.3611124013060304E-3</v>
      </c>
    </row>
    <row r="89" spans="5:19" ht="11.25" customHeight="1" x14ac:dyDescent="0.2">
      <c r="E89" s="199"/>
      <c r="F89" s="199"/>
      <c r="G89" s="198"/>
      <c r="J89" s="198"/>
      <c r="K89" s="198"/>
      <c r="M89" s="213">
        <f>_xll.qlCalendarAdvance(Calendar,M88,"1M","f",,Trigger)</f>
        <v>44602</v>
      </c>
      <c r="N89" s="204">
        <f>_xll.qlInterestRateIndexMaturity("AUDBBSW3M",M89)</f>
        <v>44691</v>
      </c>
      <c r="O89" s="206" t="str">
        <f>_xll.qlMakeDatedOIS(,M89,N89,OvernightIndex,0,,,,EvaluationDate)</f>
        <v>obj_002bc#0000</v>
      </c>
      <c r="P89" s="206" t="b">
        <f>_xll.qlInstrumentSetPricingEngine(O89,OisEngine)</f>
        <v>1</v>
      </c>
      <c r="Q89" s="205">
        <f>_xll.qlIndexFixing(Currency&amp;IborType&amp;"3M",_xll.qlInterestRateIndexFixingDate(Currency&amp;IborType&amp;"3M",M89),TRUE,AllTriggers)</f>
        <v>4.5351719064128805E-2</v>
      </c>
      <c r="R89" s="205">
        <f>_xll.qlOvernightIndexedSwapFairRate(O89,AllTriggers)</f>
        <v>4.0921932518427774E-2</v>
      </c>
      <c r="S89" s="207">
        <f t="shared" si="3"/>
        <v>4.429786545701031E-3</v>
      </c>
    </row>
    <row r="90" spans="5:19" ht="11.25" customHeight="1" x14ac:dyDescent="0.2">
      <c r="E90" s="199"/>
      <c r="F90" s="199"/>
      <c r="G90" s="198"/>
      <c r="J90" s="198"/>
      <c r="K90" s="198"/>
      <c r="M90" s="213">
        <f>_xll.qlCalendarAdvance(Calendar,M89,"1M","f",,Trigger)</f>
        <v>44630</v>
      </c>
      <c r="N90" s="204">
        <f>_xll.qlInterestRateIndexMaturity("AUDBBSW3M",M90)</f>
        <v>44722</v>
      </c>
      <c r="O90" s="206" t="str">
        <f>_xll.qlMakeDatedOIS(,M90,N90,OvernightIndex,0,,,,EvaluationDate)</f>
        <v>obj_002bd#0000</v>
      </c>
      <c r="P90" s="206" t="b">
        <f>_xll.qlInstrumentSetPricingEngine(O90,OisEngine)</f>
        <v>1</v>
      </c>
      <c r="Q90" s="205">
        <f>_xll.qlIndexFixing(Currency&amp;IborType&amp;"3M",_xll.qlInterestRateIndexFixingDate(Currency&amp;IborType&amp;"3M",M90),TRUE,AllTriggers)</f>
        <v>4.544768904966804E-2</v>
      </c>
      <c r="R90" s="205">
        <f>_xll.qlOvernightIndexedSwapFairRate(O90,AllTriggers)</f>
        <v>4.0981427151165588E-2</v>
      </c>
      <c r="S90" s="207">
        <f t="shared" si="3"/>
        <v>4.4662618985024521E-3</v>
      </c>
    </row>
    <row r="91" spans="5:19" ht="11.25" customHeight="1" x14ac:dyDescent="0.2">
      <c r="E91" s="199"/>
      <c r="F91" s="199"/>
      <c r="G91" s="198"/>
      <c r="J91" s="198"/>
      <c r="K91" s="198"/>
      <c r="M91" s="213">
        <f>_xll.qlCalendarAdvance(Calendar,M90,"1M","f",,Trigger)</f>
        <v>44662</v>
      </c>
      <c r="N91" s="204">
        <f>_xll.qlInterestRateIndexMaturity("AUDBBSW3M",M91)</f>
        <v>44753</v>
      </c>
      <c r="O91" s="206" t="str">
        <f>_xll.qlMakeDatedOIS(,M91,N91,OvernightIndex,0,,,,EvaluationDate)</f>
        <v>obj_00362#0000</v>
      </c>
      <c r="P91" s="206" t="b">
        <f>_xll.qlInstrumentSetPricingEngine(O91,OisEngine)</f>
        <v>1</v>
      </c>
      <c r="Q91" s="205">
        <f>_xll.qlIndexFixing(Currency&amp;IborType&amp;"3M",_xll.qlInterestRateIndexFixingDate(Currency&amp;IborType&amp;"3M",M91),TRUE,AllTriggers)</f>
        <v>4.5540111352177982E-2</v>
      </c>
      <c r="R91" s="205">
        <f>_xll.qlOvernightIndexedSwapFairRate(O91,AllTriggers)</f>
        <v>4.1070969012186757E-2</v>
      </c>
      <c r="S91" s="207">
        <f t="shared" si="3"/>
        <v>4.469142339991225E-3</v>
      </c>
    </row>
    <row r="92" spans="5:19" ht="11.25" customHeight="1" x14ac:dyDescent="0.2">
      <c r="E92" s="199"/>
      <c r="F92" s="199"/>
      <c r="G92" s="198"/>
      <c r="J92" s="198"/>
      <c r="K92" s="198"/>
      <c r="M92" s="213">
        <f>_xll.qlCalendarAdvance(Calendar,M91,"1M","f",,Trigger)</f>
        <v>44692</v>
      </c>
      <c r="N92" s="204">
        <f>_xll.qlInterestRateIndexMaturity("AUDBBSW3M",M92)</f>
        <v>44784</v>
      </c>
      <c r="O92" s="206" t="str">
        <f>_xll.qlMakeDatedOIS(,M92,N92,OvernightIndex,0,,,,EvaluationDate)</f>
        <v>obj_002be#0000</v>
      </c>
      <c r="P92" s="206" t="b">
        <f>_xll.qlInstrumentSetPricingEngine(O92,OisEngine)</f>
        <v>1</v>
      </c>
      <c r="Q92" s="205">
        <f>_xll.qlIndexFixing(Currency&amp;IborType&amp;"3M",_xll.qlInterestRateIndexFixingDate(Currency&amp;IborType&amp;"3M",M92),TRUE,AllTriggers)</f>
        <v>4.5637000500242428E-2</v>
      </c>
      <c r="R92" s="205">
        <f>_xll.qlOvernightIndexedSwapFairRate(O92,AllTriggers)</f>
        <v>4.1199255864215405E-2</v>
      </c>
      <c r="S92" s="207">
        <f t="shared" si="3"/>
        <v>4.4377446360270231E-3</v>
      </c>
    </row>
    <row r="93" spans="5:19" ht="11.25" customHeight="1" x14ac:dyDescent="0.2">
      <c r="E93" s="199"/>
      <c r="F93" s="199"/>
      <c r="G93" s="198"/>
      <c r="J93" s="198"/>
      <c r="K93" s="198"/>
      <c r="M93" s="213">
        <f>_xll.qlCalendarAdvance(Calendar,M92,"1M","f",,Trigger)</f>
        <v>44726</v>
      </c>
      <c r="N93" s="204">
        <f>_xll.qlInterestRateIndexMaturity("AUDBBSW3M",M93)</f>
        <v>44818</v>
      </c>
      <c r="O93" s="206" t="str">
        <f>_xll.qlMakeDatedOIS(,M93,N93,OvernightIndex,0,,,,EvaluationDate)</f>
        <v>obj_002bf#0000</v>
      </c>
      <c r="P93" s="206" t="b">
        <f>_xll.qlInstrumentSetPricingEngine(O93,OisEngine)</f>
        <v>1</v>
      </c>
      <c r="Q93" s="205">
        <f>_xll.qlIndexFixing(Currency&amp;IborType&amp;"3M",_xll.qlInterestRateIndexFixingDate(Currency&amp;IborType&amp;"3M",M93),TRUE,AllTriggers)</f>
        <v>4.5743925967681412E-2</v>
      </c>
      <c r="R93" s="205">
        <f>_xll.qlOvernightIndexedSwapFairRate(O93,AllTriggers)</f>
        <v>4.1381567330573674E-2</v>
      </c>
      <c r="S93" s="207">
        <f t="shared" si="3"/>
        <v>4.3623586371077383E-3</v>
      </c>
    </row>
    <row r="94" spans="5:19" ht="11.25" customHeight="1" x14ac:dyDescent="0.2">
      <c r="E94" s="199"/>
      <c r="F94" s="199"/>
      <c r="G94" s="198"/>
      <c r="J94" s="198"/>
      <c r="K94" s="198"/>
      <c r="M94" s="213">
        <f>_xll.qlCalendarAdvance(Calendar,M93,"1M","f",,Trigger)</f>
        <v>44756</v>
      </c>
      <c r="N94" s="204">
        <f>_xll.qlInterestRateIndexMaturity("AUDBBSW3M",M94)</f>
        <v>44848</v>
      </c>
      <c r="O94" s="206" t="str">
        <f>_xll.qlMakeDatedOIS(,M94,N94,OvernightIndex,0,,,,EvaluationDate)</f>
        <v>obj_0030d#0000</v>
      </c>
      <c r="P94" s="206" t="b">
        <f>_xll.qlInstrumentSetPricingEngine(O94,OisEngine)</f>
        <v>1</v>
      </c>
      <c r="Q94" s="205">
        <f>_xll.qlIndexFixing(Currency&amp;IborType&amp;"3M",_xll.qlInterestRateIndexFixingDate(Currency&amp;IborType&amp;"3M",M94),TRUE,AllTriggers)</f>
        <v>4.5840101271877161E-2</v>
      </c>
      <c r="R94" s="205">
        <f>_xll.qlOvernightIndexedSwapFairRate(O94,AllTriggers)</f>
        <v>4.1577215386098029E-2</v>
      </c>
      <c r="S94" s="207">
        <f t="shared" si="3"/>
        <v>4.2628858857791316E-3</v>
      </c>
    </row>
    <row r="95" spans="5:19" ht="11.25" customHeight="1" x14ac:dyDescent="0.2">
      <c r="E95" s="199"/>
      <c r="F95" s="199"/>
      <c r="G95" s="198"/>
      <c r="J95" s="198"/>
      <c r="K95" s="198"/>
      <c r="M95" s="213">
        <f>_xll.qlCalendarAdvance(Calendar,M94,"1M","f",,Trigger)</f>
        <v>44788</v>
      </c>
      <c r="N95" s="204">
        <f>_xll.qlInterestRateIndexMaturity("AUDBBSW3M",M95)</f>
        <v>44880</v>
      </c>
      <c r="O95" s="206" t="str">
        <f>_xll.qlMakeDatedOIS(,M95,N95,OvernightIndex,0,,,,EvaluationDate)</f>
        <v>obj_002c0#0000</v>
      </c>
      <c r="P95" s="206" t="b">
        <f>_xll.qlInstrumentSetPricingEngine(O95,OisEngine)</f>
        <v>1</v>
      </c>
      <c r="Q95" s="205">
        <f>_xll.qlIndexFixing(Currency&amp;IborType&amp;"3M",_xll.qlInterestRateIndexFixingDate(Currency&amp;IborType&amp;"3M",M95),TRUE,AllTriggers)</f>
        <v>4.5944578688109874E-2</v>
      </c>
      <c r="R95" s="205">
        <f>_xll.qlOvernightIndexedSwapFairRate(O95,AllTriggers)</f>
        <v>4.1811089279066467E-2</v>
      </c>
      <c r="S95" s="207">
        <f t="shared" si="3"/>
        <v>4.1334894090434074E-3</v>
      </c>
    </row>
    <row r="96" spans="5:19" ht="11.25" customHeight="1" x14ac:dyDescent="0.2">
      <c r="E96" s="199"/>
      <c r="F96" s="199"/>
      <c r="G96" s="198"/>
      <c r="J96" s="198"/>
      <c r="K96" s="198"/>
      <c r="M96" s="213">
        <f>_xll.qlCalendarAdvance(Calendar,M95,"1M","f",,Trigger)</f>
        <v>44819</v>
      </c>
      <c r="N96" s="204">
        <f>_xll.qlInterestRateIndexMaturity("AUDBBSW3M",M96)</f>
        <v>44910</v>
      </c>
      <c r="O96" s="206" t="str">
        <f>_xll.qlMakeDatedOIS(,M96,N96,OvernightIndex,0,,,,EvaluationDate)</f>
        <v>obj_00354#0000</v>
      </c>
      <c r="P96" s="206" t="b">
        <f>_xll.qlInstrumentSetPricingEngine(O96,OisEngine)</f>
        <v>1</v>
      </c>
      <c r="Q96" s="205">
        <f>_xll.qlIndexFixing(Currency&amp;IborType&amp;"3M",_xll.qlInterestRateIndexFixingDate(Currency&amp;IborType&amp;"3M",M96),TRUE,AllTriggers)</f>
        <v>4.6043067559938332E-2</v>
      </c>
      <c r="R96" s="205">
        <f>_xll.qlOvernightIndexedSwapFairRate(O96,AllTriggers)</f>
        <v>4.2043919555537212E-2</v>
      </c>
      <c r="S96" s="207">
        <f t="shared" si="3"/>
        <v>3.9991480044011193E-3</v>
      </c>
    </row>
    <row r="97" spans="5:19" ht="11.25" customHeight="1" x14ac:dyDescent="0.2">
      <c r="E97" s="199"/>
      <c r="F97" s="199"/>
      <c r="G97" s="198"/>
      <c r="J97" s="198"/>
      <c r="K97" s="198"/>
      <c r="M97" s="213">
        <f>_xll.qlCalendarAdvance(Calendar,M96,"1M","f",,Trigger)</f>
        <v>44851</v>
      </c>
      <c r="N97" s="204">
        <f>_xll.qlInterestRateIndexMaturity("AUDBBSW3M",M97)</f>
        <v>44943</v>
      </c>
      <c r="O97" s="206" t="str">
        <f>_xll.qlMakeDatedOIS(,M97,N97,OvernightIndex,0,,,,EvaluationDate)</f>
        <v>obj_002c1#0000</v>
      </c>
      <c r="P97" s="206" t="b">
        <f>_xll.qlInstrumentSetPricingEngine(O97,OisEngine)</f>
        <v>1</v>
      </c>
      <c r="Q97" s="205">
        <f>_xll.qlIndexFixing(Currency&amp;IborType&amp;"3M",_xll.qlInterestRateIndexFixingDate(Currency&amp;IborType&amp;"3M",M97),TRUE,AllTriggers)</f>
        <v>4.615597190234362E-2</v>
      </c>
      <c r="R97" s="205">
        <f>_xll.qlOvernightIndexedSwapFairRate(O97,AllTriggers)</f>
        <v>4.2300219539823658E-2</v>
      </c>
      <c r="S97" s="207">
        <f t="shared" si="3"/>
        <v>3.8557523625199625E-3</v>
      </c>
    </row>
    <row r="98" spans="5:19" ht="11.25" customHeight="1" x14ac:dyDescent="0.2">
      <c r="E98" s="199"/>
      <c r="F98" s="199"/>
      <c r="G98" s="198"/>
      <c r="J98" s="198"/>
      <c r="K98" s="198"/>
      <c r="M98" s="213">
        <f>_xll.qlCalendarAdvance(Calendar,M97,"1M","f",,Trigger)</f>
        <v>44882</v>
      </c>
      <c r="N98" s="204">
        <f>_xll.qlInterestRateIndexMaturity("AUDBBSW3M",M98)</f>
        <v>44974</v>
      </c>
      <c r="O98" s="206" t="str">
        <f>_xll.qlMakeDatedOIS(,M98,N98,OvernightIndex,0,,,,EvaluationDate)</f>
        <v>obj_0034a#0000</v>
      </c>
      <c r="P98" s="206" t="b">
        <f>_xll.qlInstrumentSetPricingEngine(O98,OisEngine)</f>
        <v>1</v>
      </c>
      <c r="Q98" s="205">
        <f>_xll.qlIndexFixing(Currency&amp;IborType&amp;"3M",_xll.qlInterestRateIndexFixingDate(Currency&amp;IborType&amp;"3M",M98),TRUE,AllTriggers)</f>
        <v>4.626276792305669E-2</v>
      </c>
      <c r="R98" s="205">
        <f>_xll.qlOvernightIndexedSwapFairRate(O98,AllTriggers)</f>
        <v>4.2543842373936026E-2</v>
      </c>
      <c r="S98" s="207">
        <f t="shared" si="3"/>
        <v>3.7189255491206635E-3</v>
      </c>
    </row>
    <row r="99" spans="5:19" ht="11.25" customHeight="1" x14ac:dyDescent="0.2">
      <c r="E99" s="199"/>
      <c r="F99" s="199"/>
      <c r="G99" s="198"/>
      <c r="J99" s="198"/>
      <c r="K99" s="198"/>
      <c r="M99" s="213">
        <f>_xll.qlCalendarAdvance(Calendar,M98,"1M","f",,Trigger)</f>
        <v>44914</v>
      </c>
      <c r="N99" s="204">
        <f>_xll.qlInterestRateIndexMaturity("AUDBBSW3M",M99)</f>
        <v>45005</v>
      </c>
      <c r="O99" s="206" t="str">
        <f>_xll.qlMakeDatedOIS(,M99,N99,OvernightIndex,0,,,,EvaluationDate)</f>
        <v>obj_00308#0000</v>
      </c>
      <c r="P99" s="206" t="b">
        <f>_xll.qlInstrumentSetPricingEngine(O99,OisEngine)</f>
        <v>1</v>
      </c>
      <c r="Q99" s="205">
        <f>_xll.qlIndexFixing(Currency&amp;IborType&amp;"3M",_xll.qlInterestRateIndexFixingDate(Currency&amp;IborType&amp;"3M",M99),TRUE,AllTriggers)</f>
        <v>4.6370214118636004E-2</v>
      </c>
      <c r="R99" s="205">
        <f>_xll.qlOvernightIndexedSwapFairRate(O99,AllTriggers)</f>
        <v>4.2790346223771661E-2</v>
      </c>
      <c r="S99" s="207">
        <f t="shared" si="3"/>
        <v>3.5798678948643428E-3</v>
      </c>
    </row>
    <row r="100" spans="5:19" ht="11.25" customHeight="1" x14ac:dyDescent="0.2">
      <c r="E100" s="199"/>
      <c r="F100" s="199"/>
      <c r="G100" s="198"/>
      <c r="J100" s="198"/>
      <c r="K100" s="198"/>
      <c r="M100" s="213">
        <f>_xll.qlCalendarAdvance(Calendar,M99,"1M","f",,Trigger)</f>
        <v>44945</v>
      </c>
      <c r="N100" s="204">
        <f>_xll.qlInterestRateIndexMaturity("AUDBBSW3M",M100)</f>
        <v>45035</v>
      </c>
      <c r="O100" s="206" t="str">
        <f>_xll.qlMakeDatedOIS(,M100,N100,OvernightIndex,0,,,,EvaluationDate)</f>
        <v>obj_002c2#0000</v>
      </c>
      <c r="P100" s="206" t="b">
        <f>_xll.qlInstrumentSetPricingEngine(O100,OisEngine)</f>
        <v>1</v>
      </c>
      <c r="Q100" s="205">
        <f>_xll.qlIndexFixing(Currency&amp;IborType&amp;"3M",_xll.qlInterestRateIndexFixingDate(Currency&amp;IborType&amp;"3M",M100),TRUE,AllTriggers)</f>
        <v>4.6475931156258934E-2</v>
      </c>
      <c r="R100" s="205">
        <f>_xll.qlOvernightIndexedSwapFairRate(O100,AllTriggers)</f>
        <v>4.3030324845882539E-2</v>
      </c>
      <c r="S100" s="207">
        <f t="shared" si="3"/>
        <v>3.4456063103763951E-3</v>
      </c>
    </row>
    <row r="101" spans="5:19" ht="11.25" customHeight="1" x14ac:dyDescent="0.2">
      <c r="E101" s="199"/>
      <c r="F101" s="199"/>
      <c r="G101" s="198"/>
      <c r="J101" s="198"/>
      <c r="K101" s="198"/>
      <c r="M101" s="213">
        <f>_xll.qlCalendarAdvance(Calendar,M100,"1M","f",,Trigger)</f>
        <v>44977</v>
      </c>
      <c r="N101" s="204">
        <f>_xll.qlInterestRateIndexMaturity("AUDBBSW3M",M101)</f>
        <v>45068</v>
      </c>
      <c r="O101" s="206" t="str">
        <f>_xll.qlMakeDatedOIS(,M101,N101,OvernightIndex,0,,,,EvaluationDate)</f>
        <v>obj_0032a#0000</v>
      </c>
      <c r="P101" s="206" t="b">
        <f>_xll.qlInstrumentSetPricingEngine(O101,OisEngine)</f>
        <v>1</v>
      </c>
      <c r="Q101" s="205">
        <f>_xll.qlIndexFixing(Currency&amp;IborType&amp;"3M",_xll.qlInterestRateIndexFixingDate(Currency&amp;IborType&amp;"3M",M101),TRUE,AllTriggers)</f>
        <v>4.6596650600192357E-2</v>
      </c>
      <c r="R101" s="205">
        <f>_xll.qlOvernightIndexedSwapFairRate(O101,AllTriggers)</f>
        <v>4.3292913726280476E-2</v>
      </c>
      <c r="S101" s="207">
        <f t="shared" si="3"/>
        <v>3.3037368739118819E-3</v>
      </c>
    </row>
    <row r="102" spans="5:19" ht="11.25" customHeight="1" x14ac:dyDescent="0.2">
      <c r="E102" s="199"/>
      <c r="F102" s="199"/>
      <c r="G102" s="198"/>
      <c r="J102" s="198"/>
      <c r="K102" s="198"/>
      <c r="M102" s="213">
        <f>_xll.qlCalendarAdvance(Calendar,M101,"1M","f",,Trigger)</f>
        <v>45005</v>
      </c>
      <c r="N102" s="204">
        <f>_xll.qlInterestRateIndexMaturity("AUDBBSW3M",M102)</f>
        <v>45097</v>
      </c>
      <c r="O102" s="206" t="str">
        <f>_xll.qlMakeDatedOIS(,M102,N102,OvernightIndex,0,,,,EvaluationDate)</f>
        <v>obj_002c3#0000</v>
      </c>
      <c r="P102" s="206" t="b">
        <f>_xll.qlInstrumentSetPricingEngine(O102,OisEngine)</f>
        <v>1</v>
      </c>
      <c r="Q102" s="205">
        <f>_xll.qlIndexFixing(Currency&amp;IborType&amp;"3M",_xll.qlInterestRateIndexFixingDate(Currency&amp;IborType&amp;"3M",M102),TRUE,AllTriggers)</f>
        <v>4.6704562706975601E-2</v>
      </c>
      <c r="R102" s="205">
        <f>_xll.qlOvernightIndexedSwapFairRate(O102,AllTriggers)</f>
        <v>4.3524882092295249E-2</v>
      </c>
      <c r="S102" s="207">
        <f t="shared" si="3"/>
        <v>3.1796806146803525E-3</v>
      </c>
    </row>
    <row r="103" spans="5:19" ht="11.25" customHeight="1" x14ac:dyDescent="0.2">
      <c r="E103" s="199"/>
      <c r="F103" s="199"/>
      <c r="G103" s="198"/>
      <c r="J103" s="198"/>
      <c r="K103" s="198"/>
      <c r="M103" s="213">
        <f>_xll.qlCalendarAdvance(Calendar,M102,"1M","f",,Trigger)</f>
        <v>45036</v>
      </c>
      <c r="N103" s="204">
        <f>_xll.qlInterestRateIndexMaturity("AUDBBSW3M",M103)</f>
        <v>45127</v>
      </c>
      <c r="O103" s="206" t="str">
        <f>_xll.qlMakeDatedOIS(,M103,N103,OvernightIndex,0,,,,EvaluationDate)</f>
        <v>obj_002c4#0000</v>
      </c>
      <c r="P103" s="206" t="b">
        <f>_xll.qlInstrumentSetPricingEngine(O103,OisEngine)</f>
        <v>1</v>
      </c>
      <c r="Q103" s="205">
        <f>_xll.qlIndexFixing(Currency&amp;IborType&amp;"3M",_xll.qlInterestRateIndexFixingDate(Currency&amp;IborType&amp;"3M",M103),TRUE,AllTriggers)</f>
        <v>4.6815571526316699E-2</v>
      </c>
      <c r="R103" s="205">
        <f>_xll.qlOvernightIndexedSwapFairRate(O103,AllTriggers)</f>
        <v>4.3769047703534028E-2</v>
      </c>
      <c r="S103" s="207">
        <f t="shared" si="3"/>
        <v>3.0465238227826708E-3</v>
      </c>
    </row>
    <row r="104" spans="5:19" ht="11.25" customHeight="1" x14ac:dyDescent="0.2">
      <c r="E104" s="199"/>
      <c r="F104" s="199"/>
      <c r="G104" s="198"/>
      <c r="J104" s="198"/>
      <c r="K104" s="198"/>
      <c r="M104" s="213">
        <f>_xll.qlCalendarAdvance(Calendar,M103,"1M","f",,Trigger)</f>
        <v>45068</v>
      </c>
      <c r="N104" s="204">
        <f>_xll.qlInterestRateIndexMaturity("AUDBBSW3M",M104)</f>
        <v>45160</v>
      </c>
      <c r="O104" s="206" t="str">
        <f>_xll.qlMakeDatedOIS(,M104,N104,OvernightIndex,0,,,,EvaluationDate)</f>
        <v>obj_00344#0000</v>
      </c>
      <c r="P104" s="206" t="b">
        <f>_xll.qlInstrumentSetPricingEngine(O104,OisEngine)</f>
        <v>1</v>
      </c>
      <c r="Q104" s="205">
        <f>_xll.qlIndexFixing(Currency&amp;IborType&amp;"3M",_xll.qlInterestRateIndexFixingDate(Currency&amp;IborType&amp;"3M",M104),TRUE,AllTriggers)</f>
        <v>4.694201974957278E-2</v>
      </c>
      <c r="R104" s="205">
        <f>_xll.qlOvernightIndexedSwapFairRate(O104,AllTriggers)</f>
        <v>4.4036282376523857E-2</v>
      </c>
      <c r="S104" s="207">
        <f t="shared" si="3"/>
        <v>2.9057373730489236E-3</v>
      </c>
    </row>
    <row r="105" spans="5:19" ht="11.25" customHeight="1" x14ac:dyDescent="0.2">
      <c r="E105" s="199"/>
      <c r="F105" s="199"/>
      <c r="G105" s="198"/>
      <c r="J105" s="198"/>
      <c r="K105" s="198"/>
      <c r="M105" s="213">
        <f>_xll.qlCalendarAdvance(Calendar,M104,"1M","f",,Trigger)</f>
        <v>45099</v>
      </c>
      <c r="N105" s="204">
        <f>_xll.qlInterestRateIndexMaturity("AUDBBSW3M",M105)</f>
        <v>45191</v>
      </c>
      <c r="O105" s="206" t="str">
        <f>_xll.qlMakeDatedOIS(,M105,N105,OvernightIndex,0,,,,EvaluationDate)</f>
        <v>obj_002c5#0000</v>
      </c>
      <c r="P105" s="206" t="b">
        <f>_xll.qlInstrumentSetPricingEngine(O105,OisEngine)</f>
        <v>1</v>
      </c>
      <c r="Q105" s="205">
        <f>_xll.qlIndexFixing(Currency&amp;IborType&amp;"3M",_xll.qlInterestRateIndexFixingDate(Currency&amp;IborType&amp;"3M",M105),TRUE,AllTriggers)</f>
        <v>4.7061642449712733E-2</v>
      </c>
      <c r="R105" s="205">
        <f>_xll.qlOvernightIndexedSwapFairRate(O105,AllTriggers)</f>
        <v>4.429008247756977E-2</v>
      </c>
      <c r="S105" s="207">
        <f t="shared" si="3"/>
        <v>2.7715599721429632E-3</v>
      </c>
    </row>
    <row r="106" spans="5:19" ht="11.25" customHeight="1" x14ac:dyDescent="0.2">
      <c r="E106" s="199"/>
      <c r="F106" s="199"/>
      <c r="G106" s="198"/>
      <c r="J106" s="198"/>
      <c r="K106" s="198"/>
      <c r="M106" s="213">
        <f>_xll.qlCalendarAdvance(Calendar,M105,"1M","f",,Trigger)</f>
        <v>45131</v>
      </c>
      <c r="N106" s="204">
        <f>_xll.qlInterestRateIndexMaturity("AUDBBSW3M",M106)</f>
        <v>45223</v>
      </c>
      <c r="O106" s="206" t="str">
        <f>_xll.qlMakeDatedOIS(,M106,N106,OvernightIndex,0,,,,EvaluationDate)</f>
        <v>obj_002c6#0000</v>
      </c>
      <c r="P106" s="206" t="b">
        <f>_xll.qlInstrumentSetPricingEngine(O106,OisEngine)</f>
        <v>1</v>
      </c>
      <c r="Q106" s="205">
        <f>_xll.qlIndexFixing(Currency&amp;IborType&amp;"3M",_xll.qlInterestRateIndexFixingDate(Currency&amp;IborType&amp;"3M",M106),TRUE,AllTriggers)</f>
        <v>4.7187046613854401E-2</v>
      </c>
      <c r="R106" s="205">
        <f>_xll.qlOvernightIndexedSwapFairRate(O106,AllTriggers)</f>
        <v>4.4550164213494024E-2</v>
      </c>
      <c r="S106" s="207">
        <f t="shared" si="3"/>
        <v>2.6368824003603769E-3</v>
      </c>
    </row>
    <row r="107" spans="5:19" ht="11.25" customHeight="1" x14ac:dyDescent="0.2">
      <c r="E107" s="199"/>
      <c r="F107" s="199"/>
      <c r="G107" s="198"/>
      <c r="J107" s="198"/>
      <c r="K107" s="198"/>
      <c r="M107" s="213">
        <f>_xll.qlCalendarAdvance(Calendar,M106,"1M","f",,Trigger)</f>
        <v>45162</v>
      </c>
      <c r="N107" s="204">
        <f>_xll.qlInterestRateIndexMaturity("AUDBBSW3M",M107)</f>
        <v>45254</v>
      </c>
      <c r="O107" s="206" t="str">
        <f>_xll.qlMakeDatedOIS(,M107,N107,OvernightIndex,0,,,,EvaluationDate)</f>
        <v>obj_002c7#0000</v>
      </c>
      <c r="P107" s="206" t="b">
        <f>_xll.qlInstrumentSetPricingEngine(O107,OisEngine)</f>
        <v>1</v>
      </c>
      <c r="Q107" s="205">
        <f>_xll.qlIndexFixing(Currency&amp;IborType&amp;"3M",_xll.qlInterestRateIndexFixingDate(Currency&amp;IborType&amp;"3M",M107),TRUE,AllTriggers)</f>
        <v>4.7310394652428568E-2</v>
      </c>
      <c r="R107" s="205">
        <f>_xll.qlOvernightIndexedSwapFairRate(O107,AllTriggers)</f>
        <v>4.4792405963739131E-2</v>
      </c>
      <c r="S107" s="207">
        <f t="shared" si="3"/>
        <v>2.5179886886894376E-3</v>
      </c>
    </row>
    <row r="108" spans="5:19" ht="11.25" customHeight="1" x14ac:dyDescent="0.2">
      <c r="E108" s="199"/>
      <c r="F108" s="199"/>
      <c r="G108" s="198"/>
      <c r="J108" s="198"/>
      <c r="K108" s="198"/>
      <c r="M108" s="213">
        <f>_xll.qlCalendarAdvance(Calendar,M107,"1M","f",,Trigger)</f>
        <v>45194</v>
      </c>
      <c r="N108" s="204">
        <f>_xll.qlInterestRateIndexMaturity("AUDBBSW3M",M108)</f>
        <v>45287</v>
      </c>
      <c r="O108" s="206" t="str">
        <f>_xll.qlMakeDatedOIS(,M108,N108,OvernightIndex,0,,,,EvaluationDate)</f>
        <v>obj_002c8#0000</v>
      </c>
      <c r="P108" s="206" t="b">
        <f>_xll.qlInstrumentSetPricingEngine(O108,OisEngine)</f>
        <v>1</v>
      </c>
      <c r="Q108" s="205">
        <f>_xll.qlIndexFixing(Currency&amp;IborType&amp;"3M",_xll.qlInterestRateIndexFixingDate(Currency&amp;IborType&amp;"3M",M108),TRUE,AllTriggers)</f>
        <v>4.7444765479089851E-2</v>
      </c>
      <c r="R108" s="205">
        <f>_xll.qlOvernightIndexedSwapFairRate(O108,AllTriggers)</f>
        <v>4.5030036631520914E-2</v>
      </c>
      <c r="S108" s="207">
        <f t="shared" si="3"/>
        <v>2.4147288475689366E-3</v>
      </c>
    </row>
    <row r="109" spans="5:19" ht="11.25" customHeight="1" x14ac:dyDescent="0.2">
      <c r="E109" s="199"/>
      <c r="F109" s="199"/>
      <c r="G109" s="198"/>
      <c r="J109" s="198"/>
      <c r="K109" s="198"/>
      <c r="M109" s="213">
        <f>_xll.qlCalendarAdvance(Calendar,M108,"1M","f",,Trigger)</f>
        <v>45224</v>
      </c>
      <c r="N109" s="204">
        <f>_xll.qlInterestRateIndexMaturity("AUDBBSW3M",M109)</f>
        <v>45316</v>
      </c>
      <c r="O109" s="206" t="str">
        <f>_xll.qlMakeDatedOIS(,M109,N109,OvernightIndex,0,,,,EvaluationDate)</f>
        <v>obj_0035d#0000</v>
      </c>
      <c r="P109" s="206" t="b">
        <f>_xll.qlInstrumentSetPricingEngine(O109,OisEngine)</f>
        <v>1</v>
      </c>
      <c r="Q109" s="205">
        <f>_xll.qlIndexFixing(Currency&amp;IborType&amp;"3M",_xll.qlInterestRateIndexFixingDate(Currency&amp;IborType&amp;"3M",M109),TRUE,AllTriggers)</f>
        <v>4.7562590973550228E-2</v>
      </c>
      <c r="R109" s="205">
        <f>_xll.qlOvernightIndexedSwapFairRate(O109,AllTriggers)</f>
        <v>4.5219730854510067E-2</v>
      </c>
      <c r="S109" s="207">
        <f t="shared" si="3"/>
        <v>2.3428601190401618E-3</v>
      </c>
    </row>
    <row r="110" spans="5:19" ht="11.25" customHeight="1" x14ac:dyDescent="0.2">
      <c r="E110" s="199"/>
      <c r="F110" s="199"/>
      <c r="G110" s="198"/>
      <c r="J110" s="198"/>
      <c r="K110" s="198"/>
      <c r="M110" s="213">
        <f>_xll.qlCalendarAdvance(Calendar,M109,"1M","f",,Trigger)</f>
        <v>45257</v>
      </c>
      <c r="N110" s="204">
        <f>_xll.qlInterestRateIndexMaturity("AUDBBSW3M",M110)</f>
        <v>45349</v>
      </c>
      <c r="O110" s="206" t="str">
        <f>_xll.qlMakeDatedOIS(,M110,N110,OvernightIndex,0,,,,EvaluationDate)</f>
        <v>obj_002c9#0000</v>
      </c>
      <c r="P110" s="206" t="b">
        <f>_xll.qlInstrumentSetPricingEngine(O110,OisEngine)</f>
        <v>1</v>
      </c>
      <c r="Q110" s="205">
        <f>_xll.qlIndexFixing(Currency&amp;IborType&amp;"3M",_xll.qlInterestRateIndexFixingDate(Currency&amp;IborType&amp;"3M",M110),TRUE,AllTriggers)</f>
        <v>4.7699815387895868E-2</v>
      </c>
      <c r="R110" s="205">
        <f>_xll.qlOvernightIndexedSwapFairRate(O110,AllTriggers)</f>
        <v>4.5410926763923505E-2</v>
      </c>
      <c r="S110" s="207">
        <f t="shared" si="3"/>
        <v>2.2888886239723627E-3</v>
      </c>
    </row>
    <row r="111" spans="5:19" ht="11.25" customHeight="1" x14ac:dyDescent="0.2">
      <c r="E111" s="199"/>
      <c r="F111" s="199"/>
      <c r="G111" s="198"/>
      <c r="J111" s="198"/>
      <c r="K111" s="198"/>
      <c r="M111" s="213">
        <f>_xll.qlCalendarAdvance(Calendar,M110,"1M","f",,Trigger)</f>
        <v>45287</v>
      </c>
      <c r="N111" s="204">
        <f>_xll.qlInterestRateIndexMaturity("AUDBBSW3M",M111)</f>
        <v>45378</v>
      </c>
      <c r="O111" s="206" t="str">
        <f>_xll.qlMakeDatedOIS(,M111,N111,OvernightIndex,0,,,,EvaluationDate)</f>
        <v>obj_002ca#0000</v>
      </c>
      <c r="P111" s="206" t="b">
        <f>_xll.qlInstrumentSetPricingEngine(O111,OisEngine)</f>
        <v>1</v>
      </c>
      <c r="Q111" s="205">
        <f>_xll.qlIndexFixing(Currency&amp;IborType&amp;"3M",_xll.qlInterestRateIndexFixingDate(Currency&amp;IborType&amp;"3M",M111),TRUE,AllTriggers)</f>
        <v>4.7821109958381826E-2</v>
      </c>
      <c r="R111" s="205">
        <f>_xll.qlOvernightIndexedSwapFairRate(O111,AllTriggers)</f>
        <v>4.5557743860883057E-2</v>
      </c>
      <c r="S111" s="207">
        <f t="shared" si="3"/>
        <v>2.2633660974987688E-3</v>
      </c>
    </row>
    <row r="112" spans="5:19" ht="11.25" customHeight="1" x14ac:dyDescent="0.2">
      <c r="E112" s="199"/>
      <c r="F112" s="199"/>
      <c r="G112" s="198"/>
      <c r="J112" s="198"/>
      <c r="K112" s="198"/>
      <c r="M112" s="213">
        <f>_xll.qlCalendarAdvance(Calendar,M111,"1M","f",,Trigger)</f>
        <v>45320</v>
      </c>
      <c r="N112" s="204">
        <f>_xll.qlInterestRateIndexMaturity("AUDBBSW3M",M112)</f>
        <v>45411</v>
      </c>
      <c r="O112" s="206" t="str">
        <f>_xll.qlMakeDatedOIS(,M112,N112,OvernightIndex,0,,,,EvaluationDate)</f>
        <v>obj_0032f#0000</v>
      </c>
      <c r="P112" s="206" t="b">
        <f>_xll.qlInstrumentSetPricingEngine(O112,OisEngine)</f>
        <v>1</v>
      </c>
      <c r="Q112" s="205">
        <f>_xll.qlIndexFixing(Currency&amp;IborType&amp;"3M",_xll.qlInterestRateIndexFixingDate(Currency&amp;IborType&amp;"3M",M112),TRUE,AllTriggers)</f>
        <v>4.796225204311981E-2</v>
      </c>
      <c r="R112" s="205">
        <f>_xll.qlOvernightIndexedSwapFairRate(O112,AllTriggers)</f>
        <v>4.5701027834897046E-2</v>
      </c>
      <c r="S112" s="207">
        <f t="shared" si="3"/>
        <v>2.2612242082227646E-3</v>
      </c>
    </row>
    <row r="113" spans="5:19" ht="11.25" customHeight="1" x14ac:dyDescent="0.2">
      <c r="E113" s="199"/>
      <c r="F113" s="199"/>
      <c r="G113" s="198"/>
      <c r="J113" s="198"/>
      <c r="K113" s="198"/>
      <c r="M113" s="213">
        <f>_xll.qlCalendarAdvance(Calendar,M112,"1M","f",,Trigger)</f>
        <v>45351</v>
      </c>
      <c r="N113" s="204">
        <f>_xll.qlInterestRateIndexMaturity("AUDBBSW3M",M113)</f>
        <v>45443</v>
      </c>
      <c r="O113" s="206" t="str">
        <f>_xll.qlMakeDatedOIS(,M113,N113,OvernightIndex,0,,,,EvaluationDate)</f>
        <v>obj_00324#0000</v>
      </c>
      <c r="P113" s="206" t="b">
        <f>_xll.qlInstrumentSetPricingEngine(O113,OisEngine)</f>
        <v>1</v>
      </c>
      <c r="Q113" s="205">
        <f>_xll.qlIndexFixing(Currency&amp;IborType&amp;"3M",_xll.qlInterestRateIndexFixingDate(Currency&amp;IborType&amp;"3M",M113),TRUE,AllTriggers)</f>
        <v>4.8102088514815122E-2</v>
      </c>
      <c r="R113" s="205">
        <f>_xll.qlOvernightIndexedSwapFairRate(O113,AllTriggers)</f>
        <v>4.5816935053138379E-2</v>
      </c>
      <c r="S113" s="207">
        <f t="shared" si="3"/>
        <v>2.2851534616767435E-3</v>
      </c>
    </row>
    <row r="114" spans="5:19" ht="11.25" customHeight="1" x14ac:dyDescent="0.2">
      <c r="E114" s="199"/>
      <c r="F114" s="199"/>
      <c r="G114" s="198"/>
      <c r="J114" s="198"/>
      <c r="K114" s="198"/>
      <c r="M114" s="213">
        <f>_xll.qlCalendarAdvance(Calendar,M113,"1M","f",,Trigger)</f>
        <v>45384</v>
      </c>
      <c r="N114" s="204">
        <f>_xll.qlInterestRateIndexMaturity("AUDBBSW3M",M114)</f>
        <v>45475</v>
      </c>
      <c r="O114" s="206" t="str">
        <f>_xll.qlMakeDatedOIS(,M114,N114,OvernightIndex,0,,,,EvaluationDate)</f>
        <v>obj_00316#0000</v>
      </c>
      <c r="P114" s="206" t="b">
        <f>_xll.qlInstrumentSetPricingEngine(O114,OisEngine)</f>
        <v>1</v>
      </c>
      <c r="Q114" s="205">
        <f>_xll.qlIndexFixing(Currency&amp;IborType&amp;"3M",_xll.qlInterestRateIndexFixingDate(Currency&amp;IborType&amp;"3M",M114),TRUE,AllTriggers)</f>
        <v>4.8241905995319016E-2</v>
      </c>
      <c r="R114" s="205">
        <f>_xll.qlOvernightIndexedSwapFairRate(O114,AllTriggers)</f>
        <v>4.5906828094694339E-2</v>
      </c>
      <c r="S114" s="207">
        <f t="shared" si="3"/>
        <v>2.3350779006246769E-3</v>
      </c>
    </row>
    <row r="115" spans="5:19" ht="11.25" customHeight="1" x14ac:dyDescent="0.2">
      <c r="E115" s="199"/>
      <c r="F115" s="199"/>
      <c r="G115" s="198"/>
      <c r="J115" s="198"/>
      <c r="K115" s="198"/>
      <c r="M115" s="213">
        <f>_xll.qlCalendarAdvance(Calendar,M114,"1M","f",,Trigger)</f>
        <v>45414</v>
      </c>
      <c r="N115" s="204">
        <f>_xll.qlInterestRateIndexMaturity("AUDBBSW3M",M115)</f>
        <v>45506</v>
      </c>
      <c r="O115" s="206" t="str">
        <f>_xll.qlMakeDatedOIS(,M115,N115,OvernightIndex,0,,,,EvaluationDate)</f>
        <v>obj_0035c#0000</v>
      </c>
      <c r="P115" s="206" t="b">
        <f>_xll.qlInstrumentSetPricingEngine(O115,OisEngine)</f>
        <v>1</v>
      </c>
      <c r="Q115" s="205">
        <f>_xll.qlIndexFixing(Currency&amp;IborType&amp;"3M",_xll.qlInterestRateIndexFixingDate(Currency&amp;IborType&amp;"3M",M115),TRUE,AllTriggers)</f>
        <v>4.8381137190951815E-2</v>
      </c>
      <c r="R115" s="205">
        <f>_xll.qlOvernightIndexedSwapFairRate(O115,AllTriggers)</f>
        <v>4.5974181192975347E-2</v>
      </c>
      <c r="S115" s="207">
        <f t="shared" si="3"/>
        <v>2.4069559979764676E-3</v>
      </c>
    </row>
    <row r="116" spans="5:19" ht="11.25" customHeight="1" x14ac:dyDescent="0.2">
      <c r="E116" s="199"/>
      <c r="F116" s="199"/>
      <c r="G116" s="198"/>
      <c r="J116" s="198"/>
      <c r="K116" s="198"/>
      <c r="M116" s="213">
        <f>_xll.qlCalendarAdvance(Calendar,M115,"1M","f",,Trigger)</f>
        <v>45446</v>
      </c>
      <c r="N116" s="204">
        <f>_xll.qlInterestRateIndexMaturity("AUDBBSW3M",M116)</f>
        <v>45538</v>
      </c>
      <c r="O116" s="206" t="str">
        <f>_xll.qlMakeDatedOIS(,M116,N116,OvernightIndex,0,,,,EvaluationDate)</f>
        <v>obj_002cb#0000</v>
      </c>
      <c r="P116" s="206" t="b">
        <f>_xll.qlInstrumentSetPricingEngine(O116,OisEngine)</f>
        <v>1</v>
      </c>
      <c r="Q116" s="205">
        <f>_xll.qlIndexFixing(Currency&amp;IborType&amp;"3M",_xll.qlInterestRateIndexFixingDate(Currency&amp;IborType&amp;"3M",M116),TRUE,AllTriggers)</f>
        <v>4.8525778214016435E-2</v>
      </c>
      <c r="R116" s="205">
        <f>_xll.qlOvernightIndexedSwapFairRate(O116,AllTriggers)</f>
        <v>4.6018743417380652E-2</v>
      </c>
      <c r="S116" s="207">
        <f t="shared" si="3"/>
        <v>2.5070347966357834E-3</v>
      </c>
    </row>
    <row r="117" spans="5:19" ht="11.25" customHeight="1" x14ac:dyDescent="0.2">
      <c r="E117" s="199"/>
      <c r="F117" s="199"/>
      <c r="G117" s="198"/>
      <c r="J117" s="198"/>
      <c r="K117" s="198"/>
      <c r="M117" s="213">
        <f>_xll.qlCalendarAdvance(Calendar,M116,"1M","f",,Trigger)</f>
        <v>45476</v>
      </c>
      <c r="N117" s="204">
        <f>_xll.qlInterestRateIndexMaturity("AUDBBSW3M",M117)</f>
        <v>45568</v>
      </c>
      <c r="O117" s="206" t="str">
        <f>_xll.qlMakeDatedOIS(,M117,N117,OvernightIndex,0,,,,EvaluationDate)</f>
        <v>obj_002cc#0000</v>
      </c>
      <c r="P117" s="206" t="b">
        <f>_xll.qlInstrumentSetPricingEngine(O117,OisEngine)</f>
        <v>1</v>
      </c>
      <c r="Q117" s="205">
        <f>_xll.qlIndexFixing(Currency&amp;IborType&amp;"3M",_xll.qlInterestRateIndexFixingDate(Currency&amp;IborType&amp;"3M",M117),TRUE,AllTriggers)</f>
        <v>4.8662953879436456E-2</v>
      </c>
      <c r="R117" s="205">
        <f>_xll.qlOvernightIndexedSwapFairRate(O117,AllTriggers)</f>
        <v>4.6039453889949726E-2</v>
      </c>
      <c r="S117" s="207">
        <f t="shared" si="3"/>
        <v>2.62349998948673E-3</v>
      </c>
    </row>
    <row r="118" spans="5:19" ht="11.25" customHeight="1" x14ac:dyDescent="0.2">
      <c r="E118" s="199"/>
      <c r="F118" s="199"/>
      <c r="G118" s="198"/>
      <c r="J118" s="198"/>
      <c r="K118" s="198"/>
      <c r="M118" s="213">
        <f>_xll.qlCalendarAdvance(Calendar,M117,"1M","f",,Trigger)</f>
        <v>45510</v>
      </c>
      <c r="N118" s="204">
        <f>_xll.qlInterestRateIndexMaturity("AUDBBSW3M",M118)</f>
        <v>45602</v>
      </c>
      <c r="O118" s="206" t="str">
        <f>_xll.qlMakeDatedOIS(,M118,N118,OvernightIndex,0,,,,EvaluationDate)</f>
        <v>obj_002cd#0000</v>
      </c>
      <c r="P118" s="206" t="b">
        <f>_xll.qlInstrumentSetPricingEngine(O118,OisEngine)</f>
        <v>1</v>
      </c>
      <c r="Q118" s="205">
        <f>_xll.qlIndexFixing(Currency&amp;IborType&amp;"3M",_xll.qlInterestRateIndexFixingDate(Currency&amp;IborType&amp;"3M",M118),TRUE,AllTriggers)</f>
        <v>4.8817865139142082E-2</v>
      </c>
      <c r="R118" s="205">
        <f>_xll.qlOvernightIndexedSwapFairRate(O118,AllTriggers)</f>
        <v>4.6044690181808103E-2</v>
      </c>
      <c r="S118" s="207">
        <f t="shared" si="3"/>
        <v>2.7731749573339792E-3</v>
      </c>
    </row>
    <row r="119" spans="5:19" ht="11.25" customHeight="1" x14ac:dyDescent="0.2">
      <c r="E119" s="199"/>
      <c r="F119" s="199"/>
      <c r="G119" s="198"/>
      <c r="J119" s="198"/>
      <c r="K119" s="198"/>
      <c r="M119" s="213">
        <f>_xll.qlCalendarAdvance(Calendar,M118,"1M","f",,Trigger)</f>
        <v>45541</v>
      </c>
      <c r="N119" s="204">
        <f>_xll.qlInterestRateIndexMaturity("AUDBBSW3M",M119)</f>
        <v>45632</v>
      </c>
      <c r="O119" s="206" t="str">
        <f>_xll.qlMakeDatedOIS(,M119,N119,OvernightIndex,0,,,,EvaluationDate)</f>
        <v>obj_00343#0000</v>
      </c>
      <c r="P119" s="206" t="b">
        <f>_xll.qlInstrumentSetPricingEngine(O119,OisEngine)</f>
        <v>1</v>
      </c>
      <c r="Q119" s="205">
        <f>_xll.qlIndexFixing(Currency&amp;IborType&amp;"3M",_xll.qlInterestRateIndexFixingDate(Currency&amp;IborType&amp;"3M",M119),TRUE,AllTriggers)</f>
        <v>4.8950046348910606E-2</v>
      </c>
      <c r="R119" s="205">
        <f>_xll.qlOvernightIndexedSwapFairRate(O119,AllTriggers)</f>
        <v>4.6038164121081027E-2</v>
      </c>
      <c r="S119" s="207">
        <f t="shared" si="3"/>
        <v>2.9118822278295792E-3</v>
      </c>
    </row>
    <row r="120" spans="5:19" ht="11.25" customHeight="1" x14ac:dyDescent="0.2">
      <c r="E120" s="199"/>
      <c r="F120" s="199"/>
      <c r="G120" s="198"/>
      <c r="J120" s="198"/>
      <c r="K120" s="198"/>
      <c r="M120" s="213">
        <f>_xll.qlCalendarAdvance(Calendar,M119,"1M","f",,Trigger)</f>
        <v>45573</v>
      </c>
      <c r="N120" s="204">
        <f>_xll.qlInterestRateIndexMaturity("AUDBBSW3M",M120)</f>
        <v>45665</v>
      </c>
      <c r="O120" s="206" t="str">
        <f>_xll.qlMakeDatedOIS(,M120,N120,OvernightIndex,0,,,,EvaluationDate)</f>
        <v>obj_002ce#0000</v>
      </c>
      <c r="P120" s="206" t="b">
        <f>_xll.qlInstrumentSetPricingEngine(O120,OisEngine)</f>
        <v>1</v>
      </c>
      <c r="Q120" s="205">
        <f>_xll.qlIndexFixing(Currency&amp;IborType&amp;"3M",_xll.qlInterestRateIndexFixingDate(Currency&amp;IborType&amp;"3M",M120),TRUE,AllTriggers)</f>
        <v>4.9090900109506182E-2</v>
      </c>
      <c r="R120" s="205">
        <f>_xll.qlOvernightIndexedSwapFairRate(O120,AllTriggers)</f>
        <v>4.6036472516727517E-2</v>
      </c>
      <c r="S120" s="207">
        <f t="shared" si="3"/>
        <v>3.0544275927786649E-3</v>
      </c>
    </row>
    <row r="121" spans="5:19" ht="11.25" customHeight="1" x14ac:dyDescent="0.2">
      <c r="E121" s="199"/>
      <c r="F121" s="199"/>
      <c r="G121" s="198"/>
      <c r="J121" s="198"/>
      <c r="K121" s="198"/>
      <c r="M121" s="213">
        <f>_xll.qlCalendarAdvance(Calendar,M120,"1M","f",,Trigger)</f>
        <v>45604</v>
      </c>
      <c r="N121" s="204">
        <f>_xll.qlInterestRateIndexMaturity("AUDBBSW3M",M121)</f>
        <v>45698</v>
      </c>
      <c r="O121" s="206" t="str">
        <f>_xll.qlMakeDatedOIS(,M121,N121,OvernightIndex,0,,,,EvaluationDate)</f>
        <v>obj_00334#0000</v>
      </c>
      <c r="P121" s="206" t="b">
        <f>_xll.qlInstrumentSetPricingEngine(O121,OisEngine)</f>
        <v>1</v>
      </c>
      <c r="Q121" s="205">
        <f>_xll.qlIndexFixing(Currency&amp;IborType&amp;"3M",_xll.qlInterestRateIndexFixingDate(Currency&amp;IborType&amp;"3M",M121),TRUE,AllTriggers)</f>
        <v>4.9225474179519328E-2</v>
      </c>
      <c r="R121" s="205">
        <f>_xll.qlOvernightIndexedSwapFairRate(O121,AllTriggers)</f>
        <v>4.6038999962058416E-2</v>
      </c>
      <c r="S121" s="207">
        <f t="shared" si="3"/>
        <v>3.186474217460912E-3</v>
      </c>
    </row>
    <row r="122" spans="5:19" ht="11.25" customHeight="1" x14ac:dyDescent="0.2">
      <c r="E122" s="199"/>
      <c r="F122" s="199"/>
      <c r="G122" s="198"/>
      <c r="J122" s="198"/>
      <c r="K122" s="198"/>
      <c r="M122" s="213">
        <f>_xll.qlCalendarAdvance(Calendar,M121,"1M","f",,Trigger)</f>
        <v>45635</v>
      </c>
      <c r="N122" s="204">
        <f>_xll.qlInterestRateIndexMaturity("AUDBBSW3M",M122)</f>
        <v>45726</v>
      </c>
      <c r="O122" s="206" t="str">
        <f>_xll.qlMakeDatedOIS(,M122,N122,OvernightIndex,0,,,,EvaluationDate)</f>
        <v>obj_00365#0000</v>
      </c>
      <c r="P122" s="206" t="b">
        <f>_xll.qlInstrumentSetPricingEngine(O122,OisEngine)</f>
        <v>1</v>
      </c>
      <c r="Q122" s="205">
        <f>_xll.qlIndexFixing(Currency&amp;IborType&amp;"3M",_xll.qlInterestRateIndexFixingDate(Currency&amp;IborType&amp;"3M",M122),TRUE,AllTriggers)</f>
        <v>4.9327234100656585E-2</v>
      </c>
      <c r="R122" s="205">
        <f>_xll.qlOvernightIndexedSwapFairRate(O122,AllTriggers)</f>
        <v>4.6028148991813574E-2</v>
      </c>
      <c r="S122" s="207">
        <f t="shared" si="3"/>
        <v>3.2990851088430112E-3</v>
      </c>
    </row>
    <row r="123" spans="5:19" ht="11.25" customHeight="1" x14ac:dyDescent="0.2">
      <c r="E123" s="199"/>
      <c r="F123" s="199"/>
      <c r="G123" s="198"/>
      <c r="J123" s="198"/>
      <c r="K123" s="198"/>
      <c r="M123" s="213">
        <f>_xll.qlCalendarAdvance(Calendar,M122,"1M","f",,Trigger)</f>
        <v>45666</v>
      </c>
      <c r="N123" s="204">
        <f>_xll.qlInterestRateIndexMaturity("AUDBBSW3M",M123)</f>
        <v>45756</v>
      </c>
      <c r="O123" s="206" t="str">
        <f>_xll.qlMakeDatedOIS(,M123,N123,OvernightIndex,0,,,,EvaluationDate)</f>
        <v>obj_002cf#0000</v>
      </c>
      <c r="P123" s="206" t="b">
        <f>_xll.qlInstrumentSetPricingEngine(O123,OisEngine)</f>
        <v>1</v>
      </c>
      <c r="Q123" s="205">
        <f>_xll.qlIndexFixing(Currency&amp;IborType&amp;"3M",_xll.qlInterestRateIndexFixingDate(Currency&amp;IborType&amp;"3M",M123),TRUE,AllTriggers)</f>
        <v>4.9432638997360369E-2</v>
      </c>
      <c r="R123" s="205">
        <f>_xll.qlOvernightIndexedSwapFairRate(O123,AllTriggers)</f>
        <v>4.6024184730200972E-2</v>
      </c>
      <c r="S123" s="207">
        <f t="shared" si="3"/>
        <v>3.408454267159397E-3</v>
      </c>
    </row>
    <row r="124" spans="5:19" ht="11.25" customHeight="1" x14ac:dyDescent="0.2">
      <c r="E124" s="199"/>
      <c r="F124" s="199"/>
      <c r="G124" s="198"/>
      <c r="J124" s="198"/>
      <c r="K124" s="198"/>
      <c r="M124" s="213">
        <f>_xll.qlCalendarAdvance(Calendar,M123,"1M","f",,Trigger)</f>
        <v>45698</v>
      </c>
      <c r="N124" s="204">
        <f>_xll.qlInterestRateIndexMaturity("AUDBBSW3M",M124)</f>
        <v>45789</v>
      </c>
      <c r="O124" s="206" t="str">
        <f>_xll.qlMakeDatedOIS(,M124,N124,OvernightIndex,0,,,,EvaluationDate)</f>
        <v>obj_00315#0000</v>
      </c>
      <c r="P124" s="206" t="b">
        <f>_xll.qlInstrumentSetPricingEngine(O124,OisEngine)</f>
        <v>1</v>
      </c>
      <c r="Q124" s="205">
        <f>_xll.qlIndexFixing(Currency&amp;IborType&amp;"3M",_xll.qlInterestRateIndexFixingDate(Currency&amp;IborType&amp;"3M",M124),TRUE,AllTriggers)</f>
        <v>4.9544340991733056E-2</v>
      </c>
      <c r="R124" s="205">
        <f>_xll.qlOvernightIndexedSwapFairRate(O124,AllTriggers)</f>
        <v>4.6027233001597154E-2</v>
      </c>
      <c r="S124" s="207">
        <f t="shared" si="3"/>
        <v>3.5171079901359023E-3</v>
      </c>
    </row>
    <row r="125" spans="5:19" ht="11.25" customHeight="1" x14ac:dyDescent="0.2">
      <c r="E125" s="199"/>
      <c r="F125" s="199"/>
      <c r="G125" s="198"/>
      <c r="J125" s="198"/>
      <c r="K125" s="198"/>
      <c r="M125" s="213">
        <f>_xll.qlCalendarAdvance(Calendar,M124,"1M","f",,Trigger)</f>
        <v>45726</v>
      </c>
      <c r="N125" s="204">
        <f>_xll.qlInterestRateIndexMaturity("AUDBBSW3M",M125)</f>
        <v>45818</v>
      </c>
      <c r="O125" s="206" t="str">
        <f>_xll.qlMakeDatedOIS(,M125,N125,OvernightIndex,0,,,,EvaluationDate)</f>
        <v>obj_002d0#0000</v>
      </c>
      <c r="P125" s="206" t="b">
        <f>_xll.qlInstrumentSetPricingEngine(O125,OisEngine)</f>
        <v>1</v>
      </c>
      <c r="Q125" s="205">
        <f>_xll.qlIndexFixing(Currency&amp;IborType&amp;"3M",_xll.qlInterestRateIndexFixingDate(Currency&amp;IborType&amp;"3M",M125),TRUE,AllTriggers)</f>
        <v>4.9636450730122739E-2</v>
      </c>
      <c r="R125" s="205">
        <f>_xll.qlOvernightIndexedSwapFairRate(O125,AllTriggers)</f>
        <v>4.6031287540692044E-2</v>
      </c>
      <c r="S125" s="207">
        <f t="shared" si="3"/>
        <v>3.6051631894306949E-3</v>
      </c>
    </row>
    <row r="126" spans="5:19" ht="11.25" customHeight="1" x14ac:dyDescent="0.2">
      <c r="E126" s="199"/>
      <c r="F126" s="199"/>
      <c r="G126" s="198"/>
      <c r="J126" s="198"/>
      <c r="K126" s="198"/>
      <c r="M126" s="213">
        <f>_xll.qlCalendarAdvance(Calendar,M125,"1M","f",,Trigger)</f>
        <v>45757</v>
      </c>
      <c r="N126" s="204">
        <f>_xll.qlInterestRateIndexMaturity("AUDBBSW3M",M126)</f>
        <v>45848</v>
      </c>
      <c r="O126" s="206" t="str">
        <f>_xll.qlMakeDatedOIS(,M126,N126,OvernightIndex,0,,,,EvaluationDate)</f>
        <v>obj_0036f#0000</v>
      </c>
      <c r="P126" s="206" t="b">
        <f>_xll.qlInstrumentSetPricingEngine(O126,OisEngine)</f>
        <v>1</v>
      </c>
      <c r="Q126" s="205">
        <f>_xll.qlIndexFixing(Currency&amp;IborType&amp;"3M",_xll.qlInterestRateIndexFixingDate(Currency&amp;IborType&amp;"3M",M126),TRUE,AllTriggers)</f>
        <v>4.9721685795823832E-2</v>
      </c>
      <c r="R126" s="205">
        <f>_xll.qlOvernightIndexedSwapFairRate(O126,AllTriggers)</f>
        <v>4.6030594696918385E-2</v>
      </c>
      <c r="S126" s="207">
        <f t="shared" si="3"/>
        <v>3.6910910989054468E-3</v>
      </c>
    </row>
    <row r="127" spans="5:19" ht="11.25" customHeight="1" x14ac:dyDescent="0.2">
      <c r="E127" s="199"/>
      <c r="F127" s="199"/>
      <c r="G127" s="198"/>
      <c r="J127" s="198"/>
      <c r="K127" s="198"/>
      <c r="M127" s="213">
        <f>_xll.qlCalendarAdvance(Calendar,M126,"1M","f",,Trigger)</f>
        <v>45789</v>
      </c>
      <c r="N127" s="204">
        <f>_xll.qlInterestRateIndexMaturity("AUDBBSW3M",M127)</f>
        <v>45881</v>
      </c>
      <c r="O127" s="206" t="str">
        <f>_xll.qlMakeDatedOIS(,M127,N127,OvernightIndex,0,,,,EvaluationDate)</f>
        <v>obj_00353#0000</v>
      </c>
      <c r="P127" s="206" t="b">
        <f>_xll.qlInstrumentSetPricingEngine(O127,OisEngine)</f>
        <v>1</v>
      </c>
      <c r="Q127" s="205">
        <f>_xll.qlIndexFixing(Currency&amp;IborType&amp;"3M",_xll.qlInterestRateIndexFixingDate(Currency&amp;IborType&amp;"3M",M127),TRUE,AllTriggers)</f>
        <v>4.981197183961121E-2</v>
      </c>
      <c r="R127" s="205">
        <f>_xll.qlOvernightIndexedSwapFairRate(O127,AllTriggers)</f>
        <v>4.6037130692465775E-2</v>
      </c>
      <c r="S127" s="207">
        <f t="shared" si="3"/>
        <v>3.7748411471454357E-3</v>
      </c>
    </row>
    <row r="128" spans="5:19" ht="11.25" customHeight="1" x14ac:dyDescent="0.2">
      <c r="E128" s="199"/>
      <c r="F128" s="199"/>
      <c r="G128" s="198"/>
      <c r="J128" s="198"/>
      <c r="K128" s="198"/>
      <c r="M128" s="213">
        <f>_xll.qlCalendarAdvance(Calendar,M127,"1M","f",,Trigger)</f>
        <v>45820</v>
      </c>
      <c r="N128" s="204">
        <f>_xll.qlInterestRateIndexMaturity("AUDBBSW3M",M128)</f>
        <v>45912</v>
      </c>
      <c r="O128" s="206" t="str">
        <f>_xll.qlMakeDatedOIS(,M128,N128,OvernightIndex,0,,,,EvaluationDate)</f>
        <v>obj_002d1#0000</v>
      </c>
      <c r="P128" s="206" t="b">
        <f>_xll.qlInstrumentSetPricingEngine(O128,OisEngine)</f>
        <v>1</v>
      </c>
      <c r="Q128" s="205">
        <f>_xll.qlIndexFixing(Currency&amp;IborType&amp;"3M",_xll.qlInterestRateIndexFixingDate(Currency&amp;IborType&amp;"3M",M128),TRUE,AllTriggers)</f>
        <v>4.9887819490658437E-2</v>
      </c>
      <c r="R128" s="205">
        <f>_xll.qlOvernightIndexedSwapFairRate(O128,AllTriggers)</f>
        <v>4.6041714329476596E-2</v>
      </c>
      <c r="S128" s="207">
        <f t="shared" si="3"/>
        <v>3.8461051611818411E-3</v>
      </c>
    </row>
    <row r="129" spans="5:19" ht="11.25" customHeight="1" x14ac:dyDescent="0.2">
      <c r="E129" s="199"/>
      <c r="F129" s="199"/>
      <c r="G129" s="198"/>
      <c r="J129" s="198"/>
      <c r="K129" s="198"/>
      <c r="M129" s="213">
        <f>_xll.qlCalendarAdvance(Calendar,M128,"1M","f",,Trigger)</f>
        <v>45852</v>
      </c>
      <c r="N129" s="204">
        <f>_xll.qlInterestRateIndexMaturity("AUDBBSW3M",M129)</f>
        <v>45944</v>
      </c>
      <c r="O129" s="206" t="str">
        <f>_xll.qlMakeDatedOIS(,M129,N129,OvernightIndex,0,,,,EvaluationDate)</f>
        <v>obj_00342#0000</v>
      </c>
      <c r="P129" s="206" t="b">
        <f>_xll.qlInstrumentSetPricingEngine(O129,OisEngine)</f>
        <v>1</v>
      </c>
      <c r="Q129" s="205">
        <f>_xll.qlIndexFixing(Currency&amp;IborType&amp;"3M",_xll.qlInterestRateIndexFixingDate(Currency&amp;IborType&amp;"3M",M129),TRUE,AllTriggers)</f>
        <v>4.9958835274189706E-2</v>
      </c>
      <c r="R129" s="205">
        <f>_xll.qlOvernightIndexedSwapFairRate(O129,AllTriggers)</f>
        <v>4.6047627782117191E-2</v>
      </c>
      <c r="S129" s="207">
        <f t="shared" si="3"/>
        <v>3.9112074920725146E-3</v>
      </c>
    </row>
    <row r="130" spans="5:19" ht="11.25" customHeight="1" x14ac:dyDescent="0.2">
      <c r="E130" s="199"/>
      <c r="F130" s="199"/>
      <c r="G130" s="198"/>
      <c r="J130" s="198"/>
      <c r="K130" s="198"/>
      <c r="M130" s="213">
        <f>_xll.qlCalendarAdvance(Calendar,M129,"1M","f",,Trigger)</f>
        <v>45883</v>
      </c>
      <c r="N130" s="204">
        <f>_xll.qlInterestRateIndexMaturity("AUDBBSW3M",M130)</f>
        <v>45975</v>
      </c>
      <c r="O130" s="206" t="str">
        <f>_xll.qlMakeDatedOIS(,M130,N130,OvernightIndex,0,,,,EvaluationDate)</f>
        <v>obj_002d2#0000</v>
      </c>
      <c r="P130" s="206" t="b">
        <f>_xll.qlInstrumentSetPricingEngine(O130,OisEngine)</f>
        <v>1</v>
      </c>
      <c r="Q130" s="205">
        <f>_xll.qlIndexFixing(Currency&amp;IborType&amp;"3M",_xll.qlInterestRateIndexFixingDate(Currency&amp;IborType&amp;"3M",M130),TRUE,AllTriggers)</f>
        <v>5.0020580337537E-2</v>
      </c>
      <c r="R130" s="205">
        <f>_xll.qlOvernightIndexedSwapFairRate(O130,AllTriggers)</f>
        <v>4.6054501464621235E-2</v>
      </c>
      <c r="S130" s="207">
        <f t="shared" si="3"/>
        <v>3.9660788729157653E-3</v>
      </c>
    </row>
    <row r="131" spans="5:19" ht="11.25" customHeight="1" x14ac:dyDescent="0.2">
      <c r="E131" s="199"/>
      <c r="F131" s="199"/>
      <c r="G131" s="198"/>
      <c r="J131" s="198"/>
      <c r="K131" s="198"/>
      <c r="M131" s="213">
        <f>_xll.qlCalendarAdvance(Calendar,M130,"1M","f",,Trigger)</f>
        <v>45915</v>
      </c>
      <c r="N131" s="204">
        <f>_xll.qlInterestRateIndexMaturity("AUDBBSW3M",M131)</f>
        <v>46006</v>
      </c>
      <c r="O131" s="206" t="str">
        <f>_xll.qlMakeDatedOIS(,M131,N131,OvernightIndex,0,,,,EvaluationDate)</f>
        <v>obj_00369#0000</v>
      </c>
      <c r="P131" s="206" t="b">
        <f>_xll.qlInstrumentSetPricingEngine(O131,OisEngine)</f>
        <v>1</v>
      </c>
      <c r="Q131" s="205">
        <f>_xll.qlIndexFixing(Currency&amp;IborType&amp;"3M",_xll.qlInterestRateIndexFixingDate(Currency&amp;IborType&amp;"3M",M131),TRUE,AllTriggers)</f>
        <v>5.0072847088175582E-2</v>
      </c>
      <c r="R131" s="205">
        <f>_xll.qlOvernightIndexedSwapFairRate(O131,AllTriggers)</f>
        <v>4.6059696060490499E-2</v>
      </c>
      <c r="S131" s="207">
        <f t="shared" ref="S131:S194" si="4">Q131-R131</f>
        <v>4.0131510276850829E-3</v>
      </c>
    </row>
    <row r="132" spans="5:19" ht="11.25" customHeight="1" x14ac:dyDescent="0.2">
      <c r="E132" s="199"/>
      <c r="F132" s="199"/>
      <c r="G132" s="198"/>
      <c r="J132" s="198"/>
      <c r="K132" s="198"/>
      <c r="M132" s="213">
        <f>_xll.qlCalendarAdvance(Calendar,M131,"1M","f",,Trigger)</f>
        <v>45945</v>
      </c>
      <c r="N132" s="204">
        <f>_xll.qlInterestRateIndexMaturity("AUDBBSW3M",M132)</f>
        <v>46037</v>
      </c>
      <c r="O132" s="206" t="str">
        <f>_xll.qlMakeDatedOIS(,M132,N132,OvernightIndex,0,,,,EvaluationDate)</f>
        <v>obj_00349#0000</v>
      </c>
      <c r="P132" s="206" t="b">
        <f>_xll.qlInstrumentSetPricingEngine(O132,OisEngine)</f>
        <v>1</v>
      </c>
      <c r="Q132" s="205">
        <f>_xll.qlIndexFixing(Currency&amp;IborType&amp;"3M",_xll.qlInterestRateIndexFixingDate(Currency&amp;IborType&amp;"3M",M132),TRUE,AllTriggers)</f>
        <v>5.0123250562728455E-2</v>
      </c>
      <c r="R132" s="205">
        <f>_xll.qlOvernightIndexedSwapFairRate(O132,AllTriggers)</f>
        <v>4.6071629404995942E-2</v>
      </c>
      <c r="S132" s="207">
        <f t="shared" si="4"/>
        <v>4.0516211577325129E-3</v>
      </c>
    </row>
    <row r="133" spans="5:19" ht="11.25" customHeight="1" x14ac:dyDescent="0.2">
      <c r="E133" s="199"/>
      <c r="F133" s="199"/>
      <c r="G133" s="198"/>
      <c r="J133" s="198"/>
      <c r="K133" s="198"/>
      <c r="M133" s="213">
        <f>_xll.qlCalendarAdvance(Calendar,M132,"1M","f",,Trigger)</f>
        <v>45978</v>
      </c>
      <c r="N133" s="204">
        <f>_xll.qlInterestRateIndexMaturity("AUDBBSW3M",M133)</f>
        <v>46070</v>
      </c>
      <c r="O133" s="206" t="str">
        <f>_xll.qlMakeDatedOIS(,M133,N133,OvernightIndex,0,,,,EvaluationDate)</f>
        <v>obj_002d3#0000</v>
      </c>
      <c r="P133" s="206" t="b">
        <f>_xll.qlInstrumentSetPricingEngine(O133,OisEngine)</f>
        <v>1</v>
      </c>
      <c r="Q133" s="205">
        <f>_xll.qlIndexFixing(Currency&amp;IborType&amp;"3M",_xll.qlInterestRateIndexFixingDate(Currency&amp;IborType&amp;"3M",M133),TRUE,AllTriggers)</f>
        <v>5.016657715778463E-2</v>
      </c>
      <c r="R133" s="205">
        <f>_xll.qlOvernightIndexedSwapFairRate(O133,AllTriggers)</f>
        <v>4.6082583939536285E-2</v>
      </c>
      <c r="S133" s="207">
        <f t="shared" si="4"/>
        <v>4.083993218248344E-3</v>
      </c>
    </row>
    <row r="134" spans="5:19" ht="11.25" customHeight="1" x14ac:dyDescent="0.2">
      <c r="E134" s="199"/>
      <c r="F134" s="199"/>
      <c r="G134" s="198"/>
      <c r="J134" s="198"/>
      <c r="K134" s="198"/>
      <c r="M134" s="213">
        <f>_xll.qlCalendarAdvance(Calendar,M133,"1M","f",,Trigger)</f>
        <v>46008</v>
      </c>
      <c r="N134" s="204">
        <f>_xll.qlInterestRateIndexMaturity("AUDBBSW3M",M134)</f>
        <v>46098</v>
      </c>
      <c r="O134" s="206" t="str">
        <f>_xll.qlMakeDatedOIS(,M134,N134,OvernightIndex,0,,,,EvaluationDate)</f>
        <v>obj_0030c#0000</v>
      </c>
      <c r="P134" s="206" t="b">
        <f>_xll.qlInstrumentSetPricingEngine(O134,OisEngine)</f>
        <v>1</v>
      </c>
      <c r="Q134" s="205">
        <f>_xll.qlIndexFixing(Currency&amp;IborType&amp;"3M",_xll.qlInterestRateIndexFixingDate(Currency&amp;IborType&amp;"3M",M134),TRUE,AllTriggers)</f>
        <v>5.0191394568174133E-2</v>
      </c>
      <c r="R134" s="205">
        <f>_xll.qlOvernightIndexedSwapFairRate(O134,AllTriggers)</f>
        <v>4.6087368949943475E-2</v>
      </c>
      <c r="S134" s="207">
        <f t="shared" si="4"/>
        <v>4.1040256182306584E-3</v>
      </c>
    </row>
    <row r="135" spans="5:19" ht="11.25" customHeight="1" x14ac:dyDescent="0.2">
      <c r="E135" s="199"/>
      <c r="F135" s="199"/>
      <c r="G135" s="198"/>
      <c r="J135" s="198"/>
      <c r="K135" s="198"/>
      <c r="M135" s="213">
        <f>_xll.qlCalendarAdvance(Calendar,M134,"1M","f",,Trigger)</f>
        <v>46041</v>
      </c>
      <c r="N135" s="204">
        <f>_xll.qlInterestRateIndexMaturity("AUDBBSW3M",M135)</f>
        <v>46132</v>
      </c>
      <c r="O135" s="206" t="str">
        <f>_xll.qlMakeDatedOIS(,M135,N135,OvernightIndex,0,,,,EvaluationDate)</f>
        <v>obj_0035b#0000</v>
      </c>
      <c r="P135" s="206" t="b">
        <f>_xll.qlInstrumentSetPricingEngine(O135,OisEngine)</f>
        <v>1</v>
      </c>
      <c r="Q135" s="205">
        <f>_xll.qlIndexFixing(Currency&amp;IborType&amp;"3M",_xll.qlInterestRateIndexFixingDate(Currency&amp;IborType&amp;"3M",M135),TRUE,AllTriggers)</f>
        <v>5.0223694765008278E-2</v>
      </c>
      <c r="R135" s="205">
        <f>_xll.qlOvernightIndexedSwapFairRate(O135,AllTriggers)</f>
        <v>4.6103880846173048E-2</v>
      </c>
      <c r="S135" s="207">
        <f t="shared" si="4"/>
        <v>4.1198139188352301E-3</v>
      </c>
    </row>
    <row r="136" spans="5:19" ht="11.25" customHeight="1" x14ac:dyDescent="0.2">
      <c r="E136" s="199"/>
      <c r="F136" s="199"/>
      <c r="G136" s="198"/>
      <c r="J136" s="198"/>
      <c r="K136" s="198"/>
      <c r="M136" s="213">
        <f>_xll.qlCalendarAdvance(Calendar,M135,"1M","f",,Trigger)</f>
        <v>46072</v>
      </c>
      <c r="N136" s="204">
        <f>_xll.qlInterestRateIndexMaturity("AUDBBSW3M",M136)</f>
        <v>46161</v>
      </c>
      <c r="O136" s="206" t="str">
        <f>_xll.qlMakeDatedOIS(,M136,N136,OvernightIndex,0,,,,EvaluationDate)</f>
        <v>obj_00329#0000</v>
      </c>
      <c r="P136" s="206" t="b">
        <f>_xll.qlInstrumentSetPricingEngine(O136,OisEngine)</f>
        <v>1</v>
      </c>
      <c r="Q136" s="205">
        <f>_xll.qlIndexFixing(Currency&amp;IborType&amp;"3M",_xll.qlInterestRateIndexFixingDate(Currency&amp;IborType&amp;"3M",M136),TRUE,AllTriggers)</f>
        <v>5.0235934280578043E-2</v>
      </c>
      <c r="R136" s="205">
        <f>_xll.qlOvernightIndexedSwapFairRate(O136,AllTriggers)</f>
        <v>4.6111242608316449E-2</v>
      </c>
      <c r="S136" s="207">
        <f t="shared" si="4"/>
        <v>4.1246916722615934E-3</v>
      </c>
    </row>
    <row r="137" spans="5:19" ht="11.25" customHeight="1" x14ac:dyDescent="0.2">
      <c r="E137" s="199"/>
      <c r="F137" s="199"/>
      <c r="G137" s="198"/>
      <c r="J137" s="198"/>
      <c r="K137" s="198"/>
      <c r="M137" s="213">
        <f>_xll.qlCalendarAdvance(Calendar,M136,"1M","f",,Trigger)</f>
        <v>46100</v>
      </c>
      <c r="N137" s="204">
        <f>_xll.qlInterestRateIndexMaturity("AUDBBSW3M",M137)</f>
        <v>46192</v>
      </c>
      <c r="O137" s="206" t="str">
        <f>_xll.qlMakeDatedOIS(,M137,N137,OvernightIndex,0,,,,EvaluationDate)</f>
        <v>obj_002d4#0000</v>
      </c>
      <c r="P137" s="206" t="b">
        <f>_xll.qlInstrumentSetPricingEngine(O137,OisEngine)</f>
        <v>1</v>
      </c>
      <c r="Q137" s="205">
        <f>_xll.qlIndexFixing(Currency&amp;IborType&amp;"3M",_xll.qlInterestRateIndexFixingDate(Currency&amp;IborType&amp;"3M",M137),TRUE,AllTriggers)</f>
        <v>5.0258465962722973E-2</v>
      </c>
      <c r="R137" s="205">
        <f>_xll.qlOvernightIndexedSwapFairRate(O137,AllTriggers)</f>
        <v>4.6134169665064027E-2</v>
      </c>
      <c r="S137" s="207">
        <f t="shared" si="4"/>
        <v>4.1242962976589456E-3</v>
      </c>
    </row>
    <row r="138" spans="5:19" ht="11.25" customHeight="1" x14ac:dyDescent="0.2">
      <c r="E138" s="199"/>
      <c r="F138" s="199"/>
      <c r="G138" s="198"/>
      <c r="J138" s="198"/>
      <c r="K138" s="198"/>
      <c r="M138" s="213">
        <f>_xll.qlCalendarAdvance(Calendar,M137,"1M","f",,Trigger)</f>
        <v>46132</v>
      </c>
      <c r="N138" s="204">
        <f>_xll.qlInterestRateIndexMaturity("AUDBBSW3M",M138)</f>
        <v>46223</v>
      </c>
      <c r="O138" s="206" t="str">
        <f>_xll.qlMakeDatedOIS(,M138,N138,OvernightIndex,0,,,,EvaluationDate)</f>
        <v>obj_002d5#0000</v>
      </c>
      <c r="P138" s="206" t="b">
        <f>_xll.qlInstrumentSetPricingEngine(O138,OisEngine)</f>
        <v>1</v>
      </c>
      <c r="Q138" s="205">
        <f>_xll.qlIndexFixing(Currency&amp;IborType&amp;"3M",_xll.qlInterestRateIndexFixingDate(Currency&amp;IborType&amp;"3M",M138),TRUE,AllTriggers)</f>
        <v>5.0261338283039789E-2</v>
      </c>
      <c r="R138" s="205">
        <f>_xll.qlOvernightIndexedSwapFairRate(O138,AllTriggers)</f>
        <v>4.6147368565795342E-2</v>
      </c>
      <c r="S138" s="207">
        <f t="shared" si="4"/>
        <v>4.1139697172444464E-3</v>
      </c>
    </row>
    <row r="139" spans="5:19" ht="11.25" customHeight="1" x14ac:dyDescent="0.2">
      <c r="E139" s="199"/>
      <c r="F139" s="199"/>
      <c r="G139" s="198"/>
      <c r="J139" s="198"/>
      <c r="K139" s="198"/>
      <c r="M139" s="213">
        <f>_xll.qlCalendarAdvance(Calendar,M138,"1M","f",,Trigger)</f>
        <v>46162</v>
      </c>
      <c r="N139" s="204">
        <f>_xll.qlInterestRateIndexMaturity("AUDBBSW3M",M139)</f>
        <v>46254</v>
      </c>
      <c r="O139" s="206" t="str">
        <f>_xll.qlMakeDatedOIS(,M139,N139,OvernightIndex,0,,,,EvaluationDate)</f>
        <v>obj_00373#0000</v>
      </c>
      <c r="P139" s="206" t="b">
        <f>_xll.qlInstrumentSetPricingEngine(O139,OisEngine)</f>
        <v>1</v>
      </c>
      <c r="Q139" s="205">
        <f>_xll.qlIndexFixing(Currency&amp;IborType&amp;"3M",_xll.qlInterestRateIndexFixingDate(Currency&amp;IborType&amp;"3M",M139),TRUE,AllTriggers)</f>
        <v>5.0263965114133405E-2</v>
      </c>
      <c r="R139" s="205">
        <f>_xll.qlOvernightIndexedSwapFairRate(O139,AllTriggers)</f>
        <v>4.6167074157029947E-2</v>
      </c>
      <c r="S139" s="207">
        <f t="shared" si="4"/>
        <v>4.0968909571034579E-3</v>
      </c>
    </row>
    <row r="140" spans="5:19" ht="11.25" customHeight="1" x14ac:dyDescent="0.2">
      <c r="E140" s="199"/>
      <c r="F140" s="199"/>
      <c r="G140" s="198"/>
      <c r="J140" s="198"/>
      <c r="K140" s="198"/>
      <c r="M140" s="213">
        <f>_xll.qlCalendarAdvance(Calendar,M139,"1M","f",,Trigger)</f>
        <v>46195</v>
      </c>
      <c r="N140" s="204">
        <f>_xll.qlInterestRateIndexMaturity("AUDBBSW3M",M140)</f>
        <v>46287</v>
      </c>
      <c r="O140" s="206" t="str">
        <f>_xll.qlMakeDatedOIS(,M140,N140,OvernightIndex,0,,,,EvaluationDate)</f>
        <v>obj_002d6#0000</v>
      </c>
      <c r="P140" s="206" t="b">
        <f>_xll.qlInstrumentSetPricingEngine(O140,OisEngine)</f>
        <v>1</v>
      </c>
      <c r="Q140" s="205">
        <f>_xll.qlIndexFixing(Currency&amp;IborType&amp;"3M",_xll.qlInterestRateIndexFixingDate(Currency&amp;IborType&amp;"3M",M140),TRUE,AllTriggers)</f>
        <v>5.0255602227230321E-2</v>
      </c>
      <c r="R140" s="205">
        <f>_xll.qlOvernightIndexedSwapFairRate(O140,AllTriggers)</f>
        <v>4.6186427396113429E-2</v>
      </c>
      <c r="S140" s="207">
        <f t="shared" si="4"/>
        <v>4.0691748311168924E-3</v>
      </c>
    </row>
    <row r="141" spans="5:19" ht="11.25" customHeight="1" x14ac:dyDescent="0.2">
      <c r="E141" s="199"/>
      <c r="F141" s="199"/>
      <c r="G141" s="198"/>
      <c r="J141" s="198"/>
      <c r="K141" s="198"/>
      <c r="M141" s="213">
        <f>_xll.qlCalendarAdvance(Calendar,M140,"1M","f",,Trigger)</f>
        <v>46225</v>
      </c>
      <c r="N141" s="204">
        <f>_xll.qlInterestRateIndexMaturity("AUDBBSW3M",M141)</f>
        <v>46317</v>
      </c>
      <c r="O141" s="206" t="str">
        <f>_xll.qlMakeDatedOIS(,M141,N141,OvernightIndex,0,,,,EvaluationDate)</f>
        <v>obj_00323#0000</v>
      </c>
      <c r="P141" s="206" t="b">
        <f>_xll.qlInstrumentSetPricingEngine(O141,OisEngine)</f>
        <v>1</v>
      </c>
      <c r="Q141" s="205">
        <f>_xll.qlIndexFixing(Currency&amp;IborType&amp;"3M",_xll.qlInterestRateIndexFixingDate(Currency&amp;IborType&amp;"3M",M141),TRUE,AllTriggers)</f>
        <v>5.0242481840152647E-2</v>
      </c>
      <c r="R141" s="205">
        <f>_xll.qlOvernightIndexedSwapFairRate(O141,AllTriggers)</f>
        <v>4.6205185915228854E-2</v>
      </c>
      <c r="S141" s="207">
        <f t="shared" si="4"/>
        <v>4.0372959249237936E-3</v>
      </c>
    </row>
    <row r="142" spans="5:19" ht="11.25" customHeight="1" x14ac:dyDescent="0.2">
      <c r="E142" s="199"/>
      <c r="F142" s="199"/>
      <c r="G142" s="198"/>
      <c r="J142" s="198"/>
      <c r="K142" s="198"/>
      <c r="M142" s="213">
        <f>_xll.qlCalendarAdvance(Calendar,M141,"1M","f",,Trigger)</f>
        <v>46258</v>
      </c>
      <c r="N142" s="204">
        <f>_xll.qlInterestRateIndexMaturity("AUDBBSW3M",M142)</f>
        <v>46350</v>
      </c>
      <c r="O142" s="206" t="str">
        <f>_xll.qlMakeDatedOIS(,M142,N142,OvernightIndex,0,,,,EvaluationDate)</f>
        <v>obj_00314#0000</v>
      </c>
      <c r="P142" s="206" t="b">
        <f>_xll.qlInstrumentSetPricingEngine(O142,OisEngine)</f>
        <v>1</v>
      </c>
      <c r="Q142" s="205">
        <f>_xll.qlIndexFixing(Currency&amp;IborType&amp;"3M",_xll.qlInterestRateIndexFixingDate(Currency&amp;IborType&amp;"3M",M142),TRUE,AllTriggers)</f>
        <v>5.0225495970798589E-2</v>
      </c>
      <c r="R142" s="205">
        <f>_xll.qlOvernightIndexedSwapFairRate(O142,AllTriggers)</f>
        <v>4.6227253237296775E-2</v>
      </c>
      <c r="S142" s="207">
        <f t="shared" si="4"/>
        <v>3.9982427335018139E-3</v>
      </c>
    </row>
    <row r="143" spans="5:19" ht="11.25" customHeight="1" x14ac:dyDescent="0.2">
      <c r="E143" s="199"/>
      <c r="F143" s="199"/>
      <c r="G143" s="198"/>
      <c r="J143" s="198"/>
      <c r="K143" s="198"/>
      <c r="M143" s="213">
        <f>_xll.qlCalendarAdvance(Calendar,M142,"1M","f",,Trigger)</f>
        <v>46289</v>
      </c>
      <c r="N143" s="204">
        <f>_xll.qlInterestRateIndexMaturity("AUDBBSW3M",M143)</f>
        <v>46380</v>
      </c>
      <c r="O143" s="206" t="str">
        <f>_xll.qlMakeDatedOIS(,M143,N143,OvernightIndex,0,,,,EvaluationDate)</f>
        <v>obj_00307#0000</v>
      </c>
      <c r="P143" s="206" t="b">
        <f>_xll.qlInstrumentSetPricingEngine(O143,OisEngine)</f>
        <v>1</v>
      </c>
      <c r="Q143" s="205">
        <f>_xll.qlIndexFixing(Currency&amp;IborType&amp;"3M",_xll.qlInterestRateIndexFixingDate(Currency&amp;IborType&amp;"3M",M143),TRUE,AllTriggers)</f>
        <v>5.0207256502149654E-2</v>
      </c>
      <c r="R143" s="205">
        <f>_xll.qlOvernightIndexedSwapFairRate(O143,AllTriggers)</f>
        <v>4.6246154846630833E-2</v>
      </c>
      <c r="S143" s="207">
        <f t="shared" si="4"/>
        <v>3.9611016555188214E-3</v>
      </c>
    </row>
    <row r="144" spans="5:19" ht="11.25" customHeight="1" x14ac:dyDescent="0.2">
      <c r="E144" s="199"/>
      <c r="F144" s="199"/>
      <c r="G144" s="198"/>
      <c r="J144" s="198"/>
      <c r="K144" s="198"/>
      <c r="M144" s="213">
        <f>_xll.qlCalendarAdvance(Calendar,M143,"1M","f",,Trigger)</f>
        <v>46321</v>
      </c>
      <c r="N144" s="204">
        <f>_xll.qlInterestRateIndexMaturity("AUDBBSW3M",M144)</f>
        <v>46414</v>
      </c>
      <c r="O144" s="206" t="str">
        <f>_xll.qlMakeDatedOIS(,M144,N144,OvernightIndex,0,,,,EvaluationDate)</f>
        <v>obj_00357#0000</v>
      </c>
      <c r="P144" s="206" t="b">
        <f>_xll.qlInstrumentSetPricingEngine(O144,OisEngine)</f>
        <v>1</v>
      </c>
      <c r="Q144" s="205">
        <f>_xll.qlIndexFixing(Currency&amp;IborType&amp;"3M",_xll.qlInterestRateIndexFixingDate(Currency&amp;IborType&amp;"3M",M144),TRUE,AllTriggers)</f>
        <v>5.0201208211032244E-2</v>
      </c>
      <c r="R144" s="205">
        <f>_xll.qlOvernightIndexedSwapFairRate(O144,AllTriggers)</f>
        <v>4.6277452803768111E-2</v>
      </c>
      <c r="S144" s="207">
        <f t="shared" si="4"/>
        <v>3.9237554072641331E-3</v>
      </c>
    </row>
    <row r="145" spans="5:19" ht="11.25" customHeight="1" x14ac:dyDescent="0.2">
      <c r="E145" s="199"/>
      <c r="F145" s="199"/>
      <c r="G145" s="198"/>
      <c r="J145" s="198"/>
      <c r="K145" s="198"/>
      <c r="M145" s="213">
        <f>_xll.qlCalendarAdvance(Calendar,M144,"1M","f",,Trigger)</f>
        <v>46352</v>
      </c>
      <c r="N145" s="204">
        <f>_xll.qlInterestRateIndexMaturity("AUDBBSW3M",M145)</f>
        <v>46444</v>
      </c>
      <c r="O145" s="206" t="str">
        <f>_xll.qlMakeDatedOIS(,M145,N145,OvernightIndex,0,,,,EvaluationDate)</f>
        <v>obj_0034e#0000</v>
      </c>
      <c r="P145" s="206" t="b">
        <f>_xll.qlInstrumentSetPricingEngine(O145,OisEngine)</f>
        <v>1</v>
      </c>
      <c r="Q145" s="205">
        <f>_xll.qlIndexFixing(Currency&amp;IborType&amp;"3M",_xll.qlInterestRateIndexFixingDate(Currency&amp;IborType&amp;"3M",M145),TRUE,AllTriggers)</f>
        <v>5.0188640875503794E-2</v>
      </c>
      <c r="R145" s="205">
        <f>_xll.qlOvernightIndexedSwapFairRate(O145,AllTriggers)</f>
        <v>4.6299470953195462E-2</v>
      </c>
      <c r="S145" s="207">
        <f t="shared" si="4"/>
        <v>3.8891699223083318E-3</v>
      </c>
    </row>
    <row r="146" spans="5:19" ht="11.25" customHeight="1" x14ac:dyDescent="0.2">
      <c r="E146" s="199"/>
      <c r="F146" s="199"/>
      <c r="G146" s="198"/>
      <c r="J146" s="198"/>
      <c r="K146" s="198"/>
      <c r="M146" s="213">
        <f>_xll.qlCalendarAdvance(Calendar,M145,"1M","f",,Trigger)</f>
        <v>46385</v>
      </c>
      <c r="N146" s="204">
        <f>_xll.qlInterestRateIndexMaturity("AUDBBSW3M",M146)</f>
        <v>46476</v>
      </c>
      <c r="O146" s="206" t="str">
        <f>_xll.qlMakeDatedOIS(,M146,N146,OvernightIndex,0,,,,EvaluationDate)</f>
        <v>obj_002d7#0000</v>
      </c>
      <c r="P146" s="206" t="b">
        <f>_xll.qlInstrumentSetPricingEngine(O146,OisEngine)</f>
        <v>1</v>
      </c>
      <c r="Q146" s="205">
        <f>_xll.qlIndexFixing(Currency&amp;IborType&amp;"3M",_xll.qlInterestRateIndexFixingDate(Currency&amp;IborType&amp;"3M",M146),TRUE,AllTriggers)</f>
        <v>5.0178524633632073E-2</v>
      </c>
      <c r="R146" s="205">
        <f>_xll.qlOvernightIndexedSwapFairRate(O146,AllTriggers)</f>
        <v>4.6324772988954974E-2</v>
      </c>
      <c r="S146" s="207">
        <f t="shared" si="4"/>
        <v>3.8537516446770989E-3</v>
      </c>
    </row>
    <row r="147" spans="5:19" ht="11.25" customHeight="1" x14ac:dyDescent="0.2">
      <c r="E147" s="199"/>
      <c r="F147" s="199"/>
      <c r="G147" s="198"/>
      <c r="J147" s="198"/>
      <c r="K147" s="198"/>
      <c r="M147" s="213">
        <f>_xll.qlCalendarAdvance(Calendar,M146,"1M","f",,Trigger)</f>
        <v>46416</v>
      </c>
      <c r="N147" s="204">
        <f>_xll.qlInterestRateIndexMaturity("AUDBBSW3M",M147)</f>
        <v>46507</v>
      </c>
      <c r="O147" s="206" t="str">
        <f>_xll.qlMakeDatedOIS(,M147,N147,OvernightIndex,0,,,,EvaluationDate)</f>
        <v>obj_0033d#0000</v>
      </c>
      <c r="P147" s="206" t="b">
        <f>_xll.qlInstrumentSetPricingEngine(O147,OisEngine)</f>
        <v>1</v>
      </c>
      <c r="Q147" s="205">
        <f>_xll.qlIndexFixing(Currency&amp;IborType&amp;"3M",_xll.qlInterestRateIndexFixingDate(Currency&amp;IborType&amp;"3M",M147),TRUE,AllTriggers)</f>
        <v>5.0175101903284849E-2</v>
      </c>
      <c r="R147" s="205">
        <f>_xll.qlOvernightIndexedSwapFairRate(O147,AllTriggers)</f>
        <v>4.6353335103290184E-2</v>
      </c>
      <c r="S147" s="207">
        <f t="shared" si="4"/>
        <v>3.821766799994665E-3</v>
      </c>
    </row>
    <row r="148" spans="5:19" ht="11.25" customHeight="1" x14ac:dyDescent="0.2">
      <c r="E148" s="199"/>
      <c r="F148" s="199"/>
      <c r="G148" s="198"/>
      <c r="J148" s="198"/>
      <c r="K148" s="198"/>
      <c r="M148" s="213">
        <f>_xll.qlCalendarAdvance(Calendar,M147,"1M","f",,Trigger)</f>
        <v>46447</v>
      </c>
      <c r="N148" s="204">
        <f>_xll.qlInterestRateIndexMaturity("AUDBBSW3M",M148)</f>
        <v>46539</v>
      </c>
      <c r="O148" s="206" t="str">
        <f>_xll.qlMakeDatedOIS(,M148,N148,OvernightIndex,0,,,,EvaluationDate)</f>
        <v>obj_002d8#0000</v>
      </c>
      <c r="P148" s="206" t="b">
        <f>_xll.qlInstrumentSetPricingEngine(O148,OisEngine)</f>
        <v>1</v>
      </c>
      <c r="Q148" s="205">
        <f>_xll.qlIndexFixing(Currency&amp;IborType&amp;"3M",_xll.qlInterestRateIndexFixingDate(Currency&amp;IborType&amp;"3M",M148),TRUE,AllTriggers)</f>
        <v>5.0178009115581484E-2</v>
      </c>
      <c r="R148" s="205">
        <f>_xll.qlOvernightIndexedSwapFairRate(O148,AllTriggers)</f>
        <v>4.6386934626565422E-2</v>
      </c>
      <c r="S148" s="207">
        <f t="shared" si="4"/>
        <v>3.7910744890160622E-3</v>
      </c>
    </row>
    <row r="149" spans="5:19" ht="11.25" customHeight="1" x14ac:dyDescent="0.2">
      <c r="E149" s="199"/>
      <c r="F149" s="199"/>
      <c r="G149" s="198"/>
      <c r="J149" s="198"/>
      <c r="K149" s="198"/>
      <c r="M149" s="213">
        <f>_xll.qlCalendarAdvance(Calendar,M148,"1M","f",,Trigger)</f>
        <v>46478</v>
      </c>
      <c r="N149" s="204">
        <f>_xll.qlInterestRateIndexMaturity("AUDBBSW3M",M149)</f>
        <v>46569</v>
      </c>
      <c r="O149" s="206" t="str">
        <f>_xll.qlMakeDatedOIS(,M149,N149,OvernightIndex,0,,,,EvaluationDate)</f>
        <v>obj_0032e#0000</v>
      </c>
      <c r="P149" s="206" t="b">
        <f>_xll.qlInstrumentSetPricingEngine(O149,OisEngine)</f>
        <v>1</v>
      </c>
      <c r="Q149" s="205">
        <f>_xll.qlIndexFixing(Currency&amp;IborType&amp;"3M",_xll.qlInterestRateIndexFixingDate(Currency&amp;IborType&amp;"3M",M149),TRUE,AllTriggers)</f>
        <v>5.0176831821569942E-2</v>
      </c>
      <c r="R149" s="205">
        <f>_xll.qlOvernightIndexedSwapFairRate(O149,AllTriggers)</f>
        <v>4.6415109539851417E-2</v>
      </c>
      <c r="S149" s="207">
        <f t="shared" si="4"/>
        <v>3.7617222817185256E-3</v>
      </c>
    </row>
    <row r="150" spans="5:19" ht="11.25" customHeight="1" x14ac:dyDescent="0.2">
      <c r="E150" s="199"/>
      <c r="F150" s="199"/>
      <c r="G150" s="198"/>
      <c r="J150" s="198"/>
      <c r="K150" s="198"/>
      <c r="M150" s="213">
        <f>_xll.qlCalendarAdvance(Calendar,M149,"1M","f",,Trigger)</f>
        <v>46510</v>
      </c>
      <c r="N150" s="204">
        <f>_xll.qlInterestRateIndexMaturity("AUDBBSW3M",M150)</f>
        <v>46602</v>
      </c>
      <c r="O150" s="206" t="str">
        <f>_xll.qlMakeDatedOIS(,M150,N150,OvernightIndex,0,,,,EvaluationDate)</f>
        <v>obj_002d9#0000</v>
      </c>
      <c r="P150" s="206" t="b">
        <f>_xll.qlInstrumentSetPricingEngine(O150,OisEngine)</f>
        <v>1</v>
      </c>
      <c r="Q150" s="205">
        <f>_xll.qlIndexFixing(Currency&amp;IborType&amp;"3M",_xll.qlInterestRateIndexFixingDate(Currency&amp;IborType&amp;"3M",M150),TRUE,AllTriggers)</f>
        <v>5.0185764517924149E-2</v>
      </c>
      <c r="R150" s="205">
        <f>_xll.qlOvernightIndexedSwapFairRate(O150,AllTriggers)</f>
        <v>4.6452965736354095E-2</v>
      </c>
      <c r="S150" s="207">
        <f t="shared" si="4"/>
        <v>3.7327987815700542E-3</v>
      </c>
    </row>
    <row r="151" spans="5:19" ht="11.25" customHeight="1" x14ac:dyDescent="0.2">
      <c r="E151" s="199"/>
      <c r="F151" s="199"/>
      <c r="G151" s="198"/>
      <c r="J151" s="198"/>
      <c r="K151" s="198"/>
      <c r="M151" s="213">
        <f>_xll.qlCalendarAdvance(Calendar,M150,"1M","f",,Trigger)</f>
        <v>46541</v>
      </c>
      <c r="N151" s="204">
        <f>_xll.qlInterestRateIndexMaturity("AUDBBSW3M",M151)</f>
        <v>46633</v>
      </c>
      <c r="O151" s="206" t="str">
        <f>_xll.qlMakeDatedOIS(,M151,N151,OvernightIndex,0,,,,EvaluationDate)</f>
        <v>obj_0031c#0000</v>
      </c>
      <c r="P151" s="206" t="b">
        <f>_xll.qlInstrumentSetPricingEngine(O151,OisEngine)</f>
        <v>1</v>
      </c>
      <c r="Q151" s="205">
        <f>_xll.qlIndexFixing(Currency&amp;IborType&amp;"3M",_xll.qlInterestRateIndexFixingDate(Currency&amp;IborType&amp;"3M",M151),TRUE,AllTriggers)</f>
        <v>5.0193915072160693E-2</v>
      </c>
      <c r="R151" s="205">
        <f>_xll.qlOvernightIndexedSwapFairRate(O151,AllTriggers)</f>
        <v>4.6487807778363019E-2</v>
      </c>
      <c r="S151" s="207">
        <f t="shared" si="4"/>
        <v>3.7061072937976738E-3</v>
      </c>
    </row>
    <row r="152" spans="5:19" ht="11.25" customHeight="1" x14ac:dyDescent="0.2">
      <c r="E152" s="199"/>
      <c r="F152" s="199"/>
      <c r="G152" s="198"/>
      <c r="J152" s="198"/>
      <c r="K152" s="198"/>
      <c r="M152" s="213">
        <f>_xll.qlCalendarAdvance(Calendar,M151,"1M","f",,Trigger)</f>
        <v>46573</v>
      </c>
      <c r="N152" s="204">
        <f>_xll.qlInterestRateIndexMaturity("AUDBBSW3M",M152)</f>
        <v>46665</v>
      </c>
      <c r="O152" s="206" t="str">
        <f>_xll.qlMakeDatedOIS(,M152,N152,OvernightIndex,0,,,,EvaluationDate)</f>
        <v>obj_002da#0000</v>
      </c>
      <c r="P152" s="206" t="b">
        <f>_xll.qlInstrumentSetPricingEngine(O152,OisEngine)</f>
        <v>1</v>
      </c>
      <c r="Q152" s="205">
        <f>_xll.qlIndexFixing(Currency&amp;IborType&amp;"3M",_xll.qlInterestRateIndexFixingDate(Currency&amp;IborType&amp;"3M",M152),TRUE,AllTriggers)</f>
        <v>5.0205327251672482E-2</v>
      </c>
      <c r="R152" s="205">
        <f>_xll.qlOvernightIndexedSwapFairRate(O152,AllTriggers)</f>
        <v>4.6525399997212141E-2</v>
      </c>
      <c r="S152" s="207">
        <f t="shared" si="4"/>
        <v>3.6799272544603412E-3</v>
      </c>
    </row>
    <row r="153" spans="5:19" ht="11.25" customHeight="1" x14ac:dyDescent="0.2">
      <c r="E153" s="199"/>
      <c r="F153" s="199"/>
      <c r="G153" s="198"/>
      <c r="J153" s="198"/>
      <c r="K153" s="198"/>
      <c r="M153" s="213">
        <f>_xll.qlCalendarAdvance(Calendar,M152,"1M","f",,Trigger)</f>
        <v>46604</v>
      </c>
      <c r="N153" s="204">
        <f>_xll.qlInterestRateIndexMaturity("AUDBBSW3M",M153)</f>
        <v>46696</v>
      </c>
      <c r="O153" s="206" t="str">
        <f>_xll.qlMakeDatedOIS(,M153,N153,OvernightIndex,0,,,,EvaluationDate)</f>
        <v>obj_002db#0000</v>
      </c>
      <c r="P153" s="206" t="b">
        <f>_xll.qlInstrumentSetPricingEngine(O153,OisEngine)</f>
        <v>1</v>
      </c>
      <c r="Q153" s="205">
        <f>_xll.qlIndexFixing(Currency&amp;IborType&amp;"3M",_xll.qlInterestRateIndexFixingDate(Currency&amp;IborType&amp;"3M",M153),TRUE,AllTriggers)</f>
        <v>5.0219287819478001E-2</v>
      </c>
      <c r="R153" s="205">
        <f>_xll.qlOvernightIndexedSwapFairRate(O153,AllTriggers)</f>
        <v>4.6563392923153105E-2</v>
      </c>
      <c r="S153" s="207">
        <f t="shared" si="4"/>
        <v>3.6558948963248961E-3</v>
      </c>
    </row>
    <row r="154" spans="5:19" ht="11.25" customHeight="1" x14ac:dyDescent="0.2">
      <c r="E154" s="199"/>
      <c r="F154" s="199"/>
      <c r="G154" s="198"/>
      <c r="J154" s="198"/>
      <c r="K154" s="198"/>
      <c r="M154" s="213">
        <f>_xll.qlCalendarAdvance(Calendar,M153,"1M","f",,Trigger)</f>
        <v>46636</v>
      </c>
      <c r="N154" s="204">
        <f>_xll.qlInterestRateIndexMaturity("AUDBBSW3M",M154)</f>
        <v>46727</v>
      </c>
      <c r="O154" s="206" t="str">
        <f>_xll.qlMakeDatedOIS(,M154,N154,OvernightIndex,0,,,,EvaluationDate)</f>
        <v>obj_0036e#0000</v>
      </c>
      <c r="P154" s="206" t="b">
        <f>_xll.qlInstrumentSetPricingEngine(O154,OisEngine)</f>
        <v>1</v>
      </c>
      <c r="Q154" s="205">
        <f>_xll.qlIndexFixing(Currency&amp;IborType&amp;"3M",_xll.qlInterestRateIndexFixingDate(Currency&amp;IborType&amp;"3M",M154),TRUE,AllTriggers)</f>
        <v>5.023293689381178E-2</v>
      </c>
      <c r="R154" s="205">
        <f>_xll.qlOvernightIndexedSwapFairRate(O154,AllTriggers)</f>
        <v>4.6600570069770329E-2</v>
      </c>
      <c r="S154" s="207">
        <f t="shared" si="4"/>
        <v>3.6323668240414511E-3</v>
      </c>
    </row>
    <row r="155" spans="5:19" ht="11.25" customHeight="1" x14ac:dyDescent="0.2">
      <c r="E155" s="199"/>
      <c r="F155" s="199"/>
      <c r="G155" s="198"/>
      <c r="J155" s="198"/>
      <c r="K155" s="198"/>
      <c r="M155" s="213">
        <f>_xll.qlCalendarAdvance(Calendar,M154,"1M","f",,Trigger)</f>
        <v>46666</v>
      </c>
      <c r="N155" s="204">
        <f>_xll.qlInterestRateIndexMaturity("AUDBBSW3M",M155)</f>
        <v>46758</v>
      </c>
      <c r="O155" s="206" t="str">
        <f>_xll.qlMakeDatedOIS(,M155,N155,OvernightIndex,0,,,,EvaluationDate)</f>
        <v>obj_002dc#0000</v>
      </c>
      <c r="P155" s="206" t="b">
        <f>_xll.qlInstrumentSetPricingEngine(O155,OisEngine)</f>
        <v>1</v>
      </c>
      <c r="Q155" s="205">
        <f>_xll.qlIndexFixing(Currency&amp;IborType&amp;"3M",_xll.qlInterestRateIndexFixingDate(Currency&amp;IborType&amp;"3M",M155),TRUE,AllTriggers)</f>
        <v>5.0255785803696836E-2</v>
      </c>
      <c r="R155" s="205">
        <f>_xll.qlOvernightIndexedSwapFairRate(O155,AllTriggers)</f>
        <v>4.6644030326449502E-2</v>
      </c>
      <c r="S155" s="207">
        <f t="shared" si="4"/>
        <v>3.6117554772473331E-3</v>
      </c>
    </row>
    <row r="156" spans="5:19" ht="11.25" customHeight="1" x14ac:dyDescent="0.2">
      <c r="E156" s="199"/>
      <c r="F156" s="199"/>
      <c r="G156" s="198"/>
      <c r="J156" s="198"/>
      <c r="K156" s="198"/>
      <c r="M156" s="213">
        <f>_xll.qlCalendarAdvance(Calendar,M155,"1M","f",,Trigger)</f>
        <v>46699</v>
      </c>
      <c r="N156" s="204">
        <f>_xll.qlInterestRateIndexMaturity("AUDBBSW3M",M156)</f>
        <v>46791</v>
      </c>
      <c r="O156" s="206" t="str">
        <f>_xll.qlMakeDatedOIS(,M156,N156,OvernightIndex,0,,,,EvaluationDate)</f>
        <v>obj_00322#0000</v>
      </c>
      <c r="P156" s="206" t="b">
        <f>_xll.qlInstrumentSetPricingEngine(O156,OisEngine)</f>
        <v>1</v>
      </c>
      <c r="Q156" s="205">
        <f>_xll.qlIndexFixing(Currency&amp;IborType&amp;"3M",_xll.qlInterestRateIndexFixingDate(Currency&amp;IborType&amp;"3M",M156),TRUE,AllTriggers)</f>
        <v>5.0279875507409783E-2</v>
      </c>
      <c r="R156" s="205">
        <f>_xll.qlOvernightIndexedSwapFairRate(O156,AllTriggers)</f>
        <v>4.6689479408692405E-2</v>
      </c>
      <c r="S156" s="207">
        <f t="shared" si="4"/>
        <v>3.5903960987173772E-3</v>
      </c>
    </row>
    <row r="157" spans="5:19" ht="11.25" customHeight="1" x14ac:dyDescent="0.2">
      <c r="E157" s="199"/>
      <c r="F157" s="199"/>
      <c r="G157" s="198"/>
      <c r="J157" s="198"/>
      <c r="K157" s="198"/>
      <c r="M157" s="213">
        <f>_xll.qlCalendarAdvance(Calendar,M156,"1M","f",,Trigger)</f>
        <v>46729</v>
      </c>
      <c r="N157" s="204">
        <f>_xll.qlInterestRateIndexMaturity("AUDBBSW3M",M157)</f>
        <v>46820</v>
      </c>
      <c r="O157" s="206" t="str">
        <f>_xll.qlMakeDatedOIS(,M157,N157,OvernightIndex,0,,,,EvaluationDate)</f>
        <v>obj_002dd#0000</v>
      </c>
      <c r="P157" s="206" t="b">
        <f>_xll.qlInstrumentSetPricingEngine(O157,OisEngine)</f>
        <v>1</v>
      </c>
      <c r="Q157" s="205">
        <f>_xll.qlIndexFixing(Currency&amp;IborType&amp;"3M",_xll.qlInterestRateIndexFixingDate(Currency&amp;IborType&amp;"3M",M157),TRUE,AllTriggers)</f>
        <v>5.0300678493366613E-2</v>
      </c>
      <c r="R157" s="205">
        <f>_xll.qlOvernightIndexedSwapFairRate(O157,AllTriggers)</f>
        <v>4.6728562370949966E-2</v>
      </c>
      <c r="S157" s="207">
        <f t="shared" si="4"/>
        <v>3.5721161224166464E-3</v>
      </c>
    </row>
    <row r="158" spans="5:19" ht="11.25" customHeight="1" x14ac:dyDescent="0.2">
      <c r="E158" s="199"/>
      <c r="F158" s="199"/>
      <c r="G158" s="198"/>
      <c r="J158" s="198"/>
      <c r="K158" s="198"/>
      <c r="M158" s="213">
        <f>_xll.qlCalendarAdvance(Calendar,M157,"1M","f",,Trigger)</f>
        <v>46762</v>
      </c>
      <c r="N158" s="204">
        <f>_xll.qlInterestRateIndexMaturity("AUDBBSW3M",M158)</f>
        <v>46853</v>
      </c>
      <c r="O158" s="206" t="str">
        <f>_xll.qlMakeDatedOIS(,M158,N158,OvernightIndex,0,,,,EvaluationDate)</f>
        <v>obj_002de#0000</v>
      </c>
      <c r="P158" s="206" t="b">
        <f>_xll.qlInstrumentSetPricingEngine(O158,OisEngine)</f>
        <v>1</v>
      </c>
      <c r="Q158" s="205">
        <f>_xll.qlIndexFixing(Currency&amp;IborType&amp;"3M",_xll.qlInterestRateIndexFixingDate(Currency&amp;IborType&amp;"3M",M158),TRUE,AllTriggers)</f>
        <v>5.0330900247058677E-2</v>
      </c>
      <c r="R158" s="205">
        <f>_xll.qlOvernightIndexedSwapFairRate(O158,AllTriggers)</f>
        <v>4.6777333216500197E-2</v>
      </c>
      <c r="S158" s="207">
        <f t="shared" si="4"/>
        <v>3.5535670305584799E-3</v>
      </c>
    </row>
    <row r="159" spans="5:19" ht="11.25" customHeight="1" x14ac:dyDescent="0.2">
      <c r="E159" s="199"/>
      <c r="F159" s="199"/>
      <c r="G159" s="198"/>
      <c r="J159" s="198"/>
      <c r="K159" s="198"/>
      <c r="M159" s="213">
        <f>_xll.qlCalendarAdvance(Calendar,M158,"1M","f",,Trigger)</f>
        <v>46793</v>
      </c>
      <c r="N159" s="204">
        <f>_xll.qlInterestRateIndexMaturity("AUDBBSW3M",M159)</f>
        <v>46883</v>
      </c>
      <c r="O159" s="206" t="str">
        <f>_xll.qlMakeDatedOIS(,M159,N159,OvernightIndex,0,,,,EvaluationDate)</f>
        <v>obj_00306#0000</v>
      </c>
      <c r="P159" s="206" t="b">
        <f>_xll.qlInstrumentSetPricingEngine(O159,OisEngine)</f>
        <v>1</v>
      </c>
      <c r="Q159" s="205">
        <f>_xll.qlIndexFixing(Currency&amp;IborType&amp;"3M",_xll.qlInterestRateIndexFixingDate(Currency&amp;IborType&amp;"3M",M159),TRUE,AllTriggers)</f>
        <v>5.0358230992713478E-2</v>
      </c>
      <c r="R159" s="205">
        <f>_xll.qlOvernightIndexedSwapFairRate(O159,AllTriggers)</f>
        <v>4.6820926543774455E-2</v>
      </c>
      <c r="S159" s="207">
        <f t="shared" si="4"/>
        <v>3.5373044489390229E-3</v>
      </c>
    </row>
    <row r="160" spans="5:19" ht="11.25" customHeight="1" x14ac:dyDescent="0.2">
      <c r="E160" s="199"/>
      <c r="F160" s="199"/>
      <c r="G160" s="198"/>
      <c r="J160" s="198"/>
      <c r="K160" s="198"/>
      <c r="M160" s="213">
        <f>_xll.qlCalendarAdvance(Calendar,M159,"1M","f",,Trigger)</f>
        <v>46822</v>
      </c>
      <c r="N160" s="204">
        <f>_xll.qlInterestRateIndexMaturity("AUDBBSW3M",M160)</f>
        <v>46917</v>
      </c>
      <c r="O160" s="206" t="str">
        <f>_xll.qlMakeDatedOIS(,M160,N160,OvernightIndex,0,,,,EvaluationDate)</f>
        <v>obj_00368#0000</v>
      </c>
      <c r="P160" s="206" t="b">
        <f>_xll.qlInstrumentSetPricingEngine(O160,OisEngine)</f>
        <v>1</v>
      </c>
      <c r="Q160" s="205">
        <f>_xll.qlIndexFixing(Currency&amp;IborType&amp;"3M",_xll.qlInterestRateIndexFixingDate(Currency&amp;IborType&amp;"3M",M160),TRUE,AllTriggers)</f>
        <v>5.0410394979515001E-2</v>
      </c>
      <c r="R160" s="205">
        <f>_xll.qlOvernightIndexedSwapFairRate(O160,AllTriggers)</f>
        <v>4.6885925592897192E-2</v>
      </c>
      <c r="S160" s="207">
        <f t="shared" si="4"/>
        <v>3.5244693866178095E-3</v>
      </c>
    </row>
    <row r="161" spans="5:19" ht="11.25" customHeight="1" x14ac:dyDescent="0.2">
      <c r="E161" s="199"/>
      <c r="F161" s="199"/>
      <c r="G161" s="198"/>
      <c r="J161" s="198"/>
      <c r="K161" s="198"/>
      <c r="M161" s="213">
        <f>_xll.qlCalendarAdvance(Calendar,M160,"1M","f",,Trigger)</f>
        <v>46853</v>
      </c>
      <c r="N161" s="204">
        <f>_xll.qlInterestRateIndexMaturity("AUDBBSW3M",M161)</f>
        <v>46944</v>
      </c>
      <c r="O161" s="206" t="str">
        <f>_xll.qlMakeDatedOIS(,M161,N161,OvernightIndex,0,,,,EvaluationDate)</f>
        <v>obj_00361#0000</v>
      </c>
      <c r="P161" s="206" t="b">
        <f>_xll.qlInstrumentSetPricingEngine(O161,OisEngine)</f>
        <v>1</v>
      </c>
      <c r="Q161" s="205">
        <f>_xll.qlIndexFixing(Currency&amp;IborType&amp;"3M",_xll.qlInterestRateIndexFixingDate(Currency&amp;IborType&amp;"3M",M161),TRUE,AllTriggers)</f>
        <v>5.0431023128501277E-2</v>
      </c>
      <c r="R161" s="205">
        <f>_xll.qlOvernightIndexedSwapFairRate(O161,AllTriggers)</f>
        <v>4.6920925951616156E-2</v>
      </c>
      <c r="S161" s="207">
        <f t="shared" si="4"/>
        <v>3.5100971768851214E-3</v>
      </c>
    </row>
    <row r="162" spans="5:19" ht="11.25" customHeight="1" x14ac:dyDescent="0.2">
      <c r="E162" s="199"/>
      <c r="F162" s="199"/>
      <c r="G162" s="198"/>
      <c r="J162" s="198"/>
      <c r="K162" s="198"/>
      <c r="M162" s="213">
        <f>_xll.qlCalendarAdvance(Calendar,M161,"1M","f",,Trigger)</f>
        <v>46883</v>
      </c>
      <c r="N162" s="204">
        <f>_xll.qlInterestRateIndexMaturity("AUDBBSW3M",M162)</f>
        <v>46975</v>
      </c>
      <c r="O162" s="206" t="str">
        <f>_xll.qlMakeDatedOIS(,M162,N162,OvernightIndex,0,,,,EvaluationDate)</f>
        <v>obj_00313#0000</v>
      </c>
      <c r="P162" s="206" t="b">
        <f>_xll.qlInstrumentSetPricingEngine(O162,OisEngine)</f>
        <v>1</v>
      </c>
      <c r="Q162" s="205">
        <f>_xll.qlIndexFixing(Currency&amp;IborType&amp;"3M",_xll.qlInterestRateIndexFixingDate(Currency&amp;IborType&amp;"3M",M162),TRUE,AllTriggers)</f>
        <v>5.0473590710701663E-2</v>
      </c>
      <c r="R162" s="205">
        <f>_xll.qlOvernightIndexedSwapFairRate(O162,AllTriggers)</f>
        <v>4.69751077872015E-2</v>
      </c>
      <c r="S162" s="207">
        <f t="shared" si="4"/>
        <v>3.4984829235001624E-3</v>
      </c>
    </row>
    <row r="163" spans="5:19" ht="11.25" customHeight="1" x14ac:dyDescent="0.2">
      <c r="E163" s="199"/>
      <c r="F163" s="199"/>
      <c r="G163" s="198"/>
      <c r="J163" s="198"/>
      <c r="K163" s="198"/>
      <c r="M163" s="213">
        <f>_xll.qlCalendarAdvance(Calendar,M162,"1M","f",,Trigger)</f>
        <v>46917</v>
      </c>
      <c r="N163" s="204">
        <f>_xll.qlInterestRateIndexMaturity("AUDBBSW3M",M163)</f>
        <v>47009</v>
      </c>
      <c r="O163" s="206" t="str">
        <f>_xll.qlMakeDatedOIS(,M163,N163,OvernightIndex,0,,,,EvaluationDate)</f>
        <v>obj_002df#0000</v>
      </c>
      <c r="P163" s="206" t="b">
        <f>_xll.qlInstrumentSetPricingEngine(O163,OisEngine)</f>
        <v>1</v>
      </c>
      <c r="Q163" s="205">
        <f>_xll.qlIndexFixing(Currency&amp;IborType&amp;"3M",_xll.qlInterestRateIndexFixingDate(Currency&amp;IborType&amp;"3M",M163),TRUE,AllTriggers)</f>
        <v>5.0520412721240728E-2</v>
      </c>
      <c r="R163" s="205">
        <f>_xll.qlOvernightIndexedSwapFairRate(O163,AllTriggers)</f>
        <v>4.7033867794702089E-2</v>
      </c>
      <c r="S163" s="207">
        <f t="shared" si="4"/>
        <v>3.4865449265386386E-3</v>
      </c>
    </row>
    <row r="164" spans="5:19" ht="11.25" customHeight="1" x14ac:dyDescent="0.2">
      <c r="E164" s="199"/>
      <c r="F164" s="199"/>
      <c r="G164" s="198"/>
      <c r="J164" s="198"/>
      <c r="K164" s="198"/>
      <c r="M164" s="213">
        <f>_xll.qlCalendarAdvance(Calendar,M163,"1M","f",,Trigger)</f>
        <v>46947</v>
      </c>
      <c r="N164" s="204">
        <f>_xll.qlInterestRateIndexMaturity("AUDBBSW3M",M164)</f>
        <v>47039</v>
      </c>
      <c r="O164" s="206" t="str">
        <f>_xll.qlMakeDatedOIS(,M164,N164,OvernightIndex,0,,,,EvaluationDate)</f>
        <v>obj_00333#0000</v>
      </c>
      <c r="P164" s="206" t="b">
        <f>_xll.qlInstrumentSetPricingEngine(O164,OisEngine)</f>
        <v>1</v>
      </c>
      <c r="Q164" s="205">
        <f>_xll.qlIndexFixing(Currency&amp;IborType&amp;"3M",_xll.qlInterestRateIndexFixingDate(Currency&amp;IborType&amp;"3M",M164),TRUE,AllTriggers)</f>
        <v>5.0564582860719368E-2</v>
      </c>
      <c r="R164" s="205">
        <f>_xll.qlOvernightIndexedSwapFairRate(O164,AllTriggers)</f>
        <v>4.7087264297681286E-2</v>
      </c>
      <c r="S164" s="207">
        <f t="shared" si="4"/>
        <v>3.4773185630380815E-3</v>
      </c>
    </row>
    <row r="165" spans="5:19" ht="11.25" customHeight="1" x14ac:dyDescent="0.2">
      <c r="E165" s="199"/>
      <c r="F165" s="199"/>
      <c r="G165" s="198"/>
      <c r="J165" s="198"/>
      <c r="K165" s="198"/>
      <c r="M165" s="213">
        <f>_xll.qlCalendarAdvance(Calendar,M164,"1M","f",,Trigger)</f>
        <v>46979</v>
      </c>
      <c r="N165" s="204">
        <f>_xll.qlInterestRateIndexMaturity("AUDBBSW3M",M165)</f>
        <v>47071</v>
      </c>
      <c r="O165" s="206" t="str">
        <f>_xll.qlMakeDatedOIS(,M165,N165,OvernightIndex,0,,,,EvaluationDate)</f>
        <v>obj_00352#0000</v>
      </c>
      <c r="P165" s="206" t="b">
        <f>_xll.qlInstrumentSetPricingEngine(O165,OisEngine)</f>
        <v>1</v>
      </c>
      <c r="Q165" s="205">
        <f>_xll.qlIndexFixing(Currency&amp;IborType&amp;"3M",_xll.qlInterestRateIndexFixingDate(Currency&amp;IborType&amp;"3M",M165),TRUE,AllTriggers)</f>
        <v>5.0614649600678095E-2</v>
      </c>
      <c r="R165" s="205">
        <f>_xll.qlOvernightIndexedSwapFairRate(O165,AllTriggers)</f>
        <v>4.7145821722009894E-2</v>
      </c>
      <c r="S165" s="207">
        <f t="shared" si="4"/>
        <v>3.4688278786682014E-3</v>
      </c>
    </row>
    <row r="166" spans="5:19" ht="11.25" customHeight="1" x14ac:dyDescent="0.2">
      <c r="E166" s="199"/>
      <c r="F166" s="199"/>
      <c r="G166" s="198"/>
      <c r="J166" s="198"/>
      <c r="K166" s="198"/>
      <c r="M166" s="213">
        <f>_xll.qlCalendarAdvance(Calendar,M165,"1M","f",,Trigger)</f>
        <v>47010</v>
      </c>
      <c r="N166" s="204">
        <f>_xll.qlInterestRateIndexMaturity("AUDBBSW3M",M166)</f>
        <v>47101</v>
      </c>
      <c r="O166" s="206" t="str">
        <f>_xll.qlMakeDatedOIS(,M166,N166,OvernightIndex,0,,,,EvaluationDate)</f>
        <v>obj_00348#0000</v>
      </c>
      <c r="P166" s="206" t="b">
        <f>_xll.qlInstrumentSetPricingEngine(O166,OisEngine)</f>
        <v>1</v>
      </c>
      <c r="Q166" s="205">
        <f>_xll.qlIndexFixing(Currency&amp;IborType&amp;"3M",_xll.qlInterestRateIndexFixingDate(Currency&amp;IborType&amp;"3M",M166),TRUE,AllTriggers)</f>
        <v>5.066168177146739E-2</v>
      </c>
      <c r="R166" s="205">
        <f>_xll.qlOvernightIndexedSwapFairRate(O166,AllTriggers)</f>
        <v>4.720007830558972E-2</v>
      </c>
      <c r="S166" s="207">
        <f t="shared" si="4"/>
        <v>3.4616034658776704E-3</v>
      </c>
    </row>
    <row r="167" spans="5:19" ht="11.25" customHeight="1" x14ac:dyDescent="0.2">
      <c r="E167" s="199"/>
      <c r="F167" s="199"/>
      <c r="G167" s="198"/>
      <c r="J167" s="198"/>
      <c r="K167" s="198"/>
      <c r="M167" s="213">
        <f>_xll.qlCalendarAdvance(Calendar,M166,"1M","f",,Trigger)</f>
        <v>47042</v>
      </c>
      <c r="N167" s="204">
        <f>_xll.qlInterestRateIndexMaturity("AUDBBSW3M",M167)</f>
        <v>47134</v>
      </c>
      <c r="O167" s="206" t="str">
        <f>_xll.qlMakeDatedOIS(,M167,N167,OvernightIndex,0,,,,EvaluationDate)</f>
        <v>obj_0033c#0000</v>
      </c>
      <c r="P167" s="206" t="b">
        <f>_xll.qlInstrumentSetPricingEngine(O167,OisEngine)</f>
        <v>1</v>
      </c>
      <c r="Q167" s="205">
        <f>_xll.qlIndexFixing(Currency&amp;IborType&amp;"3M",_xll.qlInterestRateIndexFixingDate(Currency&amp;IborType&amp;"3M",M167),TRUE,AllTriggers)</f>
        <v>5.0722123808266496E-2</v>
      </c>
      <c r="R167" s="205">
        <f>_xll.qlOvernightIndexedSwapFairRate(O167,AllTriggers)</f>
        <v>4.7265937027651708E-2</v>
      </c>
      <c r="S167" s="207">
        <f t="shared" si="4"/>
        <v>3.4561867806147881E-3</v>
      </c>
    </row>
    <row r="168" spans="5:19" ht="11.25" customHeight="1" x14ac:dyDescent="0.2">
      <c r="E168" s="199"/>
      <c r="F168" s="199"/>
      <c r="G168" s="198"/>
      <c r="J168" s="198"/>
      <c r="K168" s="198"/>
      <c r="M168" s="213">
        <f>_xll.qlCalendarAdvance(Calendar,M167,"1M","f",,Trigger)</f>
        <v>47073</v>
      </c>
      <c r="N168" s="204">
        <f>_xll.qlInterestRateIndexMaturity("AUDBBSW3M",M168)</f>
        <v>47165</v>
      </c>
      <c r="O168" s="206" t="str">
        <f>_xll.qlMakeDatedOIS(,M168,N168,OvernightIndex,0,,,,EvaluationDate)</f>
        <v>obj_0035a#0000</v>
      </c>
      <c r="P168" s="206" t="b">
        <f>_xll.qlInstrumentSetPricingEngine(O168,OisEngine)</f>
        <v>1</v>
      </c>
      <c r="Q168" s="205">
        <f>_xll.qlIndexFixing(Currency&amp;IborType&amp;"3M",_xll.qlInterestRateIndexFixingDate(Currency&amp;IborType&amp;"3M",M168),TRUE,AllTriggers)</f>
        <v>5.0779344027430576E-2</v>
      </c>
      <c r="R168" s="205">
        <f>_xll.qlOvernightIndexedSwapFairRate(O168,AllTriggers)</f>
        <v>4.7327393359409206E-2</v>
      </c>
      <c r="S168" s="207">
        <f t="shared" si="4"/>
        <v>3.4519506680213696E-3</v>
      </c>
    </row>
    <row r="169" spans="5:19" ht="11.25" customHeight="1" x14ac:dyDescent="0.2">
      <c r="E169" s="199"/>
      <c r="F169" s="199"/>
      <c r="G169" s="198"/>
      <c r="J169" s="198"/>
      <c r="K169" s="198"/>
      <c r="M169" s="213">
        <f>_xll.qlCalendarAdvance(Calendar,M168,"1M","f",,Trigger)</f>
        <v>47105</v>
      </c>
      <c r="N169" s="204">
        <f>_xll.qlInterestRateIndexMaturity("AUDBBSW3M",M169)</f>
        <v>47196</v>
      </c>
      <c r="O169" s="206" t="str">
        <f>_xll.qlMakeDatedOIS(,M169,N169,OvernightIndex,0,,,,EvaluationDate)</f>
        <v>obj_00364#0000</v>
      </c>
      <c r="P169" s="206" t="b">
        <f>_xll.qlInstrumentSetPricingEngine(O169,OisEngine)</f>
        <v>1</v>
      </c>
      <c r="Q169" s="205">
        <f>_xll.qlIndexFixing(Currency&amp;IborType&amp;"3M",_xll.qlInterestRateIndexFixingDate(Currency&amp;IborType&amp;"3M",M169),TRUE,AllTriggers)</f>
        <v>5.0836868612485493E-2</v>
      </c>
      <c r="R169" s="205">
        <f>_xll.qlOvernightIndexedSwapFairRate(O169,AllTriggers)</f>
        <v>4.7388311038388184E-2</v>
      </c>
      <c r="S169" s="207">
        <f t="shared" si="4"/>
        <v>3.4485575740973093E-3</v>
      </c>
    </row>
    <row r="170" spans="5:19" ht="11.25" customHeight="1" x14ac:dyDescent="0.2">
      <c r="E170" s="199"/>
      <c r="F170" s="199"/>
      <c r="G170" s="198"/>
      <c r="J170" s="198"/>
      <c r="K170" s="198"/>
      <c r="M170" s="213">
        <f>_xll.qlCalendarAdvance(Calendar,M169,"1M","f",,Trigger)</f>
        <v>47136</v>
      </c>
      <c r="N170" s="204">
        <f>_xll.qlInterestRateIndexMaturity("AUDBBSW3M",M170)</f>
        <v>47226</v>
      </c>
      <c r="O170" s="206" t="str">
        <f>_xll.qlMakeDatedOIS(,M170,N170,OvernightIndex,0,,,,EvaluationDate)</f>
        <v>obj_002e0#0000</v>
      </c>
      <c r="P170" s="206" t="b">
        <f>_xll.qlInstrumentSetPricingEngine(O170,OisEngine)</f>
        <v>1</v>
      </c>
      <c r="Q170" s="205">
        <f>_xll.qlIndexFixing(Currency&amp;IborType&amp;"3M",_xll.qlInterestRateIndexFixingDate(Currency&amp;IborType&amp;"3M",M170),TRUE,AllTriggers)</f>
        <v>5.0895251929886087E-2</v>
      </c>
      <c r="R170" s="205">
        <f>_xll.qlOvernightIndexedSwapFairRate(O170,AllTriggers)</f>
        <v>4.7448706029531884E-2</v>
      </c>
      <c r="S170" s="207">
        <f t="shared" si="4"/>
        <v>3.4465459003542032E-3</v>
      </c>
    </row>
    <row r="171" spans="5:19" ht="11.25" customHeight="1" x14ac:dyDescent="0.2">
      <c r="E171" s="199"/>
      <c r="F171" s="199"/>
      <c r="G171" s="198"/>
      <c r="J171" s="198"/>
      <c r="K171" s="198"/>
      <c r="M171" s="213">
        <f>_xll.qlCalendarAdvance(Calendar,M170,"1M","f",,Trigger)</f>
        <v>47168</v>
      </c>
      <c r="N171" s="204">
        <f>_xll.qlInterestRateIndexMaturity("AUDBBSW3M",M171)</f>
        <v>47259</v>
      </c>
      <c r="O171" s="206" t="str">
        <f>_xll.qlMakeDatedOIS(,M171,N171,OvernightIndex,0,,,,EvaluationDate)</f>
        <v>obj_00312#0000</v>
      </c>
      <c r="P171" s="206" t="b">
        <f>_xll.qlInstrumentSetPricingEngine(O171,OisEngine)</f>
        <v>1</v>
      </c>
      <c r="Q171" s="205">
        <f>_xll.qlIndexFixing(Currency&amp;IborType&amp;"3M",_xll.qlInterestRateIndexFixingDate(Currency&amp;IborType&amp;"3M",M171),TRUE,AllTriggers)</f>
        <v>5.0967856079354293E-2</v>
      </c>
      <c r="R171" s="205">
        <f>_xll.qlOvernightIndexedSwapFairRate(O171,AllTriggers)</f>
        <v>4.7521172879442457E-2</v>
      </c>
      <c r="S171" s="207">
        <f t="shared" si="4"/>
        <v>3.4466831999118361E-3</v>
      </c>
    </row>
    <row r="172" spans="5:19" ht="11.25" customHeight="1" x14ac:dyDescent="0.2">
      <c r="E172" s="199"/>
      <c r="F172" s="199"/>
      <c r="G172" s="198"/>
      <c r="J172" s="198"/>
      <c r="K172" s="198"/>
      <c r="M172" s="213">
        <f>_xll.qlCalendarAdvance(Calendar,M171,"1M","f",,Trigger)</f>
        <v>47196</v>
      </c>
      <c r="N172" s="204">
        <f>_xll.qlInterestRateIndexMaturity("AUDBBSW3M",M172)</f>
        <v>47288</v>
      </c>
      <c r="O172" s="206" t="str">
        <f>_xll.qlMakeDatedOIS(,M172,N172,OvernightIndex,0,,,,EvaluationDate)</f>
        <v>obj_002e1#0000</v>
      </c>
      <c r="P172" s="206" t="b">
        <f>_xll.qlInstrumentSetPricingEngine(O172,OisEngine)</f>
        <v>1</v>
      </c>
      <c r="Q172" s="205">
        <f>_xll.qlIndexFixing(Currency&amp;IborType&amp;"3M",_xll.qlInterestRateIndexFixingDate(Currency&amp;IborType&amp;"3M",M172),TRUE,AllTriggers)</f>
        <v>5.1034568010060996E-2</v>
      </c>
      <c r="R172" s="205">
        <f>_xll.qlOvernightIndexedSwapFairRate(O172,AllTriggers)</f>
        <v>4.7586526549255256E-2</v>
      </c>
      <c r="S172" s="207">
        <f t="shared" si="4"/>
        <v>3.4480414608057397E-3</v>
      </c>
    </row>
    <row r="173" spans="5:19" ht="11.25" customHeight="1" x14ac:dyDescent="0.2">
      <c r="E173" s="199"/>
      <c r="F173" s="199"/>
      <c r="G173" s="198"/>
      <c r="J173" s="198"/>
      <c r="K173" s="198"/>
      <c r="M173" s="213">
        <f>_xll.qlCalendarAdvance(Calendar,M172,"1M","f",,Trigger)</f>
        <v>47227</v>
      </c>
      <c r="N173" s="204">
        <f>_xll.qlInterestRateIndexMaturity("AUDBBSW3M",M173)</f>
        <v>47318</v>
      </c>
      <c r="O173" s="206" t="str">
        <f>_xll.qlMakeDatedOIS(,M173,N173,OvernightIndex,0,,,,EvaluationDate)</f>
        <v>obj_00372#0000</v>
      </c>
      <c r="P173" s="206" t="b">
        <f>_xll.qlInstrumentSetPricingEngine(O173,OisEngine)</f>
        <v>1</v>
      </c>
      <c r="Q173" s="205">
        <f>_xll.qlIndexFixing(Currency&amp;IborType&amp;"3M",_xll.qlInterestRateIndexFixingDate(Currency&amp;IborType&amp;"3M",M173),TRUE,AllTriggers)</f>
        <v>5.1101238230125051E-2</v>
      </c>
      <c r="R173" s="205">
        <f>_xll.qlOvernightIndexedSwapFairRate(O173,AllTriggers)</f>
        <v>4.7651409173206809E-2</v>
      </c>
      <c r="S173" s="207">
        <f t="shared" si="4"/>
        <v>3.4498290569182424E-3</v>
      </c>
    </row>
    <row r="174" spans="5:19" ht="11.25" customHeight="1" x14ac:dyDescent="0.2">
      <c r="E174" s="199"/>
      <c r="F174" s="199"/>
      <c r="G174" s="198"/>
      <c r="J174" s="198"/>
      <c r="K174" s="198"/>
      <c r="M174" s="213">
        <f>_xll.qlCalendarAdvance(Calendar,M173,"1M","f",,Trigger)</f>
        <v>47259</v>
      </c>
      <c r="N174" s="204">
        <f>_xll.qlInterestRateIndexMaturity("AUDBBSW3M",M174)</f>
        <v>47351</v>
      </c>
      <c r="O174" s="206" t="str">
        <f>_xll.qlMakeDatedOIS(,M174,N174,OvernightIndex,0,,,,EvaluationDate)</f>
        <v>obj_002e2#0000</v>
      </c>
      <c r="P174" s="206" t="b">
        <f>_xll.qlInstrumentSetPricingEngine(O174,OisEngine)</f>
        <v>1</v>
      </c>
      <c r="Q174" s="205">
        <f>_xll.qlIndexFixing(Currency&amp;IborType&amp;"3M",_xll.qlInterestRateIndexFixingDate(Currency&amp;IborType&amp;"3M",M174),TRUE,AllTriggers)</f>
        <v>5.1182732843224076E-2</v>
      </c>
      <c r="R174" s="205">
        <f>_xll.qlOvernightIndexedSwapFairRate(O174,AllTriggers)</f>
        <v>4.7728713384766946E-2</v>
      </c>
      <c r="S174" s="207">
        <f t="shared" si="4"/>
        <v>3.454019458457129E-3</v>
      </c>
    </row>
    <row r="175" spans="5:19" ht="11.25" customHeight="1" x14ac:dyDescent="0.2">
      <c r="E175" s="199"/>
      <c r="F175" s="199"/>
      <c r="G175" s="198"/>
      <c r="J175" s="198"/>
      <c r="K175" s="198"/>
      <c r="M175" s="213">
        <f>_xll.qlCalendarAdvance(Calendar,M174,"1M","f",,Trigger)</f>
        <v>47290</v>
      </c>
      <c r="N175" s="204">
        <f>_xll.qlInterestRateIndexMaturity("AUDBBSW3M",M175)</f>
        <v>47382</v>
      </c>
      <c r="O175" s="206" t="str">
        <f>_xll.qlMakeDatedOIS(,M175,N175,OvernightIndex,0,,,,EvaluationDate)</f>
        <v>obj_0034d#0000</v>
      </c>
      <c r="P175" s="206" t="b">
        <f>_xll.qlInstrumentSetPricingEngine(O175,OisEngine)</f>
        <v>1</v>
      </c>
      <c r="Q175" s="205">
        <f>_xll.qlIndexFixing(Currency&amp;IborType&amp;"3M",_xll.qlInterestRateIndexFixingDate(Currency&amp;IborType&amp;"3M",M175),TRUE,AllTriggers)</f>
        <v>5.1259961812265671E-2</v>
      </c>
      <c r="R175" s="205">
        <f>_xll.qlOvernightIndexedSwapFairRate(O175,AllTriggers)</f>
        <v>4.7801019743908803E-2</v>
      </c>
      <c r="S175" s="207">
        <f t="shared" si="4"/>
        <v>3.4589420683568683E-3</v>
      </c>
    </row>
    <row r="176" spans="5:19" ht="11.25" customHeight="1" x14ac:dyDescent="0.2">
      <c r="E176" s="199"/>
      <c r="F176" s="199"/>
      <c r="G176" s="198"/>
      <c r="J176" s="198"/>
      <c r="K176" s="198"/>
      <c r="M176" s="213">
        <f>_xll.qlCalendarAdvance(Calendar,M175,"1M","f",,Trigger)</f>
        <v>47322</v>
      </c>
      <c r="N176" s="204">
        <f>_xll.qlInterestRateIndexMaturity("AUDBBSW3M",M176)</f>
        <v>47414</v>
      </c>
      <c r="O176" s="206" t="str">
        <f>_xll.qlMakeDatedOIS(,M176,N176,OvernightIndex,0,,,,EvaluationDate)</f>
        <v>obj_00341#0000</v>
      </c>
      <c r="P176" s="206" t="b">
        <f>_xll.qlInstrumentSetPricingEngine(O176,OisEngine)</f>
        <v>1</v>
      </c>
      <c r="Q176" s="205">
        <f>_xll.qlIndexFixing(Currency&amp;IborType&amp;"3M",_xll.qlInterestRateIndexFixingDate(Currency&amp;IborType&amp;"3M",M176),TRUE,AllTriggers)</f>
        <v>5.1341812375168265E-2</v>
      </c>
      <c r="R176" s="205">
        <f>_xll.qlOvernightIndexedSwapFairRate(O176,AllTriggers)</f>
        <v>4.7876629511927546E-2</v>
      </c>
      <c r="S176" s="207">
        <f t="shared" si="4"/>
        <v>3.4651828632407192E-3</v>
      </c>
    </row>
    <row r="177" spans="5:19" ht="11.25" customHeight="1" x14ac:dyDescent="0.2">
      <c r="E177" s="199"/>
      <c r="F177" s="199"/>
      <c r="G177" s="198"/>
      <c r="J177" s="198"/>
      <c r="K177" s="198"/>
      <c r="M177" s="213">
        <f>_xll.qlCalendarAdvance(Calendar,M176,"1M","f",,Trigger)</f>
        <v>47353</v>
      </c>
      <c r="N177" s="204">
        <f>_xll.qlInterestRateIndexMaturity("AUDBBSW3M",M177)</f>
        <v>47445</v>
      </c>
      <c r="O177" s="206" t="str">
        <f>_xll.qlMakeDatedOIS(,M177,N177,OvernightIndex,0,,,,EvaluationDate)</f>
        <v>obj_00305#0000</v>
      </c>
      <c r="P177" s="206" t="b">
        <f>_xll.qlInstrumentSetPricingEngine(O177,OisEngine)</f>
        <v>1</v>
      </c>
      <c r="Q177" s="205">
        <f>_xll.qlIndexFixing(Currency&amp;IborType&amp;"3M",_xll.qlInterestRateIndexFixingDate(Currency&amp;IborType&amp;"3M",M177),TRUE,AllTriggers)</f>
        <v>5.1421178266499043E-2</v>
      </c>
      <c r="R177" s="205">
        <f>_xll.qlOvernightIndexedSwapFairRate(O177,AllTriggers)</f>
        <v>4.7949315294780123E-2</v>
      </c>
      <c r="S177" s="207">
        <f t="shared" si="4"/>
        <v>3.4718629717189198E-3</v>
      </c>
    </row>
    <row r="178" spans="5:19" ht="11.25" customHeight="1" x14ac:dyDescent="0.2">
      <c r="E178" s="199"/>
      <c r="F178" s="199"/>
      <c r="G178" s="198"/>
      <c r="J178" s="198"/>
      <c r="K178" s="198"/>
      <c r="M178" s="213">
        <f>_xll.qlCalendarAdvance(Calendar,M177,"1M","f",,Trigger)</f>
        <v>47385</v>
      </c>
      <c r="N178" s="204">
        <f>_xll.qlInterestRateIndexMaturity("AUDBBSW3M",M178)</f>
        <v>47476</v>
      </c>
      <c r="O178" s="206" t="str">
        <f>_xll.qlMakeDatedOIS(,M178,N178,OvernightIndex,0,,,,EvaluationDate)</f>
        <v>obj_002e3#0000</v>
      </c>
      <c r="P178" s="206" t="b">
        <f>_xll.qlInstrumentSetPricingEngine(O178,OisEngine)</f>
        <v>1</v>
      </c>
      <c r="Q178" s="205">
        <f>_xll.qlIndexFixing(Currency&amp;IborType&amp;"3M",_xll.qlInterestRateIndexFixingDate(Currency&amp;IborType&amp;"3M",M178),TRUE,AllTriggers)</f>
        <v>5.149622410520234E-2</v>
      </c>
      <c r="R178" s="205">
        <f>_xll.qlOvernightIndexedSwapFairRate(O178,AllTriggers)</f>
        <v>4.8017871413293403E-2</v>
      </c>
      <c r="S178" s="207">
        <f t="shared" si="4"/>
        <v>3.4783526919089369E-3</v>
      </c>
    </row>
    <row r="179" spans="5:19" ht="11.25" customHeight="1" x14ac:dyDescent="0.2">
      <c r="E179" s="199"/>
      <c r="F179" s="199"/>
      <c r="G179" s="198"/>
      <c r="J179" s="198"/>
      <c r="K179" s="198"/>
      <c r="M179" s="213">
        <f>_xll.qlCalendarAdvance(Calendar,M178,"1M","f",,Trigger)</f>
        <v>47415</v>
      </c>
      <c r="N179" s="204">
        <f>_xll.qlInterestRateIndexMaturity("AUDBBSW3M",M179)</f>
        <v>47507</v>
      </c>
      <c r="O179" s="206" t="str">
        <f>_xll.qlMakeDatedOIS(,M179,N179,OvernightIndex,0,,,,EvaluationDate)</f>
        <v>obj_00328#0000</v>
      </c>
      <c r="P179" s="206" t="b">
        <f>_xll.qlInstrumentSetPricingEngine(O179,OisEngine)</f>
        <v>1</v>
      </c>
      <c r="Q179" s="205">
        <f>_xll.qlIndexFixing(Currency&amp;IborType&amp;"3M",_xll.qlInterestRateIndexFixingDate(Currency&amp;IborType&amp;"3M",M179),TRUE,AllTriggers)</f>
        <v>5.157291980646924E-2</v>
      </c>
      <c r="R179" s="205">
        <f>_xll.qlOvernightIndexedSwapFairRate(O179,AllTriggers)</f>
        <v>4.8087593430683473E-2</v>
      </c>
      <c r="S179" s="207">
        <f t="shared" si="4"/>
        <v>3.4853263757857675E-3</v>
      </c>
    </row>
    <row r="180" spans="5:19" ht="11.25" customHeight="1" x14ac:dyDescent="0.2">
      <c r="E180" s="199"/>
      <c r="F180" s="199"/>
      <c r="G180" s="198"/>
      <c r="J180" s="198"/>
      <c r="K180" s="198"/>
      <c r="M180" s="213">
        <f>_xll.qlCalendarAdvance(Calendar,M179,"1M","f",,Trigger)</f>
        <v>47448</v>
      </c>
      <c r="N180" s="204">
        <f>_xll.qlInterestRateIndexMaturity("AUDBBSW3M",M180)</f>
        <v>47540</v>
      </c>
      <c r="O180" s="206" t="str">
        <f>_xll.qlMakeDatedOIS(,M180,N180,OvernightIndex,0,,,,EvaluationDate)</f>
        <v>obj_0031b#0000</v>
      </c>
      <c r="P180" s="206" t="b">
        <f>_xll.qlInstrumentSetPricingEngine(O180,OisEngine)</f>
        <v>1</v>
      </c>
      <c r="Q180" s="205">
        <f>_xll.qlIndexFixing(Currency&amp;IborType&amp;"3M",_xll.qlInterestRateIndexFixingDate(Currency&amp;IborType&amp;"3M",M180),TRUE,AllTriggers)</f>
        <v>5.1648577035837029E-2</v>
      </c>
      <c r="R180" s="205">
        <f>_xll.qlOvernightIndexedSwapFairRate(O180,AllTriggers)</f>
        <v>4.8156349678338824E-2</v>
      </c>
      <c r="S180" s="207">
        <f t="shared" si="4"/>
        <v>3.4922273574982052E-3</v>
      </c>
    </row>
    <row r="181" spans="5:19" ht="11.25" customHeight="1" x14ac:dyDescent="0.2">
      <c r="E181" s="199"/>
      <c r="F181" s="199"/>
      <c r="G181" s="198"/>
      <c r="J181" s="198"/>
      <c r="K181" s="198"/>
      <c r="M181" s="213">
        <f>_xll.qlCalendarAdvance(Calendar,M180,"1M","f",,Trigger)</f>
        <v>47479</v>
      </c>
      <c r="N181" s="204">
        <f>_xll.qlInterestRateIndexMaturity("AUDBBSW3M",M181)</f>
        <v>47569</v>
      </c>
      <c r="O181" s="206" t="str">
        <f>_xll.qlMakeDatedOIS(,M181,N181,OvernightIndex,0,,,,EvaluationDate)</f>
        <v>obj_002e4#0000</v>
      </c>
      <c r="P181" s="206" t="b">
        <f>_xll.qlInstrumentSetPricingEngine(O181,OisEngine)</f>
        <v>1</v>
      </c>
      <c r="Q181" s="205">
        <f>_xll.qlIndexFixing(Currency&amp;IborType&amp;"3M",_xll.qlInterestRateIndexFixingDate(Currency&amp;IborType&amp;"3M",M181),TRUE,AllTriggers)</f>
        <v>5.1707010238556943E-2</v>
      </c>
      <c r="R181" s="205">
        <f>_xll.qlOvernightIndexedSwapFairRate(O181,AllTriggers)</f>
        <v>4.8209535560241434E-2</v>
      </c>
      <c r="S181" s="207">
        <f t="shared" si="4"/>
        <v>3.4974746783155083E-3</v>
      </c>
    </row>
    <row r="182" spans="5:19" ht="11.25" customHeight="1" x14ac:dyDescent="0.2">
      <c r="E182" s="199"/>
      <c r="F182" s="199"/>
      <c r="G182" s="198"/>
      <c r="J182" s="198"/>
      <c r="K182" s="198"/>
      <c r="M182" s="213">
        <f>_xll.qlCalendarAdvance(Calendar,M181,"1M","f",,Trigger)</f>
        <v>47512</v>
      </c>
      <c r="N182" s="204">
        <f>_xll.qlInterestRateIndexMaturity("AUDBBSW3M",M182)</f>
        <v>47602</v>
      </c>
      <c r="O182" s="206" t="str">
        <f>_xll.qlMakeDatedOIS(,M182,N182,OvernightIndex,0,,,,EvaluationDate)</f>
        <v>obj_002e5#0000</v>
      </c>
      <c r="P182" s="206" t="b">
        <f>_xll.qlInstrumentSetPricingEngine(O182,OisEngine)</f>
        <v>1</v>
      </c>
      <c r="Q182" s="205">
        <f>_xll.qlIndexFixing(Currency&amp;IborType&amp;"3M",_xll.qlInterestRateIndexFixingDate(Currency&amp;IborType&amp;"3M",M182),TRUE,AllTriggers)</f>
        <v>5.1775825340016894E-2</v>
      </c>
      <c r="R182" s="205">
        <f>_xll.qlOvernightIndexedSwapFairRate(O182,AllTriggers)</f>
        <v>4.8271815529608908E-2</v>
      </c>
      <c r="S182" s="207">
        <f t="shared" si="4"/>
        <v>3.5040098104079861E-3</v>
      </c>
    </row>
    <row r="183" spans="5:19" ht="11.25" customHeight="1" x14ac:dyDescent="0.2">
      <c r="E183" s="199"/>
      <c r="F183" s="199"/>
      <c r="G183" s="198"/>
      <c r="J183" s="198"/>
      <c r="K183" s="198"/>
      <c r="M183" s="213">
        <f>_xll.qlCalendarAdvance(Calendar,M182,"1M","f",,Trigger)</f>
        <v>47542</v>
      </c>
      <c r="N183" s="204">
        <f>_xll.qlInterestRateIndexMaturity("AUDBBSW3M",M183)</f>
        <v>47634</v>
      </c>
      <c r="O183" s="206" t="str">
        <f>_xll.qlMakeDatedOIS(,M183,N183,OvernightIndex,0,,,,EvaluationDate)</f>
        <v>obj_002e6#0000</v>
      </c>
      <c r="P183" s="206" t="b">
        <f>_xll.qlInstrumentSetPricingEngine(O183,OisEngine)</f>
        <v>1</v>
      </c>
      <c r="Q183" s="205">
        <f>_xll.qlIndexFixing(Currency&amp;IborType&amp;"3M",_xll.qlInterestRateIndexFixingDate(Currency&amp;IborType&amp;"3M",M183),TRUE,AllTriggers)</f>
        <v>5.184449663305029E-2</v>
      </c>
      <c r="R183" s="205">
        <f>_xll.qlOvernightIndexedSwapFairRate(O183,AllTriggers)</f>
        <v>4.8333654316213982E-2</v>
      </c>
      <c r="S183" s="207">
        <f t="shared" si="4"/>
        <v>3.5108423168363073E-3</v>
      </c>
    </row>
    <row r="184" spans="5:19" ht="11.25" customHeight="1" x14ac:dyDescent="0.2">
      <c r="E184" s="199"/>
      <c r="F184" s="199"/>
      <c r="G184" s="198"/>
      <c r="J184" s="198"/>
      <c r="K184" s="198"/>
      <c r="M184" s="213">
        <f>_xll.qlCalendarAdvance(Calendar,M183,"1M","f",,Trigger)</f>
        <v>47570</v>
      </c>
      <c r="N184" s="204">
        <f>_xll.qlInterestRateIndexMaturity("AUDBBSW3M",M184)</f>
        <v>47662</v>
      </c>
      <c r="O184" s="206" t="str">
        <f>_xll.qlMakeDatedOIS(,M184,N184,OvernightIndex,0,,,,EvaluationDate)</f>
        <v>obj_00356#0000</v>
      </c>
      <c r="P184" s="206" t="b">
        <f>_xll.qlInstrumentSetPricingEngine(O184,OisEngine)</f>
        <v>1</v>
      </c>
      <c r="Q184" s="205">
        <f>_xll.qlIndexFixing(Currency&amp;IborType&amp;"3M",_xll.qlInterestRateIndexFixingDate(Currency&amp;IborType&amp;"3M",M184),TRUE,AllTriggers)</f>
        <v>5.1897249950382612E-2</v>
      </c>
      <c r="R184" s="205">
        <f>_xll.qlOvernightIndexedSwapFairRate(O184,AllTriggers)</f>
        <v>4.8381161083648691E-2</v>
      </c>
      <c r="S184" s="207">
        <f t="shared" si="4"/>
        <v>3.5160888667339213E-3</v>
      </c>
    </row>
    <row r="185" spans="5:19" ht="11.25" customHeight="1" x14ac:dyDescent="0.2">
      <c r="E185" s="199"/>
      <c r="F185" s="199"/>
      <c r="G185" s="198"/>
      <c r="J185" s="198"/>
      <c r="K185" s="198"/>
      <c r="M185" s="213">
        <f>_xll.qlCalendarAdvance(Calendar,M184,"1M","f",,Trigger)</f>
        <v>47602</v>
      </c>
      <c r="N185" s="204">
        <f>_xll.qlInterestRateIndexMaturity("AUDBBSW3M",M185)</f>
        <v>47693</v>
      </c>
      <c r="O185" s="206" t="str">
        <f>_xll.qlMakeDatedOIS(,M185,N185,OvernightIndex,0,,,,EvaluationDate)</f>
        <v>obj_00360#0000</v>
      </c>
      <c r="P185" s="206" t="b">
        <f>_xll.qlInstrumentSetPricingEngine(O185,OisEngine)</f>
        <v>1</v>
      </c>
      <c r="Q185" s="205">
        <f>_xll.qlIndexFixing(Currency&amp;IborType&amp;"3M",_xll.qlInterestRateIndexFixingDate(Currency&amp;IborType&amp;"3M",M185),TRUE,AllTriggers)</f>
        <v>5.1949865278386409E-2</v>
      </c>
      <c r="R185" s="205">
        <f>_xll.qlOvernightIndexedSwapFairRate(O185,AllTriggers)</f>
        <v>4.8428473392727524E-2</v>
      </c>
      <c r="S185" s="207">
        <f t="shared" si="4"/>
        <v>3.5213918856588852E-3</v>
      </c>
    </row>
    <row r="186" spans="5:19" ht="11.25" customHeight="1" x14ac:dyDescent="0.2">
      <c r="E186" s="199"/>
      <c r="F186" s="199"/>
      <c r="G186" s="198"/>
      <c r="J186" s="198"/>
      <c r="K186" s="198"/>
      <c r="M186" s="213">
        <f>_xll.qlCalendarAdvance(Calendar,M185,"1M","f",,Trigger)</f>
        <v>47632</v>
      </c>
      <c r="N186" s="204">
        <f>_xll.qlInterestRateIndexMaturity("AUDBBSW3M",M186)</f>
        <v>47724</v>
      </c>
      <c r="O186" s="206" t="str">
        <f>_xll.qlMakeDatedOIS(,M186,N186,OvernightIndex,0,,,,EvaluationDate)</f>
        <v>obj_00340#0000</v>
      </c>
      <c r="P186" s="206" t="b">
        <f>_xll.qlInstrumentSetPricingEngine(O186,OisEngine)</f>
        <v>1</v>
      </c>
      <c r="Q186" s="205">
        <f>_xll.qlIndexFixing(Currency&amp;IborType&amp;"3M",_xll.qlInterestRateIndexFixingDate(Currency&amp;IborType&amp;"3M",M186),TRUE,AllTriggers)</f>
        <v>5.2004903195497831E-2</v>
      </c>
      <c r="R186" s="205">
        <f>_xll.qlOvernightIndexedSwapFairRate(O186,AllTriggers)</f>
        <v>4.8477684397413914E-2</v>
      </c>
      <c r="S186" s="207">
        <f t="shared" si="4"/>
        <v>3.527218798083917E-3</v>
      </c>
    </row>
    <row r="187" spans="5:19" ht="11.25" customHeight="1" x14ac:dyDescent="0.2">
      <c r="E187" s="199"/>
      <c r="F187" s="199"/>
      <c r="G187" s="198"/>
      <c r="J187" s="198"/>
      <c r="K187" s="198"/>
      <c r="M187" s="213">
        <f>_xll.qlCalendarAdvance(Calendar,M186,"1M","f",,Trigger)</f>
        <v>47665</v>
      </c>
      <c r="N187" s="204">
        <f>_xll.qlInterestRateIndexMaturity("AUDBBSW3M",M187)</f>
        <v>47757</v>
      </c>
      <c r="O187" s="206" t="str">
        <f>_xll.qlMakeDatedOIS(,M187,N187,OvernightIndex,0,,,,EvaluationDate)</f>
        <v>obj_002e7#0000</v>
      </c>
      <c r="P187" s="206" t="b">
        <f>_xll.qlInstrumentSetPricingEngine(O187,OisEngine)</f>
        <v>1</v>
      </c>
      <c r="Q187" s="205">
        <f>_xll.qlIndexFixing(Currency&amp;IborType&amp;"3M",_xll.qlInterestRateIndexFixingDate(Currency&amp;IborType&amp;"3M",M187),TRUE,AllTriggers)</f>
        <v>5.2057057194536148E-2</v>
      </c>
      <c r="R187" s="205">
        <f>_xll.qlOvernightIndexedSwapFairRate(O187,AllTriggers)</f>
        <v>4.8524188289923782E-2</v>
      </c>
      <c r="S187" s="207">
        <f t="shared" si="4"/>
        <v>3.5328689046123657E-3</v>
      </c>
    </row>
    <row r="188" spans="5:19" ht="11.25" customHeight="1" x14ac:dyDescent="0.2">
      <c r="E188" s="199"/>
      <c r="F188" s="199"/>
      <c r="G188" s="198"/>
      <c r="J188" s="198"/>
      <c r="K188" s="198"/>
      <c r="M188" s="213">
        <f>_xll.qlCalendarAdvance(Calendar,M187,"1M","f",,Trigger)</f>
        <v>47696</v>
      </c>
      <c r="N188" s="204">
        <f>_xll.qlInterestRateIndexMaturity("AUDBBSW3M",M188)</f>
        <v>47788</v>
      </c>
      <c r="O188" s="206" t="str">
        <f>_xll.qlMakeDatedOIS(,M188,N188,OvernightIndex,0,,,,EvaluationDate)</f>
        <v>obj_0036d#0000</v>
      </c>
      <c r="P188" s="206" t="b">
        <f>_xll.qlInstrumentSetPricingEngine(O188,OisEngine)</f>
        <v>1</v>
      </c>
      <c r="Q188" s="205">
        <f>_xll.qlIndexFixing(Currency&amp;IborType&amp;"3M",_xll.qlInterestRateIndexFixingDate(Currency&amp;IborType&amp;"3M",M188),TRUE,AllTriggers)</f>
        <v>5.2102793947468168E-2</v>
      </c>
      <c r="R188" s="205">
        <f>_xll.qlOvernightIndexedSwapFairRate(O188,AllTriggers)</f>
        <v>4.8564790722522469E-2</v>
      </c>
      <c r="S188" s="207">
        <f t="shared" si="4"/>
        <v>3.5380032249456989E-3</v>
      </c>
    </row>
    <row r="189" spans="5:19" ht="11.25" customHeight="1" x14ac:dyDescent="0.2">
      <c r="E189" s="199"/>
      <c r="F189" s="199"/>
      <c r="G189" s="198"/>
      <c r="J189" s="198"/>
      <c r="K189" s="198"/>
      <c r="M189" s="213">
        <f>_xll.qlCalendarAdvance(Calendar,M188,"1M","f",,Trigger)</f>
        <v>47728</v>
      </c>
      <c r="N189" s="204">
        <f>_xll.qlInterestRateIndexMaturity("AUDBBSW3M",M189)</f>
        <v>47819</v>
      </c>
      <c r="O189" s="206" t="str">
        <f>_xll.qlMakeDatedOIS(,M189,N189,OvernightIndex,0,,,,EvaluationDate)</f>
        <v>obj_002e8#0000</v>
      </c>
      <c r="P189" s="206" t="b">
        <f>_xll.qlInstrumentSetPricingEngine(O189,OisEngine)</f>
        <v>1</v>
      </c>
      <c r="Q189" s="205">
        <f>_xll.qlIndexFixing(Currency&amp;IborType&amp;"3M",_xll.qlInterestRateIndexFixingDate(Currency&amp;IborType&amp;"3M",M189),TRUE,AllTriggers)</f>
        <v>5.2142353385873377E-2</v>
      </c>
      <c r="R189" s="205">
        <f>_xll.qlOvernightIndexedSwapFairRate(O189,AllTriggers)</f>
        <v>4.8599745033457577E-2</v>
      </c>
      <c r="S189" s="207">
        <f t="shared" si="4"/>
        <v>3.5426083524158006E-3</v>
      </c>
    </row>
    <row r="190" spans="5:19" ht="11.25" customHeight="1" x14ac:dyDescent="0.2">
      <c r="E190" s="199"/>
      <c r="F190" s="199"/>
      <c r="G190" s="198"/>
      <c r="J190" s="198"/>
      <c r="K190" s="198"/>
      <c r="M190" s="213">
        <f>_xll.qlCalendarAdvance(Calendar,M189,"1M","f",,Trigger)</f>
        <v>47758</v>
      </c>
      <c r="N190" s="204">
        <f>_xll.qlInterestRateIndexMaturity("AUDBBSW3M",M190)</f>
        <v>47850</v>
      </c>
      <c r="O190" s="206" t="str">
        <f>_xll.qlMakeDatedOIS(,M190,N190,OvernightIndex,0,,,,EvaluationDate)</f>
        <v>obj_002e9#0000</v>
      </c>
      <c r="P190" s="206" t="b">
        <f>_xll.qlInstrumentSetPricingEngine(O190,OisEngine)</f>
        <v>1</v>
      </c>
      <c r="Q190" s="205">
        <f>_xll.qlIndexFixing(Currency&amp;IborType&amp;"3M",_xll.qlInterestRateIndexFixingDate(Currency&amp;IborType&amp;"3M",M190),TRUE,AllTriggers)</f>
        <v>5.2184803116889569E-2</v>
      </c>
      <c r="R190" s="205">
        <f>_xll.qlOvernightIndexedSwapFairRate(O190,AllTriggers)</f>
        <v>4.8637035129498324E-2</v>
      </c>
      <c r="S190" s="207">
        <f t="shared" si="4"/>
        <v>3.5477679873912454E-3</v>
      </c>
    </row>
    <row r="191" spans="5:19" ht="11.25" customHeight="1" x14ac:dyDescent="0.2">
      <c r="E191" s="199"/>
      <c r="F191" s="199"/>
      <c r="G191" s="198"/>
      <c r="J191" s="198"/>
      <c r="K191" s="198"/>
      <c r="M191" s="213">
        <f>_xll.qlCalendarAdvance(Calendar,M190,"1M","f",,Trigger)</f>
        <v>47791</v>
      </c>
      <c r="N191" s="204">
        <f>_xll.qlInterestRateIndexMaturity("AUDBBSW3M",M191)</f>
        <v>47883</v>
      </c>
      <c r="O191" s="206" t="str">
        <f>_xll.qlMakeDatedOIS(,M191,N191,OvernightIndex,0,,,,EvaluationDate)</f>
        <v>obj_00347#0000</v>
      </c>
      <c r="P191" s="206" t="b">
        <f>_xll.qlInstrumentSetPricingEngine(O191,OisEngine)</f>
        <v>1</v>
      </c>
      <c r="Q191" s="205">
        <f>_xll.qlIndexFixing(Currency&amp;IborType&amp;"3M",_xll.qlInterestRateIndexFixingDate(Currency&amp;IborType&amp;"3M",M191),TRUE,AllTriggers)</f>
        <v>5.2223307143484478E-2</v>
      </c>
      <c r="R191" s="205">
        <f>_xll.qlOvernightIndexedSwapFairRate(O191,AllTriggers)</f>
        <v>4.8670615776172987E-2</v>
      </c>
      <c r="S191" s="207">
        <f t="shared" si="4"/>
        <v>3.5526913673114904E-3</v>
      </c>
    </row>
    <row r="192" spans="5:19" ht="11.25" customHeight="1" x14ac:dyDescent="0.2">
      <c r="E192" s="199"/>
      <c r="F192" s="199"/>
      <c r="G192" s="198"/>
      <c r="J192" s="198"/>
      <c r="K192" s="198"/>
      <c r="M192" s="213">
        <f>_xll.qlCalendarAdvance(Calendar,M191,"1M","f",,Trigger)</f>
        <v>47821</v>
      </c>
      <c r="N192" s="204">
        <f>_xll.qlInterestRateIndexMaturity("AUDBBSW3M",M192)</f>
        <v>47911</v>
      </c>
      <c r="O192" s="206" t="str">
        <f>_xll.qlMakeDatedOIS(,M192,N192,OvernightIndex,0,,,,EvaluationDate)</f>
        <v>obj_0033b#0000</v>
      </c>
      <c r="P192" s="206" t="b">
        <f>_xll.qlInstrumentSetPricingEngine(O192,OisEngine)</f>
        <v>1</v>
      </c>
      <c r="Q192" s="205">
        <f>_xll.qlIndexFixing(Currency&amp;IborType&amp;"3M",_xll.qlInterestRateIndexFixingDate(Currency&amp;IborType&amp;"3M",M192),TRUE,AllTriggers)</f>
        <v>5.2246794835611704E-2</v>
      </c>
      <c r="R192" s="205">
        <f>_xll.qlOvernightIndexedSwapFairRate(O192,AllTriggers)</f>
        <v>4.8690819298352395E-2</v>
      </c>
      <c r="S192" s="207">
        <f t="shared" si="4"/>
        <v>3.5559755372593094E-3</v>
      </c>
    </row>
    <row r="193" spans="5:19" ht="11.25" customHeight="1" x14ac:dyDescent="0.2">
      <c r="E193" s="199"/>
      <c r="F193" s="199"/>
      <c r="G193" s="198"/>
      <c r="J193" s="198"/>
      <c r="K193" s="198"/>
      <c r="M193" s="213">
        <f>_xll.qlCalendarAdvance(Calendar,M192,"1M","f",,Trigger)</f>
        <v>47854</v>
      </c>
      <c r="N193" s="204">
        <f>_xll.qlInterestRateIndexMaturity("AUDBBSW3M",M193)</f>
        <v>47945</v>
      </c>
      <c r="O193" s="206" t="str">
        <f>_xll.qlMakeDatedOIS(,M193,N193,OvernightIndex,0,,,,EvaluationDate)</f>
        <v>obj_00332#0000</v>
      </c>
      <c r="P193" s="206" t="b">
        <f>_xll.qlInstrumentSetPricingEngine(O193,OisEngine)</f>
        <v>1</v>
      </c>
      <c r="Q193" s="205">
        <f>_xll.qlIndexFixing(Currency&amp;IborType&amp;"3M",_xll.qlInterestRateIndexFixingDate(Currency&amp;IborType&amp;"3M",M193),TRUE,AllTriggers)</f>
        <v>5.2282729976687634E-2</v>
      </c>
      <c r="R193" s="205">
        <f>_xll.qlOvernightIndexedSwapFairRate(O193,AllTriggers)</f>
        <v>4.872167929225036E-2</v>
      </c>
      <c r="S193" s="207">
        <f t="shared" si="4"/>
        <v>3.5610506844372738E-3</v>
      </c>
    </row>
    <row r="194" spans="5:19" ht="11.25" customHeight="1" x14ac:dyDescent="0.2">
      <c r="E194" s="199"/>
      <c r="F194" s="199"/>
      <c r="G194" s="198"/>
      <c r="J194" s="198"/>
      <c r="K194" s="198"/>
      <c r="M194" s="213">
        <f>_xll.qlCalendarAdvance(Calendar,M193,"1M","f",,Trigger)</f>
        <v>47885</v>
      </c>
      <c r="N194" s="204">
        <f>_xll.qlInterestRateIndexMaturity("AUDBBSW3M",M194)</f>
        <v>47974</v>
      </c>
      <c r="O194" s="206" t="str">
        <f>_xll.qlMakeDatedOIS(,M194,N194,OvernightIndex,0,,,,EvaluationDate)</f>
        <v>obj_002ea#0000</v>
      </c>
      <c r="P194" s="206" t="b">
        <f>_xll.qlInstrumentSetPricingEngine(O194,OisEngine)</f>
        <v>1</v>
      </c>
      <c r="Q194" s="205">
        <f>_xll.qlIndexFixing(Currency&amp;IborType&amp;"3M",_xll.qlInterestRateIndexFixingDate(Currency&amp;IborType&amp;"3M",M194),TRUE,AllTriggers)</f>
        <v>5.2301057446170758E-2</v>
      </c>
      <c r="R194" s="205">
        <f>_xll.qlOvernightIndexedSwapFairRate(O194,AllTriggers)</f>
        <v>4.8736913129262198E-2</v>
      </c>
      <c r="S194" s="207">
        <f t="shared" si="4"/>
        <v>3.5641443169085602E-3</v>
      </c>
    </row>
    <row r="195" spans="5:19" ht="11.25" customHeight="1" x14ac:dyDescent="0.2">
      <c r="E195" s="199"/>
      <c r="F195" s="199"/>
      <c r="G195" s="198"/>
      <c r="J195" s="198"/>
      <c r="K195" s="198"/>
      <c r="M195" s="213">
        <f>_xll.qlCalendarAdvance(Calendar,M194,"1M","f",,Trigger)</f>
        <v>47913</v>
      </c>
      <c r="N195" s="204">
        <f>_xll.qlInterestRateIndexMaturity("AUDBBSW3M",M195)</f>
        <v>48005</v>
      </c>
      <c r="O195" s="206" t="str">
        <f>_xll.qlMakeDatedOIS(,M195,N195,OvernightIndex,0,,,,EvaluationDate)</f>
        <v>obj_00321#0000</v>
      </c>
      <c r="P195" s="206" t="b">
        <f>_xll.qlInstrumentSetPricingEngine(O195,OisEngine)</f>
        <v>1</v>
      </c>
      <c r="Q195" s="205">
        <f>_xll.qlIndexFixing(Currency&amp;IborType&amp;"3M",_xll.qlInterestRateIndexFixingDate(Currency&amp;IborType&amp;"3M",M195),TRUE,AllTriggers)</f>
        <v>5.2334613251764674E-2</v>
      </c>
      <c r="R195" s="205">
        <f>_xll.qlOvernightIndexedSwapFairRate(O195,AllTriggers)</f>
        <v>4.8765373309530242E-2</v>
      </c>
      <c r="S195" s="207">
        <f t="shared" ref="S195:S258" si="5">Q195-R195</f>
        <v>3.5692399422344312E-3</v>
      </c>
    </row>
    <row r="196" spans="5:19" ht="11.25" customHeight="1" x14ac:dyDescent="0.2">
      <c r="E196" s="199"/>
      <c r="F196" s="199"/>
      <c r="G196" s="198"/>
      <c r="J196" s="198"/>
      <c r="K196" s="198"/>
      <c r="M196" s="213">
        <f>_xll.qlCalendarAdvance(Calendar,M195,"1M","f",,Trigger)</f>
        <v>47945</v>
      </c>
      <c r="N196" s="204">
        <f>_xll.qlInterestRateIndexMaturity("AUDBBSW3M",M196)</f>
        <v>48036</v>
      </c>
      <c r="O196" s="206" t="str">
        <f>_xll.qlMakeDatedOIS(,M196,N196,OvernightIndex,0,,,,EvaluationDate)</f>
        <v>obj_00311#0000</v>
      </c>
      <c r="P196" s="206" t="b">
        <f>_xll.qlInstrumentSetPricingEngine(O196,OisEngine)</f>
        <v>1</v>
      </c>
      <c r="Q196" s="205">
        <f>_xll.qlIndexFixing(Currency&amp;IborType&amp;"3M",_xll.qlInterestRateIndexFixingDate(Currency&amp;IborType&amp;"3M",M196),TRUE,AllTriggers)</f>
        <v>5.2351701083224615E-2</v>
      </c>
      <c r="R196" s="205">
        <f>_xll.qlOvernightIndexedSwapFairRate(O196,AllTriggers)</f>
        <v>4.8779056720818739E-2</v>
      </c>
      <c r="S196" s="207">
        <f t="shared" si="5"/>
        <v>3.572644362405876E-3</v>
      </c>
    </row>
    <row r="197" spans="5:19" ht="11.25" customHeight="1" x14ac:dyDescent="0.2">
      <c r="E197" s="199"/>
      <c r="F197" s="199"/>
      <c r="G197" s="198"/>
      <c r="J197" s="198"/>
      <c r="K197" s="198"/>
      <c r="M197" s="213">
        <f>_xll.qlCalendarAdvance(Calendar,M196,"1M","f",,Trigger)</f>
        <v>47975</v>
      </c>
      <c r="N197" s="204">
        <f>_xll.qlInterestRateIndexMaturity("AUDBBSW3M",M197)</f>
        <v>48067</v>
      </c>
      <c r="O197" s="206" t="str">
        <f>_xll.qlMakeDatedOIS(,M197,N197,OvernightIndex,0,,,,EvaluationDate)</f>
        <v>obj_002eb#0000</v>
      </c>
      <c r="P197" s="206" t="b">
        <f>_xll.qlInstrumentSetPricingEngine(O197,OisEngine)</f>
        <v>1</v>
      </c>
      <c r="Q197" s="205">
        <f>_xll.qlIndexFixing(Currency&amp;IborType&amp;"3M",_xll.qlInterestRateIndexFixingDate(Currency&amp;IborType&amp;"3M",M197),TRUE,AllTriggers)</f>
        <v>5.2372450708544502E-2</v>
      </c>
      <c r="R197" s="205">
        <f>_xll.qlOvernightIndexedSwapFairRate(O197,AllTriggers)</f>
        <v>4.8795798227288453E-2</v>
      </c>
      <c r="S197" s="207">
        <f t="shared" si="5"/>
        <v>3.5766524812560485E-3</v>
      </c>
    </row>
    <row r="198" spans="5:19" ht="11.25" customHeight="1" x14ac:dyDescent="0.2">
      <c r="E198" s="199"/>
      <c r="F198" s="199"/>
      <c r="G198" s="198"/>
      <c r="J198" s="198"/>
      <c r="K198" s="198"/>
      <c r="M198" s="213">
        <f>_xll.qlCalendarAdvance(Calendar,M197,"1M","f",,Trigger)</f>
        <v>48009</v>
      </c>
      <c r="N198" s="204">
        <f>_xll.qlInterestRateIndexMaturity("AUDBBSW3M",M198)</f>
        <v>48101</v>
      </c>
      <c r="O198" s="206" t="str">
        <f>_xll.qlMakeDatedOIS(,M198,N198,OvernightIndex,0,,,,EvaluationDate)</f>
        <v>obj_00359#0000</v>
      </c>
      <c r="P198" s="206" t="b">
        <f>_xll.qlInstrumentSetPricingEngine(O198,OisEngine)</f>
        <v>1</v>
      </c>
      <c r="Q198" s="205">
        <f>_xll.qlIndexFixing(Currency&amp;IborType&amp;"3M",_xll.qlInterestRateIndexFixingDate(Currency&amp;IborType&amp;"3M",M198),TRUE,AllTriggers)</f>
        <v>5.2387841737869374E-2</v>
      </c>
      <c r="R198" s="205">
        <f>_xll.qlOvernightIndexedSwapFairRate(O198,AllTriggers)</f>
        <v>4.8807409727090981E-2</v>
      </c>
      <c r="S198" s="207">
        <f t="shared" si="5"/>
        <v>3.5804320107783935E-3</v>
      </c>
    </row>
    <row r="199" spans="5:19" ht="11.25" customHeight="1" x14ac:dyDescent="0.2">
      <c r="E199" s="199"/>
      <c r="F199" s="199"/>
      <c r="G199" s="198"/>
      <c r="J199" s="198"/>
      <c r="K199" s="198"/>
      <c r="M199" s="213">
        <f>_xll.qlCalendarAdvance(Calendar,M198,"1M","f",,Trigger)</f>
        <v>48039</v>
      </c>
      <c r="N199" s="204">
        <f>_xll.qlInterestRateIndexMaturity("AUDBBSW3M",M199)</f>
        <v>48131</v>
      </c>
      <c r="O199" s="206" t="str">
        <f>_xll.qlMakeDatedOIS(,M199,N199,OvernightIndex,0,,,,EvaluationDate)</f>
        <v>obj_00351#0000</v>
      </c>
      <c r="P199" s="206" t="b">
        <f>_xll.qlInstrumentSetPricingEngine(O199,OisEngine)</f>
        <v>1</v>
      </c>
      <c r="Q199" s="205">
        <f>_xll.qlIndexFixing(Currency&amp;IborType&amp;"3M",_xll.qlInterestRateIndexFixingDate(Currency&amp;IborType&amp;"3M",M199),TRUE,AllTriggers)</f>
        <v>5.239826992598319E-2</v>
      </c>
      <c r="R199" s="205">
        <f>_xll.qlOvernightIndexedSwapFairRate(O199,AllTriggers)</f>
        <v>4.8814670937722897E-2</v>
      </c>
      <c r="S199" s="207">
        <f t="shared" si="5"/>
        <v>3.5835989882602934E-3</v>
      </c>
    </row>
    <row r="200" spans="5:19" ht="11.25" customHeight="1" x14ac:dyDescent="0.2">
      <c r="E200" s="199"/>
      <c r="F200" s="199"/>
      <c r="G200" s="198"/>
      <c r="J200" s="198"/>
      <c r="K200" s="198"/>
      <c r="M200" s="213">
        <f>_xll.qlCalendarAdvance(Calendar,M199,"1M","f",,Trigger)</f>
        <v>48071</v>
      </c>
      <c r="N200" s="204">
        <f>_xll.qlInterestRateIndexMaturity("AUDBBSW3M",M200)</f>
        <v>48163</v>
      </c>
      <c r="O200" s="206" t="str">
        <f>_xll.qlMakeDatedOIS(,M200,N200,OvernightIndex,0,,,,EvaluationDate)</f>
        <v>obj_0031a#0000</v>
      </c>
      <c r="P200" s="206" t="b">
        <f>_xll.qlInstrumentSetPricingEngine(O200,OisEngine)</f>
        <v>1</v>
      </c>
      <c r="Q200" s="205">
        <f>_xll.qlIndexFixing(Currency&amp;IborType&amp;"3M",_xll.qlInterestRateIndexFixingDate(Currency&amp;IborType&amp;"3M",M200),TRUE,AllTriggers)</f>
        <v>5.2406136096529499E-2</v>
      </c>
      <c r="R200" s="205">
        <f>_xll.qlOvernightIndexedSwapFairRate(O200,AllTriggers)</f>
        <v>4.8819332506143724E-2</v>
      </c>
      <c r="S200" s="207">
        <f t="shared" si="5"/>
        <v>3.5868035903857745E-3</v>
      </c>
    </row>
    <row r="201" spans="5:19" ht="11.25" customHeight="1" x14ac:dyDescent="0.2">
      <c r="E201" s="199"/>
      <c r="F201" s="199"/>
      <c r="G201" s="198"/>
      <c r="J201" s="198"/>
      <c r="K201" s="198"/>
      <c r="M201" s="213">
        <f>_xll.qlCalendarAdvance(Calendar,M200,"1M","f",,Trigger)</f>
        <v>48102</v>
      </c>
      <c r="N201" s="204">
        <f>_xll.qlInterestRateIndexMaturity("AUDBBSW3M",M201)</f>
        <v>48193</v>
      </c>
      <c r="O201" s="206" t="str">
        <f>_xll.qlMakeDatedOIS(,M201,N201,OvernightIndex,0,,,,EvaluationDate)</f>
        <v>obj_0033a#0000</v>
      </c>
      <c r="P201" s="206" t="b">
        <f>_xll.qlInstrumentSetPricingEngine(O201,OisEngine)</f>
        <v>1</v>
      </c>
      <c r="Q201" s="205">
        <f>_xll.qlIndexFixing(Currency&amp;IborType&amp;"3M",_xll.qlInterestRateIndexFixingDate(Currency&amp;IborType&amp;"3M",M201),TRUE,AllTriggers)</f>
        <v>5.2406782787812294E-2</v>
      </c>
      <c r="R201" s="205">
        <f>_xll.qlOvernightIndexedSwapFairRate(O201,AllTriggers)</f>
        <v>4.8817539829810935E-2</v>
      </c>
      <c r="S201" s="207">
        <f t="shared" si="5"/>
        <v>3.5892429580013582E-3</v>
      </c>
    </row>
    <row r="202" spans="5:19" ht="11.25" customHeight="1" x14ac:dyDescent="0.2">
      <c r="E202" s="199"/>
      <c r="F202" s="199"/>
      <c r="G202" s="198"/>
      <c r="J202" s="198"/>
      <c r="K202" s="198"/>
      <c r="M202" s="213">
        <f>_xll.qlCalendarAdvance(Calendar,M201,"1M","f",,Trigger)</f>
        <v>48134</v>
      </c>
      <c r="N202" s="204">
        <f>_xll.qlInterestRateIndexMaturity("AUDBBSW3M",M202)</f>
        <v>48226</v>
      </c>
      <c r="O202" s="206" t="str">
        <f>_xll.qlMakeDatedOIS(,M202,N202,OvernightIndex,0,,,,EvaluationDate)</f>
        <v>obj_0036c#0000</v>
      </c>
      <c r="P202" s="206" t="b">
        <f>_xll.qlInstrumentSetPricingEngine(O202,OisEngine)</f>
        <v>1</v>
      </c>
      <c r="Q202" s="205">
        <f>_xll.qlIndexFixing(Currency&amp;IborType&amp;"3M",_xll.qlInterestRateIndexFixingDate(Currency&amp;IborType&amp;"3M",M202),TRUE,AllTriggers)</f>
        <v>5.241179668491288E-2</v>
      </c>
      <c r="R202" s="205">
        <f>_xll.qlOvernightIndexedSwapFairRate(O202,AllTriggers)</f>
        <v>4.8819207473225795E-2</v>
      </c>
      <c r="S202" s="207">
        <f t="shared" si="5"/>
        <v>3.5925892116870847E-3</v>
      </c>
    </row>
    <row r="203" spans="5:19" ht="11.25" customHeight="1" x14ac:dyDescent="0.2">
      <c r="E203" s="199"/>
      <c r="F203" s="199"/>
      <c r="G203" s="198"/>
      <c r="J203" s="198"/>
      <c r="K203" s="198"/>
      <c r="M203" s="213">
        <f>_xll.qlCalendarAdvance(Calendar,M202,"1M","f",,Trigger)</f>
        <v>48165</v>
      </c>
      <c r="N203" s="204">
        <f>_xll.qlInterestRateIndexMaturity("AUDBBSW3M",M203)</f>
        <v>48257</v>
      </c>
      <c r="O203" s="206" t="str">
        <f>_xll.qlMakeDatedOIS(,M203,N203,OvernightIndex,0,,,,EvaluationDate)</f>
        <v>obj_002ec#0000</v>
      </c>
      <c r="P203" s="206" t="b">
        <f>_xll.qlInstrumentSetPricingEngine(O203,OisEngine)</f>
        <v>1</v>
      </c>
      <c r="Q203" s="205">
        <f>_xll.qlIndexFixing(Currency&amp;IborType&amp;"3M",_xll.qlInterestRateIndexFixingDate(Currency&amp;IborType&amp;"3M",M203),TRUE,AllTriggers)</f>
        <v>5.2409797950941549E-2</v>
      </c>
      <c r="R203" s="205">
        <f>_xll.qlOvernightIndexedSwapFairRate(O203,AllTriggers)</f>
        <v>4.8814616714075575E-2</v>
      </c>
      <c r="S203" s="207">
        <f t="shared" si="5"/>
        <v>3.5951812368659741E-3</v>
      </c>
    </row>
    <row r="204" spans="5:19" ht="11.25" customHeight="1" x14ac:dyDescent="0.2">
      <c r="E204" s="199"/>
      <c r="F204" s="199"/>
      <c r="G204" s="198"/>
      <c r="J204" s="198"/>
      <c r="K204" s="198"/>
      <c r="M204" s="213">
        <f>_xll.qlCalendarAdvance(Calendar,M203,"1M","f",,Trigger)</f>
        <v>48197</v>
      </c>
      <c r="N204" s="204">
        <f>_xll.qlInterestRateIndexMaturity("AUDBBSW3M",M204)</f>
        <v>48288</v>
      </c>
      <c r="O204" s="206" t="str">
        <f>_xll.qlMakeDatedOIS(,M204,N204,OvernightIndex,0,,,,EvaluationDate)</f>
        <v>obj_0034c#0000</v>
      </c>
      <c r="P204" s="206" t="b">
        <f>_xll.qlInstrumentSetPricingEngine(O204,OisEngine)</f>
        <v>1</v>
      </c>
      <c r="Q204" s="205">
        <f>_xll.qlIndexFixing(Currency&amp;IborType&amp;"3M",_xll.qlInterestRateIndexFixingDate(Currency&amp;IborType&amp;"3M",M204),TRUE,AllTriggers)</f>
        <v>5.2400814459250135E-2</v>
      </c>
      <c r="R204" s="205">
        <f>_xll.qlOvernightIndexedSwapFairRate(O204,AllTriggers)</f>
        <v>4.8803620919451708E-2</v>
      </c>
      <c r="S204" s="207">
        <f t="shared" si="5"/>
        <v>3.5971935397984267E-3</v>
      </c>
    </row>
    <row r="205" spans="5:19" ht="11.25" customHeight="1" x14ac:dyDescent="0.2">
      <c r="E205" s="199"/>
      <c r="F205" s="199"/>
      <c r="G205" s="198"/>
      <c r="J205" s="198"/>
      <c r="K205" s="198"/>
      <c r="M205" s="213">
        <f>_xll.qlCalendarAdvance(Calendar,M204,"1M","f",,Trigger)</f>
        <v>48228</v>
      </c>
      <c r="N205" s="204">
        <f>_xll.qlInterestRateIndexMaturity("AUDBBSW3M",M205)</f>
        <v>48319</v>
      </c>
      <c r="O205" s="206" t="str">
        <f>_xll.qlMakeDatedOIS(,M205,N205,OvernightIndex,0,,,,EvaluationDate)</f>
        <v>obj_00310#0000</v>
      </c>
      <c r="P205" s="206" t="b">
        <f>_xll.qlInstrumentSetPricingEngine(O205,OisEngine)</f>
        <v>1</v>
      </c>
      <c r="Q205" s="205">
        <f>_xll.qlIndexFixing(Currency&amp;IborType&amp;"3M",_xll.qlInterestRateIndexFixingDate(Currency&amp;IborType&amp;"3M",M205),TRUE,AllTriggers)</f>
        <v>5.2392455098670868E-2</v>
      </c>
      <c r="R205" s="205">
        <f>_xll.qlOvernightIndexedSwapFairRate(O205,AllTriggers)</f>
        <v>4.8793008712137473E-2</v>
      </c>
      <c r="S205" s="207">
        <f t="shared" si="5"/>
        <v>3.5994463865333948E-3</v>
      </c>
    </row>
    <row r="206" spans="5:19" ht="11.25" customHeight="1" x14ac:dyDescent="0.2">
      <c r="E206" s="199"/>
      <c r="F206" s="199"/>
      <c r="G206" s="198"/>
      <c r="J206" s="198"/>
      <c r="K206" s="198"/>
      <c r="M206" s="213">
        <f>_xll.qlCalendarAdvance(Calendar,M205,"1M","f",,Trigger)</f>
        <v>48260</v>
      </c>
      <c r="N206" s="204">
        <f>_xll.qlInterestRateIndexMaturity("AUDBBSW3M",M206)</f>
        <v>48351</v>
      </c>
      <c r="O206" s="206" t="str">
        <f>_xll.qlMakeDatedOIS(,M206,N206,OvernightIndex,0,,,,EvaluationDate)</f>
        <v>obj_002ed#0000</v>
      </c>
      <c r="P206" s="206" t="b">
        <f>_xll.qlInstrumentSetPricingEngine(O206,OisEngine)</f>
        <v>1</v>
      </c>
      <c r="Q206" s="205">
        <f>_xll.qlIndexFixing(Currency&amp;IborType&amp;"3M",_xll.qlInterestRateIndexFixingDate(Currency&amp;IborType&amp;"3M",M206),TRUE,AllTriggers)</f>
        <v>5.2380516792838089E-2</v>
      </c>
      <c r="R206" s="205">
        <f>_xll.qlOvernightIndexedSwapFairRate(O206,AllTriggers)</f>
        <v>4.877892118106085E-2</v>
      </c>
      <c r="S206" s="207">
        <f t="shared" si="5"/>
        <v>3.6015956117772391E-3</v>
      </c>
    </row>
    <row r="207" spans="5:19" ht="11.25" customHeight="1" x14ac:dyDescent="0.2">
      <c r="E207" s="199"/>
      <c r="F207" s="199"/>
      <c r="G207" s="198"/>
      <c r="J207" s="198"/>
      <c r="K207" s="198"/>
      <c r="M207" s="213">
        <f>_xll.qlCalendarAdvance(Calendar,M206,"1M","f",,Trigger)</f>
        <v>48289</v>
      </c>
      <c r="N207" s="204">
        <f>_xll.qlInterestRateIndexMaturity("AUDBBSW3M",M207)</f>
        <v>48381</v>
      </c>
      <c r="O207" s="206" t="str">
        <f>_xll.qlMakeDatedOIS(,M207,N207,OvernightIndex,0,,,,EvaluationDate)</f>
        <v>obj_002ee#0000</v>
      </c>
      <c r="P207" s="206" t="b">
        <f>_xll.qlInstrumentSetPricingEngine(O207,OisEngine)</f>
        <v>1</v>
      </c>
      <c r="Q207" s="205">
        <f>_xll.qlIndexFixing(Currency&amp;IborType&amp;"3M",_xll.qlInterestRateIndexFixingDate(Currency&amp;IborType&amp;"3M",M207),TRUE,AllTriggers)</f>
        <v>5.237024849009117E-2</v>
      </c>
      <c r="R207" s="205">
        <f>_xll.qlOvernightIndexedSwapFairRate(O207,AllTriggers)</f>
        <v>4.8766380321067004E-2</v>
      </c>
      <c r="S207" s="207">
        <f t="shared" si="5"/>
        <v>3.6038681690241658E-3</v>
      </c>
    </row>
    <row r="208" spans="5:19" ht="11.25" customHeight="1" x14ac:dyDescent="0.2">
      <c r="E208" s="199"/>
      <c r="F208" s="199"/>
      <c r="G208" s="198"/>
      <c r="J208" s="198"/>
      <c r="K208" s="198"/>
      <c r="M208" s="213">
        <f>_xll.qlCalendarAdvance(Calendar,M207,"1M","f",,Trigger)</f>
        <v>48320</v>
      </c>
      <c r="N208" s="204">
        <f>_xll.qlInterestRateIndexMaturity("AUDBBSW3M",M208)</f>
        <v>48411</v>
      </c>
      <c r="O208" s="206" t="str">
        <f>_xll.qlMakeDatedOIS(,M208,N208,OvernightIndex,0,,,,EvaluationDate)</f>
        <v>obj_0032d#0000</v>
      </c>
      <c r="P208" s="206" t="b">
        <f>_xll.qlInstrumentSetPricingEngine(O208,OisEngine)</f>
        <v>1</v>
      </c>
      <c r="Q208" s="205">
        <f>_xll.qlIndexFixing(Currency&amp;IborType&amp;"3M",_xll.qlInterestRateIndexFixingDate(Currency&amp;IborType&amp;"3M",M208),TRUE,AllTriggers)</f>
        <v>5.2349071431280411E-2</v>
      </c>
      <c r="R208" s="205">
        <f>_xll.qlOvernightIndexedSwapFairRate(O208,AllTriggers)</f>
        <v>4.8743928744912166E-2</v>
      </c>
      <c r="S208" s="207">
        <f t="shared" si="5"/>
        <v>3.6051426863682456E-3</v>
      </c>
    </row>
    <row r="209" spans="5:19" ht="11.25" customHeight="1" x14ac:dyDescent="0.2">
      <c r="E209" s="199"/>
      <c r="F209" s="199"/>
      <c r="G209" s="198"/>
      <c r="J209" s="198"/>
      <c r="K209" s="198"/>
      <c r="M209" s="213">
        <f>_xll.qlCalendarAdvance(Calendar,M208,"1M","f",,Trigger)</f>
        <v>48351</v>
      </c>
      <c r="N209" s="204">
        <f>_xll.qlInterestRateIndexMaturity("AUDBBSW3M",M209)</f>
        <v>48443</v>
      </c>
      <c r="O209" s="206" t="str">
        <f>_xll.qlMakeDatedOIS(,M209,N209,OvernightIndex,0,,,,EvaluationDate)</f>
        <v>obj_00320#0000</v>
      </c>
      <c r="P209" s="206" t="b">
        <f>_xll.qlInstrumentSetPricingEngine(O209,OisEngine)</f>
        <v>1</v>
      </c>
      <c r="Q209" s="205">
        <f>_xll.qlIndexFixing(Currency&amp;IborType&amp;"3M",_xll.qlInterestRateIndexFixingDate(Currency&amp;IborType&amp;"3M",M209),TRUE,AllTriggers)</f>
        <v>5.2331541396673925E-2</v>
      </c>
      <c r="R209" s="205">
        <f>_xll.qlOvernightIndexedSwapFairRate(O209,AllTriggers)</f>
        <v>4.8724338516270366E-2</v>
      </c>
      <c r="S209" s="207">
        <f t="shared" si="5"/>
        <v>3.6072028804035594E-3</v>
      </c>
    </row>
    <row r="210" spans="5:19" ht="11.25" customHeight="1" x14ac:dyDescent="0.2">
      <c r="E210" s="199"/>
      <c r="F210" s="199"/>
      <c r="G210" s="198"/>
      <c r="J210" s="198"/>
      <c r="K210" s="198"/>
      <c r="M210" s="213">
        <f>_xll.qlCalendarAdvance(Calendar,M209,"1M","f",,Trigger)</f>
        <v>48382</v>
      </c>
      <c r="N210" s="204">
        <f>_xll.qlInterestRateIndexMaturity("AUDBBSW3M",M210)</f>
        <v>48474</v>
      </c>
      <c r="O210" s="206" t="str">
        <f>_xll.qlMakeDatedOIS(,M210,N210,OvernightIndex,0,,,,EvaluationDate)</f>
        <v>obj_0033f#0000</v>
      </c>
      <c r="P210" s="206" t="b">
        <f>_xll.qlInstrumentSetPricingEngine(O210,OisEngine)</f>
        <v>1</v>
      </c>
      <c r="Q210" s="205">
        <f>_xll.qlIndexFixing(Currency&amp;IborType&amp;"3M",_xll.qlInterestRateIndexFixingDate(Currency&amp;IborType&amp;"3M",M210),TRUE,AllTriggers)</f>
        <v>5.2307454899229368E-2</v>
      </c>
      <c r="R210" s="205">
        <f>_xll.qlOvernightIndexedSwapFairRate(O210,AllTriggers)</f>
        <v>4.8698836860488502E-2</v>
      </c>
      <c r="S210" s="207">
        <f t="shared" si="5"/>
        <v>3.6086180387408656E-3</v>
      </c>
    </row>
    <row r="211" spans="5:19" ht="11.25" customHeight="1" x14ac:dyDescent="0.2">
      <c r="E211" s="199"/>
      <c r="F211" s="199"/>
      <c r="G211" s="198"/>
      <c r="J211" s="198"/>
      <c r="K211" s="198"/>
      <c r="M211" s="213">
        <f>_xll.qlCalendarAdvance(Calendar,M210,"1M","f",,Trigger)</f>
        <v>48414</v>
      </c>
      <c r="N211" s="204">
        <f>_xll.qlInterestRateIndexMaturity("AUDBBSW3M",M211)</f>
        <v>48506</v>
      </c>
      <c r="O211" s="206" t="str">
        <f>_xll.qlMakeDatedOIS(,M211,N211,OvernightIndex,0,,,,EvaluationDate)</f>
        <v>obj_00304#0000</v>
      </c>
      <c r="P211" s="206" t="b">
        <f>_xll.qlInstrumentSetPricingEngine(O211,OisEngine)</f>
        <v>1</v>
      </c>
      <c r="Q211" s="205">
        <f>_xll.qlIndexFixing(Currency&amp;IborType&amp;"3M",_xll.qlInterestRateIndexFixingDate(Currency&amp;IborType&amp;"3M",M211),TRUE,AllTriggers)</f>
        <v>5.2279281877429716E-2</v>
      </c>
      <c r="R211" s="205">
        <f>_xll.qlOvernightIndexedSwapFairRate(O211,AllTriggers)</f>
        <v>4.8669379386118296E-2</v>
      </c>
      <c r="S211" s="207">
        <f t="shared" si="5"/>
        <v>3.6099024913114203E-3</v>
      </c>
    </row>
    <row r="212" spans="5:19" ht="11.25" customHeight="1" x14ac:dyDescent="0.2">
      <c r="E212" s="199"/>
      <c r="F212" s="199"/>
      <c r="G212" s="198"/>
      <c r="J212" s="198"/>
      <c r="K212" s="198"/>
      <c r="M212" s="213">
        <f>_xll.qlCalendarAdvance(Calendar,M211,"1M","f",,Trigger)</f>
        <v>48445</v>
      </c>
      <c r="N212" s="204">
        <f>_xll.qlInterestRateIndexMaturity("AUDBBSW3M",M212)</f>
        <v>48537</v>
      </c>
      <c r="O212" s="206" t="str">
        <f>_xll.qlMakeDatedOIS(,M212,N212,OvernightIndex,0,,,,EvaluationDate)</f>
        <v>obj_002ef#0000</v>
      </c>
      <c r="P212" s="206" t="b">
        <f>_xll.qlInstrumentSetPricingEngine(O212,OisEngine)</f>
        <v>1</v>
      </c>
      <c r="Q212" s="205">
        <f>_xll.qlIndexFixing(Currency&amp;IborType&amp;"3M",_xll.qlInterestRateIndexFixingDate(Currency&amp;IborType&amp;"3M",M212),TRUE,AllTriggers)</f>
        <v>5.2248783211152623E-2</v>
      </c>
      <c r="R212" s="205">
        <f>_xll.qlOvernightIndexedSwapFairRate(O212,AllTriggers)</f>
        <v>4.8637807251608919E-2</v>
      </c>
      <c r="S212" s="207">
        <f t="shared" si="5"/>
        <v>3.6109759595437038E-3</v>
      </c>
    </row>
    <row r="213" spans="5:19" ht="11.25" customHeight="1" x14ac:dyDescent="0.2">
      <c r="E213" s="199"/>
      <c r="F213" s="199"/>
      <c r="G213" s="198"/>
      <c r="J213" s="198"/>
      <c r="K213" s="198"/>
      <c r="M213" s="213">
        <f>_xll.qlCalendarAdvance(Calendar,M212,"1M","f",,Trigger)</f>
        <v>48477</v>
      </c>
      <c r="N213" s="204">
        <f>_xll.qlInterestRateIndexMaturity("AUDBBSW3M",M213)</f>
        <v>48568</v>
      </c>
      <c r="O213" s="206" t="str">
        <f>_xll.qlMakeDatedOIS(,M213,N213,OvernightIndex,0,,,,EvaluationDate)</f>
        <v>obj_00327#0000</v>
      </c>
      <c r="P213" s="206" t="b">
        <f>_xll.qlInstrumentSetPricingEngine(O213,OisEngine)</f>
        <v>1</v>
      </c>
      <c r="Q213" s="205">
        <f>_xll.qlIndexFixing(Currency&amp;IborType&amp;"3M",_xll.qlInterestRateIndexFixingDate(Currency&amp;IborType&amp;"3M",M213),TRUE,AllTriggers)</f>
        <v>5.2210867544471504E-2</v>
      </c>
      <c r="R213" s="205">
        <f>_xll.qlOvernightIndexedSwapFairRate(O213,AllTriggers)</f>
        <v>4.8599422764473321E-2</v>
      </c>
      <c r="S213" s="207">
        <f t="shared" si="5"/>
        <v>3.6114447799981825E-3</v>
      </c>
    </row>
    <row r="214" spans="5:19" ht="11.25" customHeight="1" x14ac:dyDescent="0.2">
      <c r="E214" s="199"/>
      <c r="F214" s="199"/>
      <c r="G214" s="198"/>
      <c r="J214" s="198"/>
      <c r="K214" s="198"/>
      <c r="M214" s="213">
        <f>_xll.qlCalendarAdvance(Calendar,M213,"1M","f",,Trigger)</f>
        <v>48507</v>
      </c>
      <c r="N214" s="204">
        <f>_xll.qlInterestRateIndexMaturity("AUDBBSW3M",M214)</f>
        <v>48599</v>
      </c>
      <c r="O214" s="206" t="str">
        <f>_xll.qlMakeDatedOIS(,M214,N214,OvernightIndex,0,,,,EvaluationDate)</f>
        <v>obj_00319#0000</v>
      </c>
      <c r="P214" s="206" t="b">
        <f>_xll.qlInstrumentSetPricingEngine(O214,OisEngine)</f>
        <v>1</v>
      </c>
      <c r="Q214" s="205">
        <f>_xll.qlIndexFixing(Currency&amp;IborType&amp;"3M",_xll.qlInterestRateIndexFixingDate(Currency&amp;IborType&amp;"3M",M214),TRUE,AllTriggers)</f>
        <v>5.2178320690324145E-2</v>
      </c>
      <c r="R214" s="205">
        <f>_xll.qlOvernightIndexedSwapFairRate(O214,AllTriggers)</f>
        <v>4.8565702192134415E-2</v>
      </c>
      <c r="S214" s="207">
        <f t="shared" si="5"/>
        <v>3.6126184981897305E-3</v>
      </c>
    </row>
    <row r="215" spans="5:19" ht="11.25" customHeight="1" x14ac:dyDescent="0.2">
      <c r="E215" s="199"/>
      <c r="F215" s="199"/>
      <c r="G215" s="198"/>
      <c r="J215" s="198"/>
      <c r="K215" s="198"/>
      <c r="M215" s="213">
        <f>_xll.qlCalendarAdvance(Calendar,M214,"1M","f",,Trigger)</f>
        <v>48540</v>
      </c>
      <c r="N215" s="204">
        <f>_xll.qlInterestRateIndexMaturity("AUDBBSW3M",M215)</f>
        <v>48632</v>
      </c>
      <c r="O215" s="206" t="str">
        <f>_xll.qlMakeDatedOIS(,M215,N215,OvernightIndex,0,,,,EvaluationDate)</f>
        <v>obj_00339#0000</v>
      </c>
      <c r="P215" s="206" t="b">
        <f>_xll.qlInstrumentSetPricingEngine(O215,OisEngine)</f>
        <v>1</v>
      </c>
      <c r="Q215" s="205">
        <f>_xll.qlIndexFixing(Currency&amp;IborType&amp;"3M",_xll.qlInterestRateIndexFixingDate(Currency&amp;IborType&amp;"3M",M215),TRUE,AllTriggers)</f>
        <v>5.2135670363760211E-2</v>
      </c>
      <c r="R215" s="205">
        <f>_xll.qlOvernightIndexedSwapFairRate(O215,AllTriggers)</f>
        <v>4.852245185133261E-2</v>
      </c>
      <c r="S215" s="207">
        <f t="shared" si="5"/>
        <v>3.6132185124276017E-3</v>
      </c>
    </row>
    <row r="216" spans="5:19" ht="11.25" customHeight="1" x14ac:dyDescent="0.2">
      <c r="E216" s="199"/>
      <c r="F216" s="199"/>
      <c r="G216" s="198"/>
      <c r="J216" s="198"/>
      <c r="K216" s="198"/>
      <c r="M216" s="213">
        <f>_xll.qlCalendarAdvance(Calendar,M215,"1M","f",,Trigger)</f>
        <v>48570</v>
      </c>
      <c r="N216" s="204">
        <f>_xll.qlInterestRateIndexMaturity("AUDBBSW3M",M216)</f>
        <v>48660</v>
      </c>
      <c r="O216" s="206" t="str">
        <f>_xll.qlMakeDatedOIS(,M216,N216,OvernightIndex,0,,,,EvaluationDate)</f>
        <v>obj_00371#0000</v>
      </c>
      <c r="P216" s="206" t="b">
        <f>_xll.qlInstrumentSetPricingEngine(O216,OisEngine)</f>
        <v>1</v>
      </c>
      <c r="Q216" s="205">
        <f>_xll.qlIndexFixing(Currency&amp;IborType&amp;"3M",_xll.qlInterestRateIndexFixingDate(Currency&amp;IborType&amp;"3M",M216),TRUE,AllTriggers)</f>
        <v>5.2087885918496557E-2</v>
      </c>
      <c r="R216" s="205">
        <f>_xll.qlOvernightIndexedSwapFairRate(O216,AllTriggers)</f>
        <v>4.8475195392659209E-2</v>
      </c>
      <c r="S216" s="207">
        <f t="shared" si="5"/>
        <v>3.6126905258373476E-3</v>
      </c>
    </row>
    <row r="217" spans="5:19" ht="11.25" customHeight="1" x14ac:dyDescent="0.2">
      <c r="E217" s="199"/>
      <c r="F217" s="199"/>
      <c r="G217" s="198"/>
      <c r="J217" s="198"/>
      <c r="K217" s="198"/>
      <c r="M217" s="213">
        <f>_xll.qlCalendarAdvance(Calendar,M216,"1M","f",,Trigger)</f>
        <v>48603</v>
      </c>
      <c r="N217" s="204">
        <f>_xll.qlInterestRateIndexMaturity("AUDBBSW3M",M217)</f>
        <v>48695</v>
      </c>
      <c r="O217" s="206" t="str">
        <f>_xll.qlMakeDatedOIS(,M217,N217,OvernightIndex,0,,,,EvaluationDate)</f>
        <v>obj_00350#0000</v>
      </c>
      <c r="P217" s="206" t="b">
        <f>_xll.qlInstrumentSetPricingEngine(O217,OisEngine)</f>
        <v>1</v>
      </c>
      <c r="Q217" s="205">
        <f>_xll.qlIndexFixing(Currency&amp;IborType&amp;"3M",_xll.qlInterestRateIndexFixingDate(Currency&amp;IborType&amp;"3M",M217),TRUE,AllTriggers)</f>
        <v>5.2044319766064495E-2</v>
      </c>
      <c r="R217" s="205">
        <f>_xll.qlOvernightIndexedSwapFairRate(O217,AllTriggers)</f>
        <v>4.8430484819330565E-2</v>
      </c>
      <c r="S217" s="207">
        <f t="shared" si="5"/>
        <v>3.6138349467339306E-3</v>
      </c>
    </row>
    <row r="218" spans="5:19" ht="11.25" customHeight="1" x14ac:dyDescent="0.2">
      <c r="E218" s="199"/>
      <c r="F218" s="199"/>
      <c r="G218" s="198"/>
      <c r="J218" s="198"/>
      <c r="K218" s="198"/>
      <c r="M218" s="213">
        <f>_xll.qlCalendarAdvance(Calendar,M217,"1M","f",,Trigger)</f>
        <v>48634</v>
      </c>
      <c r="N218" s="204">
        <f>_xll.qlInterestRateIndexMaturity("AUDBBSW3M",M218)</f>
        <v>48723</v>
      </c>
      <c r="O218" s="206" t="str">
        <f>_xll.qlMakeDatedOIS(,M218,N218,OvernightIndex,0,,,,EvaluationDate)</f>
        <v>obj_002f0#0000</v>
      </c>
      <c r="P218" s="206" t="b">
        <f>_xll.qlInstrumentSetPricingEngine(O218,OisEngine)</f>
        <v>1</v>
      </c>
      <c r="Q218" s="205">
        <f>_xll.qlIndexFixing(Currency&amp;IborType&amp;"3M",_xll.qlInterestRateIndexFixingDate(Currency&amp;IborType&amp;"3M",M218),TRUE,AllTriggers)</f>
        <v>5.1986078660036031E-2</v>
      </c>
      <c r="R218" s="205">
        <f>_xll.qlOvernightIndexedSwapFairRate(O218,AllTriggers)</f>
        <v>4.8373538452084475E-2</v>
      </c>
      <c r="S218" s="207">
        <f t="shared" si="5"/>
        <v>3.6125402079515562E-3</v>
      </c>
    </row>
    <row r="219" spans="5:19" ht="11.25" customHeight="1" x14ac:dyDescent="0.2">
      <c r="E219" s="199"/>
      <c r="F219" s="199"/>
      <c r="G219" s="198"/>
      <c r="J219" s="198"/>
      <c r="K219" s="198"/>
      <c r="M219" s="213">
        <f>_xll.qlCalendarAdvance(Calendar,M218,"1M","f",,Trigger)</f>
        <v>48662</v>
      </c>
      <c r="N219" s="204">
        <f>_xll.qlInterestRateIndexMaturity("AUDBBSW3M",M219)</f>
        <v>48754</v>
      </c>
      <c r="O219" s="206" t="str">
        <f>_xll.qlMakeDatedOIS(,M219,N219,OvernightIndex,0,,,,EvaluationDate)</f>
        <v>obj_002f1#0000</v>
      </c>
      <c r="P219" s="206" t="b">
        <f>_xll.qlInstrumentSetPricingEngine(O219,OisEngine)</f>
        <v>1</v>
      </c>
      <c r="Q219" s="205">
        <f>_xll.qlIndexFixing(Currency&amp;IborType&amp;"3M",_xll.qlInterestRateIndexFixingDate(Currency&amp;IborType&amp;"3M",M219),TRUE,AllTriggers)</f>
        <v>5.1946955008377586E-2</v>
      </c>
      <c r="R219" s="205">
        <f>_xll.qlOvernightIndexedSwapFairRate(O219,AllTriggers)</f>
        <v>4.8333172386782849E-2</v>
      </c>
      <c r="S219" s="207">
        <f t="shared" si="5"/>
        <v>3.6137826215947369E-3</v>
      </c>
    </row>
    <row r="220" spans="5:19" ht="11.25" customHeight="1" x14ac:dyDescent="0.2">
      <c r="E220" s="199"/>
      <c r="F220" s="199"/>
      <c r="G220" s="198"/>
      <c r="J220" s="198"/>
      <c r="K220" s="198"/>
      <c r="M220" s="213">
        <f>_xll.qlCalendarAdvance(Calendar,M219,"1M","f",,Trigger)</f>
        <v>48695</v>
      </c>
      <c r="N220" s="204">
        <f>_xll.qlInterestRateIndexMaturity("AUDBBSW3M",M220)</f>
        <v>48786</v>
      </c>
      <c r="O220" s="206" t="str">
        <f>_xll.qlMakeDatedOIS(,M220,N220,OvernightIndex,0,,,,EvaluationDate)</f>
        <v>obj_00338#0000</v>
      </c>
      <c r="P220" s="206" t="b">
        <f>_xll.qlInstrumentSetPricingEngine(O220,OisEngine)</f>
        <v>1</v>
      </c>
      <c r="Q220" s="205">
        <f>_xll.qlIndexFixing(Currency&amp;IborType&amp;"3M",_xll.qlInterestRateIndexFixingDate(Currency&amp;IborType&amp;"3M",M220),TRUE,AllTriggers)</f>
        <v>5.1884794263076996E-2</v>
      </c>
      <c r="R220" s="205">
        <f>_xll.qlOvernightIndexedSwapFairRate(O220,AllTriggers)</f>
        <v>4.8271747931237938E-2</v>
      </c>
      <c r="S220" s="207">
        <f t="shared" si="5"/>
        <v>3.6130463318390579E-3</v>
      </c>
    </row>
    <row r="221" spans="5:19" ht="11.25" customHeight="1" x14ac:dyDescent="0.2">
      <c r="E221" s="199"/>
      <c r="F221" s="199"/>
      <c r="G221" s="198"/>
      <c r="J221" s="198"/>
      <c r="K221" s="198"/>
      <c r="M221" s="213">
        <f>_xll.qlCalendarAdvance(Calendar,M220,"1M","f",,Trigger)</f>
        <v>48725</v>
      </c>
      <c r="N221" s="204">
        <f>_xll.qlInterestRateIndexMaturity("AUDBBSW3M",M221)</f>
        <v>48817</v>
      </c>
      <c r="O221" s="206" t="str">
        <f>_xll.qlMakeDatedOIS(,M221,N221,OvernightIndex,0,,,,EvaluationDate)</f>
        <v>obj_002f2#0000</v>
      </c>
      <c r="P221" s="206" t="b">
        <f>_xll.qlInstrumentSetPricingEngine(O221,OisEngine)</f>
        <v>1</v>
      </c>
      <c r="Q221" s="205">
        <f>_xll.qlIndexFixing(Currency&amp;IborType&amp;"3M",_xll.qlInterestRateIndexFixingDate(Currency&amp;IborType&amp;"3M",M221),TRUE,AllTriggers)</f>
        <v>5.1830375047948858E-2</v>
      </c>
      <c r="R221" s="205">
        <f>_xll.qlOvernightIndexedSwapFairRate(O221,AllTriggers)</f>
        <v>4.8217320567587513E-2</v>
      </c>
      <c r="S221" s="207">
        <f t="shared" si="5"/>
        <v>3.6130544803613454E-3</v>
      </c>
    </row>
    <row r="222" spans="5:19" ht="11.25" customHeight="1" x14ac:dyDescent="0.2">
      <c r="E222" s="199"/>
      <c r="F222" s="199"/>
      <c r="G222" s="198"/>
      <c r="J222" s="198"/>
      <c r="K222" s="198"/>
      <c r="M222" s="213">
        <f>_xll.qlCalendarAdvance(Calendar,M221,"1M","f",,Trigger)</f>
        <v>48757</v>
      </c>
      <c r="N222" s="204">
        <f>_xll.qlInterestRateIndexMaturity("AUDBBSW3M",M222)</f>
        <v>48849</v>
      </c>
      <c r="O222" s="206" t="str">
        <f>_xll.qlMakeDatedOIS(,M222,N222,OvernightIndex,0,,,,EvaluationDate)</f>
        <v>obj_002f3#0000</v>
      </c>
      <c r="P222" s="206" t="b">
        <f>_xll.qlInstrumentSetPricingEngine(O222,OisEngine)</f>
        <v>1</v>
      </c>
      <c r="Q222" s="205">
        <f>_xll.qlIndexFixing(Currency&amp;IborType&amp;"3M",_xll.qlInterestRateIndexFixingDate(Currency&amp;IborType&amp;"3M",M222),TRUE,AllTriggers)</f>
        <v>5.176617095562723E-2</v>
      </c>
      <c r="R222" s="205">
        <f>_xll.qlOvernightIndexedSwapFairRate(O222,AllTriggers)</f>
        <v>4.8153752207689818E-2</v>
      </c>
      <c r="S222" s="207">
        <f t="shared" si="5"/>
        <v>3.6124187479374126E-3</v>
      </c>
    </row>
    <row r="223" spans="5:19" ht="11.25" customHeight="1" x14ac:dyDescent="0.2">
      <c r="E223" s="199"/>
      <c r="F223" s="199"/>
      <c r="G223" s="198"/>
      <c r="J223" s="198"/>
      <c r="K223" s="198"/>
      <c r="M223" s="213">
        <f>_xll.qlCalendarAdvance(Calendar,M222,"1M","f",,Trigger)</f>
        <v>48787</v>
      </c>
      <c r="N223" s="204">
        <f>_xll.qlInterestRateIndexMaturity("AUDBBSW3M",M223)</f>
        <v>48879</v>
      </c>
      <c r="O223" s="206" t="str">
        <f>_xll.qlMakeDatedOIS(,M223,N223,OvernightIndex,0,,,,EvaluationDate)</f>
        <v>obj_00326#0000</v>
      </c>
      <c r="P223" s="206" t="b">
        <f>_xll.qlInstrumentSetPricingEngine(O223,OisEngine)</f>
        <v>1</v>
      </c>
      <c r="Q223" s="205">
        <f>_xll.qlIndexFixing(Currency&amp;IborType&amp;"3M",_xll.qlInterestRateIndexFixingDate(Currency&amp;IborType&amp;"3M",M223),TRUE,AllTriggers)</f>
        <v>5.1702927403636287E-2</v>
      </c>
      <c r="R223" s="205">
        <f>_xll.qlOvernightIndexedSwapFairRate(O223,AllTriggers)</f>
        <v>4.80912673241147E-2</v>
      </c>
      <c r="S223" s="207">
        <f t="shared" si="5"/>
        <v>3.6116600795215864E-3</v>
      </c>
    </row>
    <row r="224" spans="5:19" ht="11.25" customHeight="1" x14ac:dyDescent="0.2">
      <c r="E224" s="199"/>
      <c r="F224" s="199"/>
      <c r="G224" s="198"/>
      <c r="J224" s="198"/>
      <c r="K224" s="198"/>
      <c r="M224" s="213">
        <f>_xll.qlCalendarAdvance(Calendar,M223,"1M","f",,Trigger)</f>
        <v>48820</v>
      </c>
      <c r="N224" s="204">
        <f>_xll.qlInterestRateIndexMaturity("AUDBBSW3M",M224)</f>
        <v>48912</v>
      </c>
      <c r="O224" s="206" t="str">
        <f>_xll.qlMakeDatedOIS(,M224,N224,OvernightIndex,0,,,,EvaluationDate)</f>
        <v>obj_00346#0000</v>
      </c>
      <c r="P224" s="206" t="b">
        <f>_xll.qlInstrumentSetPricingEngine(O224,OisEngine)</f>
        <v>1</v>
      </c>
      <c r="Q224" s="205">
        <f>_xll.qlIndexFixing(Currency&amp;IborType&amp;"3M",_xll.qlInterestRateIndexFixingDate(Currency&amp;IborType&amp;"3M",M224),TRUE,AllTriggers)</f>
        <v>5.1629948077350274E-2</v>
      </c>
      <c r="R224" s="205">
        <f>_xll.qlOvernightIndexedSwapFairRate(O224,AllTriggers)</f>
        <v>4.8019304346678504E-2</v>
      </c>
      <c r="S224" s="207">
        <f t="shared" si="5"/>
        <v>3.6106437306717698E-3</v>
      </c>
    </row>
    <row r="225" spans="5:19" ht="11.25" customHeight="1" x14ac:dyDescent="0.2">
      <c r="E225" s="199"/>
      <c r="F225" s="199"/>
      <c r="G225" s="198"/>
      <c r="J225" s="198"/>
      <c r="K225" s="198"/>
      <c r="M225" s="213">
        <f>_xll.qlCalendarAdvance(Calendar,M224,"1M","f",,Trigger)</f>
        <v>48851</v>
      </c>
      <c r="N225" s="204">
        <f>_xll.qlInterestRateIndexMaturity("AUDBBSW3M",M225)</f>
        <v>48942</v>
      </c>
      <c r="O225" s="206" t="str">
        <f>_xll.qlMakeDatedOIS(,M225,N225,OvernightIndex,0,,,,EvaluationDate)</f>
        <v>obj_00337#0000</v>
      </c>
      <c r="P225" s="206" t="b">
        <f>_xll.qlInstrumentSetPricingEngine(O225,OisEngine)</f>
        <v>1</v>
      </c>
      <c r="Q225" s="205">
        <f>_xll.qlIndexFixing(Currency&amp;IborType&amp;"3M",_xll.qlInterestRateIndexFixingDate(Currency&amp;IborType&amp;"3M",M225),TRUE,AllTriggers)</f>
        <v>5.1555718927134057E-2</v>
      </c>
      <c r="R225" s="205">
        <f>_xll.qlOvernightIndexedSwapFairRate(O225,AllTriggers)</f>
        <v>4.7946628127705976E-2</v>
      </c>
      <c r="S225" s="207">
        <f t="shared" si="5"/>
        <v>3.6090907994280816E-3</v>
      </c>
    </row>
    <row r="226" spans="5:19" ht="11.25" customHeight="1" x14ac:dyDescent="0.2">
      <c r="E226" s="199"/>
      <c r="F226" s="199"/>
      <c r="G226" s="198"/>
      <c r="J226" s="198"/>
      <c r="K226" s="198"/>
      <c r="M226" s="213">
        <f>_xll.qlCalendarAdvance(Calendar,M225,"1M","f",,Trigger)</f>
        <v>48883</v>
      </c>
      <c r="N226" s="204">
        <f>_xll.qlInterestRateIndexMaturity("AUDBBSW3M",M226)</f>
        <v>48975</v>
      </c>
      <c r="O226" s="206" t="str">
        <f>_xll.qlMakeDatedOIS(,M226,N226,OvernightIndex,0,,,,EvaluationDate)</f>
        <v>obj_00358#0000</v>
      </c>
      <c r="P226" s="206" t="b">
        <f>_xll.qlInstrumentSetPricingEngine(O226,OisEngine)</f>
        <v>1</v>
      </c>
      <c r="Q226" s="205">
        <f>_xll.qlIndexFixing(Currency&amp;IborType&amp;"3M",_xll.qlInterestRateIndexFixingDate(Currency&amp;IborType&amp;"3M",M226),TRUE,AllTriggers)</f>
        <v>5.1480700477342024E-2</v>
      </c>
      <c r="R226" s="205">
        <f>_xll.qlOvernightIndexedSwapFairRate(O226,AllTriggers)</f>
        <v>4.7872525924179683E-2</v>
      </c>
      <c r="S226" s="207">
        <f t="shared" si="5"/>
        <v>3.608174553162341E-3</v>
      </c>
    </row>
    <row r="227" spans="5:19" ht="11.25" customHeight="1" x14ac:dyDescent="0.2">
      <c r="E227" s="199"/>
      <c r="F227" s="199"/>
      <c r="G227" s="198"/>
      <c r="J227" s="198"/>
      <c r="K227" s="198"/>
      <c r="M227" s="213">
        <f>_xll.qlCalendarAdvance(Calendar,M226,"1M","f",,Trigger)</f>
        <v>48913</v>
      </c>
      <c r="N227" s="204">
        <f>_xll.qlInterestRateIndexMaturity("AUDBBSW3M",M227)</f>
        <v>49003</v>
      </c>
      <c r="O227" s="206" t="str">
        <f>_xll.qlMakeDatedOIS(,M227,N227,OvernightIndex,0,,,,EvaluationDate)</f>
        <v>obj_00363#0000</v>
      </c>
      <c r="P227" s="206" t="b">
        <f>_xll.qlInstrumentSetPricingEngine(O227,OisEngine)</f>
        <v>1</v>
      </c>
      <c r="Q227" s="205">
        <f>_xll.qlIndexFixing(Currency&amp;IborType&amp;"3M",_xll.qlInterestRateIndexFixingDate(Currency&amp;IborType&amp;"3M",M227),TRUE,AllTriggers)</f>
        <v>5.1400463050058895E-2</v>
      </c>
      <c r="R227" s="205">
        <f>_xll.qlOvernightIndexedSwapFairRate(O227,AllTriggers)</f>
        <v>4.7794543638364217E-2</v>
      </c>
      <c r="S227" s="207">
        <f t="shared" si="5"/>
        <v>3.6059194116946774E-3</v>
      </c>
    </row>
    <row r="228" spans="5:19" ht="11.25" customHeight="1" x14ac:dyDescent="0.2">
      <c r="E228" s="199"/>
      <c r="F228" s="199"/>
      <c r="G228" s="198"/>
      <c r="J228" s="198"/>
      <c r="K228" s="198"/>
      <c r="M228" s="213">
        <f>_xll.qlCalendarAdvance(Calendar,M227,"1M","f",,Trigger)</f>
        <v>48943</v>
      </c>
      <c r="N228" s="204">
        <f>_xll.qlInterestRateIndexMaturity("AUDBBSW3M",M228)</f>
        <v>49034</v>
      </c>
      <c r="O228" s="206" t="str">
        <f>_xll.qlMakeDatedOIS(,M228,N228,OvernightIndex,0,,,,EvaluationDate)</f>
        <v>obj_002f4#0000</v>
      </c>
      <c r="P228" s="206" t="b">
        <f>_xll.qlInstrumentSetPricingEngine(O228,OisEngine)</f>
        <v>1</v>
      </c>
      <c r="Q228" s="205">
        <f>_xll.qlIndexFixing(Currency&amp;IborType&amp;"3M",_xll.qlInterestRateIndexFixingDate(Currency&amp;IborType&amp;"3M",M228),TRUE,AllTriggers)</f>
        <v>5.132421798565056E-2</v>
      </c>
      <c r="R228" s="205">
        <f>_xll.qlOvernightIndexedSwapFairRate(O228,AllTriggers)</f>
        <v>4.7719454544614612E-2</v>
      </c>
      <c r="S228" s="207">
        <f t="shared" si="5"/>
        <v>3.6047634410359478E-3</v>
      </c>
    </row>
    <row r="229" spans="5:19" ht="11.25" customHeight="1" x14ac:dyDescent="0.2">
      <c r="E229" s="199"/>
      <c r="F229" s="199"/>
      <c r="G229" s="198"/>
      <c r="J229" s="198"/>
      <c r="K229" s="198"/>
      <c r="M229" s="213">
        <f>_xll.qlCalendarAdvance(Calendar,M228,"1M","f",,Trigger)</f>
        <v>48974</v>
      </c>
      <c r="N229" s="204">
        <f>_xll.qlInterestRateIndexMaturity("AUDBBSW3M",M229)</f>
        <v>49062</v>
      </c>
      <c r="O229" s="206" t="str">
        <f>_xll.qlMakeDatedOIS(,M229,N229,OvernightIndex,0,,,,EvaluationDate)</f>
        <v>obj_0030f#0000</v>
      </c>
      <c r="P229" s="206" t="b">
        <f>_xll.qlInstrumentSetPricingEngine(O229,OisEngine)</f>
        <v>1</v>
      </c>
      <c r="Q229" s="205">
        <f>_xll.qlIndexFixing(Currency&amp;IborType&amp;"3M",_xll.qlInterestRateIndexFixingDate(Currency&amp;IborType&amp;"3M",M229),TRUE,AllTriggers)</f>
        <v>5.1233436483487042E-2</v>
      </c>
      <c r="R229" s="205">
        <f>_xll.qlOvernightIndexedSwapFairRate(O229,AllTriggers)</f>
        <v>4.7631696460766336E-2</v>
      </c>
      <c r="S229" s="207">
        <f t="shared" si="5"/>
        <v>3.6017400227207064E-3</v>
      </c>
    </row>
    <row r="230" spans="5:19" ht="11.25" customHeight="1" x14ac:dyDescent="0.2">
      <c r="E230" s="199"/>
      <c r="F230" s="199"/>
      <c r="G230" s="198"/>
      <c r="J230" s="198"/>
      <c r="K230" s="198"/>
      <c r="M230" s="213">
        <f>_xll.qlCalendarAdvance(Calendar,M229,"1M","f",,Trigger)</f>
        <v>49003</v>
      </c>
      <c r="N230" s="204">
        <f>_xll.qlInterestRateIndexMaturity("AUDBBSW3M",M230)</f>
        <v>49095</v>
      </c>
      <c r="O230" s="206" t="str">
        <f>_xll.qlMakeDatedOIS(,M230,N230,OvernightIndex,0,,,,EvaluationDate)</f>
        <v>obj_002f5#0000</v>
      </c>
      <c r="P230" s="206" t="b">
        <f>_xll.qlInstrumentSetPricingEngine(O230,OisEngine)</f>
        <v>1</v>
      </c>
      <c r="Q230" s="205">
        <f>_xll.qlIndexFixing(Currency&amp;IborType&amp;"3M",_xll.qlInterestRateIndexFixingDate(Currency&amp;IborType&amp;"3M",M230),TRUE,AllTriggers)</f>
        <v>5.116039255369214E-2</v>
      </c>
      <c r="R230" s="205">
        <f>_xll.qlOvernightIndexedSwapFairRate(O230,AllTriggers)</f>
        <v>4.7558841249903089E-2</v>
      </c>
      <c r="S230" s="207">
        <f t="shared" si="5"/>
        <v>3.6015513037890509E-3</v>
      </c>
    </row>
    <row r="231" spans="5:19" ht="11.25" customHeight="1" x14ac:dyDescent="0.2">
      <c r="E231" s="199"/>
      <c r="F231" s="199"/>
      <c r="G231" s="198"/>
      <c r="J231" s="198"/>
      <c r="K231" s="198"/>
      <c r="M231" s="213">
        <f>_xll.qlCalendarAdvance(Calendar,M230,"1M","f",,Trigger)</f>
        <v>49031</v>
      </c>
      <c r="N231" s="204">
        <f>_xll.qlInterestRateIndexMaturity("AUDBBSW3M",M231)</f>
        <v>49123</v>
      </c>
      <c r="O231" s="206" t="str">
        <f>_xll.qlMakeDatedOIS(,M231,N231,OvernightIndex,0,,,,EvaluationDate)</f>
        <v>obj_00331#0000</v>
      </c>
      <c r="P231" s="206" t="b">
        <f>_xll.qlInstrumentSetPricingEngine(O231,OisEngine)</f>
        <v>1</v>
      </c>
      <c r="Q231" s="205">
        <f>_xll.qlIndexFixing(Currency&amp;IborType&amp;"3M",_xll.qlInterestRateIndexFixingDate(Currency&amp;IborType&amp;"3M",M231),TRUE,AllTriggers)</f>
        <v>5.1078856484642499E-2</v>
      </c>
      <c r="R231" s="205">
        <f>_xll.qlOvernightIndexedSwapFairRate(O231,AllTriggers)</f>
        <v>4.7479212877276133E-2</v>
      </c>
      <c r="S231" s="207">
        <f t="shared" si="5"/>
        <v>3.5996436073663651E-3</v>
      </c>
    </row>
    <row r="232" spans="5:19" ht="11.25" customHeight="1" x14ac:dyDescent="0.2">
      <c r="E232" s="199"/>
      <c r="F232" s="199"/>
      <c r="G232" s="198"/>
      <c r="J232" s="198"/>
      <c r="K232" s="198"/>
      <c r="M232" s="213">
        <f>_xll.qlCalendarAdvance(Calendar,M231,"1M","f",,Trigger)</f>
        <v>49062</v>
      </c>
      <c r="N232" s="204">
        <f>_xll.qlInterestRateIndexMaturity("AUDBBSW3M",M232)</f>
        <v>49156</v>
      </c>
      <c r="O232" s="206" t="str">
        <f>_xll.qlMakeDatedOIS(,M232,N232,OvernightIndex,0,,,,EvaluationDate)</f>
        <v>obj_00325#0000</v>
      </c>
      <c r="P232" s="206" t="b">
        <f>_xll.qlInstrumentSetPricingEngine(O232,OisEngine)</f>
        <v>1</v>
      </c>
      <c r="Q232" s="205">
        <f>_xll.qlIndexFixing(Currency&amp;IborType&amp;"3M",_xll.qlInterestRateIndexFixingDate(Currency&amp;IborType&amp;"3M",M232),TRUE,AllTriggers)</f>
        <v>5.0989563962578408E-2</v>
      </c>
      <c r="R232" s="205">
        <f>_xll.qlOvernightIndexedSwapFairRate(O232,AllTriggers)</f>
        <v>4.7391392250853481E-2</v>
      </c>
      <c r="S232" s="207">
        <f t="shared" si="5"/>
        <v>3.5981717117249262E-3</v>
      </c>
    </row>
    <row r="233" spans="5:19" ht="11.25" customHeight="1" x14ac:dyDescent="0.2">
      <c r="E233" s="199"/>
      <c r="F233" s="199"/>
      <c r="G233" s="198"/>
      <c r="J233" s="198"/>
      <c r="K233" s="198"/>
      <c r="M233" s="213">
        <f>_xll.qlCalendarAdvance(Calendar,M232,"1M","f",,Trigger)</f>
        <v>49093</v>
      </c>
      <c r="N233" s="204">
        <f>_xll.qlInterestRateIndexMaturity("AUDBBSW3M",M233)</f>
        <v>49185</v>
      </c>
      <c r="O233" s="206" t="str">
        <f>_xll.qlMakeDatedOIS(,M233,N233,OvernightIndex,0,,,,EvaluationDate)</f>
        <v>obj_00318#0000</v>
      </c>
      <c r="P233" s="206" t="b">
        <f>_xll.qlInstrumentSetPricingEngine(O233,OisEngine)</f>
        <v>1</v>
      </c>
      <c r="Q233" s="205">
        <f>_xll.qlIndexFixing(Currency&amp;IborType&amp;"3M",_xll.qlInterestRateIndexFixingDate(Currency&amp;IborType&amp;"3M",M233),TRUE,AllTriggers)</f>
        <v>5.088916062591059E-2</v>
      </c>
      <c r="R233" s="205">
        <f>_xll.qlOvernightIndexedSwapFairRate(O233,AllTriggers)</f>
        <v>4.7294228927047127E-2</v>
      </c>
      <c r="S233" s="207">
        <f t="shared" si="5"/>
        <v>3.5949316988634628E-3</v>
      </c>
    </row>
    <row r="234" spans="5:19" ht="11.25" customHeight="1" x14ac:dyDescent="0.2">
      <c r="E234" s="199"/>
      <c r="F234" s="199"/>
      <c r="G234" s="198"/>
      <c r="J234" s="198"/>
      <c r="K234" s="198"/>
      <c r="M234" s="213">
        <f>_xll.qlCalendarAdvance(Calendar,M233,"1M","f",,Trigger)</f>
        <v>49124</v>
      </c>
      <c r="N234" s="204">
        <f>_xll.qlInterestRateIndexMaturity("AUDBBSW3M",M234)</f>
        <v>49216</v>
      </c>
      <c r="O234" s="206" t="str">
        <f>_xll.qlMakeDatedOIS(,M234,N234,OvernightIndex,0,,,,EvaluationDate)</f>
        <v>obj_002f6#0000</v>
      </c>
      <c r="P234" s="206" t="b">
        <f>_xll.qlInstrumentSetPricingEngine(O234,OisEngine)</f>
        <v>1</v>
      </c>
      <c r="Q234" s="205">
        <f>_xll.qlIndexFixing(Currency&amp;IborType&amp;"3M",_xll.qlInterestRateIndexFixingDate(Currency&amp;IborType&amp;"3M",M234),TRUE,AllTriggers)</f>
        <v>5.078963810390115E-2</v>
      </c>
      <c r="R234" s="205">
        <f>_xll.qlOvernightIndexedSwapFairRate(O234,AllTriggers)</f>
        <v>4.7197314846331793E-2</v>
      </c>
      <c r="S234" s="207">
        <f t="shared" si="5"/>
        <v>3.5923232575693562E-3</v>
      </c>
    </row>
    <row r="235" spans="5:19" ht="11.25" customHeight="1" x14ac:dyDescent="0.2">
      <c r="E235" s="199"/>
      <c r="F235" s="199"/>
      <c r="G235" s="198"/>
      <c r="J235" s="198"/>
      <c r="K235" s="198"/>
      <c r="M235" s="213">
        <f>_xll.qlCalendarAdvance(Calendar,M234,"1M","f",,Trigger)</f>
        <v>49156</v>
      </c>
      <c r="N235" s="204">
        <f>_xll.qlInterestRateIndexMaturity("AUDBBSW3M",M235)</f>
        <v>49248</v>
      </c>
      <c r="O235" s="206" t="str">
        <f>_xll.qlMakeDatedOIS(,M235,N235,OvernightIndex,0,,,,EvaluationDate)</f>
        <v>obj_00303#0000</v>
      </c>
      <c r="P235" s="206" t="b">
        <f>_xll.qlInstrumentSetPricingEngine(O235,OisEngine)</f>
        <v>1</v>
      </c>
      <c r="Q235" s="205">
        <f>_xll.qlIndexFixing(Currency&amp;IborType&amp;"3M",_xll.qlInterestRateIndexFixingDate(Currency&amp;IborType&amp;"3M",M235),TRUE,AllTriggers)</f>
        <v>5.0684634462116795E-2</v>
      </c>
      <c r="R235" s="205">
        <f>_xll.qlOvernightIndexedSwapFairRate(O235,AllTriggers)</f>
        <v>4.7095190127759617E-2</v>
      </c>
      <c r="S235" s="207">
        <f t="shared" si="5"/>
        <v>3.589444334357178E-3</v>
      </c>
    </row>
    <row r="236" spans="5:19" ht="11.25" customHeight="1" x14ac:dyDescent="0.2">
      <c r="E236" s="199"/>
      <c r="F236" s="199"/>
      <c r="G236" s="198"/>
      <c r="J236" s="198"/>
      <c r="K236" s="198"/>
      <c r="M236" s="213">
        <f>_xll.qlCalendarAdvance(Calendar,M235,"1M","f",,Trigger)</f>
        <v>49187</v>
      </c>
      <c r="N236" s="204">
        <f>_xll.qlInterestRateIndexMaturity("AUDBBSW3M",M236)</f>
        <v>49278</v>
      </c>
      <c r="O236" s="206" t="str">
        <f>_xll.qlMakeDatedOIS(,M236,N236,OvernightIndex,0,,,,EvaluationDate)</f>
        <v>obj_0032c#0000</v>
      </c>
      <c r="P236" s="206" t="b">
        <f>_xll.qlInstrumentSetPricingEngine(O236,OisEngine)</f>
        <v>1</v>
      </c>
      <c r="Q236" s="205">
        <f>_xll.qlIndexFixing(Currency&amp;IborType&amp;"3M",_xll.qlInterestRateIndexFixingDate(Currency&amp;IborType&amp;"3M",M236),TRUE,AllTriggers)</f>
        <v>5.058051472466301E-2</v>
      </c>
      <c r="R236" s="205">
        <f>_xll.qlOvernightIndexedSwapFairRate(O236,AllTriggers)</f>
        <v>4.6994439448358474E-2</v>
      </c>
      <c r="S236" s="207">
        <f t="shared" si="5"/>
        <v>3.5860752763045359E-3</v>
      </c>
    </row>
    <row r="237" spans="5:19" ht="11.25" customHeight="1" x14ac:dyDescent="0.2">
      <c r="E237" s="199"/>
      <c r="F237" s="199"/>
      <c r="G237" s="198"/>
      <c r="J237" s="198"/>
      <c r="K237" s="198"/>
      <c r="M237" s="213">
        <f>_xll.qlCalendarAdvance(Calendar,M236,"1M","f",,Trigger)</f>
        <v>49220</v>
      </c>
      <c r="N237" s="204">
        <f>_xll.qlInterestRateIndexMaturity("AUDBBSW3M",M237)</f>
        <v>49312</v>
      </c>
      <c r="O237" s="206" t="str">
        <f>_xll.qlMakeDatedOIS(,M237,N237,OvernightIndex,0,,,,EvaluationDate)</f>
        <v>obj_0031f#0000</v>
      </c>
      <c r="P237" s="206" t="b">
        <f>_xll.qlInstrumentSetPricingEngine(O237,OisEngine)</f>
        <v>1</v>
      </c>
      <c r="Q237" s="205">
        <f>_xll.qlIndexFixing(Currency&amp;IborType&amp;"3M",_xll.qlInterestRateIndexFixingDate(Currency&amp;IborType&amp;"3M",M237),TRUE,AllTriggers)</f>
        <v>5.0474684694141549E-2</v>
      </c>
      <c r="R237" s="205">
        <f>_xll.qlOvernightIndexedSwapFairRate(O237,AllTriggers)</f>
        <v>4.6891634580352247E-2</v>
      </c>
      <c r="S237" s="207">
        <f t="shared" si="5"/>
        <v>3.5830501137893017E-3</v>
      </c>
    </row>
    <row r="238" spans="5:19" ht="11.25" customHeight="1" x14ac:dyDescent="0.2">
      <c r="E238" s="199"/>
      <c r="F238" s="199"/>
      <c r="G238" s="198"/>
      <c r="J238" s="198"/>
      <c r="K238" s="198"/>
      <c r="M238" s="213">
        <f>_xll.qlCalendarAdvance(Calendar,M237,"1M","f",,Trigger)</f>
        <v>49251</v>
      </c>
      <c r="N238" s="204">
        <f>_xll.qlInterestRateIndexMaturity("AUDBBSW3M",M238)</f>
        <v>49345</v>
      </c>
      <c r="O238" s="206" t="str">
        <f>_xll.qlMakeDatedOIS(,M238,N238,OvernightIndex,0,,,,EvaluationDate)</f>
        <v>obj_002f7#0000</v>
      </c>
      <c r="P238" s="206" t="b">
        <f>_xll.qlInstrumentSetPricingEngine(O238,OisEngine)</f>
        <v>1</v>
      </c>
      <c r="Q238" s="205">
        <f>_xll.qlIndexFixing(Currency&amp;IborType&amp;"3M",_xll.qlInterestRateIndexFixingDate(Currency&amp;IborType&amp;"3M",M238),TRUE,AllTriggers)</f>
        <v>5.0379040295240603E-2</v>
      </c>
      <c r="R238" s="205">
        <f>_xll.qlOvernightIndexedSwapFairRate(O238,AllTriggers)</f>
        <v>4.6798667487870031E-2</v>
      </c>
      <c r="S238" s="207">
        <f t="shared" si="5"/>
        <v>3.5803728073705715E-3</v>
      </c>
    </row>
    <row r="239" spans="5:19" ht="11.25" customHeight="1" x14ac:dyDescent="0.2">
      <c r="E239" s="199"/>
      <c r="F239" s="199"/>
      <c r="G239" s="198"/>
      <c r="J239" s="198"/>
      <c r="K239" s="198"/>
      <c r="M239" s="213">
        <f>_xll.qlCalendarAdvance(Calendar,M238,"1M","f",,Trigger)</f>
        <v>49282</v>
      </c>
      <c r="N239" s="204">
        <f>_xll.qlInterestRateIndexMaturity("AUDBBSW3M",M239)</f>
        <v>49373</v>
      </c>
      <c r="O239" s="206" t="str">
        <f>_xll.qlMakeDatedOIS(,M239,N239,OvernightIndex,0,,,,EvaluationDate)</f>
        <v>obj_002f8#0000</v>
      </c>
      <c r="P239" s="206" t="b">
        <f>_xll.qlInstrumentSetPricingEngine(O239,OisEngine)</f>
        <v>1</v>
      </c>
      <c r="Q239" s="205">
        <f>_xll.qlIndexFixing(Currency&amp;IborType&amp;"3M",_xll.qlInterestRateIndexFixingDate(Currency&amp;IborType&amp;"3M",M239),TRUE,AllTriggers)</f>
        <v>5.0275654033843181E-2</v>
      </c>
      <c r="R239" s="205">
        <f>_xll.qlOvernightIndexedSwapFairRate(O239,AllTriggers)</f>
        <v>4.6700037002406228E-2</v>
      </c>
      <c r="S239" s="207">
        <f t="shared" si="5"/>
        <v>3.5756170314369534E-3</v>
      </c>
    </row>
    <row r="240" spans="5:19" ht="11.25" customHeight="1" x14ac:dyDescent="0.2">
      <c r="E240" s="199"/>
      <c r="F240" s="199"/>
      <c r="G240" s="198"/>
      <c r="J240" s="198"/>
      <c r="K240" s="198"/>
      <c r="M240" s="213">
        <f>_xll.qlCalendarAdvance(Calendar,M239,"1M","f",,Trigger)</f>
        <v>49313</v>
      </c>
      <c r="N240" s="204">
        <f>_xll.qlInterestRateIndexMaturity("AUDBBSW3M",M240)</f>
        <v>49403</v>
      </c>
      <c r="O240" s="206" t="str">
        <f>_xll.qlMakeDatedOIS(,M240,N240,OvernightIndex,0,,,,EvaluationDate)</f>
        <v>obj_00302#0000</v>
      </c>
      <c r="P240" s="206" t="b">
        <f>_xll.qlInstrumentSetPricingEngine(O240,OisEngine)</f>
        <v>1</v>
      </c>
      <c r="Q240" s="205">
        <f>_xll.qlIndexFixing(Currency&amp;IborType&amp;"3M",_xll.qlInterestRateIndexFixingDate(Currency&amp;IborType&amp;"3M",M240),TRUE,AllTriggers)</f>
        <v>5.0177712252805914E-2</v>
      </c>
      <c r="R240" s="205">
        <f>_xll.qlOvernightIndexedSwapFairRate(O240,AllTriggers)</f>
        <v>4.6606310141375396E-2</v>
      </c>
      <c r="S240" s="207">
        <f t="shared" si="5"/>
        <v>3.5714021114305189E-3</v>
      </c>
    </row>
    <row r="241" spans="5:19" ht="11.25" customHeight="1" x14ac:dyDescent="0.2">
      <c r="E241" s="199"/>
      <c r="F241" s="199"/>
      <c r="G241" s="198"/>
      <c r="J241" s="198"/>
      <c r="K241" s="198"/>
      <c r="M241" s="213">
        <f>_xll.qlCalendarAdvance(Calendar,M240,"1M","f",,Trigger)</f>
        <v>49345</v>
      </c>
      <c r="N241" s="204">
        <f>_xll.qlInterestRateIndexMaturity("AUDBBSW3M",M241)</f>
        <v>49436</v>
      </c>
      <c r="O241" s="206" t="str">
        <f>_xll.qlMakeDatedOIS(,M241,N241,OvernightIndex,0,,,,EvaluationDate)</f>
        <v>obj_00367#0000</v>
      </c>
      <c r="P241" s="206" t="b">
        <f>_xll.qlInstrumentSetPricingEngine(O241,OisEngine)</f>
        <v>1</v>
      </c>
      <c r="Q241" s="205">
        <f>_xll.qlIndexFixing(Currency&amp;IborType&amp;"3M",_xll.qlInterestRateIndexFixingDate(Currency&amp;IborType&amp;"3M",M241),TRUE,AllTriggers)</f>
        <v>5.0082282425659742E-2</v>
      </c>
      <c r="R241" s="205">
        <f>_xll.qlOvernightIndexedSwapFairRate(O241,AllTriggers)</f>
        <v>4.6514717127241104E-2</v>
      </c>
      <c r="S241" s="207">
        <f t="shared" si="5"/>
        <v>3.5675652984186387E-3</v>
      </c>
    </row>
    <row r="242" spans="5:19" ht="11.25" customHeight="1" x14ac:dyDescent="0.2">
      <c r="E242" s="199"/>
      <c r="F242" s="199"/>
      <c r="G242" s="198"/>
      <c r="J242" s="198"/>
      <c r="K242" s="198"/>
      <c r="M242" s="213">
        <f>_xll.qlCalendarAdvance(Calendar,M241,"1M","f",,Trigger)</f>
        <v>49373</v>
      </c>
      <c r="N242" s="204">
        <f>_xll.qlInterestRateIndexMaturity("AUDBBSW3M",M242)</f>
        <v>49465</v>
      </c>
      <c r="O242" s="206" t="str">
        <f>_xll.qlMakeDatedOIS(,M242,N242,OvernightIndex,0,,,,EvaluationDate)</f>
        <v>obj_0031e#0000</v>
      </c>
      <c r="P242" s="206" t="b">
        <f>_xll.qlInstrumentSetPricingEngine(O242,OisEngine)</f>
        <v>1</v>
      </c>
      <c r="Q242" s="205">
        <f>_xll.qlIndexFixing(Currency&amp;IborType&amp;"3M",_xll.qlInterestRateIndexFixingDate(Currency&amp;IborType&amp;"3M",M242),TRUE,AllTriggers)</f>
        <v>5.0000535562487236E-2</v>
      </c>
      <c r="R242" s="205">
        <f>_xll.qlOvernightIndexedSwapFairRate(O242,AllTriggers)</f>
        <v>4.6436479596565106E-2</v>
      </c>
      <c r="S242" s="207">
        <f t="shared" si="5"/>
        <v>3.5640559659221305E-3</v>
      </c>
    </row>
    <row r="243" spans="5:19" ht="11.25" customHeight="1" x14ac:dyDescent="0.2">
      <c r="E243" s="199"/>
      <c r="F243" s="199"/>
      <c r="G243" s="198"/>
      <c r="J243" s="198"/>
      <c r="K243" s="198"/>
      <c r="M243" s="213">
        <f>_xll.qlCalendarAdvance(Calendar,M242,"1M","f",,Trigger)</f>
        <v>49404</v>
      </c>
      <c r="N243" s="204">
        <f>_xll.qlInterestRateIndexMaturity("AUDBBSW3M",M243)</f>
        <v>49495</v>
      </c>
      <c r="O243" s="206" t="str">
        <f>_xll.qlMakeDatedOIS(,M243,N243,OvernightIndex,0,,,,EvaluationDate)</f>
        <v>obj_0033e#0000</v>
      </c>
      <c r="P243" s="206" t="b">
        <f>_xll.qlInstrumentSetPricingEngine(O243,OisEngine)</f>
        <v>1</v>
      </c>
      <c r="Q243" s="205">
        <f>_xll.qlIndexFixing(Currency&amp;IborType&amp;"3M",_xll.qlInterestRateIndexFixingDate(Currency&amp;IborType&amp;"3M",M243),TRUE,AllTriggers)</f>
        <v>4.9907556142005108E-2</v>
      </c>
      <c r="R243" s="205">
        <f>_xll.qlOvernightIndexedSwapFairRate(O243,AllTriggers)</f>
        <v>4.6348338512911806E-2</v>
      </c>
      <c r="S243" s="207">
        <f t="shared" si="5"/>
        <v>3.5592176290933017E-3</v>
      </c>
    </row>
    <row r="244" spans="5:19" ht="11.25" customHeight="1" x14ac:dyDescent="0.2">
      <c r="E244" s="199"/>
      <c r="F244" s="199"/>
      <c r="G244" s="198"/>
      <c r="J244" s="198"/>
      <c r="K244" s="198"/>
      <c r="M244" s="213">
        <f>_xll.qlCalendarAdvance(Calendar,M243,"1M","f",,Trigger)</f>
        <v>49436</v>
      </c>
      <c r="N244" s="204">
        <f>_xll.qlInterestRateIndexMaturity("AUDBBSW3M",M244)</f>
        <v>49528</v>
      </c>
      <c r="O244" s="206" t="str">
        <f>_xll.qlMakeDatedOIS(,M244,N244,OvernightIndex,0,,,,EvaluationDate)</f>
        <v>obj_00301#0000</v>
      </c>
      <c r="P244" s="206" t="b">
        <f>_xll.qlInstrumentSetPricingEngine(O244,OisEngine)</f>
        <v>1</v>
      </c>
      <c r="Q244" s="205">
        <f>_xll.qlIndexFixing(Currency&amp;IborType&amp;"3M",_xll.qlInterestRateIndexFixingDate(Currency&amp;IborType&amp;"3M",M244),TRUE,AllTriggers)</f>
        <v>4.9817337924486935E-2</v>
      </c>
      <c r="R244" s="205">
        <f>_xll.qlOvernightIndexedSwapFairRate(O244,AllTriggers)</f>
        <v>4.6262629121914957E-2</v>
      </c>
      <c r="S244" s="207">
        <f t="shared" si="5"/>
        <v>3.5547088025719778E-3</v>
      </c>
    </row>
    <row r="245" spans="5:19" ht="11.25" customHeight="1" x14ac:dyDescent="0.2">
      <c r="E245" s="199"/>
      <c r="F245" s="199"/>
      <c r="G245" s="198"/>
      <c r="J245" s="198"/>
      <c r="K245" s="198"/>
      <c r="M245" s="213">
        <f>_xll.qlCalendarAdvance(Calendar,M244,"1M","f",,Trigger)</f>
        <v>49467</v>
      </c>
      <c r="N245" s="204">
        <f>_xll.qlInterestRateIndexMaturity("AUDBBSW3M",M245)</f>
        <v>49559</v>
      </c>
      <c r="O245" s="206" t="str">
        <f>_xll.qlMakeDatedOIS(,M245,N245,OvernightIndex,0,,,,EvaluationDate)</f>
        <v>obj_00355#0000</v>
      </c>
      <c r="P245" s="206" t="b">
        <f>_xll.qlInstrumentSetPricingEngine(O245,OisEngine)</f>
        <v>1</v>
      </c>
      <c r="Q245" s="205">
        <f>_xll.qlIndexFixing(Currency&amp;IborType&amp;"3M",_xll.qlInterestRateIndexFixingDate(Currency&amp;IborType&amp;"3M",M245),TRUE,AllTriggers)</f>
        <v>4.9729770867688775E-2</v>
      </c>
      <c r="R245" s="205">
        <f>_xll.qlOvernightIndexedSwapFairRate(O245,AllTriggers)</f>
        <v>4.6179988206380695E-2</v>
      </c>
      <c r="S245" s="207">
        <f t="shared" si="5"/>
        <v>3.5497826613080791E-3</v>
      </c>
    </row>
    <row r="246" spans="5:19" ht="11.25" customHeight="1" x14ac:dyDescent="0.2">
      <c r="E246" s="199"/>
      <c r="F246" s="199"/>
      <c r="G246" s="198"/>
      <c r="J246" s="198"/>
      <c r="K246" s="198"/>
      <c r="M246" s="213">
        <f>_xll.qlCalendarAdvance(Calendar,M245,"1M","f",,Trigger)</f>
        <v>49499</v>
      </c>
      <c r="N246" s="204">
        <f>_xll.qlInterestRateIndexMaturity("AUDBBSW3M",M246)</f>
        <v>49591</v>
      </c>
      <c r="O246" s="206" t="str">
        <f>_xll.qlMakeDatedOIS(,M246,N246,OvernightIndex,0,,,,EvaluationDate)</f>
        <v>obj_0035f#0000</v>
      </c>
      <c r="P246" s="206" t="b">
        <f>_xll.qlInstrumentSetPricingEngine(O246,OisEngine)</f>
        <v>1</v>
      </c>
      <c r="Q246" s="205">
        <f>_xll.qlIndexFixing(Currency&amp;IborType&amp;"3M",_xll.qlInterestRateIndexFixingDate(Currency&amp;IborType&amp;"3M",M246),TRUE,AllTriggers)</f>
        <v>4.9641162323159994E-2</v>
      </c>
      <c r="R246" s="205">
        <f>_xll.qlOvernightIndexedSwapFairRate(O246,AllTriggers)</f>
        <v>4.6096690749923938E-2</v>
      </c>
      <c r="S246" s="207">
        <f t="shared" si="5"/>
        <v>3.5444715732360563E-3</v>
      </c>
    </row>
    <row r="247" spans="5:19" ht="11.25" customHeight="1" x14ac:dyDescent="0.2">
      <c r="E247" s="199"/>
      <c r="F247" s="199"/>
      <c r="G247" s="198"/>
      <c r="J247" s="198"/>
      <c r="K247" s="198"/>
      <c r="M247" s="213">
        <f>_xll.qlCalendarAdvance(Calendar,M246,"1M","f",,Trigger)</f>
        <v>49530</v>
      </c>
      <c r="N247" s="204">
        <f>_xll.qlInterestRateIndexMaturity("AUDBBSW3M",M247)</f>
        <v>49622</v>
      </c>
      <c r="O247" s="206" t="str">
        <f>_xll.qlMakeDatedOIS(,M247,N247,OvernightIndex,0,,,,EvaluationDate)</f>
        <v>obj_002f9#0000</v>
      </c>
      <c r="P247" s="206" t="b">
        <f>_xll.qlInstrumentSetPricingEngine(O247,OisEngine)</f>
        <v>1</v>
      </c>
      <c r="Q247" s="205">
        <f>_xll.qlIndexFixing(Currency&amp;IborType&amp;"3M",_xll.qlInterestRateIndexFixingDate(Currency&amp;IborType&amp;"3M",M247),TRUE,AllTriggers)</f>
        <v>4.955705021307933E-2</v>
      </c>
      <c r="R247" s="205">
        <f>_xll.qlOvernightIndexedSwapFairRate(O247,AllTriggers)</f>
        <v>4.6017942723346958E-2</v>
      </c>
      <c r="S247" s="207">
        <f t="shared" si="5"/>
        <v>3.5391074897323724E-3</v>
      </c>
    </row>
    <row r="248" spans="5:19" ht="11.25" customHeight="1" x14ac:dyDescent="0.2">
      <c r="E248" s="199"/>
      <c r="F248" s="199"/>
      <c r="G248" s="198"/>
      <c r="J248" s="198"/>
      <c r="K248" s="198"/>
      <c r="M248" s="213">
        <f>_xll.qlCalendarAdvance(Calendar,M247,"1M","f",,Trigger)</f>
        <v>49562</v>
      </c>
      <c r="N248" s="204">
        <f>_xll.qlInterestRateIndexMaturity("AUDBBSW3M",M248)</f>
        <v>49653</v>
      </c>
      <c r="O248" s="206" t="str">
        <f>_xll.qlMakeDatedOIS(,M248,N248,OvernightIndex,0,,,,EvaluationDate)</f>
        <v>obj_00336#0000</v>
      </c>
      <c r="P248" s="206" t="b">
        <f>_xll.qlInstrumentSetPricingEngine(O248,OisEngine)</f>
        <v>1</v>
      </c>
      <c r="Q248" s="205">
        <f>_xll.qlIndexFixing(Currency&amp;IborType&amp;"3M",_xll.qlInterestRateIndexFixingDate(Currency&amp;IborType&amp;"3M",M248),TRUE,AllTriggers)</f>
        <v>4.9469970332027949E-2</v>
      </c>
      <c r="R248" s="205">
        <f>_xll.qlOvernightIndexedSwapFairRate(O248,AllTriggers)</f>
        <v>4.5936951661326234E-2</v>
      </c>
      <c r="S248" s="207">
        <f t="shared" si="5"/>
        <v>3.5330186707017153E-3</v>
      </c>
    </row>
    <row r="249" spans="5:19" ht="11.25" customHeight="1" x14ac:dyDescent="0.2">
      <c r="E249" s="199"/>
      <c r="F249" s="199"/>
      <c r="G249" s="198"/>
      <c r="J249" s="198"/>
      <c r="K249" s="198"/>
      <c r="M249" s="213">
        <f>_xll.qlCalendarAdvance(Calendar,M248,"1M","f",,Trigger)</f>
        <v>49592</v>
      </c>
      <c r="N249" s="204">
        <f>_xll.qlInterestRateIndexMaturity("AUDBBSW3M",M249)</f>
        <v>49684</v>
      </c>
      <c r="O249" s="206" t="str">
        <f>_xll.qlMakeDatedOIS(,M249,N249,OvernightIndex,0,,,,EvaluationDate)</f>
        <v>obj_0036b#0000</v>
      </c>
      <c r="P249" s="206" t="b">
        <f>_xll.qlInstrumentSetPricingEngine(O249,OisEngine)</f>
        <v>1</v>
      </c>
      <c r="Q249" s="205">
        <f>_xll.qlIndexFixing(Currency&amp;IborType&amp;"3M",_xll.qlInterestRateIndexFixingDate(Currency&amp;IborType&amp;"3M",M249),TRUE,AllTriggers)</f>
        <v>4.9393925559060289E-2</v>
      </c>
      <c r="R249" s="205">
        <f>_xll.qlOvernightIndexedSwapFairRate(O249,AllTriggers)</f>
        <v>4.5866192680408445E-2</v>
      </c>
      <c r="S249" s="207">
        <f t="shared" si="5"/>
        <v>3.5277328786518444E-3</v>
      </c>
    </row>
    <row r="250" spans="5:19" ht="11.25" customHeight="1" x14ac:dyDescent="0.2">
      <c r="E250" s="199"/>
      <c r="F250" s="199"/>
      <c r="G250" s="198"/>
      <c r="J250" s="198"/>
      <c r="K250" s="198"/>
      <c r="M250" s="213">
        <f>_xll.qlCalendarAdvance(Calendar,M249,"1M","f",,Trigger)</f>
        <v>49625</v>
      </c>
      <c r="N250" s="204">
        <f>_xll.qlInterestRateIndexMaturity("AUDBBSW3M",M250)</f>
        <v>49717</v>
      </c>
      <c r="O250" s="206" t="str">
        <f>_xll.qlMakeDatedOIS(,M250,N250,OvernightIndex,0,,,,EvaluationDate)</f>
        <v>obj_002fa#0000</v>
      </c>
      <c r="P250" s="206" t="b">
        <f>_xll.qlInstrumentSetPricingEngine(O250,OisEngine)</f>
        <v>1</v>
      </c>
      <c r="Q250" s="205">
        <f>_xll.qlIndexFixing(Currency&amp;IborType&amp;"3M",_xll.qlInterestRateIndexFixingDate(Currency&amp;IborType&amp;"3M",M250),TRUE,AllTriggers)</f>
        <v>4.9309873574775148E-2</v>
      </c>
      <c r="R250" s="205">
        <f>_xll.qlOvernightIndexedSwapFairRate(O250,AllTriggers)</f>
        <v>4.5788546384599824E-2</v>
      </c>
      <c r="S250" s="207">
        <f t="shared" si="5"/>
        <v>3.5213271901753246E-3</v>
      </c>
    </row>
    <row r="251" spans="5:19" ht="11.25" customHeight="1" x14ac:dyDescent="0.2">
      <c r="E251" s="199"/>
      <c r="F251" s="199"/>
      <c r="G251" s="198"/>
      <c r="J251" s="198"/>
      <c r="K251" s="198"/>
      <c r="M251" s="213">
        <f>_xll.qlCalendarAdvance(Calendar,M250,"1M","f",,Trigger)</f>
        <v>49655</v>
      </c>
      <c r="N251" s="204">
        <f>_xll.qlInterestRateIndexMaturity("AUDBBSW3M",M251)</f>
        <v>49746</v>
      </c>
      <c r="O251" s="206" t="str">
        <f>_xll.qlMakeDatedOIS(,M251,N251,OvernightIndex,0,,,,EvaluationDate)</f>
        <v>obj_0034b#0000</v>
      </c>
      <c r="P251" s="206" t="b">
        <f>_xll.qlInstrumentSetPricingEngine(O251,OisEngine)</f>
        <v>1</v>
      </c>
      <c r="Q251" s="205">
        <f>_xll.qlIndexFixing(Currency&amp;IborType&amp;"3M",_xll.qlInterestRateIndexFixingDate(Currency&amp;IborType&amp;"3M",M251),TRUE,AllTriggers)</f>
        <v>4.9233046061312534E-2</v>
      </c>
      <c r="R251" s="205">
        <f>_xll.qlOvernightIndexedSwapFairRate(O251,AllTriggers)</f>
        <v>4.5718065218501192E-2</v>
      </c>
      <c r="S251" s="207">
        <f t="shared" si="5"/>
        <v>3.5149808428113424E-3</v>
      </c>
    </row>
    <row r="252" spans="5:19" ht="11.25" customHeight="1" x14ac:dyDescent="0.2">
      <c r="E252" s="199"/>
      <c r="F252" s="199"/>
      <c r="G252" s="198"/>
      <c r="J252" s="198"/>
      <c r="K252" s="198"/>
      <c r="M252" s="213">
        <f>_xll.qlCalendarAdvance(Calendar,M251,"1M","f",,Trigger)</f>
        <v>49688</v>
      </c>
      <c r="N252" s="204">
        <f>_xll.qlInterestRateIndexMaturity("AUDBBSW3M",M252)</f>
        <v>49780</v>
      </c>
      <c r="O252" s="206" t="str">
        <f>_xll.qlMakeDatedOIS(,M252,N252,OvernightIndex,0,,,,EvaluationDate)</f>
        <v>obj_002fb#0000</v>
      </c>
      <c r="P252" s="206" t="b">
        <f>_xll.qlInstrumentSetPricingEngine(O252,OisEngine)</f>
        <v>1</v>
      </c>
      <c r="Q252" s="205">
        <f>_xll.qlIndexFixing(Currency&amp;IborType&amp;"3M",_xll.qlInterestRateIndexFixingDate(Currency&amp;IborType&amp;"3M",M252),TRUE,AllTriggers)</f>
        <v>4.9154758691875043E-2</v>
      </c>
      <c r="R252" s="205">
        <f>_xll.qlOvernightIndexedSwapFairRate(O252,AllTriggers)</f>
        <v>4.5646338545153903E-2</v>
      </c>
      <c r="S252" s="207">
        <f t="shared" si="5"/>
        <v>3.5084201467211404E-3</v>
      </c>
    </row>
    <row r="253" spans="5:19" ht="11.25" customHeight="1" x14ac:dyDescent="0.2">
      <c r="E253" s="199"/>
      <c r="F253" s="199"/>
      <c r="G253" s="198"/>
      <c r="J253" s="198"/>
      <c r="K253" s="198"/>
      <c r="M253" s="213">
        <f>_xll.qlCalendarAdvance(Calendar,M252,"1M","f",,Trigger)</f>
        <v>49719</v>
      </c>
      <c r="N253" s="204">
        <f>_xll.qlInterestRateIndexMaturity("AUDBBSW3M",M253)</f>
        <v>49809</v>
      </c>
      <c r="O253" s="206" t="str">
        <f>_xll.qlMakeDatedOIS(,M253,N253,OvernightIndex,0,,,,EvaluationDate)</f>
        <v>obj_00335#0000</v>
      </c>
      <c r="P253" s="206" t="b">
        <f>_xll.qlInstrumentSetPricingEngine(O253,OisEngine)</f>
        <v>1</v>
      </c>
      <c r="Q253" s="205">
        <f>_xll.qlIndexFixing(Currency&amp;IborType&amp;"3M",_xll.qlInterestRateIndexFixingDate(Currency&amp;IborType&amp;"3M",M253),TRUE,AllTriggers)</f>
        <v>4.9076761718224372E-2</v>
      </c>
      <c r="R253" s="205">
        <f>_xll.qlOvernightIndexedSwapFairRate(O253,AllTriggers)</f>
        <v>4.5575621456579E-2</v>
      </c>
      <c r="S253" s="207">
        <f t="shared" si="5"/>
        <v>3.5011402616453718E-3</v>
      </c>
    </row>
    <row r="254" spans="5:19" ht="11.25" customHeight="1" x14ac:dyDescent="0.2">
      <c r="E254" s="199"/>
      <c r="F254" s="199"/>
      <c r="G254" s="198"/>
      <c r="J254" s="198"/>
      <c r="K254" s="198"/>
      <c r="M254" s="213">
        <f>_xll.qlCalendarAdvance(Calendar,M253,"1M","f",,Trigger)</f>
        <v>49748</v>
      </c>
      <c r="N254" s="204">
        <f>_xll.qlInterestRateIndexMaturity("AUDBBSW3M",M254)</f>
        <v>49839</v>
      </c>
      <c r="O254" s="206" t="str">
        <f>_xll.qlMakeDatedOIS(,M254,N254,OvernightIndex,0,,,,EvaluationDate)</f>
        <v>obj_002fc#0000</v>
      </c>
      <c r="P254" s="206" t="b">
        <f>_xll.qlInstrumentSetPricingEngine(O254,OisEngine)</f>
        <v>1</v>
      </c>
      <c r="Q254" s="205">
        <f>_xll.qlIndexFixing(Currency&amp;IborType&amp;"3M",_xll.qlInterestRateIndexFixingDate(Currency&amp;IborType&amp;"3M",M254),TRUE,AllTriggers)</f>
        <v>4.9011414961216838E-2</v>
      </c>
      <c r="R254" s="205">
        <f>_xll.qlOvernightIndexedSwapFairRate(O254,AllTriggers)</f>
        <v>4.5516410982675511E-2</v>
      </c>
      <c r="S254" s="207">
        <f t="shared" si="5"/>
        <v>3.4950039785413278E-3</v>
      </c>
    </row>
    <row r="255" spans="5:19" ht="11.25" customHeight="1" x14ac:dyDescent="0.2">
      <c r="E255" s="199"/>
      <c r="F255" s="199"/>
      <c r="G255" s="198"/>
      <c r="J255" s="198"/>
      <c r="K255" s="198"/>
      <c r="M255" s="213">
        <f>_xll.qlCalendarAdvance(Calendar,M254,"1M","f",,Trigger)</f>
        <v>49780</v>
      </c>
      <c r="N255" s="204">
        <f>_xll.qlInterestRateIndexMaturity("AUDBBSW3M",M255)</f>
        <v>49871</v>
      </c>
      <c r="O255" s="206" t="str">
        <f>_xll.qlMakeDatedOIS(,M255,N255,OvernightIndex,0,,,,EvaluationDate)</f>
        <v>obj_0034f#0000</v>
      </c>
      <c r="P255" s="206" t="b">
        <f>_xll.qlInstrumentSetPricingEngine(O255,OisEngine)</f>
        <v>1</v>
      </c>
      <c r="Q255" s="205">
        <f>_xll.qlIndexFixing(Currency&amp;IborType&amp;"3M",_xll.qlInterestRateIndexFixingDate(Currency&amp;IborType&amp;"3M",M255),TRUE,AllTriggers)</f>
        <v>4.8938690742430416E-2</v>
      </c>
      <c r="R255" s="205">
        <f>_xll.qlOvernightIndexedSwapFairRate(O255,AllTriggers)</f>
        <v>4.5451008887862229E-2</v>
      </c>
      <c r="S255" s="207">
        <f t="shared" si="5"/>
        <v>3.4876818545681865E-3</v>
      </c>
    </row>
    <row r="256" spans="5:19" ht="11.25" customHeight="1" x14ac:dyDescent="0.2">
      <c r="E256" s="199"/>
      <c r="F256" s="199"/>
      <c r="G256" s="198"/>
      <c r="J256" s="198"/>
      <c r="K256" s="198"/>
      <c r="M256" s="213">
        <f>_xll.qlCalendarAdvance(Calendar,M255,"1M","f",,Trigger)</f>
        <v>49810</v>
      </c>
      <c r="N256" s="204">
        <f>_xll.qlInterestRateIndexMaturity("AUDBBSW3M",M256)</f>
        <v>49902</v>
      </c>
      <c r="O256" s="206" t="str">
        <f>_xll.qlMakeDatedOIS(,M256,N256,OvernightIndex,0,,,,EvaluationDate)</f>
        <v>obj_002fd#0000</v>
      </c>
      <c r="P256" s="206" t="b">
        <f>_xll.qlInstrumentSetPricingEngine(O256,OisEngine)</f>
        <v>1</v>
      </c>
      <c r="Q256" s="205">
        <f>_xll.qlIndexFixing(Currency&amp;IborType&amp;"3M",_xll.qlInterestRateIndexFixingDate(Currency&amp;IborType&amp;"3M",M256),TRUE,AllTriggers)</f>
        <v>4.8874332584596752E-2</v>
      </c>
      <c r="R256" s="205">
        <f>_xll.qlOvernightIndexedSwapFairRate(O256,AllTriggers)</f>
        <v>4.5393437089026469E-2</v>
      </c>
      <c r="S256" s="207">
        <f t="shared" si="5"/>
        <v>3.4808954955702839E-3</v>
      </c>
    </row>
    <row r="257" spans="5:19" ht="11.25" customHeight="1" x14ac:dyDescent="0.2">
      <c r="E257" s="199"/>
      <c r="F257" s="199"/>
      <c r="G257" s="198"/>
      <c r="J257" s="198"/>
      <c r="K257" s="198"/>
      <c r="M257" s="213">
        <f>_xll.qlCalendarAdvance(Calendar,M256,"1M","f",,Trigger)</f>
        <v>49842</v>
      </c>
      <c r="N257" s="204">
        <f>_xll.qlInterestRateIndexMaturity("AUDBBSW3M",M257)</f>
        <v>49934</v>
      </c>
      <c r="O257" s="206" t="str">
        <f>_xll.qlMakeDatedOIS(,M257,N257,OvernightIndex,0,,,,EvaluationDate)</f>
        <v>obj_002fe#0000</v>
      </c>
      <c r="P257" s="206" t="b">
        <f>_xll.qlInstrumentSetPricingEngine(O257,OisEngine)</f>
        <v>1</v>
      </c>
      <c r="Q257" s="205">
        <f>_xll.qlIndexFixing(Currency&amp;IborType&amp;"3M",_xll.qlInterestRateIndexFixingDate(Currency&amp;IborType&amp;"3M",M257),TRUE,AllTriggers)</f>
        <v>4.8805134705657761E-2</v>
      </c>
      <c r="R257" s="205">
        <f>_xll.qlOvernightIndexedSwapFairRate(O257,AllTriggers)</f>
        <v>4.5332011193443419E-2</v>
      </c>
      <c r="S257" s="207">
        <f t="shared" si="5"/>
        <v>3.473123512214342E-3</v>
      </c>
    </row>
    <row r="258" spans="5:19" ht="11.25" customHeight="1" x14ac:dyDescent="0.2">
      <c r="E258" s="199"/>
      <c r="F258" s="199"/>
      <c r="G258" s="198"/>
      <c r="J258" s="198"/>
      <c r="K258" s="198"/>
      <c r="M258" s="213">
        <f>_xll.qlCalendarAdvance(Calendar,M257,"1M","f",,Trigger)</f>
        <v>49872</v>
      </c>
      <c r="N258" s="204">
        <f>_xll.qlInterestRateIndexMaturity("AUDBBSW3M",M258)</f>
        <v>49964</v>
      </c>
      <c r="O258" s="206" t="str">
        <f>_xll.qlMakeDatedOIS(,M258,N258,OvernightIndex,0,,,,EvaluationDate)</f>
        <v>obj_002ff#0000</v>
      </c>
      <c r="P258" s="206" t="b">
        <f>_xll.qlInstrumentSetPricingEngine(O258,OisEngine)</f>
        <v>1</v>
      </c>
      <c r="Q258" s="205">
        <f>_xll.qlIndexFixing(Currency&amp;IborType&amp;"3M",_xll.qlInterestRateIndexFixingDate(Currency&amp;IborType&amp;"3M",M258),TRUE,AllTriggers)</f>
        <v>4.8741905827852684E-2</v>
      </c>
      <c r="R258" s="205">
        <f>_xll.qlOvernightIndexedSwapFairRate(O258,AllTriggers)</f>
        <v>4.5276277042868733E-2</v>
      </c>
      <c r="S258" s="207">
        <f t="shared" si="5"/>
        <v>3.4656287849839512E-3</v>
      </c>
    </row>
    <row r="259" spans="5:19" ht="11.25" customHeight="1" x14ac:dyDescent="0.2">
      <c r="E259" s="199"/>
      <c r="F259" s="199"/>
      <c r="G259" s="198"/>
      <c r="J259" s="198"/>
      <c r="K259" s="198"/>
      <c r="M259" s="213">
        <f>_xll.qlCalendarAdvance(Calendar,M258,"1M","f",,Trigger)</f>
        <v>49905</v>
      </c>
      <c r="N259" s="204">
        <f>_xll.qlInterestRateIndexMaturity("AUDBBSW3M",M259)</f>
        <v>49997</v>
      </c>
      <c r="O259" s="206" t="str">
        <f>_xll.qlMakeDatedOIS(,M259,N259,OvernightIndex,0,,,,EvaluationDate)</f>
        <v>obj_00300#0000</v>
      </c>
      <c r="P259" s="206" t="b">
        <f>_xll.qlInstrumentSetPricingEngine(O259,OisEngine)</f>
        <v>1</v>
      </c>
      <c r="Q259" s="205">
        <f>_xll.qlIndexFixing(Currency&amp;IborType&amp;"3M",_xll.qlInterestRateIndexFixingDate(Currency&amp;IborType&amp;"3M",M259),TRUE,AllTriggers)</f>
        <v>4.8674191687893609E-2</v>
      </c>
      <c r="R259" s="205">
        <f>_xll.qlOvernightIndexedSwapFairRate(O259,AllTriggers)</f>
        <v>4.5217040143330112E-2</v>
      </c>
      <c r="S259" s="207">
        <f t="shared" ref="S259:S322" si="6">Q259-R259</f>
        <v>3.457151544563497E-3</v>
      </c>
    </row>
    <row r="260" spans="5:19" ht="11.25" customHeight="1" x14ac:dyDescent="0.2">
      <c r="E260" s="199"/>
      <c r="F260" s="199"/>
      <c r="G260" s="198"/>
      <c r="J260" s="198"/>
      <c r="K260" s="198"/>
      <c r="M260" s="213">
        <f>_xll.qlCalendarAdvance(Calendar,M259,"1M","f",,Trigger)</f>
        <v>49936</v>
      </c>
      <c r="N260" s="204">
        <f>_xll.qlInterestRateIndexMaturity("AUDBBSW3M",M260)</f>
        <v>50027</v>
      </c>
      <c r="O260" s="206" t="str">
        <f>_xll.qlMakeDatedOIS(,M260,N260,OvernightIndex,0,,,,EvaluationDate)</f>
        <v>obj_0037c#0000</v>
      </c>
      <c r="P260" s="206" t="b">
        <f>_xll.qlInstrumentSetPricingEngine(O260,OisEngine)</f>
        <v>1</v>
      </c>
      <c r="Q260" s="205">
        <f>_xll.qlIndexFixing(Currency&amp;IborType&amp;"3M",_xll.qlInterestRateIndexFixingDate(Currency&amp;IborType&amp;"3M",M260),TRUE,AllTriggers)</f>
        <v>4.861008169650019E-2</v>
      </c>
      <c r="R260" s="205">
        <f>_xll.qlOvernightIndexedSwapFairRate(O260,AllTriggers)</f>
        <v>4.5161382501898814E-2</v>
      </c>
      <c r="S260" s="207">
        <f t="shared" si="6"/>
        <v>3.4486991946013762E-3</v>
      </c>
    </row>
    <row r="261" spans="5:19" ht="11.25" customHeight="1" x14ac:dyDescent="0.2">
      <c r="E261" s="199"/>
      <c r="F261" s="199"/>
      <c r="G261" s="198"/>
      <c r="J261" s="198"/>
      <c r="K261" s="198"/>
      <c r="M261" s="213">
        <f>_xll.qlCalendarAdvance(Calendar,M260,"1M","f",,Trigger)</f>
        <v>49968</v>
      </c>
      <c r="N261" s="204">
        <f>_xll.qlInterestRateIndexMaturity("AUDBBSW3M",M261)</f>
        <v>50060</v>
      </c>
      <c r="O261" s="206" t="str">
        <f>_xll.qlMakeDatedOIS(,M261,N261,OvernightIndex,0,,,,EvaluationDate)</f>
        <v>obj_00374#0000</v>
      </c>
      <c r="P261" s="206" t="b">
        <f>_xll.qlInstrumentSetPricingEngine(O261,OisEngine)</f>
        <v>1</v>
      </c>
      <c r="Q261" s="205">
        <f>_xll.qlIndexFixing(Currency&amp;IborType&amp;"3M",_xll.qlInterestRateIndexFixingDate(Currency&amp;IborType&amp;"3M",M261),TRUE,AllTriggers)</f>
        <v>4.8550264717320581E-2</v>
      </c>
      <c r="R261" s="205">
        <f>_xll.qlOvernightIndexedSwapFairRate(O261,AllTriggers)</f>
        <v>4.5109974931900519E-2</v>
      </c>
      <c r="S261" s="207">
        <f t="shared" si="6"/>
        <v>3.4402897854200615E-3</v>
      </c>
    </row>
    <row r="262" spans="5:19" ht="11.25" customHeight="1" x14ac:dyDescent="0.2">
      <c r="E262" s="199"/>
      <c r="F262" s="199"/>
      <c r="G262" s="198"/>
      <c r="J262" s="198"/>
      <c r="K262" s="198"/>
      <c r="M262" s="213">
        <f>_xll.qlCalendarAdvance(Calendar,M261,"1M","f",,Trigger)</f>
        <v>49999</v>
      </c>
      <c r="N262" s="204">
        <f>_xll.qlInterestRateIndexMaturity("AUDBBSW3M",M262)</f>
        <v>50091</v>
      </c>
      <c r="O262" s="206" t="str">
        <f>_xll.qlMakeDatedOIS(,M262,N262,OvernightIndex,0,,,,EvaluationDate)</f>
        <v>obj_0037a#0000</v>
      </c>
      <c r="P262" s="206" t="b">
        <f>_xll.qlInstrumentSetPricingEngine(O262,OisEngine)</f>
        <v>1</v>
      </c>
      <c r="Q262" s="205">
        <f>_xll.qlIndexFixing(Currency&amp;IborType&amp;"3M",_xll.qlInterestRateIndexFixingDate(Currency&amp;IborType&amp;"3M",M262),TRUE,AllTriggers)</f>
        <v>4.8491860135761018E-2</v>
      </c>
      <c r="R262" s="205">
        <f>_xll.qlOvernightIndexedSwapFairRate(O262,AllTriggers)</f>
        <v>4.5060194046418887E-2</v>
      </c>
      <c r="S262" s="207">
        <f t="shared" si="6"/>
        <v>3.4316660893421308E-3</v>
      </c>
    </row>
    <row r="263" spans="5:19" ht="11.25" customHeight="1" x14ac:dyDescent="0.2">
      <c r="E263" s="199"/>
      <c r="F263" s="199"/>
      <c r="G263" s="198"/>
      <c r="J263" s="198"/>
      <c r="K263" s="198"/>
      <c r="M263" s="213">
        <f>_xll.qlCalendarAdvance(Calendar,M262,"1M","f",,Trigger)</f>
        <v>50031</v>
      </c>
      <c r="N263" s="204">
        <f>_xll.qlInterestRateIndexMaturity("AUDBBSW3M",M263)</f>
        <v>50122</v>
      </c>
      <c r="O263" s="206" t="str">
        <f>_xll.qlMakeDatedOIS(,M263,N263,OvernightIndex,0,,,,EvaluationDate)</f>
        <v>obj_00376#0000</v>
      </c>
      <c r="P263" s="206" t="b">
        <f>_xll.qlInstrumentSetPricingEngine(O263,OisEngine)</f>
        <v>1</v>
      </c>
      <c r="Q263" s="205">
        <f>_xll.qlIndexFixing(Currency&amp;IborType&amp;"3M",_xll.qlInterestRateIndexFixingDate(Currency&amp;IborType&amp;"3M",M263),TRUE,AllTriggers)</f>
        <v>4.8431039538181508E-2</v>
      </c>
      <c r="R263" s="205">
        <f>_xll.qlOvernightIndexedSwapFairRate(O263,AllTriggers)</f>
        <v>4.5008752500888982E-2</v>
      </c>
      <c r="S263" s="207">
        <f t="shared" si="6"/>
        <v>3.4222870372925263E-3</v>
      </c>
    </row>
    <row r="264" spans="5:19" ht="11.25" customHeight="1" x14ac:dyDescent="0.2">
      <c r="E264" s="199"/>
      <c r="F264" s="199"/>
      <c r="G264" s="198"/>
      <c r="J264" s="198"/>
      <c r="K264" s="198"/>
      <c r="M264" s="213">
        <f>_xll.qlCalendarAdvance(Calendar,M263,"1M","f",,Trigger)</f>
        <v>50062</v>
      </c>
      <c r="N264" s="204">
        <f>_xll.qlInterestRateIndexMaturity("AUDBBSW3M",M264)</f>
        <v>50152</v>
      </c>
      <c r="O264" s="206" t="str">
        <f>_xll.qlMakeDatedOIS(,M264,N264,OvernightIndex,0,,,,EvaluationDate)</f>
        <v>obj_00377#0000</v>
      </c>
      <c r="P264" s="206" t="b">
        <f>_xll.qlInstrumentSetPricingEngine(O264,OisEngine)</f>
        <v>1</v>
      </c>
      <c r="Q264" s="205">
        <f>_xll.qlIndexFixing(Currency&amp;IborType&amp;"3M",_xll.qlInterestRateIndexFixingDate(Currency&amp;IborType&amp;"3M",M264),TRUE,AllTriggers)</f>
        <v>4.837373349356406E-2</v>
      </c>
      <c r="R264" s="205">
        <f>_xll.qlOvernightIndexedSwapFairRate(O264,AllTriggers)</f>
        <v>4.4960749229383971E-2</v>
      </c>
      <c r="S264" s="207">
        <f t="shared" si="6"/>
        <v>3.4129842641800884E-3</v>
      </c>
    </row>
    <row r="265" spans="5:19" ht="11.25" customHeight="1" x14ac:dyDescent="0.2">
      <c r="E265" s="199"/>
      <c r="F265" s="199"/>
      <c r="G265" s="198"/>
      <c r="J265" s="198"/>
      <c r="K265" s="198"/>
      <c r="M265" s="213">
        <f>_xll.qlCalendarAdvance(Calendar,M264,"1M","f",,Trigger)</f>
        <v>50094</v>
      </c>
      <c r="N265" s="204">
        <f>_xll.qlInterestRateIndexMaturity("AUDBBSW3M",M265)</f>
        <v>50185</v>
      </c>
      <c r="O265" s="206" t="str">
        <f>_xll.qlMakeDatedOIS(,M265,N265,OvernightIndex,0,,,,EvaluationDate)</f>
        <v>obj_0037b#0000</v>
      </c>
      <c r="P265" s="206" t="b">
        <f>_xll.qlInstrumentSetPricingEngine(O265,OisEngine)</f>
        <v>1</v>
      </c>
      <c r="Q265" s="205">
        <f>_xll.qlIndexFixing(Currency&amp;IborType&amp;"3M",_xll.qlInterestRateIndexFixingDate(Currency&amp;IborType&amp;"3M",M265),TRUE,AllTriggers)</f>
        <v>4.8321101565466068E-2</v>
      </c>
      <c r="R265" s="205">
        <f>_xll.qlOvernightIndexedSwapFairRate(O265,AllTriggers)</f>
        <v>4.491744569813215E-2</v>
      </c>
      <c r="S265" s="207">
        <f t="shared" si="6"/>
        <v>3.4036558673339184E-3</v>
      </c>
    </row>
    <row r="266" spans="5:19" ht="11.25" customHeight="1" x14ac:dyDescent="0.2">
      <c r="E266" s="199"/>
      <c r="F266" s="199"/>
      <c r="G266" s="198"/>
      <c r="J266" s="198"/>
      <c r="K266" s="198"/>
      <c r="M266" s="213">
        <f>_xll.qlCalendarAdvance(Calendar,M265,"1M","f",,Trigger)</f>
        <v>50122</v>
      </c>
      <c r="N266" s="204">
        <f>_xll.qlInterestRateIndexMaturity("AUDBBSW3M",M266)</f>
        <v>50214</v>
      </c>
      <c r="O266" s="206" t="str">
        <f>_xll.qlMakeDatedOIS(,M266,N266,OvernightIndex,0,,,,EvaluationDate)</f>
        <v>obj_00378#0000</v>
      </c>
      <c r="P266" s="206" t="b">
        <f>_xll.qlInstrumentSetPricingEngine(O266,OisEngine)</f>
        <v>1</v>
      </c>
      <c r="Q266" s="205">
        <f>_xll.qlIndexFixing(Currency&amp;IborType&amp;"3M",_xll.qlInterestRateIndexFixingDate(Currency&amp;IborType&amp;"3M",M266),TRUE,AllTriggers)</f>
        <v>4.8276864848652574E-2</v>
      </c>
      <c r="R266" s="205">
        <f>_xll.qlOvernightIndexedSwapFairRate(O266,AllTriggers)</f>
        <v>4.4881538682118235E-2</v>
      </c>
      <c r="S266" s="207">
        <f t="shared" si="6"/>
        <v>3.395326166534339E-3</v>
      </c>
    </row>
    <row r="267" spans="5:19" ht="11.25" customHeight="1" x14ac:dyDescent="0.2">
      <c r="E267" s="199"/>
      <c r="F267" s="199"/>
      <c r="G267" s="198"/>
      <c r="J267" s="198"/>
      <c r="K267" s="198"/>
      <c r="M267" s="213">
        <f>_xll.qlCalendarAdvance(Calendar,M266,"1M","f",,Trigger)</f>
        <v>50153</v>
      </c>
      <c r="N267" s="204">
        <f>_xll.qlInterestRateIndexMaturity("AUDBBSW3M",M267)</f>
        <v>50244</v>
      </c>
      <c r="O267" s="206" t="str">
        <f>_xll.qlMakeDatedOIS(,M267,N267,OvernightIndex,0,,,,EvaluationDate)</f>
        <v>obj_00379#0000</v>
      </c>
      <c r="P267" s="206" t="b">
        <f>_xll.qlInstrumentSetPricingEngine(O267,OisEngine)</f>
        <v>1</v>
      </c>
      <c r="Q267" s="205">
        <f>_xll.qlIndexFixing(Currency&amp;IborType&amp;"3M",_xll.qlInterestRateIndexFixingDate(Currency&amp;IborType&amp;"3M",M267),TRUE,AllTriggers)</f>
        <v>4.8224503258898578E-2</v>
      </c>
      <c r="R267" s="205">
        <f>_xll.qlOvernightIndexedSwapFairRate(O267,AllTriggers)</f>
        <v>4.4839102478940171E-2</v>
      </c>
      <c r="S267" s="207">
        <f t="shared" si="6"/>
        <v>3.3854007799584071E-3</v>
      </c>
    </row>
    <row r="268" spans="5:19" ht="11.25" customHeight="1" x14ac:dyDescent="0.2">
      <c r="E268" s="199"/>
      <c r="F268" s="199"/>
      <c r="G268" s="198"/>
      <c r="J268" s="198"/>
      <c r="K268" s="198"/>
      <c r="M268" s="213">
        <f>_xll.qlCalendarAdvance(Calendar,M267,"1M","f",,Trigger)</f>
        <v>50185</v>
      </c>
      <c r="N268" s="204">
        <f>_xll.qlInterestRateIndexMaturity("AUDBBSW3M",M268)</f>
        <v>50277</v>
      </c>
      <c r="O268" s="206" t="str">
        <f>_xll.qlMakeDatedOIS(,M268,N268,OvernightIndex,0,,,,EvaluationDate)</f>
        <v>obj_003a1#0000</v>
      </c>
      <c r="P268" s="206" t="b">
        <f>_xll.qlInstrumentSetPricingEngine(O268,OisEngine)</f>
        <v>1</v>
      </c>
      <c r="Q268" s="205">
        <f>_xll.qlIndexFixing(Currency&amp;IborType&amp;"3M",_xll.qlInterestRateIndexFixingDate(Currency&amp;IborType&amp;"3M",M268),TRUE,AllTriggers)</f>
        <v>4.817709952262407E-2</v>
      </c>
      <c r="R268" s="205">
        <f>_xll.qlOvernightIndexedSwapFairRate(O268,AllTriggers)</f>
        <v>4.480170007911121E-2</v>
      </c>
      <c r="S268" s="207">
        <f t="shared" si="6"/>
        <v>3.3753994435128595E-3</v>
      </c>
    </row>
    <row r="269" spans="5:19" ht="11.25" customHeight="1" x14ac:dyDescent="0.2">
      <c r="E269" s="199"/>
      <c r="F269" s="199"/>
      <c r="G269" s="198"/>
      <c r="J269" s="198"/>
      <c r="K269" s="198"/>
      <c r="M269" s="213">
        <f>_xll.qlCalendarAdvance(Calendar,M268,"1M","f",,Trigger)</f>
        <v>50216</v>
      </c>
      <c r="N269" s="204">
        <f>_xll.qlInterestRateIndexMaturity("AUDBBSW3M",M269)</f>
        <v>50308</v>
      </c>
      <c r="O269" s="206" t="str">
        <f>_xll.qlMakeDatedOIS(,M269,N269,OvernightIndex,0,,,,EvaluationDate)</f>
        <v>obj_0037e#0000</v>
      </c>
      <c r="P269" s="206" t="b">
        <f>_xll.qlInstrumentSetPricingEngine(O269,OisEngine)</f>
        <v>1</v>
      </c>
      <c r="Q269" s="205">
        <f>_xll.qlIndexFixing(Currency&amp;IborType&amp;"3M",_xll.qlInterestRateIndexFixingDate(Currency&amp;IborType&amp;"3M",M269),TRUE,AllTriggers)</f>
        <v>4.8130583278750229E-2</v>
      </c>
      <c r="R269" s="205">
        <f>_xll.qlOvernightIndexedSwapFairRate(O269,AllTriggers)</f>
        <v>4.4765315725638528E-2</v>
      </c>
      <c r="S269" s="207">
        <f t="shared" si="6"/>
        <v>3.3652675531117004E-3</v>
      </c>
    </row>
    <row r="270" spans="5:19" ht="11.25" customHeight="1" x14ac:dyDescent="0.2">
      <c r="E270" s="199"/>
      <c r="F270" s="199"/>
      <c r="G270" s="198"/>
      <c r="J270" s="198"/>
      <c r="K270" s="198"/>
      <c r="M270" s="213">
        <f>_xll.qlCalendarAdvance(Calendar,M269,"1M","f",,Trigger)</f>
        <v>50248</v>
      </c>
      <c r="N270" s="204">
        <f>_xll.qlInterestRateIndexMaturity("AUDBBSW3M",M270)</f>
        <v>50340</v>
      </c>
      <c r="O270" s="206" t="str">
        <f>_xll.qlMakeDatedOIS(,M270,N270,OvernightIndex,0,,,,EvaluationDate)</f>
        <v>obj_0037f#0000</v>
      </c>
      <c r="P270" s="206" t="b">
        <f>_xll.qlInstrumentSetPricingEngine(O270,OisEngine)</f>
        <v>1</v>
      </c>
      <c r="Q270" s="205">
        <f>_xll.qlIndexFixing(Currency&amp;IborType&amp;"3M",_xll.qlInterestRateIndexFixingDate(Currency&amp;IborType&amp;"3M",M270),TRUE,AllTriggers)</f>
        <v>4.808434763964195E-2</v>
      </c>
      <c r="R270" s="205">
        <f>_xll.qlOvernightIndexedSwapFairRate(O270,AllTriggers)</f>
        <v>4.4729764826850225E-2</v>
      </c>
      <c r="S270" s="207">
        <f t="shared" si="6"/>
        <v>3.3545828127917246E-3</v>
      </c>
    </row>
    <row r="271" spans="5:19" ht="11.25" customHeight="1" x14ac:dyDescent="0.2">
      <c r="E271" s="199"/>
      <c r="F271" s="199"/>
      <c r="G271" s="198"/>
      <c r="J271" s="198"/>
      <c r="K271" s="198"/>
      <c r="M271" s="213">
        <f>_xll.qlCalendarAdvance(Calendar,M270,"1M","f",,Trigger)</f>
        <v>50279</v>
      </c>
      <c r="N271" s="204">
        <f>_xll.qlInterestRateIndexMaturity("AUDBBSW3M",M271)</f>
        <v>50371</v>
      </c>
      <c r="O271" s="206" t="str">
        <f>_xll.qlMakeDatedOIS(,M271,N271,OvernightIndex,0,,,,EvaluationDate)</f>
        <v>obj_00380#0000</v>
      </c>
      <c r="P271" s="206" t="b">
        <f>_xll.qlInstrumentSetPricingEngine(O271,OisEngine)</f>
        <v>1</v>
      </c>
      <c r="Q271" s="205">
        <f>_xll.qlIndexFixing(Currency&amp;IborType&amp;"3M",_xll.qlInterestRateIndexFixingDate(Currency&amp;IborType&amp;"3M",M271),TRUE,AllTriggers)</f>
        <v>4.8041282274397495E-2</v>
      </c>
      <c r="R271" s="205">
        <f>_xll.qlOvernightIndexedSwapFairRate(O271,AllTriggers)</f>
        <v>4.4697269262626411E-2</v>
      </c>
      <c r="S271" s="207">
        <f t="shared" si="6"/>
        <v>3.344013011771084E-3</v>
      </c>
    </row>
    <row r="272" spans="5:19" ht="11.25" customHeight="1" x14ac:dyDescent="0.2">
      <c r="E272" s="199"/>
      <c r="F272" s="199"/>
      <c r="G272" s="198"/>
      <c r="J272" s="198"/>
      <c r="K272" s="198"/>
      <c r="M272" s="213">
        <f>_xll.qlCalendarAdvance(Calendar,M271,"1M","f",,Trigger)</f>
        <v>50311</v>
      </c>
      <c r="N272" s="204">
        <f>_xll.qlInterestRateIndexMaturity("AUDBBSW3M",M272)</f>
        <v>50403</v>
      </c>
      <c r="O272" s="206" t="str">
        <f>_xll.qlMakeDatedOIS(,M272,N272,OvernightIndex,0,,,,EvaluationDate)</f>
        <v>obj_00381#0000</v>
      </c>
      <c r="P272" s="206" t="b">
        <f>_xll.qlInstrumentSetPricingEngine(O272,OisEngine)</f>
        <v>1</v>
      </c>
      <c r="Q272" s="205">
        <f>_xll.qlIndexFixing(Currency&amp;IborType&amp;"3M",_xll.qlInterestRateIndexFixingDate(Currency&amp;IborType&amp;"3M",M272),TRUE,AllTriggers)</f>
        <v>4.799860871382583E-2</v>
      </c>
      <c r="R272" s="205">
        <f>_xll.qlOvernightIndexedSwapFairRate(O272,AllTriggers)</f>
        <v>4.4665732494450376E-2</v>
      </c>
      <c r="S272" s="207">
        <f t="shared" si="6"/>
        <v>3.3328762193754538E-3</v>
      </c>
    </row>
    <row r="273" spans="5:19" ht="11.25" customHeight="1" x14ac:dyDescent="0.2">
      <c r="E273" s="199"/>
      <c r="F273" s="199"/>
      <c r="G273" s="198"/>
      <c r="J273" s="198"/>
      <c r="K273" s="198"/>
      <c r="M273" s="213">
        <f>_xll.qlCalendarAdvance(Calendar,M272,"1M","f",,Trigger)</f>
        <v>50341</v>
      </c>
      <c r="N273" s="204">
        <f>_xll.qlInterestRateIndexMaturity("AUDBBSW3M",M273)</f>
        <v>50433</v>
      </c>
      <c r="O273" s="206" t="str">
        <f>_xll.qlMakeDatedOIS(,M273,N273,OvernightIndex,0,,,,EvaluationDate)</f>
        <v>obj_00382#0000</v>
      </c>
      <c r="P273" s="206" t="b">
        <f>_xll.qlInstrumentSetPricingEngine(O273,OisEngine)</f>
        <v>1</v>
      </c>
      <c r="Q273" s="205">
        <f>_xll.qlIndexFixing(Currency&amp;IborType&amp;"3M",_xll.qlInterestRateIndexFixingDate(Currency&amp;IborType&amp;"3M",M273),TRUE,AllTriggers)</f>
        <v>4.7960245393787973E-2</v>
      </c>
      <c r="R273" s="205">
        <f>_xll.qlOvernightIndexedSwapFairRate(O273,AllTriggers)</f>
        <v>4.4638018464774859E-2</v>
      </c>
      <c r="S273" s="207">
        <f t="shared" si="6"/>
        <v>3.322226929013114E-3</v>
      </c>
    </row>
    <row r="274" spans="5:19" ht="11.25" customHeight="1" x14ac:dyDescent="0.2">
      <c r="E274" s="199"/>
      <c r="F274" s="199"/>
      <c r="G274" s="198"/>
      <c r="J274" s="198"/>
      <c r="K274" s="198"/>
      <c r="M274" s="213">
        <f>_xll.qlCalendarAdvance(Calendar,M273,"1M","f",,Trigger)</f>
        <v>50374</v>
      </c>
      <c r="N274" s="204">
        <f>_xll.qlInterestRateIndexMaturity("AUDBBSW3M",M274)</f>
        <v>50462</v>
      </c>
      <c r="O274" s="206" t="str">
        <f>_xll.qlMakeDatedOIS(,M274,N274,OvernightIndex,0,,,,EvaluationDate)</f>
        <v>obj_00383#0000</v>
      </c>
      <c r="P274" s="206" t="b">
        <f>_xll.qlInstrumentSetPricingEngine(O274,OisEngine)</f>
        <v>1</v>
      </c>
      <c r="Q274" s="205">
        <f>_xll.qlIndexFixing(Currency&amp;IborType&amp;"3M",_xll.qlInterestRateIndexFixingDate(Currency&amp;IborType&amp;"3M",M274),TRUE,AllTriggers)</f>
        <v>4.7909689553735001E-2</v>
      </c>
      <c r="R274" s="205">
        <f>_xll.qlOvernightIndexedSwapFairRate(O274,AllTriggers)</f>
        <v>4.4600190569577078E-2</v>
      </c>
      <c r="S274" s="207">
        <f t="shared" si="6"/>
        <v>3.3094989841579228E-3</v>
      </c>
    </row>
    <row r="275" spans="5:19" ht="11.25" customHeight="1" x14ac:dyDescent="0.2">
      <c r="E275" s="199"/>
      <c r="F275" s="199"/>
      <c r="G275" s="198"/>
      <c r="J275" s="198"/>
      <c r="K275" s="198"/>
      <c r="M275" s="213">
        <f>_xll.qlCalendarAdvance(Calendar,M274,"1M","f",,Trigger)</f>
        <v>50404</v>
      </c>
      <c r="N275" s="204">
        <f>_xll.qlInterestRateIndexMaturity("AUDBBSW3M",M275)</f>
        <v>50494</v>
      </c>
      <c r="O275" s="206" t="str">
        <f>_xll.qlMakeDatedOIS(,M275,N275,OvernightIndex,0,,,,EvaluationDate)</f>
        <v>obj_00384#0000</v>
      </c>
      <c r="P275" s="206" t="b">
        <f>_xll.qlInstrumentSetPricingEngine(O275,OisEngine)</f>
        <v>1</v>
      </c>
      <c r="Q275" s="205">
        <f>_xll.qlIndexFixing(Currency&amp;IborType&amp;"3M",_xll.qlInterestRateIndexFixingDate(Currency&amp;IborType&amp;"3M",M275),TRUE,AllTriggers)</f>
        <v>4.7879716479573335E-2</v>
      </c>
      <c r="R275" s="205">
        <f>_xll.qlOvernightIndexedSwapFairRate(O275,AllTriggers)</f>
        <v>4.4580890199353185E-2</v>
      </c>
      <c r="S275" s="207">
        <f t="shared" si="6"/>
        <v>3.2988262802201504E-3</v>
      </c>
    </row>
    <row r="276" spans="5:19" ht="11.25" customHeight="1" x14ac:dyDescent="0.2">
      <c r="E276" s="199"/>
      <c r="F276" s="199"/>
      <c r="G276" s="198"/>
      <c r="J276" s="198"/>
      <c r="K276" s="198"/>
      <c r="M276" s="213">
        <f>_xll.qlCalendarAdvance(Calendar,M275,"1M","f",,Trigger)</f>
        <v>50437</v>
      </c>
      <c r="N276" s="204">
        <f>_xll.qlInterestRateIndexMaturity("AUDBBSW3M",M276)</f>
        <v>50528</v>
      </c>
      <c r="O276" s="206" t="str">
        <f>_xll.qlMakeDatedOIS(,M276,N276,OvernightIndex,0,,,,EvaluationDate)</f>
        <v>obj_00385#0000</v>
      </c>
      <c r="P276" s="206" t="b">
        <f>_xll.qlInstrumentSetPricingEngine(O276,OisEngine)</f>
        <v>1</v>
      </c>
      <c r="Q276" s="205">
        <f>_xll.qlIndexFixing(Currency&amp;IborType&amp;"3M",_xll.qlInterestRateIndexFixingDate(Currency&amp;IborType&amp;"3M",M276),TRUE,AllTriggers)</f>
        <v>4.7845572433510015E-2</v>
      </c>
      <c r="R276" s="205">
        <f>_xll.qlOvernightIndexedSwapFairRate(O276,AllTriggers)</f>
        <v>4.4558964115282151E-2</v>
      </c>
      <c r="S276" s="207">
        <f t="shared" si="6"/>
        <v>3.2866083182278641E-3</v>
      </c>
    </row>
    <row r="277" spans="5:19" ht="11.25" customHeight="1" x14ac:dyDescent="0.2">
      <c r="E277" s="199"/>
      <c r="F277" s="199"/>
      <c r="G277" s="198"/>
      <c r="J277" s="198"/>
      <c r="K277" s="198"/>
      <c r="M277" s="213">
        <f>_xll.qlCalendarAdvance(Calendar,M276,"1M","f",,Trigger)</f>
        <v>50465</v>
      </c>
      <c r="N277" s="204">
        <f>_xll.qlInterestRateIndexMaturity("AUDBBSW3M",M277)</f>
        <v>50557</v>
      </c>
      <c r="O277" s="206" t="str">
        <f>_xll.qlMakeDatedOIS(,M277,N277,OvernightIndex,0,,,,EvaluationDate)</f>
        <v>obj_00386#0000</v>
      </c>
      <c r="P277" s="206" t="b">
        <f>_xll.qlInstrumentSetPricingEngine(O277,OisEngine)</f>
        <v>1</v>
      </c>
      <c r="Q277" s="205">
        <f>_xll.qlIndexFixing(Currency&amp;IborType&amp;"3M",_xll.qlInterestRateIndexFixingDate(Currency&amp;IborType&amp;"3M",M277),TRUE,AllTriggers)</f>
        <v>4.7818545638360903E-2</v>
      </c>
      <c r="R277" s="205">
        <f>_xll.qlOvernightIndexedSwapFairRate(O277,AllTriggers)</f>
        <v>4.4542477046725669E-2</v>
      </c>
      <c r="S277" s="207">
        <f t="shared" si="6"/>
        <v>3.2760685916352339E-3</v>
      </c>
    </row>
    <row r="278" spans="5:19" ht="11.25" customHeight="1" x14ac:dyDescent="0.2">
      <c r="E278" s="199"/>
      <c r="F278" s="199"/>
      <c r="G278" s="198"/>
      <c r="J278" s="198"/>
      <c r="K278" s="198"/>
      <c r="M278" s="213">
        <f>_xll.qlCalendarAdvance(Calendar,M277,"1M","f",,Trigger)</f>
        <v>50496</v>
      </c>
      <c r="N278" s="204">
        <f>_xll.qlInterestRateIndexMaturity("AUDBBSW3M",M278)</f>
        <v>50587</v>
      </c>
      <c r="O278" s="206" t="str">
        <f>_xll.qlMakeDatedOIS(,M278,N278,OvernightIndex,0,,,,EvaluationDate)</f>
        <v>obj_00387#0000</v>
      </c>
      <c r="P278" s="206" t="b">
        <f>_xll.qlInstrumentSetPricingEngine(O278,OisEngine)</f>
        <v>1</v>
      </c>
      <c r="Q278" s="205">
        <f>_xll.qlIndexFixing(Currency&amp;IborType&amp;"3M",_xll.qlInterestRateIndexFixingDate(Currency&amp;IborType&amp;"3M",M278),TRUE,AllTriggers)</f>
        <v>4.7784725288904033E-2</v>
      </c>
      <c r="R278" s="205">
        <f>_xll.qlOvernightIndexedSwapFairRate(O278,AllTriggers)</f>
        <v>4.4520909820723577E-2</v>
      </c>
      <c r="S278" s="207">
        <f t="shared" si="6"/>
        <v>3.263815468180456E-3</v>
      </c>
    </row>
    <row r="279" spans="5:19" ht="11.25" customHeight="1" x14ac:dyDescent="0.2">
      <c r="E279" s="199"/>
      <c r="F279" s="199"/>
      <c r="G279" s="198"/>
      <c r="J279" s="198"/>
      <c r="K279" s="198"/>
      <c r="M279" s="213">
        <f>_xll.qlCalendarAdvance(Calendar,M278,"1M","f",,Trigger)</f>
        <v>50528</v>
      </c>
      <c r="N279" s="204">
        <f>_xll.qlInterestRateIndexMaturity("AUDBBSW3M",M279)</f>
        <v>50620</v>
      </c>
      <c r="O279" s="206" t="str">
        <f>_xll.qlMakeDatedOIS(,M279,N279,OvernightIndex,0,,,,EvaluationDate)</f>
        <v>obj_00388#0000</v>
      </c>
      <c r="P279" s="206" t="b">
        <f>_xll.qlInstrumentSetPricingEngine(O279,OisEngine)</f>
        <v>1</v>
      </c>
      <c r="Q279" s="205">
        <f>_xll.qlIndexFixing(Currency&amp;IborType&amp;"3M",_xll.qlInterestRateIndexFixingDate(Currency&amp;IborType&amp;"3M",M279),TRUE,AllTriggers)</f>
        <v>4.7756959245193388E-2</v>
      </c>
      <c r="R279" s="205">
        <f>_xll.qlOvernightIndexedSwapFairRate(O279,AllTriggers)</f>
        <v>4.4505663242223464E-2</v>
      </c>
      <c r="S279" s="207">
        <f t="shared" si="6"/>
        <v>3.2512960029699237E-3</v>
      </c>
    </row>
    <row r="280" spans="5:19" ht="11.25" customHeight="1" x14ac:dyDescent="0.2">
      <c r="E280" s="199"/>
      <c r="F280" s="199"/>
      <c r="G280" s="198"/>
      <c r="J280" s="198"/>
      <c r="K280" s="198"/>
      <c r="M280" s="213">
        <f>_xll.qlCalendarAdvance(Calendar,M279,"1M","f",,Trigger)</f>
        <v>50559</v>
      </c>
      <c r="N280" s="204">
        <f>_xll.qlInterestRateIndexMaturity("AUDBBSW3M",M280)</f>
        <v>50651</v>
      </c>
      <c r="O280" s="206" t="str">
        <f>_xll.qlMakeDatedOIS(,M280,N280,OvernightIndex,0,,,,EvaluationDate)</f>
        <v>obj_00389#0000</v>
      </c>
      <c r="P280" s="206" t="b">
        <f>_xll.qlInstrumentSetPricingEngine(O280,OisEngine)</f>
        <v>1</v>
      </c>
      <c r="Q280" s="205">
        <f>_xll.qlIndexFixing(Currency&amp;IborType&amp;"3M",_xll.qlInterestRateIndexFixingDate(Currency&amp;IborType&amp;"3M",M280),TRUE,AllTriggers)</f>
        <v>4.7729228639994195E-2</v>
      </c>
      <c r="R280" s="205">
        <f>_xll.qlOvernightIndexedSwapFairRate(O280,AllTriggers)</f>
        <v>4.4490449154399113E-2</v>
      </c>
      <c r="S280" s="207">
        <f t="shared" si="6"/>
        <v>3.2387794855950822E-3</v>
      </c>
    </row>
    <row r="281" spans="5:19" ht="11.25" customHeight="1" x14ac:dyDescent="0.2">
      <c r="E281" s="199"/>
      <c r="F281" s="199"/>
      <c r="G281" s="198"/>
      <c r="J281" s="198"/>
      <c r="K281" s="198"/>
      <c r="M281" s="213">
        <f>_xll.qlCalendarAdvance(Calendar,M280,"1M","f",,Trigger)</f>
        <v>50591</v>
      </c>
      <c r="N281" s="204">
        <f>_xll.qlInterestRateIndexMaturity("AUDBBSW3M",M281)</f>
        <v>50683</v>
      </c>
      <c r="O281" s="206" t="str">
        <f>_xll.qlMakeDatedOIS(,M281,N281,OvernightIndex,0,,,,EvaluationDate)</f>
        <v>obj_0038a#0000</v>
      </c>
      <c r="P281" s="206" t="b">
        <f>_xll.qlInstrumentSetPricingEngine(O281,OisEngine)</f>
        <v>1</v>
      </c>
      <c r="Q281" s="205">
        <f>_xll.qlIndexFixing(Currency&amp;IborType&amp;"3M",_xll.qlInterestRateIndexFixingDate(Currency&amp;IborType&amp;"3M",M281),TRUE,AllTriggers)</f>
        <v>4.7702384094227022E-2</v>
      </c>
      <c r="R281" s="205">
        <f>_xll.qlOvernightIndexedSwapFairRate(O281,AllTriggers)</f>
        <v>4.447675101527785E-2</v>
      </c>
      <c r="S281" s="207">
        <f t="shared" si="6"/>
        <v>3.2256330789491722E-3</v>
      </c>
    </row>
    <row r="282" spans="5:19" ht="11.25" customHeight="1" x14ac:dyDescent="0.2">
      <c r="E282" s="199"/>
      <c r="F282" s="199"/>
      <c r="G282" s="198"/>
      <c r="J282" s="198"/>
      <c r="K282" s="198"/>
      <c r="M282" s="213">
        <f>_xll.qlCalendarAdvance(Calendar,M281,"1M","f",,Trigger)</f>
        <v>50622</v>
      </c>
      <c r="N282" s="204">
        <f>_xll.qlInterestRateIndexMaturity("AUDBBSW3M",M282)</f>
        <v>50714</v>
      </c>
      <c r="O282" s="206" t="str">
        <f>_xll.qlMakeDatedOIS(,M282,N282,OvernightIndex,0,,,,EvaluationDate)</f>
        <v>obj_0038b#0000</v>
      </c>
      <c r="P282" s="206" t="b">
        <f>_xll.qlInstrumentSetPricingEngine(O282,OisEngine)</f>
        <v>1</v>
      </c>
      <c r="Q282" s="205">
        <f>_xll.qlIndexFixing(Currency&amp;IborType&amp;"3M",_xll.qlInterestRateIndexFixingDate(Currency&amp;IborType&amp;"3M",M282),TRUE,AllTriggers)</f>
        <v>4.7678103358125362E-2</v>
      </c>
      <c r="R282" s="205">
        <f>_xll.qlOvernightIndexedSwapFairRate(O282,AllTriggers)</f>
        <v>4.4465424938785525E-2</v>
      </c>
      <c r="S282" s="207">
        <f t="shared" si="6"/>
        <v>3.2126784193398372E-3</v>
      </c>
    </row>
    <row r="283" spans="5:19" ht="11.25" customHeight="1" x14ac:dyDescent="0.2">
      <c r="E283" s="199"/>
      <c r="F283" s="199"/>
      <c r="G283" s="198"/>
      <c r="J283" s="198"/>
      <c r="K283" s="198"/>
      <c r="M283" s="213">
        <f>_xll.qlCalendarAdvance(Calendar,M282,"1M","f",,Trigger)</f>
        <v>50654</v>
      </c>
      <c r="N283" s="204">
        <f>_xll.qlInterestRateIndexMaturity("AUDBBSW3M",M283)</f>
        <v>50745</v>
      </c>
      <c r="O283" s="206" t="str">
        <f>_xll.qlMakeDatedOIS(,M283,N283,OvernightIndex,0,,,,EvaluationDate)</f>
        <v>obj_003a5#0000</v>
      </c>
      <c r="P283" s="206" t="b">
        <f>_xll.qlInstrumentSetPricingEngine(O283,OisEngine)</f>
        <v>1</v>
      </c>
      <c r="Q283" s="205">
        <f>_xll.qlIndexFixing(Currency&amp;IborType&amp;"3M",_xll.qlInterestRateIndexFixingDate(Currency&amp;IborType&amp;"3M",M283),TRUE,AllTriggers)</f>
        <v>4.7652057863794783E-2</v>
      </c>
      <c r="R283" s="205">
        <f>_xll.qlOvernightIndexedSwapFairRate(O283,AllTriggers)</f>
        <v>4.4453126214821739E-2</v>
      </c>
      <c r="S283" s="207">
        <f t="shared" si="6"/>
        <v>3.1989316489730441E-3</v>
      </c>
    </row>
    <row r="284" spans="5:19" ht="11.25" customHeight="1" x14ac:dyDescent="0.2">
      <c r="E284" s="199"/>
      <c r="F284" s="199"/>
      <c r="G284" s="198"/>
      <c r="J284" s="198"/>
      <c r="K284" s="198"/>
      <c r="M284" s="213">
        <f>_xll.qlCalendarAdvance(Calendar,M283,"1M","f",,Trigger)</f>
        <v>50684</v>
      </c>
      <c r="N284" s="204">
        <f>_xll.qlInterestRateIndexMaturity("AUDBBSW3M",M284)</f>
        <v>50776</v>
      </c>
      <c r="O284" s="206" t="str">
        <f>_xll.qlMakeDatedOIS(,M284,N284,OvernightIndex,0,,,,EvaluationDate)</f>
        <v>obj_0038c#0000</v>
      </c>
      <c r="P284" s="206" t="b">
        <f>_xll.qlInstrumentSetPricingEngine(O284,OisEngine)</f>
        <v>1</v>
      </c>
      <c r="Q284" s="205">
        <f>_xll.qlIndexFixing(Currency&amp;IborType&amp;"3M",_xll.qlInterestRateIndexFixingDate(Currency&amp;IborType&amp;"3M",M284),TRUE,AllTriggers)</f>
        <v>4.7634634377747655E-2</v>
      </c>
      <c r="R284" s="205">
        <f>_xll.qlOvernightIndexedSwapFairRate(O284,AllTriggers)</f>
        <v>4.4448512138398379E-2</v>
      </c>
      <c r="S284" s="207">
        <f t="shared" si="6"/>
        <v>3.1861222393492761E-3</v>
      </c>
    </row>
    <row r="285" spans="5:19" ht="11.25" customHeight="1" x14ac:dyDescent="0.2">
      <c r="E285" s="199"/>
      <c r="F285" s="199"/>
      <c r="G285" s="198"/>
      <c r="J285" s="198"/>
      <c r="K285" s="198"/>
      <c r="M285" s="213">
        <f>_xll.qlCalendarAdvance(Calendar,M284,"1M","f",,Trigger)</f>
        <v>50717</v>
      </c>
      <c r="N285" s="204">
        <f>_xll.qlInterestRateIndexMaturity("AUDBBSW3M",M285)</f>
        <v>50809</v>
      </c>
      <c r="O285" s="206" t="str">
        <f>_xll.qlMakeDatedOIS(,M285,N285,OvernightIndex,0,,,,EvaluationDate)</f>
        <v>obj_0038d#0000</v>
      </c>
      <c r="P285" s="206" t="b">
        <f>_xll.qlInstrumentSetPricingEngine(O285,OisEngine)</f>
        <v>1</v>
      </c>
      <c r="Q285" s="205">
        <f>_xll.qlIndexFixing(Currency&amp;IborType&amp;"3M",_xll.qlInterestRateIndexFixingDate(Currency&amp;IborType&amp;"3M",M285),TRUE,AllTriggers)</f>
        <v>4.7614266412135023E-2</v>
      </c>
      <c r="R285" s="205">
        <f>_xll.qlOvernightIndexedSwapFairRate(O285,AllTriggers)</f>
        <v>4.4442630648683125E-2</v>
      </c>
      <c r="S285" s="207">
        <f t="shared" si="6"/>
        <v>3.171635763451898E-3</v>
      </c>
    </row>
    <row r="286" spans="5:19" ht="11.25" customHeight="1" x14ac:dyDescent="0.2">
      <c r="E286" s="199"/>
      <c r="F286" s="199"/>
      <c r="G286" s="198"/>
      <c r="J286" s="198"/>
      <c r="K286" s="198"/>
      <c r="M286" s="213">
        <f>_xll.qlCalendarAdvance(Calendar,M285,"1M","f",,Trigger)</f>
        <v>50747</v>
      </c>
      <c r="N286" s="204">
        <f>_xll.qlInterestRateIndexMaturity("AUDBBSW3M",M286)</f>
        <v>50837</v>
      </c>
      <c r="O286" s="206" t="str">
        <f>_xll.qlMakeDatedOIS(,M286,N286,OvernightIndex,0,,,,EvaluationDate)</f>
        <v>obj_0038e#0000</v>
      </c>
      <c r="P286" s="206" t="b">
        <f>_xll.qlInstrumentSetPricingEngine(O286,OisEngine)</f>
        <v>1</v>
      </c>
      <c r="Q286" s="205">
        <f>_xll.qlIndexFixing(Currency&amp;IborType&amp;"3M",_xll.qlInterestRateIndexFixingDate(Currency&amp;IborType&amp;"3M",M286),TRUE,AllTriggers)</f>
        <v>4.7591746606700971E-2</v>
      </c>
      <c r="R286" s="205">
        <f>_xll.qlOvernightIndexedSwapFairRate(O286,AllTriggers)</f>
        <v>4.4433756956363979E-2</v>
      </c>
      <c r="S286" s="207">
        <f t="shared" si="6"/>
        <v>3.1579896503369925E-3</v>
      </c>
    </row>
    <row r="287" spans="5:19" ht="11.25" customHeight="1" x14ac:dyDescent="0.2">
      <c r="E287" s="199"/>
      <c r="F287" s="199"/>
      <c r="G287" s="198"/>
      <c r="J287" s="198"/>
      <c r="K287" s="198"/>
      <c r="M287" s="213">
        <f>_xll.qlCalendarAdvance(Calendar,M286,"1M","f",,Trigger)</f>
        <v>50780</v>
      </c>
      <c r="N287" s="204">
        <f>_xll.qlInterestRateIndexMaturity("AUDBBSW3M",M287)</f>
        <v>50872</v>
      </c>
      <c r="O287" s="206" t="str">
        <f>_xll.qlMakeDatedOIS(,M287,N287,OvernightIndex,0,,,,EvaluationDate)</f>
        <v>obj_0038f#0000</v>
      </c>
      <c r="P287" s="206" t="b">
        <f>_xll.qlInstrumentSetPricingEngine(O287,OisEngine)</f>
        <v>1</v>
      </c>
      <c r="Q287" s="205">
        <f>_xll.qlIndexFixing(Currency&amp;IborType&amp;"3M",_xll.qlInterestRateIndexFixingDate(Currency&amp;IborType&amp;"3M",M287),TRUE,AllTriggers)</f>
        <v>4.7580723419441126E-2</v>
      </c>
      <c r="R287" s="205">
        <f>_xll.qlOvernightIndexedSwapFairRate(O287,AllTriggers)</f>
        <v>4.4437422304669669E-2</v>
      </c>
      <c r="S287" s="207">
        <f t="shared" si="6"/>
        <v>3.1433011147714573E-3</v>
      </c>
    </row>
    <row r="288" spans="5:19" ht="11.25" customHeight="1" x14ac:dyDescent="0.2">
      <c r="E288" s="199"/>
      <c r="F288" s="199"/>
      <c r="G288" s="198"/>
      <c r="J288" s="198"/>
      <c r="K288" s="198"/>
      <c r="M288" s="213">
        <f>_xll.qlCalendarAdvance(Calendar,M287,"1M","f",,Trigger)</f>
        <v>50811</v>
      </c>
      <c r="N288" s="204">
        <f>_xll.qlInterestRateIndexMaturity("AUDBBSW3M",M288)</f>
        <v>50900</v>
      </c>
      <c r="O288" s="206" t="str">
        <f>_xll.qlMakeDatedOIS(,M288,N288,OvernightIndex,0,,,,EvaluationDate)</f>
        <v>obj_00390#0000</v>
      </c>
      <c r="P288" s="206" t="b">
        <f>_xll.qlInstrumentSetPricingEngine(O288,OisEngine)</f>
        <v>1</v>
      </c>
      <c r="Q288" s="205">
        <f>_xll.qlIndexFixing(Currency&amp;IborType&amp;"3M",_xll.qlInterestRateIndexFixingDate(Currency&amp;IborType&amp;"3M",M288),TRUE,AllTriggers)</f>
        <v>4.7558126235654044E-2</v>
      </c>
      <c r="R288" s="205">
        <f>_xll.qlOvernightIndexedSwapFairRate(O288,AllTriggers)</f>
        <v>4.4429458565516701E-2</v>
      </c>
      <c r="S288" s="207">
        <f t="shared" si="6"/>
        <v>3.1286676701373431E-3</v>
      </c>
    </row>
    <row r="289" spans="5:19" ht="11.25" customHeight="1" x14ac:dyDescent="0.2">
      <c r="E289" s="199"/>
      <c r="F289" s="199"/>
      <c r="G289" s="198"/>
      <c r="J289" s="198"/>
      <c r="K289" s="198"/>
      <c r="M289" s="213">
        <f>_xll.qlCalendarAdvance(Calendar,M288,"1M","f",,Trigger)</f>
        <v>50839</v>
      </c>
      <c r="N289" s="204">
        <f>_xll.qlInterestRateIndexMaturity("AUDBBSW3M",M289)</f>
        <v>50931</v>
      </c>
      <c r="O289" s="206" t="str">
        <f>_xll.qlMakeDatedOIS(,M289,N289,OvernightIndex,0,,,,EvaluationDate)</f>
        <v>obj_00391#0000</v>
      </c>
      <c r="P289" s="206" t="b">
        <f>_xll.qlInstrumentSetPricingEngine(O289,OisEngine)</f>
        <v>1</v>
      </c>
      <c r="Q289" s="205">
        <f>_xll.qlIndexFixing(Currency&amp;IborType&amp;"3M",_xll.qlInterestRateIndexFixingDate(Currency&amp;IborType&amp;"3M",M289),TRUE,AllTriggers)</f>
        <v>4.7555666943194852E-2</v>
      </c>
      <c r="R289" s="205">
        <f>_xll.qlOvernightIndexedSwapFairRate(O289,AllTriggers)</f>
        <v>4.443970925141208E-2</v>
      </c>
      <c r="S289" s="207">
        <f t="shared" si="6"/>
        <v>3.1159576917827725E-3</v>
      </c>
    </row>
    <row r="290" spans="5:19" ht="11.25" customHeight="1" x14ac:dyDescent="0.2">
      <c r="E290" s="199"/>
      <c r="F290" s="199"/>
      <c r="G290" s="198"/>
      <c r="J290" s="198"/>
      <c r="K290" s="198"/>
      <c r="M290" s="213">
        <f>_xll.qlCalendarAdvance(Calendar,M289,"1M","f",,Trigger)</f>
        <v>50872</v>
      </c>
      <c r="N290" s="204">
        <f>_xll.qlInterestRateIndexMaturity("AUDBBSW3M",M290)</f>
        <v>50963</v>
      </c>
      <c r="O290" s="206" t="str">
        <f>_xll.qlMakeDatedOIS(,M290,N290,OvernightIndex,0,,,,EvaluationDate)</f>
        <v>obj_00392#0000</v>
      </c>
      <c r="P290" s="206" t="b">
        <f>_xll.qlInstrumentSetPricingEngine(O290,OisEngine)</f>
        <v>1</v>
      </c>
      <c r="Q290" s="205">
        <f>_xll.qlIndexFixing(Currency&amp;IborType&amp;"3M",_xll.qlInterestRateIndexFixingDate(Currency&amp;IborType&amp;"3M",M290),TRUE,AllTriggers)</f>
        <v>4.7541393241714448E-2</v>
      </c>
      <c r="R290" s="205">
        <f>_xll.qlOvernightIndexedSwapFairRate(O290,AllTriggers)</f>
        <v>4.444118080699927E-2</v>
      </c>
      <c r="S290" s="207">
        <f t="shared" si="6"/>
        <v>3.1002124347151785E-3</v>
      </c>
    </row>
    <row r="291" spans="5:19" ht="11.25" customHeight="1" x14ac:dyDescent="0.2">
      <c r="E291" s="199"/>
      <c r="F291" s="199"/>
      <c r="G291" s="198"/>
      <c r="J291" s="198"/>
      <c r="K291" s="198"/>
      <c r="M291" s="213">
        <f>_xll.qlCalendarAdvance(Calendar,M290,"1M","f",,Trigger)</f>
        <v>50902</v>
      </c>
      <c r="N291" s="204">
        <f>_xll.qlInterestRateIndexMaturity("AUDBBSW3M",M291)</f>
        <v>50994</v>
      </c>
      <c r="O291" s="206" t="str">
        <f>_xll.qlMakeDatedOIS(,M291,N291,OvernightIndex,0,,,,EvaluationDate)</f>
        <v>obj_00393#0000</v>
      </c>
      <c r="P291" s="206" t="b">
        <f>_xll.qlInstrumentSetPricingEngine(O291,OisEngine)</f>
        <v>1</v>
      </c>
      <c r="Q291" s="205">
        <f>_xll.qlIndexFixing(Currency&amp;IborType&amp;"3M",_xll.qlInterestRateIndexFixingDate(Currency&amp;IborType&amp;"3M",M291),TRUE,AllTriggers)</f>
        <v>4.7535699362273261E-2</v>
      </c>
      <c r="R291" s="205">
        <f>_xll.qlOvernightIndexedSwapFairRate(O291,AllTriggers)</f>
        <v>4.4449801597242433E-2</v>
      </c>
      <c r="S291" s="207">
        <f t="shared" si="6"/>
        <v>3.0858977650308275E-3</v>
      </c>
    </row>
    <row r="292" spans="5:19" ht="11.25" customHeight="1" x14ac:dyDescent="0.2">
      <c r="E292" s="199"/>
      <c r="F292" s="199"/>
      <c r="G292" s="198"/>
      <c r="J292" s="198"/>
      <c r="K292" s="198"/>
      <c r="M292" s="213">
        <f>_xll.qlCalendarAdvance(Calendar,M291,"1M","f",,Trigger)</f>
        <v>50935</v>
      </c>
      <c r="N292" s="204">
        <f>_xll.qlInterestRateIndexMaturity("AUDBBSW3M",M292)</f>
        <v>51027</v>
      </c>
      <c r="O292" s="206" t="str">
        <f>_xll.qlMakeDatedOIS(,M292,N292,OvernightIndex,0,,,,EvaluationDate)</f>
        <v>obj_00394#0000</v>
      </c>
      <c r="P292" s="206" t="b">
        <f>_xll.qlInstrumentSetPricingEngine(O292,OisEngine)</f>
        <v>1</v>
      </c>
      <c r="Q292" s="205">
        <f>_xll.qlIndexFixing(Currency&amp;IborType&amp;"3M",_xll.qlInterestRateIndexFixingDate(Currency&amp;IborType&amp;"3M",M292),TRUE,AllTriggers)</f>
        <v>4.7528037808711801E-2</v>
      </c>
      <c r="R292" s="205">
        <f>_xll.qlOvernightIndexedSwapFairRate(O292,AllTriggers)</f>
        <v>4.4458241357077773E-2</v>
      </c>
      <c r="S292" s="207">
        <f t="shared" si="6"/>
        <v>3.0697964516340284E-3</v>
      </c>
    </row>
    <row r="293" spans="5:19" ht="11.25" customHeight="1" x14ac:dyDescent="0.2">
      <c r="E293" s="199"/>
      <c r="F293" s="199"/>
      <c r="G293" s="198"/>
      <c r="J293" s="198"/>
      <c r="K293" s="198"/>
      <c r="M293" s="213">
        <f>_xll.qlCalendarAdvance(Calendar,M292,"1M","f",,Trigger)</f>
        <v>50965</v>
      </c>
      <c r="N293" s="204">
        <f>_xll.qlInterestRateIndexMaturity("AUDBBSW3M",M293)</f>
        <v>51057</v>
      </c>
      <c r="O293" s="206" t="str">
        <f>_xll.qlMakeDatedOIS(,M293,N293,OvernightIndex,0,,,,EvaluationDate)</f>
        <v>obj_00395#0000</v>
      </c>
      <c r="P293" s="206" t="b">
        <f>_xll.qlInstrumentSetPricingEngine(O293,OisEngine)</f>
        <v>1</v>
      </c>
      <c r="Q293" s="205">
        <f>_xll.qlIndexFixing(Currency&amp;IborType&amp;"3M",_xll.qlInterestRateIndexFixingDate(Currency&amp;IborType&amp;"3M",M293),TRUE,AllTriggers)</f>
        <v>4.7522641091338885E-2</v>
      </c>
      <c r="R293" s="205">
        <f>_xll.qlOvernightIndexedSwapFairRate(O293,AllTriggers)</f>
        <v>4.4467664788327879E-2</v>
      </c>
      <c r="S293" s="207">
        <f t="shared" si="6"/>
        <v>3.0549763030110061E-3</v>
      </c>
    </row>
    <row r="294" spans="5:19" ht="11.25" customHeight="1" x14ac:dyDescent="0.2">
      <c r="E294" s="199"/>
      <c r="F294" s="199"/>
      <c r="G294" s="198"/>
      <c r="J294" s="198"/>
      <c r="K294" s="198"/>
      <c r="M294" s="213">
        <f>_xll.qlCalendarAdvance(Calendar,M293,"1M","f",,Trigger)</f>
        <v>50997</v>
      </c>
      <c r="N294" s="204">
        <f>_xll.qlInterestRateIndexMaturity("AUDBBSW3M",M294)</f>
        <v>51089</v>
      </c>
      <c r="O294" s="206" t="str">
        <f>_xll.qlMakeDatedOIS(,M294,N294,OvernightIndex,0,,,,EvaluationDate)</f>
        <v>obj_00396#0000</v>
      </c>
      <c r="P294" s="206" t="b">
        <f>_xll.qlInstrumentSetPricingEngine(O294,OisEngine)</f>
        <v>1</v>
      </c>
      <c r="Q294" s="205">
        <f>_xll.qlIndexFixing(Currency&amp;IborType&amp;"3M",_xll.qlInterestRateIndexFixingDate(Currency&amp;IborType&amp;"3M",M294),TRUE,AllTriggers)</f>
        <v>4.7518038707786203E-2</v>
      </c>
      <c r="R294" s="205">
        <f>_xll.qlOvernightIndexedSwapFairRate(O294,AllTriggers)</f>
        <v>4.4478917557782389E-2</v>
      </c>
      <c r="S294" s="207">
        <f t="shared" si="6"/>
        <v>3.0391211500038137E-3</v>
      </c>
    </row>
    <row r="295" spans="5:19" ht="11.25" customHeight="1" x14ac:dyDescent="0.2">
      <c r="E295" s="199"/>
      <c r="F295" s="199"/>
      <c r="G295" s="198"/>
      <c r="J295" s="198"/>
      <c r="K295" s="198"/>
      <c r="M295" s="213">
        <f>_xll.qlCalendarAdvance(Calendar,M294,"1M","f",,Trigger)</f>
        <v>51028</v>
      </c>
      <c r="N295" s="204">
        <f>_xll.qlInterestRateIndexMaturity("AUDBBSW3M",M295)</f>
        <v>51119</v>
      </c>
      <c r="O295" s="206" t="str">
        <f>_xll.qlMakeDatedOIS(,M295,N295,OvernightIndex,0,,,,EvaluationDate)</f>
        <v>obj_00397#0000</v>
      </c>
      <c r="P295" s="206" t="b">
        <f>_xll.qlInstrumentSetPricingEngine(O295,OisEngine)</f>
        <v>1</v>
      </c>
      <c r="Q295" s="205">
        <f>_xll.qlIndexFixing(Currency&amp;IborType&amp;"3M",_xll.qlInterestRateIndexFixingDate(Currency&amp;IborType&amp;"3M",M295),TRUE,AllTriggers)</f>
        <v>4.7511138000231747E-2</v>
      </c>
      <c r="R295" s="205">
        <f>_xll.qlOvernightIndexedSwapFairRate(O295,AllTriggers)</f>
        <v>4.4487358196168884E-2</v>
      </c>
      <c r="S295" s="207">
        <f t="shared" si="6"/>
        <v>3.0237798040628622E-3</v>
      </c>
    </row>
    <row r="296" spans="5:19" ht="11.25" customHeight="1" x14ac:dyDescent="0.2">
      <c r="E296" s="199"/>
      <c r="F296" s="199"/>
      <c r="G296" s="198"/>
      <c r="J296" s="198"/>
      <c r="K296" s="198"/>
      <c r="M296" s="213">
        <f>_xll.qlCalendarAdvance(Calendar,M295,"1M","f",,Trigger)</f>
        <v>51060</v>
      </c>
      <c r="N296" s="204">
        <f>_xll.qlInterestRateIndexMaturity("AUDBBSW3M",M296)</f>
        <v>51152</v>
      </c>
      <c r="O296" s="206" t="str">
        <f>_xll.qlMakeDatedOIS(,M296,N296,OvernightIndex,0,,,,EvaluationDate)</f>
        <v>obj_00398#0000</v>
      </c>
      <c r="P296" s="206" t="b">
        <f>_xll.qlInstrumentSetPricingEngine(O296,OisEngine)</f>
        <v>1</v>
      </c>
      <c r="Q296" s="205">
        <f>_xll.qlIndexFixing(Currency&amp;IborType&amp;"3M",_xll.qlInterestRateIndexFixingDate(Currency&amp;IborType&amp;"3M",M296),TRUE,AllTriggers)</f>
        <v>4.7510290403917278E-2</v>
      </c>
      <c r="R296" s="205">
        <f>_xll.qlOvernightIndexedSwapFairRate(O296,AllTriggers)</f>
        <v>4.4501888282662862E-2</v>
      </c>
      <c r="S296" s="207">
        <f t="shared" si="6"/>
        <v>3.0084021212544165E-3</v>
      </c>
    </row>
    <row r="297" spans="5:19" ht="11.25" customHeight="1" x14ac:dyDescent="0.2">
      <c r="E297" s="199"/>
      <c r="F297" s="199"/>
      <c r="G297" s="198"/>
      <c r="J297" s="198"/>
      <c r="K297" s="198"/>
      <c r="M297" s="213">
        <f>_xll.qlCalendarAdvance(Calendar,M296,"1M","f",,Trigger)</f>
        <v>51091</v>
      </c>
      <c r="N297" s="204">
        <f>_xll.qlInterestRateIndexMaturity("AUDBBSW3M",M297)</f>
        <v>51183</v>
      </c>
      <c r="O297" s="206" t="str">
        <f>_xll.qlMakeDatedOIS(,M297,N297,OvernightIndex,0,,,,EvaluationDate)</f>
        <v>obj_00399#0000</v>
      </c>
      <c r="P297" s="206" t="b">
        <f>_xll.qlInstrumentSetPricingEngine(O297,OisEngine)</f>
        <v>1</v>
      </c>
      <c r="Q297" s="205">
        <f>_xll.qlIndexFixing(Currency&amp;IborType&amp;"3M",_xll.qlInterestRateIndexFixingDate(Currency&amp;IborType&amp;"3M",M297),TRUE,AllTriggers)</f>
        <v>4.7506610905440068E-2</v>
      </c>
      <c r="R297" s="205">
        <f>_xll.qlOvernightIndexedSwapFairRate(O297,AllTriggers)</f>
        <v>4.4512934362505856E-2</v>
      </c>
      <c r="S297" s="207">
        <f t="shared" si="6"/>
        <v>2.9936765429342121E-3</v>
      </c>
    </row>
    <row r="298" spans="5:19" ht="11.25" customHeight="1" x14ac:dyDescent="0.2">
      <c r="E298" s="199"/>
      <c r="F298" s="199"/>
      <c r="G298" s="198"/>
      <c r="J298" s="198"/>
      <c r="K298" s="198"/>
      <c r="M298" s="213">
        <f>_xll.qlCalendarAdvance(Calendar,M297,"1M","f",,Trigger)</f>
        <v>51123</v>
      </c>
      <c r="N298" s="204">
        <f>_xll.qlInterestRateIndexMaturity("AUDBBSW3M",M298)</f>
        <v>51214</v>
      </c>
      <c r="O298" s="206" t="str">
        <f>_xll.qlMakeDatedOIS(,M298,N298,OvernightIndex,0,,,,EvaluationDate)</f>
        <v>obj_0039a#0000</v>
      </c>
      <c r="P298" s="206" t="b">
        <f>_xll.qlInstrumentSetPricingEngine(O298,OisEngine)</f>
        <v>1</v>
      </c>
      <c r="Q298" s="205">
        <f>_xll.qlIndexFixing(Currency&amp;IborType&amp;"3M",_xll.qlInterestRateIndexFixingDate(Currency&amp;IborType&amp;"3M",M298),TRUE,AllTriggers)</f>
        <v>4.7499860318743259E-2</v>
      </c>
      <c r="R298" s="205">
        <f>_xll.qlOvernightIndexedSwapFairRate(O298,AllTriggers)</f>
        <v>4.4521214701056425E-2</v>
      </c>
      <c r="S298" s="207">
        <f t="shared" si="6"/>
        <v>2.9786456176868342E-3</v>
      </c>
    </row>
    <row r="299" spans="5:19" ht="11.25" customHeight="1" x14ac:dyDescent="0.2">
      <c r="E299" s="199"/>
      <c r="F299" s="199"/>
      <c r="G299" s="198"/>
      <c r="J299" s="198"/>
      <c r="K299" s="198"/>
      <c r="M299" s="213">
        <f>_xll.qlCalendarAdvance(Calendar,M298,"1M","f",,Trigger)</f>
        <v>51154</v>
      </c>
      <c r="N299" s="204">
        <f>_xll.qlInterestRateIndexMaturity("AUDBBSW3M",M299)</f>
        <v>51245</v>
      </c>
      <c r="O299" s="206" t="str">
        <f>_xll.qlMakeDatedOIS(,M299,N299,OvernightIndex,0,,,,EvaluationDate)</f>
        <v>obj_003a4#0000</v>
      </c>
      <c r="P299" s="206" t="b">
        <f>_xll.qlInstrumentSetPricingEngine(O299,OisEngine)</f>
        <v>1</v>
      </c>
      <c r="Q299" s="205">
        <f>_xll.qlIndexFixing(Currency&amp;IborType&amp;"3M",_xll.qlInterestRateIndexFixingDate(Currency&amp;IborType&amp;"3M",M299),TRUE,AllTriggers)</f>
        <v>4.7496314176937164E-2</v>
      </c>
      <c r="R299" s="205">
        <f>_xll.qlOvernightIndexedSwapFairRate(O299,AllTriggers)</f>
        <v>4.453186058200069E-2</v>
      </c>
      <c r="S299" s="207">
        <f t="shared" si="6"/>
        <v>2.9644535949364739E-3</v>
      </c>
    </row>
    <row r="300" spans="5:19" ht="11.25" customHeight="1" x14ac:dyDescent="0.2">
      <c r="E300" s="199"/>
      <c r="F300" s="199"/>
      <c r="G300" s="198"/>
      <c r="J300" s="198"/>
      <c r="K300" s="198"/>
      <c r="M300" s="213">
        <f>_xll.qlCalendarAdvance(Calendar,M299,"1M","f",,Trigger)</f>
        <v>51186</v>
      </c>
      <c r="N300" s="204">
        <f>_xll.qlInterestRateIndexMaturity("AUDBBSW3M",M300)</f>
        <v>51277</v>
      </c>
      <c r="O300" s="206" t="str">
        <f>_xll.qlMakeDatedOIS(,M300,N300,OvernightIndex,0,,,,EvaluationDate)</f>
        <v>obj_003a3#0000</v>
      </c>
      <c r="P300" s="206" t="b">
        <f>_xll.qlInstrumentSetPricingEngine(O300,OisEngine)</f>
        <v>1</v>
      </c>
      <c r="Q300" s="205">
        <f>_xll.qlIndexFixing(Currency&amp;IborType&amp;"3M",_xll.qlInterestRateIndexFixingDate(Currency&amp;IborType&amp;"3M",M300),TRUE,AllTriggers)</f>
        <v>4.7492722775396644E-2</v>
      </c>
      <c r="R300" s="205">
        <f>_xll.qlOvernightIndexedSwapFairRate(O300,AllTriggers)</f>
        <v>4.4542642375656374E-2</v>
      </c>
      <c r="S300" s="207">
        <f t="shared" si="6"/>
        <v>2.9500803997402694E-3</v>
      </c>
    </row>
    <row r="301" spans="5:19" ht="11.25" customHeight="1" x14ac:dyDescent="0.2">
      <c r="E301" s="199"/>
      <c r="F301" s="199"/>
      <c r="G301" s="198"/>
      <c r="J301" s="198"/>
      <c r="K301" s="198"/>
      <c r="M301" s="213">
        <f>_xll.qlCalendarAdvance(Calendar,M300,"1M","f",,Trigger)</f>
        <v>51215</v>
      </c>
      <c r="N301" s="204">
        <f>_xll.qlInterestRateIndexMaturity("AUDBBSW3M",M301)</f>
        <v>51307</v>
      </c>
      <c r="O301" s="206" t="str">
        <f>_xll.qlMakeDatedOIS(,M301,N301,OvernightIndex,0,,,,EvaluationDate)</f>
        <v>obj_0039b#0000</v>
      </c>
      <c r="P301" s="206" t="b">
        <f>_xll.qlInstrumentSetPricingEngine(O301,OisEngine)</f>
        <v>1</v>
      </c>
      <c r="Q301" s="205">
        <f>_xll.qlIndexFixing(Currency&amp;IborType&amp;"3M",_xll.qlInterestRateIndexFixingDate(Currency&amp;IborType&amp;"3M",M301),TRUE,AllTriggers)</f>
        <v>4.7492552084184431E-2</v>
      </c>
      <c r="R301" s="205">
        <f>_xll.qlOvernightIndexedSwapFairRate(O301,AllTriggers)</f>
        <v>4.4555140182384864E-2</v>
      </c>
      <c r="S301" s="207">
        <f t="shared" si="6"/>
        <v>2.9374119017995665E-3</v>
      </c>
    </row>
    <row r="302" spans="5:19" ht="11.25" customHeight="1" x14ac:dyDescent="0.2">
      <c r="E302" s="199"/>
      <c r="F302" s="199"/>
      <c r="G302" s="198"/>
      <c r="J302" s="198"/>
      <c r="K302" s="198"/>
      <c r="M302" s="213">
        <f>_xll.qlCalendarAdvance(Calendar,M301,"1M","f",,Trigger)</f>
        <v>51246</v>
      </c>
      <c r="N302" s="204">
        <f>_xll.qlInterestRateIndexMaturity("AUDBBSW3M",M302)</f>
        <v>51337</v>
      </c>
      <c r="O302" s="206" t="str">
        <f>_xll.qlMakeDatedOIS(,M302,N302,OvernightIndex,0,,,,EvaluationDate)</f>
        <v>obj_0039c#0000</v>
      </c>
      <c r="P302" s="206" t="b">
        <f>_xll.qlInstrumentSetPricingEngine(O302,OisEngine)</f>
        <v>1</v>
      </c>
      <c r="Q302" s="205">
        <f>_xll.qlIndexFixing(Currency&amp;IborType&amp;"3M",_xll.qlInterestRateIndexFixingDate(Currency&amp;IborType&amp;"3M",M302),TRUE,AllTriggers)</f>
        <v>4.7486178186696183E-2</v>
      </c>
      <c r="R302" s="205">
        <f>_xll.qlOvernightIndexedSwapFairRate(O302,AllTriggers)</f>
        <v>4.4562290070461988E-2</v>
      </c>
      <c r="S302" s="207">
        <f t="shared" si="6"/>
        <v>2.9238881162341954E-3</v>
      </c>
    </row>
    <row r="303" spans="5:19" ht="11.25" customHeight="1" x14ac:dyDescent="0.2">
      <c r="E303" s="199"/>
      <c r="F303" s="199"/>
      <c r="G303" s="198"/>
      <c r="J303" s="198"/>
      <c r="K303" s="198"/>
      <c r="M303" s="213">
        <f>_xll.qlCalendarAdvance(Calendar,M302,"1M","f",,Trigger)</f>
        <v>51277</v>
      </c>
      <c r="N303" s="204">
        <f>_xll.qlInterestRateIndexMaturity("AUDBBSW3M",M303)</f>
        <v>51369</v>
      </c>
      <c r="O303" s="206" t="str">
        <f>_xll.qlMakeDatedOIS(,M303,N303,OvernightIndex,0,,,,EvaluationDate)</f>
        <v>obj_0039d#0000</v>
      </c>
      <c r="P303" s="206" t="b">
        <f>_xll.qlInstrumentSetPricingEngine(O303,OisEngine)</f>
        <v>1</v>
      </c>
      <c r="Q303" s="205">
        <f>_xll.qlIndexFixing(Currency&amp;IborType&amp;"3M",_xll.qlInterestRateIndexFixingDate(Currency&amp;IborType&amp;"3M",M303),TRUE,AllTriggers)</f>
        <v>4.7485918174733535E-2</v>
      </c>
      <c r="R303" s="205">
        <f>_xll.qlOvernightIndexedSwapFairRate(O303,AllTriggers)</f>
        <v>4.4575055970573908E-2</v>
      </c>
      <c r="S303" s="207">
        <f t="shared" si="6"/>
        <v>2.9108622041596269E-3</v>
      </c>
    </row>
    <row r="304" spans="5:19" ht="11.25" customHeight="1" x14ac:dyDescent="0.2">
      <c r="E304" s="199"/>
      <c r="F304" s="199"/>
      <c r="G304" s="198"/>
      <c r="J304" s="198"/>
      <c r="K304" s="198"/>
      <c r="M304" s="213">
        <f>_xll.qlCalendarAdvance(Calendar,M303,"1M","f",,Trigger)</f>
        <v>51308</v>
      </c>
      <c r="N304" s="204">
        <f>_xll.qlInterestRateIndexMaturity("AUDBBSW3M",M304)</f>
        <v>51400</v>
      </c>
      <c r="O304" s="206" t="str">
        <f>_xll.qlMakeDatedOIS(,M304,N304,OvernightIndex,0,,,,EvaluationDate)</f>
        <v>obj_0039e#0000</v>
      </c>
      <c r="P304" s="206" t="b">
        <f>_xll.qlInstrumentSetPricingEngine(O304,OisEngine)</f>
        <v>1</v>
      </c>
      <c r="Q304" s="205">
        <f>_xll.qlIndexFixing(Currency&amp;IborType&amp;"3M",_xll.qlInterestRateIndexFixingDate(Currency&amp;IborType&amp;"3M",M304),TRUE,AllTriggers)</f>
        <v>4.748270009472199E-2</v>
      </c>
      <c r="R304" s="205">
        <f>_xll.qlOvernightIndexedSwapFairRate(O304,AllTriggers)</f>
        <v>4.4584717078926361E-2</v>
      </c>
      <c r="S304" s="207">
        <f t="shared" si="6"/>
        <v>2.8979830157956285E-3</v>
      </c>
    </row>
    <row r="305" spans="5:19" ht="11.25" customHeight="1" x14ac:dyDescent="0.2">
      <c r="E305" s="199"/>
      <c r="F305" s="199"/>
      <c r="G305" s="198"/>
      <c r="J305" s="198"/>
      <c r="K305" s="198"/>
      <c r="M305" s="213">
        <f>_xll.qlCalendarAdvance(Calendar,M304,"1M","f",,Trigger)</f>
        <v>51340</v>
      </c>
      <c r="N305" s="204">
        <f>_xll.qlInterestRateIndexMaturity("AUDBBSW3M",M305)</f>
        <v>51432</v>
      </c>
      <c r="O305" s="206" t="str">
        <f>_xll.qlMakeDatedOIS(,M305,N305,OvernightIndex,0,,,,EvaluationDate)</f>
        <v>obj_0039f#0000</v>
      </c>
      <c r="P305" s="206" t="b">
        <f>_xll.qlInstrumentSetPricingEngine(O305,OisEngine)</f>
        <v>1</v>
      </c>
      <c r="Q305" s="205">
        <f>_xll.qlIndexFixing(Currency&amp;IborType&amp;"3M",_xll.qlInterestRateIndexFixingDate(Currency&amp;IborType&amp;"3M",M305),TRUE,AllTriggers)</f>
        <v>4.7479447345732319E-2</v>
      </c>
      <c r="R305" s="205">
        <f>_xll.qlOvernightIndexedSwapFairRate(O305,AllTriggers)</f>
        <v>4.4594482300044182E-2</v>
      </c>
      <c r="S305" s="207">
        <f t="shared" si="6"/>
        <v>2.8849650456881371E-3</v>
      </c>
    </row>
    <row r="306" spans="5:19" ht="11.25" customHeight="1" x14ac:dyDescent="0.2">
      <c r="E306" s="199"/>
      <c r="F306" s="199"/>
      <c r="G306" s="198"/>
      <c r="J306" s="198"/>
      <c r="K306" s="198"/>
      <c r="M306" s="213">
        <f>_xll.qlCalendarAdvance(Calendar,M305,"1M","f",,Trigger)</f>
        <v>51371</v>
      </c>
      <c r="N306" s="204">
        <f>_xll.qlInterestRateIndexMaturity("AUDBBSW3M",M306)</f>
        <v>51463</v>
      </c>
      <c r="O306" s="206" t="str">
        <f>_xll.qlMakeDatedOIS(,M306,N306,OvernightIndex,0,,,,EvaluationDate)</f>
        <v>obj_003a2#0000</v>
      </c>
      <c r="P306" s="206" t="b">
        <f>_xll.qlInstrumentSetPricingEngine(O306,OisEngine)</f>
        <v>1</v>
      </c>
      <c r="Q306" s="205">
        <f>_xll.qlIndexFixing(Currency&amp;IborType&amp;"3M",_xll.qlInterestRateIndexFixingDate(Currency&amp;IborType&amp;"3M",M306),TRUE,AllTriggers)</f>
        <v>4.7476363224417353E-2</v>
      </c>
      <c r="R306" s="205">
        <f>_xll.qlOvernightIndexedSwapFairRate(O306,AllTriggers)</f>
        <v>4.4603741306150337E-2</v>
      </c>
      <c r="S306" s="207">
        <f t="shared" si="6"/>
        <v>2.8726219182670168E-3</v>
      </c>
    </row>
    <row r="307" spans="5:19" ht="11.25" customHeight="1" x14ac:dyDescent="0.2">
      <c r="E307" s="199"/>
      <c r="F307" s="199"/>
      <c r="G307" s="198"/>
      <c r="J307" s="198"/>
      <c r="K307" s="198"/>
      <c r="M307" s="213">
        <f>_xll.qlCalendarAdvance(Calendar,M306,"1M","f",,Trigger)</f>
        <v>51403</v>
      </c>
      <c r="N307" s="204">
        <f>_xll.qlInterestRateIndexMaturity("AUDBBSW3M",M307)</f>
        <v>51494</v>
      </c>
      <c r="O307" s="206" t="str">
        <f>_xll.qlMakeDatedOIS(,M307,N307,OvernightIndex,0,,,,EvaluationDate)</f>
        <v>obj_003a0#0000</v>
      </c>
      <c r="P307" s="206" t="b">
        <f>_xll.qlInstrumentSetPricingEngine(O307,OisEngine)</f>
        <v>1</v>
      </c>
      <c r="Q307" s="205">
        <f>_xll.qlIndexFixing(Currency&amp;IborType&amp;"3M",_xll.qlInterestRateIndexFixingDate(Currency&amp;IborType&amp;"3M",M307),TRUE,AllTriggers)</f>
        <v>4.7470221449719227E-2</v>
      </c>
      <c r="R307" s="205">
        <f>_xll.qlOvernightIndexedSwapFairRate(O307,AllTriggers)</f>
        <v>4.461019477901889E-2</v>
      </c>
      <c r="S307" s="207">
        <f t="shared" si="6"/>
        <v>2.8600266707003372E-3</v>
      </c>
    </row>
    <row r="308" spans="5:19" ht="11.25" customHeight="1" x14ac:dyDescent="0.2">
      <c r="E308" s="199"/>
      <c r="F308" s="199"/>
      <c r="G308" s="198"/>
      <c r="J308" s="198"/>
      <c r="K308" s="198"/>
      <c r="M308" s="213">
        <f>_xll.qlCalendarAdvance(Calendar,M307,"1M","f",,Trigger)</f>
        <v>51433</v>
      </c>
      <c r="N308" s="204">
        <f>_xll.qlInterestRateIndexMaturity("AUDBBSW3M",M308)</f>
        <v>51525</v>
      </c>
      <c r="O308" s="206" t="str">
        <f>_xll.qlMakeDatedOIS(,M308,N308,OvernightIndex,0,,,,EvaluationDate)</f>
        <v>obj_003cd#0000</v>
      </c>
      <c r="P308" s="206" t="b">
        <f>_xll.qlInstrumentSetPricingEngine(O308,OisEngine)</f>
        <v>1</v>
      </c>
      <c r="Q308" s="205">
        <f>_xll.qlIndexFixing(Currency&amp;IborType&amp;"3M",_xll.qlInterestRateIndexFixingDate(Currency&amp;IborType&amp;"3M",M308),TRUE,AllTriggers)</f>
        <v>4.7470392729493015E-2</v>
      </c>
      <c r="R308" s="205">
        <f>_xll.qlOvernightIndexedSwapFairRate(O308,AllTriggers)</f>
        <v>4.4621665731128538E-2</v>
      </c>
      <c r="S308" s="207">
        <f t="shared" si="6"/>
        <v>2.8487269983644772E-3</v>
      </c>
    </row>
    <row r="309" spans="5:19" ht="11.25" customHeight="1" x14ac:dyDescent="0.2">
      <c r="E309" s="199"/>
      <c r="F309" s="199"/>
      <c r="G309" s="198"/>
      <c r="J309" s="198"/>
      <c r="K309" s="198"/>
      <c r="M309" s="213">
        <f>_xll.qlCalendarAdvance(Calendar,M308,"1M","f",,Trigger)</f>
        <v>51466</v>
      </c>
      <c r="N309" s="204">
        <f>_xll.qlInterestRateIndexMaturity("AUDBBSW3M",M309)</f>
        <v>51558</v>
      </c>
      <c r="O309" s="206" t="str">
        <f>_xll.qlMakeDatedOIS(,M309,N309,OvernightIndex,0,,,,EvaluationDate)</f>
        <v>obj_003a7#0000</v>
      </c>
      <c r="P309" s="206" t="b">
        <f>_xll.qlInstrumentSetPricingEngine(O309,OisEngine)</f>
        <v>1</v>
      </c>
      <c r="Q309" s="205">
        <f>_xll.qlIndexFixing(Currency&amp;IborType&amp;"3M",_xll.qlInterestRateIndexFixingDate(Currency&amp;IborType&amp;"3M",M309),TRUE,AllTriggers)</f>
        <v>4.7467322401409343E-2</v>
      </c>
      <c r="R309" s="205">
        <f>_xll.qlOvernightIndexedSwapFairRate(O309,AllTriggers)</f>
        <v>4.4630883411872435E-2</v>
      </c>
      <c r="S309" s="207">
        <f t="shared" si="6"/>
        <v>2.8364389895369074E-3</v>
      </c>
    </row>
    <row r="310" spans="5:19" ht="11.25" customHeight="1" x14ac:dyDescent="0.2">
      <c r="E310" s="199"/>
      <c r="F310" s="199"/>
      <c r="G310" s="198"/>
      <c r="J310" s="198"/>
      <c r="K310" s="198"/>
      <c r="M310" s="213">
        <f>_xll.qlCalendarAdvance(Calendar,M309,"1M","f",,Trigger)</f>
        <v>51497</v>
      </c>
      <c r="N310" s="204">
        <f>_xll.qlInterestRateIndexMaturity("AUDBBSW3M",M310)</f>
        <v>51587</v>
      </c>
      <c r="O310" s="206" t="str">
        <f>_xll.qlMakeDatedOIS(,M310,N310,OvernightIndex,0,,,,EvaluationDate)</f>
        <v>obj_003a8#0000</v>
      </c>
      <c r="P310" s="206" t="b">
        <f>_xll.qlInstrumentSetPricingEngine(O310,OisEngine)</f>
        <v>1</v>
      </c>
      <c r="Q310" s="205">
        <f>_xll.qlIndexFixing(Currency&amp;IborType&amp;"3M",_xll.qlInterestRateIndexFixingDate(Currency&amp;IborType&amp;"3M",M310),TRUE,AllTriggers)</f>
        <v>4.7458447675152692E-2</v>
      </c>
      <c r="R310" s="205">
        <f>_xll.qlOvernightIndexedSwapFairRate(O310,AllTriggers)</f>
        <v>4.4633557925491729E-2</v>
      </c>
      <c r="S310" s="207">
        <f t="shared" si="6"/>
        <v>2.8248897496609623E-3</v>
      </c>
    </row>
    <row r="311" spans="5:19" ht="11.25" customHeight="1" x14ac:dyDescent="0.2">
      <c r="E311" s="199"/>
      <c r="F311" s="199"/>
      <c r="G311" s="198"/>
      <c r="J311" s="198"/>
      <c r="K311" s="198"/>
      <c r="M311" s="213">
        <f>_xll.qlCalendarAdvance(Calendar,M310,"1M","f",,Trigger)</f>
        <v>51530</v>
      </c>
      <c r="N311" s="204">
        <f>_xll.qlInterestRateIndexMaturity("AUDBBSW3M",M311)</f>
        <v>51620</v>
      </c>
      <c r="O311" s="206" t="str">
        <f>_xll.qlMakeDatedOIS(,M311,N311,OvernightIndex,0,,,,EvaluationDate)</f>
        <v>obj_003a9#0000</v>
      </c>
      <c r="P311" s="206" t="b">
        <f>_xll.qlInstrumentSetPricingEngine(O311,OisEngine)</f>
        <v>1</v>
      </c>
      <c r="Q311" s="205">
        <f>_xll.qlIndexFixing(Currency&amp;IborType&amp;"3M",_xll.qlInterestRateIndexFixingDate(Currency&amp;IborType&amp;"3M",M311),TRUE,AllTriggers)</f>
        <v>4.7455520703454997E-2</v>
      </c>
      <c r="R311" s="205">
        <f>_xll.qlOvernightIndexedSwapFairRate(O311,AllTriggers)</f>
        <v>4.4642345379805271E-2</v>
      </c>
      <c r="S311" s="207">
        <f t="shared" si="6"/>
        <v>2.8131753236497262E-3</v>
      </c>
    </row>
    <row r="312" spans="5:19" ht="11.25" customHeight="1" x14ac:dyDescent="0.2">
      <c r="E312" s="199"/>
      <c r="F312" s="199"/>
      <c r="G312" s="198"/>
      <c r="J312" s="198"/>
      <c r="K312" s="198"/>
      <c r="M312" s="213">
        <f>_xll.qlCalendarAdvance(Calendar,M311,"1M","f",,Trigger)</f>
        <v>51560</v>
      </c>
      <c r="N312" s="204">
        <f>_xll.qlInterestRateIndexMaturity("AUDBBSW3M",M312)</f>
        <v>51652</v>
      </c>
      <c r="O312" s="206" t="str">
        <f>_xll.qlMakeDatedOIS(,M312,N312,OvernightIndex,0,,,,EvaluationDate)</f>
        <v>obj_003cc#0000</v>
      </c>
      <c r="P312" s="206" t="b">
        <f>_xll.qlInstrumentSetPricingEngine(O312,OisEngine)</f>
        <v>1</v>
      </c>
      <c r="Q312" s="205">
        <f>_xll.qlIndexFixing(Currency&amp;IborType&amp;"3M",_xll.qlInterestRateIndexFixingDate(Currency&amp;IborType&amp;"3M",M312),TRUE,AllTriggers)</f>
        <v>4.7458986034735424E-2</v>
      </c>
      <c r="R312" s="205">
        <f>_xll.qlOvernightIndexedSwapFairRate(O312,AllTriggers)</f>
        <v>4.4655910837622534E-2</v>
      </c>
      <c r="S312" s="207">
        <f t="shared" si="6"/>
        <v>2.8030751971128906E-3</v>
      </c>
    </row>
    <row r="313" spans="5:19" ht="11.25" customHeight="1" x14ac:dyDescent="0.2">
      <c r="E313" s="199"/>
      <c r="F313" s="199"/>
      <c r="G313" s="198"/>
      <c r="J313" s="198"/>
      <c r="K313" s="198"/>
      <c r="M313" s="213">
        <f>_xll.qlCalendarAdvance(Calendar,M312,"1M","f",,Trigger)</f>
        <v>51588</v>
      </c>
      <c r="N313" s="204">
        <f>_xll.qlInterestRateIndexMaturity("AUDBBSW3M",M313)</f>
        <v>51680</v>
      </c>
      <c r="O313" s="206" t="str">
        <f>_xll.qlMakeDatedOIS(,M313,N313,OvernightIndex,0,,,,EvaluationDate)</f>
        <v>obj_003aa#0000</v>
      </c>
      <c r="P313" s="206" t="b">
        <f>_xll.qlInstrumentSetPricingEngine(O313,OisEngine)</f>
        <v>1</v>
      </c>
      <c r="Q313" s="205">
        <f>_xll.qlIndexFixing(Currency&amp;IborType&amp;"3M",_xll.qlInterestRateIndexFixingDate(Currency&amp;IborType&amp;"3M",M313),TRUE,AllTriggers)</f>
        <v>4.7456620013760255E-2</v>
      </c>
      <c r="R313" s="205">
        <f>_xll.qlOvernightIndexedSwapFairRate(O313,AllTriggers)</f>
        <v>4.4663014140047065E-2</v>
      </c>
      <c r="S313" s="207">
        <f t="shared" si="6"/>
        <v>2.7936058737131897E-3</v>
      </c>
    </row>
    <row r="314" spans="5:19" ht="11.25" customHeight="1" x14ac:dyDescent="0.2">
      <c r="E314" s="199"/>
      <c r="F314" s="199"/>
      <c r="G314" s="198"/>
      <c r="J314" s="198"/>
      <c r="K314" s="198"/>
      <c r="M314" s="213">
        <f>_xll.qlCalendarAdvance(Calendar,M313,"1M","f",,Trigger)</f>
        <v>51620</v>
      </c>
      <c r="N314" s="204">
        <f>_xll.qlInterestRateIndexMaturity("AUDBBSW3M",M314)</f>
        <v>51711</v>
      </c>
      <c r="O314" s="206" t="str">
        <f>_xll.qlMakeDatedOIS(,M314,N314,OvernightIndex,0,,,,EvaluationDate)</f>
        <v>obj_003cf#0000</v>
      </c>
      <c r="P314" s="206" t="b">
        <f>_xll.qlInstrumentSetPricingEngine(O314,OisEngine)</f>
        <v>1</v>
      </c>
      <c r="Q314" s="205">
        <f>_xll.qlIndexFixing(Currency&amp;IborType&amp;"3M",_xll.qlInterestRateIndexFixingDate(Currency&amp;IborType&amp;"3M",M314),TRUE,AllTriggers)</f>
        <v>4.7450949580147263E-2</v>
      </c>
      <c r="R314" s="205">
        <f>_xll.qlOvernightIndexedSwapFairRate(O314,AllTriggers)</f>
        <v>4.4668053068381085E-2</v>
      </c>
      <c r="S314" s="207">
        <f t="shared" si="6"/>
        <v>2.782896511766178E-3</v>
      </c>
    </row>
    <row r="315" spans="5:19" ht="11.25" customHeight="1" x14ac:dyDescent="0.2">
      <c r="E315" s="199"/>
      <c r="F315" s="199"/>
      <c r="G315" s="198"/>
      <c r="J315" s="198"/>
      <c r="K315" s="198"/>
      <c r="M315" s="213">
        <f>_xll.qlCalendarAdvance(Calendar,M314,"1M","f",,Trigger)</f>
        <v>51650</v>
      </c>
      <c r="N315" s="204">
        <f>_xll.qlInterestRateIndexMaturity("AUDBBSW3M",M315)</f>
        <v>51742</v>
      </c>
      <c r="O315" s="206" t="str">
        <f>_xll.qlMakeDatedOIS(,M315,N315,OvernightIndex,0,,,,EvaluationDate)</f>
        <v>obj_003ab#0000</v>
      </c>
      <c r="P315" s="206" t="b">
        <f>_xll.qlInstrumentSetPricingEngine(O315,OisEngine)</f>
        <v>1</v>
      </c>
      <c r="Q315" s="205">
        <f>_xll.qlIndexFixing(Currency&amp;IborType&amp;"3M",_xll.qlInterestRateIndexFixingDate(Currency&amp;IborType&amp;"3M",M315),TRUE,AllTriggers)</f>
        <v>4.7451572333247843E-2</v>
      </c>
      <c r="R315" s="205">
        <f>_xll.qlOvernightIndexedSwapFairRate(O315,AllTriggers)</f>
        <v>4.4678168416154088E-2</v>
      </c>
      <c r="S315" s="207">
        <f t="shared" si="6"/>
        <v>2.7734039170937558E-3</v>
      </c>
    </row>
    <row r="316" spans="5:19" ht="11.25" customHeight="1" x14ac:dyDescent="0.2">
      <c r="E316" s="199"/>
      <c r="F316" s="199"/>
      <c r="G316" s="198"/>
      <c r="J316" s="198"/>
      <c r="K316" s="198"/>
      <c r="M316" s="213">
        <f>_xll.qlCalendarAdvance(Calendar,M315,"1M","f",,Trigger)</f>
        <v>51683</v>
      </c>
      <c r="N316" s="204">
        <f>_xll.qlInterestRateIndexMaturity("AUDBBSW3M",M316)</f>
        <v>51775</v>
      </c>
      <c r="O316" s="206" t="str">
        <f>_xll.qlMakeDatedOIS(,M316,N316,OvernightIndex,0,,,,EvaluationDate)</f>
        <v>obj_003ac#0000</v>
      </c>
      <c r="P316" s="206" t="b">
        <f>_xll.qlInstrumentSetPricingEngine(O316,OisEngine)</f>
        <v>1</v>
      </c>
      <c r="Q316" s="205">
        <f>_xll.qlIndexFixing(Currency&amp;IborType&amp;"3M",_xll.qlInterestRateIndexFixingDate(Currency&amp;IborType&amp;"3M",M316),TRUE,AllTriggers)</f>
        <v>4.7448993179051227E-2</v>
      </c>
      <c r="R316" s="205">
        <f>_xll.qlOvernightIndexedSwapFairRate(O316,AllTriggers)</f>
        <v>4.4685911648890846E-2</v>
      </c>
      <c r="S316" s="207">
        <f t="shared" si="6"/>
        <v>2.7630815301603814E-3</v>
      </c>
    </row>
    <row r="317" spans="5:19" ht="11.25" customHeight="1" x14ac:dyDescent="0.2">
      <c r="E317" s="199"/>
      <c r="F317" s="199"/>
      <c r="G317" s="198"/>
      <c r="J317" s="198"/>
      <c r="K317" s="198"/>
      <c r="M317" s="213">
        <f>_xll.qlCalendarAdvance(Calendar,M316,"1M","f",,Trigger)</f>
        <v>51714</v>
      </c>
      <c r="N317" s="204">
        <f>_xll.qlInterestRateIndexMaturity("AUDBBSW3M",M317)</f>
        <v>51806</v>
      </c>
      <c r="O317" s="206" t="str">
        <f>_xll.qlMakeDatedOIS(,M317,N317,OvernightIndex,0,,,,EvaluationDate)</f>
        <v>obj_003ad#0000</v>
      </c>
      <c r="P317" s="206" t="b">
        <f>_xll.qlInstrumentSetPricingEngine(O317,OisEngine)</f>
        <v>1</v>
      </c>
      <c r="Q317" s="205">
        <f>_xll.qlIndexFixing(Currency&amp;IborType&amp;"3M",_xll.qlInterestRateIndexFixingDate(Currency&amp;IborType&amp;"3M",M317),TRUE,AllTriggers)</f>
        <v>4.7446638378116121E-2</v>
      </c>
      <c r="R317" s="205">
        <f>_xll.qlOvernightIndexedSwapFairRate(O317,AllTriggers)</f>
        <v>4.4692981337494934E-2</v>
      </c>
      <c r="S317" s="207">
        <f t="shared" si="6"/>
        <v>2.7536570406211866E-3</v>
      </c>
    </row>
    <row r="318" spans="5:19" ht="11.25" customHeight="1" x14ac:dyDescent="0.2">
      <c r="E318" s="199"/>
      <c r="F318" s="199"/>
      <c r="G318" s="198"/>
      <c r="J318" s="198"/>
      <c r="K318" s="198"/>
      <c r="M318" s="213">
        <f>_xll.qlCalendarAdvance(Calendar,M317,"1M","f",,Trigger)</f>
        <v>51746</v>
      </c>
      <c r="N318" s="204">
        <f>_xll.qlInterestRateIndexMaturity("AUDBBSW3M",M318)</f>
        <v>51837</v>
      </c>
      <c r="O318" s="206" t="str">
        <f>_xll.qlMakeDatedOIS(,M318,N318,OvernightIndex,0,,,,EvaluationDate)</f>
        <v>obj_003ae#0000</v>
      </c>
      <c r="P318" s="206" t="b">
        <f>_xll.qlInstrumentSetPricingEngine(O318,OisEngine)</f>
        <v>1</v>
      </c>
      <c r="Q318" s="205">
        <f>_xll.qlIndexFixing(Currency&amp;IborType&amp;"3M",_xll.qlInterestRateIndexFixingDate(Currency&amp;IborType&amp;"3M",M318),TRUE,AllTriggers)</f>
        <v>4.7441241431515298E-2</v>
      </c>
      <c r="R318" s="205">
        <f>_xll.qlOvernightIndexedSwapFairRate(O318,AllTriggers)</f>
        <v>4.469719943551978E-2</v>
      </c>
      <c r="S318" s="207">
        <f t="shared" si="6"/>
        <v>2.7440419959955178E-3</v>
      </c>
    </row>
    <row r="319" spans="5:19" ht="11.25" customHeight="1" x14ac:dyDescent="0.2">
      <c r="E319" s="199"/>
      <c r="F319" s="199"/>
      <c r="G319" s="198"/>
      <c r="J319" s="198"/>
      <c r="K319" s="198"/>
      <c r="M319" s="213">
        <f>_xll.qlCalendarAdvance(Calendar,M318,"1M","f",,Trigger)</f>
        <v>51776</v>
      </c>
      <c r="N319" s="204">
        <f>_xll.qlInterestRateIndexMaturity("AUDBBSW3M",M319)</f>
        <v>51868</v>
      </c>
      <c r="O319" s="206" t="str">
        <f>_xll.qlMakeDatedOIS(,M319,N319,OvernightIndex,0,,,,EvaluationDate)</f>
        <v>obj_003d1#0000</v>
      </c>
      <c r="P319" s="206" t="b">
        <f>_xll.qlInstrumentSetPricingEngine(O319,OisEngine)</f>
        <v>1</v>
      </c>
      <c r="Q319" s="205">
        <f>_xll.qlIndexFixing(Currency&amp;IborType&amp;"3M",_xll.qlInterestRateIndexFixingDate(Currency&amp;IborType&amp;"3M",M319),TRUE,AllTriggers)</f>
        <v>4.7442126519593508E-2</v>
      </c>
      <c r="R319" s="205">
        <f>_xll.qlOvernightIndexedSwapFairRate(O319,AllTriggers)</f>
        <v>4.4706527087644318E-2</v>
      </c>
      <c r="S319" s="207">
        <f t="shared" si="6"/>
        <v>2.73559943194919E-3</v>
      </c>
    </row>
    <row r="320" spans="5:19" ht="11.25" customHeight="1" x14ac:dyDescent="0.2">
      <c r="E320" s="199"/>
      <c r="F320" s="199"/>
      <c r="G320" s="198"/>
      <c r="J320" s="198"/>
      <c r="K320" s="198"/>
      <c r="M320" s="213">
        <f>_xll.qlCalendarAdvance(Calendar,M319,"1M","f",,Trigger)</f>
        <v>51809</v>
      </c>
      <c r="N320" s="204">
        <f>_xll.qlInterestRateIndexMaturity("AUDBBSW3M",M320)</f>
        <v>51901</v>
      </c>
      <c r="O320" s="206" t="str">
        <f>_xll.qlMakeDatedOIS(,M320,N320,OvernightIndex,0,,,,EvaluationDate)</f>
        <v>obj_003af#0000</v>
      </c>
      <c r="P320" s="206" t="b">
        <f>_xll.qlInstrumentSetPricingEngine(O320,OisEngine)</f>
        <v>1</v>
      </c>
      <c r="Q320" s="205">
        <f>_xll.qlIndexFixing(Currency&amp;IborType&amp;"3M",_xll.qlInterestRateIndexFixingDate(Currency&amp;IborType&amp;"3M",M320),TRUE,AllTriggers)</f>
        <v>4.7439832560207992E-2</v>
      </c>
      <c r="R320" s="205">
        <f>_xll.qlOvernightIndexedSwapFairRate(O320,AllTriggers)</f>
        <v>4.4713414162468677E-2</v>
      </c>
      <c r="S320" s="207">
        <f t="shared" si="6"/>
        <v>2.726418397739315E-3</v>
      </c>
    </row>
    <row r="321" spans="5:19" ht="11.25" customHeight="1" x14ac:dyDescent="0.2">
      <c r="E321" s="199"/>
      <c r="F321" s="199"/>
      <c r="G321" s="198"/>
      <c r="J321" s="198"/>
      <c r="K321" s="198"/>
      <c r="M321" s="213">
        <f>_xll.qlCalendarAdvance(Calendar,M320,"1M","f",,Trigger)</f>
        <v>51839</v>
      </c>
      <c r="N321" s="204">
        <f>_xll.qlInterestRateIndexMaturity("AUDBBSW3M",M321)</f>
        <v>51929</v>
      </c>
      <c r="O321" s="206" t="str">
        <f>_xll.qlMakeDatedOIS(,M321,N321,OvernightIndex,0,,,,EvaluationDate)</f>
        <v>obj_003ce#0000</v>
      </c>
      <c r="P321" s="206" t="b">
        <f>_xll.qlInstrumentSetPricingEngine(O321,OisEngine)</f>
        <v>1</v>
      </c>
      <c r="Q321" s="205">
        <f>_xll.qlIndexFixing(Currency&amp;IborType&amp;"3M",_xll.qlInterestRateIndexFixingDate(Currency&amp;IborType&amp;"3M",M321),TRUE,AllTriggers)</f>
        <v>4.7431736885849403E-2</v>
      </c>
      <c r="R321" s="205">
        <f>_xll.qlOvernightIndexedSwapFairRate(O321,AllTriggers)</f>
        <v>4.4713750908917931E-2</v>
      </c>
      <c r="S321" s="207">
        <f t="shared" si="6"/>
        <v>2.7179859769314724E-3</v>
      </c>
    </row>
    <row r="322" spans="5:19" ht="11.25" customHeight="1" x14ac:dyDescent="0.2">
      <c r="E322" s="199"/>
      <c r="F322" s="199"/>
      <c r="G322" s="198"/>
      <c r="J322" s="198"/>
      <c r="K322" s="198"/>
      <c r="M322" s="213">
        <f>_xll.qlCalendarAdvance(Calendar,M321,"1M","f",,Trigger)</f>
        <v>51872</v>
      </c>
      <c r="N322" s="204">
        <f>_xll.qlInterestRateIndexMaturity("AUDBBSW3M",M322)</f>
        <v>51964</v>
      </c>
      <c r="O322" s="206" t="str">
        <f>_xll.qlMakeDatedOIS(,M322,N322,OvernightIndex,0,,,,EvaluationDate)</f>
        <v>obj_003b0#0000</v>
      </c>
      <c r="P322" s="206" t="b">
        <f>_xll.qlInstrumentSetPricingEngine(O322,OisEngine)</f>
        <v>1</v>
      </c>
      <c r="Q322" s="205">
        <f>_xll.qlIndexFixing(Currency&amp;IborType&amp;"3M",_xll.qlInterestRateIndexFixingDate(Currency&amp;IborType&amp;"3M",M322),TRUE,AllTriggers)</f>
        <v>4.7435660596618787E-2</v>
      </c>
      <c r="R322" s="205">
        <f>_xll.qlOvernightIndexedSwapFairRate(O322,AllTriggers)</f>
        <v>4.472593954508236E-2</v>
      </c>
      <c r="S322" s="207">
        <f t="shared" si="6"/>
        <v>2.7097210515364262E-3</v>
      </c>
    </row>
    <row r="323" spans="5:19" ht="11.25" customHeight="1" x14ac:dyDescent="0.2">
      <c r="E323" s="199"/>
      <c r="F323" s="199"/>
      <c r="G323" s="198"/>
      <c r="J323" s="198"/>
      <c r="K323" s="198"/>
      <c r="M323" s="213">
        <f>_xll.qlCalendarAdvance(Calendar,M322,"1M","f",,Trigger)</f>
        <v>51903</v>
      </c>
      <c r="N323" s="204">
        <f>_xll.qlInterestRateIndexMaturity("AUDBBSW3M",M323)</f>
        <v>51992</v>
      </c>
      <c r="O323" s="206" t="str">
        <f>_xll.qlMakeDatedOIS(,M323,N323,OvernightIndex,0,,,,EvaluationDate)</f>
        <v>obj_003b1#0000</v>
      </c>
      <c r="P323" s="206" t="b">
        <f>_xll.qlInstrumentSetPricingEngine(O323,OisEngine)</f>
        <v>1</v>
      </c>
      <c r="Q323" s="205">
        <f>_xll.qlIndexFixing(Currency&amp;IborType&amp;"3M",_xll.qlInterestRateIndexFixingDate(Currency&amp;IborType&amp;"3M",M323),TRUE,AllTriggers)</f>
        <v>4.7424590476611406E-2</v>
      </c>
      <c r="R323" s="205">
        <f>_xll.qlOvernightIndexedSwapFairRate(O323,AllTriggers)</f>
        <v>4.4723223816591641E-2</v>
      </c>
      <c r="S323" s="207">
        <f t="shared" ref="S323:S350" si="7">Q323-R323</f>
        <v>2.7013666600197647E-3</v>
      </c>
    </row>
    <row r="324" spans="5:19" ht="11.25" customHeight="1" x14ac:dyDescent="0.2">
      <c r="E324" s="199"/>
      <c r="F324" s="199"/>
      <c r="G324" s="198"/>
      <c r="J324" s="198"/>
      <c r="K324" s="198"/>
      <c r="M324" s="213">
        <f>_xll.qlCalendarAdvance(Calendar,M323,"1M","f",,Trigger)</f>
        <v>51931</v>
      </c>
      <c r="N324" s="204">
        <f>_xll.qlInterestRateIndexMaturity("AUDBBSW3M",M324)</f>
        <v>52023</v>
      </c>
      <c r="O324" s="206" t="str">
        <f>_xll.qlMakeDatedOIS(,M324,N324,OvernightIndex,0,,,,EvaluationDate)</f>
        <v>obj_003b2#0000</v>
      </c>
      <c r="P324" s="206" t="b">
        <f>_xll.qlInstrumentSetPricingEngine(O324,OisEngine)</f>
        <v>1</v>
      </c>
      <c r="Q324" s="205">
        <f>_xll.qlIndexFixing(Currency&amp;IborType&amp;"3M",_xll.qlInterestRateIndexFixingDate(Currency&amp;IborType&amp;"3M",M324),TRUE,AllTriggers)</f>
        <v>4.7432000371129504E-2</v>
      </c>
      <c r="R324" s="205">
        <f>_xll.qlOvernightIndexedSwapFairRate(O324,AllTriggers)</f>
        <v>4.4736928592478763E-2</v>
      </c>
      <c r="S324" s="207">
        <f t="shared" si="7"/>
        <v>2.6950717786507414E-3</v>
      </c>
    </row>
    <row r="325" spans="5:19" ht="11.25" customHeight="1" x14ac:dyDescent="0.2">
      <c r="E325" s="199"/>
      <c r="F325" s="199"/>
      <c r="G325" s="198"/>
      <c r="J325" s="198"/>
      <c r="K325" s="198"/>
      <c r="M325" s="213">
        <f>_xll.qlCalendarAdvance(Calendar,M324,"1M","f",,Trigger)</f>
        <v>51964</v>
      </c>
      <c r="N325" s="204">
        <f>_xll.qlInterestRateIndexMaturity("AUDBBSW3M",M325)</f>
        <v>52055</v>
      </c>
      <c r="O325" s="206" t="str">
        <f>_xll.qlMakeDatedOIS(,M325,N325,OvernightIndex,0,,,,EvaluationDate)</f>
        <v>obj_003b3#0000</v>
      </c>
      <c r="P325" s="206" t="b">
        <f>_xll.qlInstrumentSetPricingEngine(O325,OisEngine)</f>
        <v>1</v>
      </c>
      <c r="Q325" s="205">
        <f>_xll.qlIndexFixing(Currency&amp;IborType&amp;"3M",_xll.qlInterestRateIndexFixingDate(Currency&amp;IborType&amp;"3M",M325),TRUE,AllTriggers)</f>
        <v>4.742701628328614E-2</v>
      </c>
      <c r="R325" s="205">
        <f>_xll.qlOvernightIndexedSwapFairRate(O325,AllTriggers)</f>
        <v>4.4739907510401224E-2</v>
      </c>
      <c r="S325" s="207">
        <f t="shared" si="7"/>
        <v>2.6871087728849163E-3</v>
      </c>
    </row>
    <row r="326" spans="5:19" ht="11.25" customHeight="1" x14ac:dyDescent="0.2">
      <c r="E326" s="199"/>
      <c r="F326" s="199"/>
      <c r="G326" s="198"/>
      <c r="J326" s="198"/>
      <c r="K326" s="198"/>
      <c r="M326" s="213">
        <f>_xll.qlCalendarAdvance(Calendar,M325,"1M","f",,Trigger)</f>
        <v>51994</v>
      </c>
      <c r="N326" s="204">
        <f>_xll.qlInterestRateIndexMaturity("AUDBBSW3M",M326)</f>
        <v>52086</v>
      </c>
      <c r="O326" s="206" t="str">
        <f>_xll.qlMakeDatedOIS(,M326,N326,OvernightIndex,0,,,,EvaluationDate)</f>
        <v>obj_003b4#0000</v>
      </c>
      <c r="P326" s="206" t="b">
        <f>_xll.qlInstrumentSetPricingEngine(O326,OisEngine)</f>
        <v>1</v>
      </c>
      <c r="Q326" s="205">
        <f>_xll.qlIndexFixing(Currency&amp;IborType&amp;"3M",_xll.qlInterestRateIndexFixingDate(Currency&amp;IborType&amp;"3M",M326),TRUE,AllTriggers)</f>
        <v>4.7428355581225948E-2</v>
      </c>
      <c r="R326" s="205">
        <f>_xll.qlOvernightIndexedSwapFairRate(O326,AllTriggers)</f>
        <v>4.4747871338095359E-2</v>
      </c>
      <c r="S326" s="207">
        <f t="shared" si="7"/>
        <v>2.6804842431305889E-3</v>
      </c>
    </row>
    <row r="327" spans="5:19" ht="11.25" customHeight="1" x14ac:dyDescent="0.2">
      <c r="E327" s="199"/>
      <c r="F327" s="199"/>
      <c r="G327" s="198"/>
      <c r="J327" s="198"/>
      <c r="K327" s="198"/>
      <c r="M327" s="213">
        <f>_xll.qlCalendarAdvance(Calendar,M326,"1M","f",,Trigger)</f>
        <v>52027</v>
      </c>
      <c r="N327" s="204">
        <f>_xll.qlInterestRateIndexMaturity("AUDBBSW3M",M327)</f>
        <v>52119</v>
      </c>
      <c r="O327" s="206" t="str">
        <f>_xll.qlMakeDatedOIS(,M327,N327,OvernightIndex,0,,,,EvaluationDate)</f>
        <v>obj_003b5#0000</v>
      </c>
      <c r="P327" s="206" t="b">
        <f>_xll.qlInstrumentSetPricingEngine(O327,OisEngine)</f>
        <v>1</v>
      </c>
      <c r="Q327" s="205">
        <f>_xll.qlIndexFixing(Currency&amp;IborType&amp;"3M",_xll.qlInterestRateIndexFixingDate(Currency&amp;IborType&amp;"3M",M327),TRUE,AllTriggers)</f>
        <v>4.7426555049854484E-2</v>
      </c>
      <c r="R327" s="205">
        <f>_xll.qlOvernightIndexedSwapFairRate(O327,AllTriggers)</f>
        <v>4.475327708474567E-2</v>
      </c>
      <c r="S327" s="207">
        <f t="shared" si="7"/>
        <v>2.673277965108814E-3</v>
      </c>
    </row>
    <row r="328" spans="5:19" ht="11.25" customHeight="1" x14ac:dyDescent="0.2">
      <c r="E328" s="199"/>
      <c r="F328" s="199"/>
      <c r="G328" s="198"/>
      <c r="J328" s="198"/>
      <c r="K328" s="198"/>
      <c r="M328" s="213">
        <f>_xll.qlCalendarAdvance(Calendar,M327,"1M","f",,Trigger)</f>
        <v>52057</v>
      </c>
      <c r="N328" s="204">
        <f>_xll.qlInterestRateIndexMaturity("AUDBBSW3M",M328)</f>
        <v>52149</v>
      </c>
      <c r="O328" s="206" t="str">
        <f>_xll.qlMakeDatedOIS(,M328,N328,OvernightIndex,0,,,,EvaluationDate)</f>
        <v>obj_003cb#0000</v>
      </c>
      <c r="P328" s="206" t="b">
        <f>_xll.qlInstrumentSetPricingEngine(O328,OisEngine)</f>
        <v>1</v>
      </c>
      <c r="Q328" s="205">
        <f>_xll.qlIndexFixing(Currency&amp;IborType&amp;"3M",_xll.qlInterestRateIndexFixingDate(Currency&amp;IborType&amp;"3M",M328),TRUE,AllTriggers)</f>
        <v>4.7424983019239503E-2</v>
      </c>
      <c r="R328" s="205">
        <f>_xll.qlOvernightIndexedSwapFairRate(O328,AllTriggers)</f>
        <v>4.4757996810159642E-2</v>
      </c>
      <c r="S328" s="207">
        <f t="shared" si="7"/>
        <v>2.6669862090798607E-3</v>
      </c>
    </row>
    <row r="329" spans="5:19" ht="11.25" customHeight="1" x14ac:dyDescent="0.2">
      <c r="E329" s="199"/>
      <c r="F329" s="199"/>
      <c r="G329" s="198"/>
      <c r="J329" s="198"/>
      <c r="K329" s="198"/>
      <c r="M329" s="213">
        <f>_xll.qlCalendarAdvance(Calendar,M328,"1M","f",,Trigger)</f>
        <v>52089</v>
      </c>
      <c r="N329" s="204">
        <f>_xll.qlInterestRateIndexMaturity("AUDBBSW3M",M329)</f>
        <v>52181</v>
      </c>
      <c r="O329" s="206" t="str">
        <f>_xll.qlMakeDatedOIS(,M329,N329,OvernightIndex,0,,,,EvaluationDate)</f>
        <v>obj_003b6#0000</v>
      </c>
      <c r="P329" s="206" t="b">
        <f>_xll.qlInstrumentSetPricingEngine(O329,OisEngine)</f>
        <v>1</v>
      </c>
      <c r="Q329" s="205">
        <f>_xll.qlIndexFixing(Currency&amp;IborType&amp;"3M",_xll.qlInterestRateIndexFixingDate(Currency&amp;IborType&amp;"3M",M329),TRUE,AllTriggers)</f>
        <v>4.7423374226243854E-2</v>
      </c>
      <c r="R329" s="205">
        <f>_xll.qlOvernightIndexedSwapFairRate(O329,AllTriggers)</f>
        <v>4.4762826915433644E-2</v>
      </c>
      <c r="S329" s="207">
        <f t="shared" si="7"/>
        <v>2.6605473108102101E-3</v>
      </c>
    </row>
    <row r="330" spans="5:19" ht="11.25" customHeight="1" x14ac:dyDescent="0.2">
      <c r="E330" s="199"/>
      <c r="F330" s="199"/>
      <c r="G330" s="198"/>
      <c r="J330" s="198"/>
      <c r="K330" s="198"/>
      <c r="M330" s="213">
        <f>_xll.qlCalendarAdvance(Calendar,M329,"1M","f",,Trigger)</f>
        <v>52120</v>
      </c>
      <c r="N330" s="204">
        <f>_xll.qlInterestRateIndexMaturity("AUDBBSW3M",M330)</f>
        <v>52211</v>
      </c>
      <c r="O330" s="206" t="str">
        <f>_xll.qlMakeDatedOIS(,M330,N330,OvernightIndex,0,,,,EvaluationDate)</f>
        <v>obj_003b7#0000</v>
      </c>
      <c r="P330" s="206" t="b">
        <f>_xll.qlInstrumentSetPricingEngine(O330,OisEngine)</f>
        <v>1</v>
      </c>
      <c r="Q330" s="205">
        <f>_xll.qlIndexFixing(Currency&amp;IborType&amp;"3M",_xll.qlInterestRateIndexFixingDate(Currency&amp;IborType&amp;"3M",M330),TRUE,AllTriggers)</f>
        <v>4.7418837430265072E-2</v>
      </c>
      <c r="R330" s="205">
        <f>_xll.qlOvernightIndexedSwapFairRate(O330,AllTriggers)</f>
        <v>4.4764463104627346E-2</v>
      </c>
      <c r="S330" s="207">
        <f t="shared" si="7"/>
        <v>2.6543743256377261E-3</v>
      </c>
    </row>
    <row r="331" spans="5:19" ht="11.25" customHeight="1" x14ac:dyDescent="0.2">
      <c r="E331" s="199"/>
      <c r="F331" s="199"/>
      <c r="G331" s="198"/>
      <c r="J331" s="198"/>
      <c r="K331" s="198"/>
      <c r="M331" s="213">
        <f>_xll.qlCalendarAdvance(Calendar,M330,"1M","f",,Trigger)</f>
        <v>52152</v>
      </c>
      <c r="N331" s="204">
        <f>_xll.qlInterestRateIndexMaturity("AUDBBSW3M",M331)</f>
        <v>52244</v>
      </c>
      <c r="O331" s="206" t="str">
        <f>_xll.qlMakeDatedOIS(,M331,N331,OvernightIndex,0,,,,EvaluationDate)</f>
        <v>obj_003b8#0000</v>
      </c>
      <c r="P331" s="206" t="b">
        <f>_xll.qlInstrumentSetPricingEngine(O331,OisEngine)</f>
        <v>1</v>
      </c>
      <c r="Q331" s="205">
        <f>_xll.qlIndexFixing(Currency&amp;IborType&amp;"3M",_xll.qlInterestRateIndexFixingDate(Currency&amp;IborType&amp;"3M",M331),TRUE,AllTriggers)</f>
        <v>4.742041216539717E-2</v>
      </c>
      <c r="R331" s="205">
        <f>_xll.qlOvernightIndexedSwapFairRate(O331,AllTriggers)</f>
        <v>4.4771719979172106E-2</v>
      </c>
      <c r="S331" s="207">
        <f t="shared" si="7"/>
        <v>2.6486921862250642E-3</v>
      </c>
    </row>
    <row r="332" spans="5:19" ht="11.25" customHeight="1" x14ac:dyDescent="0.2">
      <c r="E332" s="199"/>
      <c r="F332" s="199"/>
      <c r="G332" s="198"/>
      <c r="J332" s="198"/>
      <c r="K332" s="198"/>
      <c r="M332" s="213">
        <f>_xll.qlCalendarAdvance(Calendar,M331,"1M","f",,Trigger)</f>
        <v>52183</v>
      </c>
      <c r="N332" s="204">
        <f>_xll.qlInterestRateIndexMaturity("AUDBBSW3M",M332)</f>
        <v>52275</v>
      </c>
      <c r="O332" s="206" t="str">
        <f>_xll.qlMakeDatedOIS(,M332,N332,OvernightIndex,0,,,,EvaluationDate)</f>
        <v>obj_003b9#0000</v>
      </c>
      <c r="P332" s="206" t="b">
        <f>_xll.qlInstrumentSetPricingEngine(O332,OisEngine)</f>
        <v>1</v>
      </c>
      <c r="Q332" s="205">
        <f>_xll.qlIndexFixing(Currency&amp;IborType&amp;"3M",_xll.qlInterestRateIndexFixingDate(Currency&amp;IborType&amp;"3M",M332),TRUE,AllTriggers)</f>
        <v>4.7419054576338146E-2</v>
      </c>
      <c r="R332" s="205">
        <f>_xll.qlOvernightIndexedSwapFairRate(O332,AllTriggers)</f>
        <v>4.4775795909045714E-2</v>
      </c>
      <c r="S332" s="207">
        <f t="shared" si="7"/>
        <v>2.6432586672924321E-3</v>
      </c>
    </row>
    <row r="333" spans="5:19" ht="11.25" customHeight="1" x14ac:dyDescent="0.2">
      <c r="E333" s="199"/>
      <c r="F333" s="199"/>
      <c r="G333" s="198"/>
      <c r="J333" s="198"/>
      <c r="K333" s="198"/>
      <c r="M333" s="213">
        <f>_xll.qlCalendarAdvance(Calendar,M332,"1M","f",,Trigger)</f>
        <v>52215</v>
      </c>
      <c r="N333" s="204">
        <f>_xll.qlInterestRateIndexMaturity("AUDBBSW3M",M333)</f>
        <v>52303</v>
      </c>
      <c r="O333" s="206" t="str">
        <f>_xll.qlMakeDatedOIS(,M333,N333,OvernightIndex,0,,,,EvaluationDate)</f>
        <v>obj_003ba#0000</v>
      </c>
      <c r="P333" s="206" t="b">
        <f>_xll.qlInstrumentSetPricingEngine(O333,OisEngine)</f>
        <v>1</v>
      </c>
      <c r="Q333" s="205">
        <f>_xll.qlIndexFixing(Currency&amp;IborType&amp;"3M",_xll.qlInterestRateIndexFixingDate(Currency&amp;IborType&amp;"3M",M333),TRUE,AllTriggers)</f>
        <v>4.7405532125520899E-2</v>
      </c>
      <c r="R333" s="205">
        <f>_xll.qlOvernightIndexedSwapFairRate(O333,AllTriggers)</f>
        <v>4.4768462154934609E-2</v>
      </c>
      <c r="S333" s="207">
        <f t="shared" si="7"/>
        <v>2.6370699705862907E-3</v>
      </c>
    </row>
    <row r="334" spans="5:19" ht="11.25" customHeight="1" x14ac:dyDescent="0.2">
      <c r="E334" s="199"/>
      <c r="F334" s="199"/>
      <c r="G334" s="198"/>
      <c r="J334" s="198"/>
      <c r="K334" s="198"/>
      <c r="M334" s="213">
        <f>_xll.qlCalendarAdvance(Calendar,M333,"1M","f",,Trigger)</f>
        <v>52246</v>
      </c>
      <c r="N334" s="204">
        <f>_xll.qlInterestRateIndexMaturity("AUDBBSW3M",M334)</f>
        <v>52336</v>
      </c>
      <c r="O334" s="206" t="str">
        <f>_xll.qlMakeDatedOIS(,M334,N334,OvernightIndex,0,,,,EvaluationDate)</f>
        <v>obj_003bb#0000</v>
      </c>
      <c r="P334" s="206" t="b">
        <f>_xll.qlInstrumentSetPricingEngine(O334,OisEngine)</f>
        <v>1</v>
      </c>
      <c r="Q334" s="205">
        <f>_xll.qlIndexFixing(Currency&amp;IborType&amp;"3M",_xll.qlInterestRateIndexFixingDate(Currency&amp;IborType&amp;"3M",M334),TRUE,AllTriggers)</f>
        <v>4.741040121770769E-2</v>
      </c>
      <c r="R334" s="205">
        <f>_xll.qlOvernightIndexedSwapFairRate(O334,AllTriggers)</f>
        <v>4.4777807848244144E-2</v>
      </c>
      <c r="S334" s="207">
        <f t="shared" si="7"/>
        <v>2.6325933694635456E-3</v>
      </c>
    </row>
    <row r="335" spans="5:19" ht="11.25" customHeight="1" x14ac:dyDescent="0.2">
      <c r="E335" s="199"/>
      <c r="F335" s="199"/>
      <c r="G335" s="198"/>
      <c r="J335" s="198"/>
      <c r="K335" s="198"/>
      <c r="M335" s="213">
        <f>_xll.qlCalendarAdvance(Calendar,M334,"1M","f",,Trigger)</f>
        <v>52278</v>
      </c>
      <c r="N335" s="204">
        <f>_xll.qlInterestRateIndexMaturity("AUDBBSW3M",M335)</f>
        <v>52369</v>
      </c>
      <c r="O335" s="206" t="str">
        <f>_xll.qlMakeDatedOIS(,M335,N335,OvernightIndex,0,,,,EvaluationDate)</f>
        <v>obj_003bc#0000</v>
      </c>
      <c r="P335" s="206" t="b">
        <f>_xll.qlInstrumentSetPricingEngine(O335,OisEngine)</f>
        <v>1</v>
      </c>
      <c r="Q335" s="205">
        <f>_xll.qlIndexFixing(Currency&amp;IborType&amp;"3M",_xll.qlInterestRateIndexFixingDate(Currency&amp;IborType&amp;"3M",M335),TRUE,AllTriggers)</f>
        <v>4.741225489953807E-2</v>
      </c>
      <c r="R335" s="205">
        <f>_xll.qlOvernightIndexedSwapFairRate(O335,AllTriggers)</f>
        <v>4.4784226162152781E-2</v>
      </c>
      <c r="S335" s="207">
        <f t="shared" si="7"/>
        <v>2.6280287373852892E-3</v>
      </c>
    </row>
    <row r="336" spans="5:19" ht="11.25" customHeight="1" x14ac:dyDescent="0.2">
      <c r="E336" s="199"/>
      <c r="F336" s="199"/>
      <c r="G336" s="198"/>
      <c r="J336" s="198"/>
      <c r="K336" s="198"/>
      <c r="M336" s="213">
        <f>_xll.qlCalendarAdvance(Calendar,M335,"1M","f",,Trigger)</f>
        <v>52306</v>
      </c>
      <c r="N336" s="204">
        <f>_xll.qlInterestRateIndexMaturity("AUDBBSW3M",M336)</f>
        <v>52398</v>
      </c>
      <c r="O336" s="206" t="str">
        <f>_xll.qlMakeDatedOIS(,M336,N336,OvernightIndex,0,,,,EvaluationDate)</f>
        <v>obj_003bd#0000</v>
      </c>
      <c r="P336" s="206" t="b">
        <f>_xll.qlInstrumentSetPricingEngine(O336,OisEngine)</f>
        <v>1</v>
      </c>
      <c r="Q336" s="205">
        <f>_xll.qlIndexFixing(Currency&amp;IborType&amp;"3M",_xll.qlInterestRateIndexFixingDate(Currency&amp;IborType&amp;"3M",M336),TRUE,AllTriggers)</f>
        <v>4.7414317610251E-2</v>
      </c>
      <c r="R336" s="205">
        <f>_xll.qlOvernightIndexedSwapFairRate(O336,AllTriggers)</f>
        <v>4.4790017886438861E-2</v>
      </c>
      <c r="S336" s="207">
        <f t="shared" si="7"/>
        <v>2.6242997238121388E-3</v>
      </c>
    </row>
    <row r="337" spans="5:19" ht="11.25" customHeight="1" x14ac:dyDescent="0.2">
      <c r="E337" s="199"/>
      <c r="F337" s="199"/>
      <c r="G337" s="198"/>
      <c r="J337" s="198"/>
      <c r="K337" s="198"/>
      <c r="M337" s="213">
        <f>_xll.qlCalendarAdvance(Calendar,M336,"1M","f",,Trigger)</f>
        <v>52337</v>
      </c>
      <c r="N337" s="204">
        <f>_xll.qlInterestRateIndexMaturity("AUDBBSW3M",M337)</f>
        <v>52428</v>
      </c>
      <c r="O337" s="206" t="str">
        <f>_xll.qlMakeDatedOIS(,M337,N337,OvernightIndex,0,,,,EvaluationDate)</f>
        <v>obj_003be#0000</v>
      </c>
      <c r="P337" s="206" t="b">
        <f>_xll.qlInstrumentSetPricingEngine(O337,OisEngine)</f>
        <v>1</v>
      </c>
      <c r="Q337" s="205">
        <f>_xll.qlIndexFixing(Currency&amp;IborType&amp;"3M",_xll.qlInterestRateIndexFixingDate(Currency&amp;IborType&amp;"3M",M337),TRUE,AllTriggers)</f>
        <v>4.7410235874880288E-2</v>
      </c>
      <c r="R337" s="205">
        <f>_xll.qlOvernightIndexedSwapFairRate(O337,AllTriggers)</f>
        <v>4.4790288005717029E-2</v>
      </c>
      <c r="S337" s="207">
        <f t="shared" si="7"/>
        <v>2.6199478691632597E-3</v>
      </c>
    </row>
    <row r="338" spans="5:19" ht="11.25" customHeight="1" x14ac:dyDescent="0.2">
      <c r="E338" s="199"/>
      <c r="F338" s="199"/>
      <c r="G338" s="198"/>
      <c r="J338" s="198"/>
      <c r="K338" s="198"/>
      <c r="M338" s="213">
        <f>_xll.qlCalendarAdvance(Calendar,M337,"1M","f",,Trigger)</f>
        <v>52369</v>
      </c>
      <c r="N338" s="204">
        <f>_xll.qlInterestRateIndexMaturity("AUDBBSW3M",M338)</f>
        <v>52461</v>
      </c>
      <c r="O338" s="206" t="str">
        <f>_xll.qlMakeDatedOIS(,M338,N338,OvernightIndex,0,,,,EvaluationDate)</f>
        <v>obj_003d0#0000</v>
      </c>
      <c r="P338" s="206" t="b">
        <f>_xll.qlInstrumentSetPricingEngine(O338,OisEngine)</f>
        <v>1</v>
      </c>
      <c r="Q338" s="205">
        <f>_xll.qlIndexFixing(Currency&amp;IborType&amp;"3M",_xll.qlInterestRateIndexFixingDate(Currency&amp;IborType&amp;"3M",M338),TRUE,AllTriggers)</f>
        <v>4.7412293215591247E-2</v>
      </c>
      <c r="R338" s="205">
        <f>_xll.qlOvernightIndexedSwapFairRate(O338,AllTriggers)</f>
        <v>4.4796095825904506E-2</v>
      </c>
      <c r="S338" s="207">
        <f t="shared" si="7"/>
        <v>2.6161973896867419E-3</v>
      </c>
    </row>
    <row r="339" spans="5:19" ht="11.25" customHeight="1" x14ac:dyDescent="0.2">
      <c r="E339" s="199"/>
      <c r="F339" s="199"/>
      <c r="G339" s="198"/>
      <c r="J339" s="198"/>
      <c r="K339" s="198"/>
      <c r="M339" s="213">
        <f>_xll.qlCalendarAdvance(Calendar,M338,"1M","f",,Trigger)</f>
        <v>52400</v>
      </c>
      <c r="N339" s="204">
        <f>_xll.qlInterestRateIndexMaturity("AUDBBSW3M",M339)</f>
        <v>52492</v>
      </c>
      <c r="O339" s="206" t="str">
        <f>_xll.qlMakeDatedOIS(,M339,N339,OvernightIndex,0,,,,EvaluationDate)</f>
        <v>obj_003bf#0000</v>
      </c>
      <c r="P339" s="206" t="b">
        <f>_xll.qlInstrumentSetPricingEngine(O339,OisEngine)</f>
        <v>1</v>
      </c>
      <c r="Q339" s="205">
        <f>_xll.qlIndexFixing(Currency&amp;IborType&amp;"3M",_xll.qlInterestRateIndexFixingDate(Currency&amp;IborType&amp;"3M",M339),TRUE,AllTriggers)</f>
        <v>4.741139701721752E-2</v>
      </c>
      <c r="R339" s="205">
        <f>_xll.qlOvernightIndexedSwapFairRate(O339,AllTriggers)</f>
        <v>4.4798786530246437E-2</v>
      </c>
      <c r="S339" s="207">
        <f t="shared" si="7"/>
        <v>2.6126104869710828E-3</v>
      </c>
    </row>
    <row r="340" spans="5:19" ht="11.25" customHeight="1" x14ac:dyDescent="0.2">
      <c r="E340" s="199"/>
      <c r="F340" s="199"/>
      <c r="G340" s="198"/>
      <c r="J340" s="198"/>
      <c r="K340" s="198"/>
      <c r="M340" s="213">
        <f>_xll.qlCalendarAdvance(Calendar,M339,"1M","f",,Trigger)</f>
        <v>52432</v>
      </c>
      <c r="N340" s="204">
        <f>_xll.qlInterestRateIndexMaturity("AUDBBSW3M",M340)</f>
        <v>52524</v>
      </c>
      <c r="O340" s="206" t="str">
        <f>_xll.qlMakeDatedOIS(,M340,N340,OvernightIndex,0,,,,EvaluationDate)</f>
        <v>obj_003c0#0000</v>
      </c>
      <c r="P340" s="206" t="b">
        <f>_xll.qlInstrumentSetPricingEngine(O340,OisEngine)</f>
        <v>1</v>
      </c>
      <c r="Q340" s="205">
        <f>_xll.qlIndexFixing(Currency&amp;IborType&amp;"3M",_xll.qlInterestRateIndexFixingDate(Currency&amp;IborType&amp;"3M",M340),TRUE,AllTriggers)</f>
        <v>4.7410541045586493E-2</v>
      </c>
      <c r="R340" s="205">
        <f>_xll.qlOvernightIndexedSwapFairRate(O340,AllTriggers)</f>
        <v>4.4801356461941721E-2</v>
      </c>
      <c r="S340" s="207">
        <f t="shared" si="7"/>
        <v>2.6091845836447719E-3</v>
      </c>
    </row>
    <row r="341" spans="5:19" ht="11.25" customHeight="1" x14ac:dyDescent="0.2">
      <c r="E341" s="199"/>
      <c r="F341" s="199"/>
      <c r="G341" s="198"/>
      <c r="J341" s="198"/>
      <c r="K341" s="198"/>
      <c r="M341" s="213">
        <f>_xll.qlCalendarAdvance(Calendar,M340,"1M","f",,Trigger)</f>
        <v>52463</v>
      </c>
      <c r="N341" s="204">
        <f>_xll.qlInterestRateIndexMaturity("AUDBBSW3M",M341)</f>
        <v>52555</v>
      </c>
      <c r="O341" s="206" t="str">
        <f>_xll.qlMakeDatedOIS(,M341,N341,OvernightIndex,0,,,,EvaluationDate)</f>
        <v>obj_003c1#0000</v>
      </c>
      <c r="P341" s="206" t="b">
        <f>_xll.qlInstrumentSetPricingEngine(O341,OisEngine)</f>
        <v>1</v>
      </c>
      <c r="Q341" s="205">
        <f>_xll.qlIndexFixing(Currency&amp;IborType&amp;"3M",_xll.qlInterestRateIndexFixingDate(Currency&amp;IborType&amp;"3M",M341),TRUE,AllTriggers)</f>
        <v>4.7409778798888268E-2</v>
      </c>
      <c r="R341" s="205">
        <f>_xll.qlOvernightIndexedSwapFairRate(O341,AllTriggers)</f>
        <v>4.4803644999876525E-2</v>
      </c>
      <c r="S341" s="207">
        <f t="shared" si="7"/>
        <v>2.6061337990117422E-3</v>
      </c>
    </row>
    <row r="342" spans="5:19" ht="11.25" customHeight="1" x14ac:dyDescent="0.2">
      <c r="E342" s="199"/>
      <c r="F342" s="199"/>
      <c r="G342" s="198"/>
      <c r="J342" s="198"/>
      <c r="K342" s="198"/>
      <c r="M342" s="213">
        <f>_xll.qlCalendarAdvance(Calendar,M341,"1M","f",,Trigger)</f>
        <v>52495</v>
      </c>
      <c r="N342" s="204">
        <f>_xll.qlInterestRateIndexMaturity("AUDBBSW3M",M342)</f>
        <v>52586</v>
      </c>
      <c r="O342" s="206" t="str">
        <f>_xll.qlMakeDatedOIS(,M342,N342,OvernightIndex,0,,,,EvaluationDate)</f>
        <v>obj_003c2#0000</v>
      </c>
      <c r="P342" s="206" t="b">
        <f>_xll.qlInstrumentSetPricingEngine(O342,OisEngine)</f>
        <v>1</v>
      </c>
      <c r="Q342" s="205">
        <f>_xll.qlIndexFixing(Currency&amp;IborType&amp;"3M",_xll.qlInterestRateIndexFixingDate(Currency&amp;IborType&amp;"3M",M342),TRUE,AllTriggers)</f>
        <v>4.7406004642708437E-2</v>
      </c>
      <c r="R342" s="205">
        <f>_xll.qlOvernightIndexedSwapFairRate(O342,AllTriggers)</f>
        <v>4.4802991737355538E-2</v>
      </c>
      <c r="S342" s="207">
        <f t="shared" si="7"/>
        <v>2.6030129053528986E-3</v>
      </c>
    </row>
    <row r="343" spans="5:19" ht="11.25" customHeight="1" x14ac:dyDescent="0.2">
      <c r="E343" s="199"/>
      <c r="F343" s="199"/>
      <c r="G343" s="198"/>
      <c r="J343" s="198"/>
      <c r="K343" s="198"/>
      <c r="M343" s="213">
        <f>_xll.qlCalendarAdvance(Calendar,M342,"1M","f",,Trigger)</f>
        <v>52525</v>
      </c>
      <c r="N343" s="204">
        <f>_xll.qlInterestRateIndexMaturity("AUDBBSW3M",M343)</f>
        <v>52617</v>
      </c>
      <c r="O343" s="206" t="str">
        <f>_xll.qlMakeDatedOIS(,M343,N343,OvernightIndex,0,,,,EvaluationDate)</f>
        <v>obj_003c3#0000</v>
      </c>
      <c r="P343" s="206" t="b">
        <f>_xll.qlInstrumentSetPricingEngine(O343,OisEngine)</f>
        <v>1</v>
      </c>
      <c r="Q343" s="205">
        <f>_xll.qlIndexFixing(Currency&amp;IborType&amp;"3M",_xll.qlInterestRateIndexFixingDate(Currency&amp;IborType&amp;"3M",M343),TRUE,AllTriggers)</f>
        <v>4.7408452043474499E-2</v>
      </c>
      <c r="R343" s="205">
        <f>_xll.qlOvernightIndexedSwapFairRate(O343,AllTriggers)</f>
        <v>4.4807628399606593E-2</v>
      </c>
      <c r="S343" s="207">
        <f t="shared" si="7"/>
        <v>2.6008236438679055E-3</v>
      </c>
    </row>
    <row r="344" spans="5:19" ht="11.25" customHeight="1" x14ac:dyDescent="0.2">
      <c r="E344" s="199"/>
      <c r="F344" s="199"/>
      <c r="G344" s="198"/>
      <c r="J344" s="198"/>
      <c r="K344" s="198"/>
      <c r="M344" s="213">
        <f>_xll.qlCalendarAdvance(Calendar,M343,"1M","f",,Trigger)</f>
        <v>52558</v>
      </c>
      <c r="N344" s="204">
        <f>_xll.qlInterestRateIndexMaturity("AUDBBSW3M",M344)</f>
        <v>52650</v>
      </c>
      <c r="O344" s="206" t="str">
        <f>_xll.qlMakeDatedOIS(,M344,N344,OvernightIndex,0,,,,EvaluationDate)</f>
        <v>obj_003c4#0000</v>
      </c>
      <c r="P344" s="206" t="b">
        <f>_xll.qlInstrumentSetPricingEngine(O344,OisEngine)</f>
        <v>1</v>
      </c>
      <c r="Q344" s="205">
        <f>_xll.qlIndexFixing(Currency&amp;IborType&amp;"3M",_xll.qlInterestRateIndexFixingDate(Currency&amp;IborType&amp;"3M",M344),TRUE,AllTriggers)</f>
        <v>4.7407853378159809E-2</v>
      </c>
      <c r="R344" s="205">
        <f>_xll.qlOvernightIndexedSwapFairRate(O344,AllTriggers)</f>
        <v>4.4809425811203549E-2</v>
      </c>
      <c r="S344" s="207">
        <f t="shared" si="7"/>
        <v>2.5984275669562601E-3</v>
      </c>
    </row>
    <row r="345" spans="5:19" ht="11.25" customHeight="1" x14ac:dyDescent="0.2">
      <c r="E345" s="199"/>
      <c r="F345" s="199"/>
      <c r="G345" s="198"/>
      <c r="J345" s="198"/>
      <c r="K345" s="198"/>
      <c r="M345" s="213">
        <f>_xll.qlCalendarAdvance(Calendar,M344,"1M","f",,Trigger)</f>
        <v>52588</v>
      </c>
      <c r="N345" s="204">
        <f>_xll.qlInterestRateIndexMaturity("AUDBBSW3M",M345)</f>
        <v>52679</v>
      </c>
      <c r="O345" s="206" t="str">
        <f>_xll.qlMakeDatedOIS(,M345,N345,OvernightIndex,0,,,,EvaluationDate)</f>
        <v>obj_003c5#0000</v>
      </c>
      <c r="P345" s="206" t="b">
        <f>_xll.qlInstrumentSetPricingEngine(O345,OisEngine)</f>
        <v>1</v>
      </c>
      <c r="Q345" s="205">
        <f>_xll.qlIndexFixing(Currency&amp;IborType&amp;"3M",_xll.qlInterestRateIndexFixingDate(Currency&amp;IborType&amp;"3M",M345),TRUE,AllTriggers)</f>
        <v>4.7404314523890816E-2</v>
      </c>
      <c r="R345" s="205">
        <f>_xll.qlOvernightIndexedSwapFairRate(O345,AllTriggers)</f>
        <v>4.4808066117197572E-2</v>
      </c>
      <c r="S345" s="207">
        <f t="shared" si="7"/>
        <v>2.596248406693244E-3</v>
      </c>
    </row>
    <row r="346" spans="5:19" ht="11.25" customHeight="1" x14ac:dyDescent="0.2">
      <c r="E346" s="199"/>
      <c r="F346" s="199"/>
      <c r="G346" s="198"/>
      <c r="J346" s="198"/>
      <c r="K346" s="198"/>
      <c r="M346" s="213">
        <f>_xll.qlCalendarAdvance(Calendar,M345,"1M","f",,Trigger)</f>
        <v>52621</v>
      </c>
      <c r="N346" s="204">
        <f>_xll.qlInterestRateIndexMaturity("AUDBBSW3M",M346)</f>
        <v>52713</v>
      </c>
      <c r="O346" s="206" t="str">
        <f>_xll.qlMakeDatedOIS(,M346,N346,OvernightIndex,0,,,,EvaluationDate)</f>
        <v>obj_003c6#0000</v>
      </c>
      <c r="P346" s="206" t="b">
        <f>_xll.qlInstrumentSetPricingEngine(O346,OisEngine)</f>
        <v>1</v>
      </c>
      <c r="Q346" s="205">
        <f>_xll.qlIndexFixing(Currency&amp;IborType&amp;"3M",_xll.qlInterestRateIndexFixingDate(Currency&amp;IborType&amp;"3M",M346),TRUE,AllTriggers)</f>
        <v>4.740691788019346E-2</v>
      </c>
      <c r="R346" s="205">
        <f>_xll.qlOvernightIndexedSwapFairRate(O346,AllTriggers)</f>
        <v>4.481223451942868E-2</v>
      </c>
      <c r="S346" s="207">
        <f t="shared" si="7"/>
        <v>2.5946833607647796E-3</v>
      </c>
    </row>
    <row r="347" spans="5:19" ht="11.25" customHeight="1" x14ac:dyDescent="0.2">
      <c r="E347" s="199"/>
      <c r="F347" s="199"/>
      <c r="G347" s="198"/>
      <c r="J347" s="198"/>
      <c r="K347" s="198"/>
      <c r="M347" s="213">
        <f>_xll.qlCalendarAdvance(Calendar,M346,"1M","f",,Trigger)</f>
        <v>52652</v>
      </c>
      <c r="N347" s="204">
        <f>_xll.qlInterestRateIndexMaturity("AUDBBSW3M",M347)</f>
        <v>52742</v>
      </c>
      <c r="O347" s="206" t="str">
        <f>_xll.qlMakeDatedOIS(,M347,N347,OvernightIndex,0,,,,EvaluationDate)</f>
        <v>obj_003c7#0000</v>
      </c>
      <c r="P347" s="206" t="b">
        <f>_xll.qlInstrumentSetPricingEngine(O347,OisEngine)</f>
        <v>1</v>
      </c>
      <c r="Q347" s="205">
        <f>_xll.qlIndexFixing(Currency&amp;IborType&amp;"3M",_xll.qlInterestRateIndexFixingDate(Currency&amp;IborType&amp;"3M",M347),TRUE,AllTriggers)</f>
        <v>4.7400434738793851E-2</v>
      </c>
      <c r="R347" s="205">
        <f>_xll.qlOvernightIndexedSwapFairRate(O347,AllTriggers)</f>
        <v>4.4807731072729062E-2</v>
      </c>
      <c r="S347" s="207">
        <f t="shared" si="7"/>
        <v>2.5927036660647884E-3</v>
      </c>
    </row>
    <row r="348" spans="5:19" ht="11.25" customHeight="1" x14ac:dyDescent="0.2">
      <c r="E348" s="199"/>
      <c r="F348" s="199"/>
      <c r="G348" s="198"/>
      <c r="J348" s="198"/>
      <c r="K348" s="198"/>
      <c r="M348" s="213">
        <f>_xll.qlCalendarAdvance(Calendar,M347,"1M","f",,Trigger)</f>
        <v>52681</v>
      </c>
      <c r="N348" s="204">
        <f>_xll.qlInterestRateIndexMaturity("AUDBBSW3M",M348)</f>
        <v>52775</v>
      </c>
      <c r="O348" s="206" t="str">
        <f>_xll.qlMakeDatedOIS(,M348,N348,OvernightIndex,0,,,,EvaluationDate)</f>
        <v>obj_003c8#0000</v>
      </c>
      <c r="P348" s="206" t="b">
        <f>_xll.qlInstrumentSetPricingEngine(O348,OisEngine)</f>
        <v>1</v>
      </c>
      <c r="Q348" s="205">
        <f>_xll.qlIndexFixing(Currency&amp;IborType&amp;"3M",_xll.qlInterestRateIndexFixingDate(Currency&amp;IborType&amp;"3M",M348),TRUE,AllTriggers)</f>
        <v>4.741240582755904E-2</v>
      </c>
      <c r="R348" s="205">
        <f>_xll.qlOvernightIndexedSwapFairRate(O348,AllTriggers)</f>
        <v>4.4819729987539171E-2</v>
      </c>
      <c r="S348" s="207">
        <f t="shared" si="7"/>
        <v>2.5926758400198688E-3</v>
      </c>
    </row>
    <row r="349" spans="5:19" ht="11.25" customHeight="1" x14ac:dyDescent="0.2">
      <c r="E349" s="199"/>
      <c r="F349" s="199"/>
      <c r="G349" s="198"/>
      <c r="J349" s="198"/>
      <c r="K349" s="198"/>
      <c r="M349" s="213">
        <f>_xll.qlCalendarAdvance(Calendar,M348,"1M","f",,Trigger)</f>
        <v>52713</v>
      </c>
      <c r="N349" s="204">
        <f>_xll.qlInterestRateIndexMaturity("AUDBBSW3M",M349)</f>
        <v>52804</v>
      </c>
      <c r="O349" s="206" t="str">
        <f>_xll.qlMakeDatedOIS(,M349,N349,OvernightIndex,0,,,,EvaluationDate)</f>
        <v>obj_003c9#0000</v>
      </c>
      <c r="P349" s="206" t="b">
        <f>_xll.qlInstrumentSetPricingEngine(O349,OisEngine)</f>
        <v>1</v>
      </c>
      <c r="Q349" s="205">
        <f>_xll.qlIndexFixing(Currency&amp;IborType&amp;"3M",_xll.qlInterestRateIndexFixingDate(Currency&amp;IborType&amp;"3M",M349),TRUE,AllTriggers)</f>
        <v>4.7402977242307236E-2</v>
      </c>
      <c r="R349" s="205">
        <f>_xll.qlOvernightIndexedSwapFairRate(O349,AllTriggers)</f>
        <v>4.4812081151456046E-2</v>
      </c>
      <c r="S349" s="207">
        <f t="shared" si="7"/>
        <v>2.5908960908511899E-3</v>
      </c>
    </row>
    <row r="350" spans="5:19" ht="11.25" customHeight="1" x14ac:dyDescent="0.2">
      <c r="E350" s="199"/>
      <c r="F350" s="199"/>
      <c r="G350" s="198"/>
      <c r="J350" s="198"/>
      <c r="K350" s="198"/>
      <c r="M350" s="213">
        <f>_xll.qlCalendarAdvance(Calendar,M349,"1M","f",,Trigger)</f>
        <v>52743</v>
      </c>
      <c r="N350" s="204">
        <f>_xll.qlInterestRateIndexMaturity("AUDBBSW3M",M350)</f>
        <v>52835</v>
      </c>
      <c r="O350" s="206" t="str">
        <f>_xll.qlMakeDatedOIS(,M350,N350,OvernightIndex,0,,,,EvaluationDate)</f>
        <v>obj_003ca#0000</v>
      </c>
      <c r="P350" s="206" t="b">
        <f>_xll.qlInstrumentSetPricingEngine(O350,OisEngine)</f>
        <v>1</v>
      </c>
      <c r="Q350" s="205">
        <f>_xll.qlIndexFixing(Currency&amp;IborType&amp;"3M",_xll.qlInterestRateIndexFixingDate(Currency&amp;IborType&amp;"3M",M350),TRUE,AllTriggers)</f>
        <v>4.7405880290124727E-2</v>
      </c>
      <c r="R350" s="205">
        <f>_xll.qlOvernightIndexedSwapFairRate(O350,AllTriggers)</f>
        <v>4.4815349748712784E-2</v>
      </c>
      <c r="S350" s="207">
        <f t="shared" si="7"/>
        <v>2.5905305414119437E-3</v>
      </c>
    </row>
    <row r="351" spans="5:19" ht="11.25" customHeight="1" x14ac:dyDescent="0.2">
      <c r="E351" s="199"/>
      <c r="F351" s="199"/>
      <c r="G351" s="198"/>
      <c r="J351" s="198"/>
      <c r="K351" s="198"/>
    </row>
    <row r="352" spans="5:19" ht="11.25" customHeight="1" x14ac:dyDescent="0.2">
      <c r="E352" s="199"/>
      <c r="F352" s="199"/>
      <c r="G352" s="198"/>
      <c r="J352" s="198"/>
      <c r="K352" s="198"/>
    </row>
    <row r="353" spans="5:11" ht="11.25" customHeight="1" x14ac:dyDescent="0.2">
      <c r="E353" s="199"/>
      <c r="F353" s="199"/>
      <c r="G353" s="198"/>
      <c r="J353" s="198"/>
      <c r="K353" s="198"/>
    </row>
    <row r="354" spans="5:11" ht="11.25" customHeight="1" x14ac:dyDescent="0.2">
      <c r="E354" s="199"/>
      <c r="F354" s="199"/>
      <c r="G354" s="198"/>
      <c r="J354" s="198"/>
      <c r="K354" s="198"/>
    </row>
    <row r="355" spans="5:11" ht="11.25" customHeight="1" x14ac:dyDescent="0.2">
      <c r="E355" s="199"/>
      <c r="F355" s="199"/>
      <c r="G355" s="198"/>
      <c r="J355" s="198"/>
      <c r="K355" s="198"/>
    </row>
    <row r="356" spans="5:11" ht="11.25" customHeight="1" x14ac:dyDescent="0.2">
      <c r="E356" s="199"/>
      <c r="F356" s="199"/>
      <c r="G356" s="198"/>
      <c r="J356" s="198"/>
      <c r="K356" s="198"/>
    </row>
    <row r="357" spans="5:11" ht="11.25" customHeight="1" x14ac:dyDescent="0.2">
      <c r="E357" s="199"/>
      <c r="F357" s="199"/>
      <c r="G357" s="198"/>
      <c r="J357" s="198"/>
      <c r="K357" s="198"/>
    </row>
    <row r="358" spans="5:11" ht="11.25" customHeight="1" x14ac:dyDescent="0.2">
      <c r="E358" s="199"/>
      <c r="F358" s="199"/>
      <c r="G358" s="198"/>
      <c r="J358" s="198"/>
      <c r="K358" s="198"/>
    </row>
    <row r="359" spans="5:11" ht="11.25" customHeight="1" x14ac:dyDescent="0.2">
      <c r="E359" s="199"/>
      <c r="F359" s="199"/>
      <c r="G359" s="198"/>
      <c r="J359" s="198"/>
      <c r="K359" s="198"/>
    </row>
    <row r="360" spans="5:11" ht="11.25" customHeight="1" x14ac:dyDescent="0.2">
      <c r="E360" s="199"/>
      <c r="F360" s="199"/>
      <c r="G360" s="198"/>
      <c r="J360" s="198"/>
      <c r="K360" s="198"/>
    </row>
    <row r="361" spans="5:11" ht="11.25" customHeight="1" x14ac:dyDescent="0.2">
      <c r="E361" s="199"/>
      <c r="F361" s="199"/>
      <c r="G361" s="198"/>
      <c r="J361" s="198"/>
      <c r="K361" s="198"/>
    </row>
    <row r="362" spans="5:11" ht="11.25" customHeight="1" x14ac:dyDescent="0.2">
      <c r="E362" s="199"/>
      <c r="F362" s="199"/>
      <c r="G362" s="198"/>
      <c r="J362" s="198"/>
      <c r="K362" s="198"/>
    </row>
    <row r="363" spans="5:11" ht="11.25" customHeight="1" x14ac:dyDescent="0.2">
      <c r="E363" s="199"/>
      <c r="F363" s="199"/>
      <c r="G363" s="198"/>
      <c r="J363" s="198"/>
      <c r="K363" s="198"/>
    </row>
    <row r="364" spans="5:11" ht="11.25" customHeight="1" x14ac:dyDescent="0.2">
      <c r="E364" s="199"/>
      <c r="F364" s="199"/>
      <c r="G364" s="198"/>
      <c r="J364" s="198"/>
      <c r="K364" s="198"/>
    </row>
    <row r="365" spans="5:11" ht="11.25" customHeight="1" x14ac:dyDescent="0.2">
      <c r="E365" s="199"/>
      <c r="F365" s="199"/>
      <c r="G365" s="198"/>
      <c r="J365" s="198"/>
      <c r="K365" s="198"/>
    </row>
    <row r="366" spans="5:11" ht="11.25" customHeight="1" x14ac:dyDescent="0.2">
      <c r="E366" s="199"/>
      <c r="F366" s="199"/>
      <c r="G366" s="198"/>
      <c r="J366" s="198"/>
      <c r="K366" s="198"/>
    </row>
    <row r="367" spans="5:11" ht="11.25" customHeight="1" x14ac:dyDescent="0.2">
      <c r="E367" s="199"/>
      <c r="F367" s="199"/>
      <c r="G367" s="198"/>
      <c r="J367" s="198"/>
      <c r="K367" s="198"/>
    </row>
    <row r="368" spans="5:11" ht="11.25" customHeight="1" x14ac:dyDescent="0.2">
      <c r="E368" s="199"/>
      <c r="F368" s="199"/>
      <c r="G368" s="198"/>
      <c r="J368" s="198"/>
      <c r="K368" s="198"/>
    </row>
    <row r="369" spans="5:11" ht="11.25" customHeight="1" x14ac:dyDescent="0.2">
      <c r="E369" s="199"/>
      <c r="F369" s="199"/>
      <c r="G369" s="198"/>
      <c r="J369" s="198"/>
      <c r="K369" s="198"/>
    </row>
    <row r="370" spans="5:11" ht="11.25" customHeight="1" x14ac:dyDescent="0.2">
      <c r="E370" s="199"/>
      <c r="F370" s="199"/>
      <c r="G370" s="198"/>
      <c r="J370" s="198"/>
      <c r="K370" s="198"/>
    </row>
    <row r="371" spans="5:11" ht="11.25" customHeight="1" x14ac:dyDescent="0.2">
      <c r="E371" s="199"/>
      <c r="F371" s="199"/>
      <c r="G371" s="198"/>
      <c r="J371" s="198"/>
      <c r="K371" s="198"/>
    </row>
    <row r="372" spans="5:11" ht="11.25" customHeight="1" x14ac:dyDescent="0.2">
      <c r="E372" s="199"/>
      <c r="F372" s="199"/>
      <c r="G372" s="198"/>
      <c r="J372" s="198"/>
      <c r="K372" s="198"/>
    </row>
    <row r="373" spans="5:11" ht="11.25" customHeight="1" x14ac:dyDescent="0.2">
      <c r="E373" s="199"/>
      <c r="F373" s="199"/>
      <c r="G373" s="198"/>
      <c r="J373" s="198"/>
      <c r="K373" s="198"/>
    </row>
    <row r="374" spans="5:11" ht="11.25" customHeight="1" x14ac:dyDescent="0.2">
      <c r="E374" s="199"/>
      <c r="F374" s="199"/>
      <c r="G374" s="198"/>
      <c r="J374" s="198"/>
      <c r="K374" s="198"/>
    </row>
    <row r="375" spans="5:11" ht="11.25" customHeight="1" x14ac:dyDescent="0.2">
      <c r="E375" s="199"/>
      <c r="F375" s="199"/>
      <c r="G375" s="198"/>
      <c r="J375" s="198"/>
      <c r="K375" s="198"/>
    </row>
    <row r="376" spans="5:11" ht="11.25" customHeight="1" x14ac:dyDescent="0.2">
      <c r="E376" s="199"/>
      <c r="F376" s="199"/>
      <c r="G376" s="198"/>
      <c r="J376" s="198"/>
      <c r="K376" s="198"/>
    </row>
    <row r="377" spans="5:11" ht="11.25" customHeight="1" x14ac:dyDescent="0.2">
      <c r="E377" s="199"/>
      <c r="F377" s="199"/>
      <c r="G377" s="198"/>
      <c r="J377" s="198"/>
      <c r="K377" s="198"/>
    </row>
    <row r="378" spans="5:11" ht="11.25" customHeight="1" x14ac:dyDescent="0.2">
      <c r="E378" s="199"/>
      <c r="F378" s="199"/>
      <c r="G378" s="198"/>
      <c r="J378" s="198"/>
      <c r="K378" s="198"/>
    </row>
    <row r="379" spans="5:11" ht="11.25" customHeight="1" x14ac:dyDescent="0.2">
      <c r="E379" s="199"/>
      <c r="F379" s="199"/>
      <c r="G379" s="198"/>
      <c r="J379" s="198"/>
      <c r="K379" s="198"/>
    </row>
    <row r="380" spans="5:11" ht="11.25" customHeight="1" x14ac:dyDescent="0.2">
      <c r="E380" s="199"/>
      <c r="F380" s="199"/>
      <c r="G380" s="198"/>
      <c r="J380" s="198"/>
      <c r="K380" s="198"/>
    </row>
    <row r="381" spans="5:11" ht="11.25" customHeight="1" x14ac:dyDescent="0.2">
      <c r="E381" s="199"/>
      <c r="F381" s="199"/>
      <c r="G381" s="198"/>
      <c r="J381" s="198"/>
      <c r="K381" s="198"/>
    </row>
    <row r="382" spans="5:11" ht="11.25" customHeight="1" x14ac:dyDescent="0.2">
      <c r="E382" s="199"/>
      <c r="F382" s="199"/>
      <c r="G382" s="198"/>
      <c r="J382" s="198"/>
      <c r="K382" s="198"/>
    </row>
    <row r="383" spans="5:11" ht="11.25" customHeight="1" x14ac:dyDescent="0.2">
      <c r="E383" s="199"/>
      <c r="F383" s="199"/>
      <c r="G383" s="198"/>
      <c r="J383" s="198"/>
      <c r="K383" s="198"/>
    </row>
    <row r="384" spans="5:11" ht="11.25" customHeight="1" x14ac:dyDescent="0.2">
      <c r="E384" s="199"/>
      <c r="F384" s="199"/>
      <c r="G384" s="198"/>
      <c r="J384" s="198"/>
      <c r="K384" s="198"/>
    </row>
    <row r="385" spans="5:11" ht="11.25" customHeight="1" x14ac:dyDescent="0.2">
      <c r="E385" s="199"/>
      <c r="F385" s="199"/>
      <c r="G385" s="198"/>
      <c r="J385" s="198"/>
      <c r="K385" s="198"/>
    </row>
    <row r="386" spans="5:11" ht="11.25" customHeight="1" x14ac:dyDescent="0.2">
      <c r="E386" s="199"/>
      <c r="F386" s="199"/>
      <c r="G386" s="198"/>
      <c r="J386" s="198"/>
      <c r="K386" s="198"/>
    </row>
    <row r="387" spans="5:11" ht="11.25" customHeight="1" x14ac:dyDescent="0.2">
      <c r="E387" s="199"/>
      <c r="F387" s="199"/>
      <c r="G387" s="198"/>
      <c r="J387" s="198"/>
      <c r="K387" s="198"/>
    </row>
    <row r="388" spans="5:11" ht="11.25" customHeight="1" x14ac:dyDescent="0.2">
      <c r="E388" s="199"/>
      <c r="F388" s="199"/>
      <c r="G388" s="198"/>
      <c r="J388" s="198"/>
      <c r="K388" s="198"/>
    </row>
    <row r="389" spans="5:11" ht="11.25" customHeight="1" x14ac:dyDescent="0.2">
      <c r="E389" s="199"/>
      <c r="F389" s="199"/>
      <c r="G389" s="198"/>
      <c r="J389" s="198"/>
      <c r="K389" s="198"/>
    </row>
    <row r="390" spans="5:11" ht="11.25" customHeight="1" x14ac:dyDescent="0.2">
      <c r="E390" s="199"/>
      <c r="F390" s="199"/>
      <c r="G390" s="198"/>
      <c r="J390" s="198"/>
      <c r="K390" s="198"/>
    </row>
    <row r="391" spans="5:11" ht="11.25" customHeight="1" x14ac:dyDescent="0.2">
      <c r="E391" s="199"/>
      <c r="F391" s="199"/>
      <c r="G391" s="198"/>
      <c r="J391" s="198"/>
      <c r="K391" s="198"/>
    </row>
    <row r="392" spans="5:11" ht="11.25" customHeight="1" x14ac:dyDescent="0.2">
      <c r="E392" s="199"/>
      <c r="F392" s="199"/>
      <c r="G392" s="198"/>
      <c r="J392" s="198"/>
      <c r="K392" s="198"/>
    </row>
    <row r="393" spans="5:11" ht="11.25" customHeight="1" x14ac:dyDescent="0.2">
      <c r="E393" s="199"/>
      <c r="F393" s="199"/>
      <c r="G393" s="198"/>
      <c r="J393" s="198"/>
      <c r="K393" s="198"/>
    </row>
    <row r="394" spans="5:11" ht="11.25" customHeight="1" x14ac:dyDescent="0.2">
      <c r="E394" s="199"/>
      <c r="F394" s="199"/>
      <c r="G394" s="198"/>
      <c r="J394" s="198"/>
      <c r="K394" s="198"/>
    </row>
    <row r="395" spans="5:11" ht="11.25" customHeight="1" x14ac:dyDescent="0.2">
      <c r="E395" s="199"/>
      <c r="F395" s="199"/>
      <c r="G395" s="198"/>
      <c r="J395" s="198"/>
      <c r="K395" s="198"/>
    </row>
    <row r="396" spans="5:11" ht="11.25" customHeight="1" x14ac:dyDescent="0.2">
      <c r="E396" s="199"/>
      <c r="F396" s="199"/>
      <c r="G396" s="198"/>
      <c r="J396" s="198"/>
      <c r="K396" s="198"/>
    </row>
    <row r="397" spans="5:11" ht="11.25" customHeight="1" x14ac:dyDescent="0.2">
      <c r="E397" s="199"/>
      <c r="F397" s="199"/>
      <c r="G397" s="198"/>
      <c r="J397" s="198"/>
      <c r="K397" s="198"/>
    </row>
    <row r="398" spans="5:11" ht="11.25" customHeight="1" x14ac:dyDescent="0.2">
      <c r="E398" s="199"/>
      <c r="F398" s="199"/>
      <c r="G398" s="198"/>
      <c r="J398" s="198"/>
      <c r="K398" s="198"/>
    </row>
    <row r="399" spans="5:11" ht="11.25" customHeight="1" x14ac:dyDescent="0.2">
      <c r="E399" s="199"/>
      <c r="F399" s="199"/>
      <c r="G399" s="198"/>
      <c r="J399" s="198"/>
      <c r="K399" s="198"/>
    </row>
    <row r="400" spans="5:11" ht="11.25" customHeight="1" x14ac:dyDescent="0.2">
      <c r="E400" s="199"/>
      <c r="F400" s="199"/>
      <c r="G400" s="198"/>
      <c r="J400" s="198"/>
      <c r="K400" s="198"/>
    </row>
    <row r="401" spans="5:11" ht="11.25" customHeight="1" x14ac:dyDescent="0.2">
      <c r="E401" s="199"/>
      <c r="F401" s="199"/>
      <c r="G401" s="198"/>
      <c r="J401" s="198"/>
      <c r="K401" s="198"/>
    </row>
    <row r="402" spans="5:11" ht="11.25" customHeight="1" x14ac:dyDescent="0.2">
      <c r="E402" s="199"/>
      <c r="F402" s="199"/>
      <c r="G402" s="198"/>
      <c r="J402" s="198"/>
      <c r="K402" s="198"/>
    </row>
    <row r="403" spans="5:11" ht="11.25" customHeight="1" x14ac:dyDescent="0.2">
      <c r="E403" s="199"/>
      <c r="F403" s="199"/>
      <c r="G403" s="198"/>
      <c r="J403" s="198"/>
      <c r="K403" s="198"/>
    </row>
    <row r="404" spans="5:11" ht="11.25" customHeight="1" x14ac:dyDescent="0.2">
      <c r="E404" s="199"/>
      <c r="F404" s="199"/>
      <c r="G404" s="198"/>
      <c r="J404" s="198"/>
      <c r="K404" s="198"/>
    </row>
    <row r="405" spans="5:11" ht="11.25" customHeight="1" x14ac:dyDescent="0.2">
      <c r="E405" s="199"/>
      <c r="F405" s="199"/>
      <c r="G405" s="198"/>
      <c r="J405" s="198"/>
      <c r="K405" s="198"/>
    </row>
    <row r="406" spans="5:11" ht="11.25" customHeight="1" x14ac:dyDescent="0.2">
      <c r="E406" s="199"/>
      <c r="F406" s="199"/>
      <c r="G406" s="198"/>
      <c r="J406" s="198"/>
      <c r="K406" s="198"/>
    </row>
    <row r="407" spans="5:11" ht="11.25" customHeight="1" x14ac:dyDescent="0.2">
      <c r="E407" s="199"/>
      <c r="F407" s="199"/>
      <c r="G407" s="198"/>
      <c r="J407" s="198"/>
      <c r="K407" s="198"/>
    </row>
    <row r="408" spans="5:11" ht="11.25" customHeight="1" x14ac:dyDescent="0.2">
      <c r="E408" s="199"/>
      <c r="F408" s="199"/>
      <c r="G408" s="198"/>
      <c r="J408" s="198"/>
      <c r="K408" s="198"/>
    </row>
    <row r="409" spans="5:11" ht="11.25" customHeight="1" x14ac:dyDescent="0.2">
      <c r="E409" s="199"/>
      <c r="F409" s="199"/>
      <c r="G409" s="198"/>
      <c r="J409" s="198"/>
      <c r="K409" s="198"/>
    </row>
    <row r="410" spans="5:11" ht="11.25" customHeight="1" x14ac:dyDescent="0.2">
      <c r="E410" s="199"/>
      <c r="F410" s="199"/>
      <c r="G410" s="198"/>
      <c r="J410" s="198"/>
      <c r="K410" s="198"/>
    </row>
    <row r="411" spans="5:11" ht="11.25" customHeight="1" x14ac:dyDescent="0.2">
      <c r="E411" s="199"/>
      <c r="F411" s="199"/>
      <c r="G411" s="198"/>
      <c r="J411" s="198"/>
      <c r="K411" s="198"/>
    </row>
    <row r="412" spans="5:11" ht="11.25" customHeight="1" x14ac:dyDescent="0.2">
      <c r="E412" s="199"/>
      <c r="F412" s="199"/>
      <c r="G412" s="198"/>
      <c r="J412" s="198"/>
      <c r="K412" s="198"/>
    </row>
    <row r="413" spans="5:11" ht="11.25" customHeight="1" x14ac:dyDescent="0.2">
      <c r="E413" s="199"/>
      <c r="F413" s="199"/>
      <c r="G413" s="198"/>
      <c r="J413" s="198"/>
      <c r="K413" s="198"/>
    </row>
    <row r="414" spans="5:11" ht="11.25" customHeight="1" x14ac:dyDescent="0.2">
      <c r="E414" s="199"/>
      <c r="F414" s="199"/>
      <c r="G414" s="198"/>
      <c r="J414" s="198"/>
      <c r="K414" s="198"/>
    </row>
    <row r="415" spans="5:11" ht="11.25" customHeight="1" x14ac:dyDescent="0.2">
      <c r="E415" s="199"/>
      <c r="F415" s="199"/>
      <c r="G415" s="198"/>
      <c r="J415" s="198"/>
      <c r="K415" s="198"/>
    </row>
    <row r="416" spans="5:11" ht="11.25" customHeight="1" x14ac:dyDescent="0.2">
      <c r="E416" s="199"/>
      <c r="F416" s="199"/>
      <c r="G416" s="198"/>
      <c r="J416" s="198"/>
      <c r="K416" s="198"/>
    </row>
    <row r="417" spans="5:11" ht="11.25" customHeight="1" x14ac:dyDescent="0.2">
      <c r="E417" s="199"/>
      <c r="F417" s="199"/>
      <c r="G417" s="198"/>
      <c r="J417" s="198"/>
      <c r="K417" s="198"/>
    </row>
    <row r="418" spans="5:11" ht="11.25" customHeight="1" x14ac:dyDescent="0.2">
      <c r="E418" s="199"/>
      <c r="F418" s="199"/>
      <c r="G418" s="198"/>
      <c r="J418" s="198"/>
      <c r="K418" s="198"/>
    </row>
    <row r="419" spans="5:11" ht="11.25" customHeight="1" x14ac:dyDescent="0.2">
      <c r="E419" s="199"/>
      <c r="F419" s="199"/>
      <c r="G419" s="198"/>
      <c r="J419" s="198"/>
      <c r="K419" s="198"/>
    </row>
    <row r="420" spans="5:11" ht="11.25" customHeight="1" x14ac:dyDescent="0.2">
      <c r="E420" s="199"/>
      <c r="F420" s="199"/>
      <c r="G420" s="198"/>
      <c r="J420" s="198"/>
      <c r="K420" s="198"/>
    </row>
    <row r="421" spans="5:11" ht="11.25" customHeight="1" x14ac:dyDescent="0.2">
      <c r="E421" s="199"/>
      <c r="F421" s="199"/>
      <c r="G421" s="198"/>
      <c r="J421" s="198"/>
      <c r="K421" s="198"/>
    </row>
    <row r="422" spans="5:11" ht="11.25" customHeight="1" x14ac:dyDescent="0.2">
      <c r="E422" s="199"/>
      <c r="F422" s="199"/>
      <c r="G422" s="198"/>
      <c r="J422" s="198"/>
      <c r="K422" s="198"/>
    </row>
    <row r="423" spans="5:11" ht="11.25" customHeight="1" x14ac:dyDescent="0.2">
      <c r="E423" s="199"/>
      <c r="F423" s="199"/>
      <c r="G423" s="198"/>
      <c r="J423" s="198"/>
      <c r="K423" s="198"/>
    </row>
    <row r="424" spans="5:11" ht="11.25" customHeight="1" x14ac:dyDescent="0.2">
      <c r="E424" s="199"/>
      <c r="F424" s="199"/>
      <c r="G424" s="198"/>
      <c r="J424" s="198"/>
      <c r="K424" s="198"/>
    </row>
    <row r="425" spans="5:11" ht="11.25" customHeight="1" x14ac:dyDescent="0.2">
      <c r="E425" s="199"/>
      <c r="F425" s="199"/>
      <c r="G425" s="198"/>
      <c r="J425" s="198"/>
      <c r="K425" s="198"/>
    </row>
    <row r="426" spans="5:11" ht="11.25" customHeight="1" x14ac:dyDescent="0.2">
      <c r="E426" s="199"/>
      <c r="F426" s="199"/>
      <c r="G426" s="198"/>
      <c r="J426" s="198"/>
      <c r="K426" s="198"/>
    </row>
    <row r="427" spans="5:11" ht="11.25" customHeight="1" x14ac:dyDescent="0.2">
      <c r="E427" s="199"/>
      <c r="F427" s="199"/>
      <c r="G427" s="198"/>
      <c r="J427" s="198"/>
      <c r="K427" s="198"/>
    </row>
    <row r="428" spans="5:11" ht="11.25" customHeight="1" x14ac:dyDescent="0.2">
      <c r="E428" s="199"/>
      <c r="F428" s="199"/>
      <c r="G428" s="198"/>
      <c r="J428" s="198"/>
      <c r="K428" s="198"/>
    </row>
    <row r="429" spans="5:11" ht="11.25" customHeight="1" x14ac:dyDescent="0.2">
      <c r="E429" s="199"/>
      <c r="F429" s="199"/>
      <c r="G429" s="198"/>
      <c r="J429" s="198"/>
      <c r="K429" s="198"/>
    </row>
    <row r="430" spans="5:11" ht="11.25" customHeight="1" x14ac:dyDescent="0.2">
      <c r="E430" s="199"/>
      <c r="F430" s="199"/>
      <c r="G430" s="198"/>
      <c r="J430" s="198"/>
      <c r="K430" s="198"/>
    </row>
    <row r="431" spans="5:11" ht="11.25" customHeight="1" x14ac:dyDescent="0.2">
      <c r="E431" s="199"/>
      <c r="F431" s="199"/>
      <c r="G431" s="198"/>
      <c r="J431" s="198"/>
      <c r="K431" s="198"/>
    </row>
    <row r="432" spans="5:11" ht="11.25" customHeight="1" x14ac:dyDescent="0.2">
      <c r="E432" s="199"/>
      <c r="F432" s="199"/>
      <c r="G432" s="198"/>
      <c r="J432" s="198"/>
      <c r="K432" s="198"/>
    </row>
    <row r="433" spans="5:11" ht="11.25" customHeight="1" x14ac:dyDescent="0.2">
      <c r="E433" s="199"/>
      <c r="F433" s="199"/>
      <c r="G433" s="198"/>
      <c r="J433" s="198"/>
      <c r="K433" s="198"/>
    </row>
    <row r="434" spans="5:11" ht="11.25" customHeight="1" x14ac:dyDescent="0.2">
      <c r="E434" s="199"/>
      <c r="F434" s="199"/>
      <c r="G434" s="198"/>
      <c r="J434" s="198"/>
      <c r="K434" s="198"/>
    </row>
    <row r="435" spans="5:11" ht="11.25" customHeight="1" x14ac:dyDescent="0.2">
      <c r="E435" s="199"/>
      <c r="F435" s="199"/>
      <c r="G435" s="198"/>
      <c r="J435" s="198"/>
      <c r="K435" s="198"/>
    </row>
    <row r="436" spans="5:11" ht="11.25" customHeight="1" x14ac:dyDescent="0.2">
      <c r="E436" s="199"/>
      <c r="F436" s="199"/>
      <c r="G436" s="198"/>
      <c r="J436" s="198"/>
      <c r="K436" s="198"/>
    </row>
    <row r="437" spans="5:11" ht="11.25" customHeight="1" x14ac:dyDescent="0.2">
      <c r="E437" s="199"/>
      <c r="F437" s="199"/>
      <c r="G437" s="198"/>
      <c r="J437" s="198"/>
      <c r="K437" s="198"/>
    </row>
    <row r="438" spans="5:11" ht="11.25" customHeight="1" x14ac:dyDescent="0.2">
      <c r="E438" s="199"/>
      <c r="F438" s="199"/>
      <c r="G438" s="198"/>
      <c r="J438" s="198"/>
      <c r="K438" s="198"/>
    </row>
    <row r="439" spans="5:11" ht="11.25" customHeight="1" x14ac:dyDescent="0.2">
      <c r="E439" s="199"/>
      <c r="F439" s="199"/>
      <c r="G439" s="198"/>
      <c r="J439" s="198"/>
      <c r="K439" s="198"/>
    </row>
    <row r="440" spans="5:11" ht="11.25" customHeight="1" x14ac:dyDescent="0.2">
      <c r="E440" s="199"/>
      <c r="F440" s="199"/>
      <c r="G440" s="198"/>
      <c r="J440" s="198"/>
      <c r="K440" s="198"/>
    </row>
    <row r="441" spans="5:11" ht="11.25" customHeight="1" x14ac:dyDescent="0.2">
      <c r="E441" s="199"/>
      <c r="F441" s="199"/>
      <c r="G441" s="198"/>
      <c r="J441" s="198"/>
      <c r="K441" s="198"/>
    </row>
    <row r="442" spans="5:11" ht="11.25" customHeight="1" x14ac:dyDescent="0.2">
      <c r="E442" s="199"/>
      <c r="F442" s="199"/>
      <c r="G442" s="198"/>
      <c r="J442" s="198"/>
      <c r="K442" s="198"/>
    </row>
    <row r="443" spans="5:11" ht="11.25" customHeight="1" x14ac:dyDescent="0.2">
      <c r="E443" s="199"/>
      <c r="F443" s="199"/>
      <c r="G443" s="198"/>
      <c r="J443" s="198"/>
      <c r="K443" s="198"/>
    </row>
    <row r="444" spans="5:11" ht="11.25" customHeight="1" x14ac:dyDescent="0.2">
      <c r="E444" s="199"/>
      <c r="F444" s="199"/>
      <c r="G444" s="198"/>
      <c r="J444" s="198"/>
      <c r="K444" s="198"/>
    </row>
    <row r="445" spans="5:11" ht="11.25" customHeight="1" x14ac:dyDescent="0.2">
      <c r="E445" s="199"/>
      <c r="F445" s="199"/>
      <c r="G445" s="198"/>
      <c r="J445" s="198"/>
      <c r="K445" s="198"/>
    </row>
    <row r="446" spans="5:11" ht="11.25" customHeight="1" x14ac:dyDescent="0.2">
      <c r="E446" s="199"/>
      <c r="F446" s="199"/>
      <c r="G446" s="198"/>
      <c r="J446" s="198"/>
      <c r="K446" s="198"/>
    </row>
    <row r="447" spans="5:11" ht="11.25" customHeight="1" x14ac:dyDescent="0.2">
      <c r="E447" s="199"/>
      <c r="F447" s="199"/>
      <c r="G447" s="198"/>
      <c r="J447" s="198"/>
      <c r="K447" s="198"/>
    </row>
    <row r="448" spans="5:11" ht="11.25" customHeight="1" x14ac:dyDescent="0.2">
      <c r="E448" s="199"/>
      <c r="F448" s="199"/>
      <c r="G448" s="198"/>
      <c r="J448" s="198"/>
      <c r="K448" s="198"/>
    </row>
    <row r="449" spans="5:11" ht="11.25" customHeight="1" x14ac:dyDescent="0.2">
      <c r="E449" s="199"/>
      <c r="F449" s="199"/>
      <c r="G449" s="198"/>
      <c r="J449" s="198"/>
      <c r="K449" s="198"/>
    </row>
    <row r="450" spans="5:11" ht="11.25" customHeight="1" x14ac:dyDescent="0.2">
      <c r="E450" s="199"/>
      <c r="F450" s="199"/>
      <c r="G450" s="198"/>
      <c r="J450" s="198"/>
      <c r="K450" s="198"/>
    </row>
    <row r="451" spans="5:11" ht="11.25" customHeight="1" x14ac:dyDescent="0.2">
      <c r="E451" s="199"/>
      <c r="F451" s="199"/>
      <c r="G451" s="198"/>
      <c r="J451" s="198"/>
      <c r="K451" s="198"/>
    </row>
    <row r="452" spans="5:11" ht="11.25" customHeight="1" x14ac:dyDescent="0.2">
      <c r="E452" s="199"/>
      <c r="F452" s="199"/>
      <c r="G452" s="198"/>
      <c r="J452" s="198"/>
      <c r="K452" s="198"/>
    </row>
    <row r="453" spans="5:11" ht="11.25" customHeight="1" x14ac:dyDescent="0.2">
      <c r="E453" s="199"/>
      <c r="F453" s="199"/>
      <c r="G453" s="198"/>
      <c r="J453" s="198"/>
      <c r="K453" s="198"/>
    </row>
    <row r="454" spans="5:11" ht="11.25" customHeight="1" x14ac:dyDescent="0.2">
      <c r="E454" s="199"/>
      <c r="F454" s="199"/>
      <c r="G454" s="198"/>
      <c r="J454" s="198"/>
      <c r="K454" s="198"/>
    </row>
    <row r="455" spans="5:11" ht="11.25" customHeight="1" x14ac:dyDescent="0.2">
      <c r="E455" s="199"/>
      <c r="F455" s="199"/>
      <c r="G455" s="198"/>
      <c r="J455" s="198"/>
      <c r="K455" s="198"/>
    </row>
    <row r="456" spans="5:11" ht="11.25" customHeight="1" x14ac:dyDescent="0.2">
      <c r="E456" s="199"/>
      <c r="F456" s="199"/>
      <c r="G456" s="198"/>
      <c r="J456" s="198"/>
      <c r="K456" s="198"/>
    </row>
    <row r="457" spans="5:11" ht="11.25" customHeight="1" x14ac:dyDescent="0.2">
      <c r="E457" s="199"/>
      <c r="F457" s="199"/>
      <c r="G457" s="198"/>
      <c r="J457" s="198"/>
      <c r="K457" s="198"/>
    </row>
    <row r="458" spans="5:11" ht="11.25" customHeight="1" x14ac:dyDescent="0.2">
      <c r="E458" s="199"/>
      <c r="F458" s="199"/>
      <c r="G458" s="198"/>
      <c r="J458" s="198"/>
      <c r="K458" s="198"/>
    </row>
    <row r="459" spans="5:11" ht="11.25" customHeight="1" x14ac:dyDescent="0.2">
      <c r="E459" s="199"/>
      <c r="F459" s="199"/>
      <c r="G459" s="198"/>
      <c r="J459" s="198"/>
      <c r="K459" s="198"/>
    </row>
    <row r="460" spans="5:11" ht="11.25" customHeight="1" x14ac:dyDescent="0.2">
      <c r="E460" s="199"/>
      <c r="F460" s="199"/>
      <c r="G460" s="198"/>
      <c r="J460" s="198"/>
      <c r="K460" s="198"/>
    </row>
    <row r="461" spans="5:11" ht="11.25" customHeight="1" x14ac:dyDescent="0.2">
      <c r="E461" s="199"/>
      <c r="F461" s="199"/>
      <c r="G461" s="198"/>
      <c r="J461" s="198"/>
      <c r="K461" s="198"/>
    </row>
    <row r="462" spans="5:11" ht="11.25" customHeight="1" x14ac:dyDescent="0.2">
      <c r="E462" s="199"/>
      <c r="F462" s="199"/>
      <c r="G462" s="198"/>
      <c r="J462" s="198"/>
      <c r="K462" s="198"/>
    </row>
    <row r="463" spans="5:11" ht="11.25" customHeight="1" x14ac:dyDescent="0.2">
      <c r="E463" s="199"/>
      <c r="F463" s="199"/>
      <c r="G463" s="198"/>
      <c r="J463" s="198"/>
      <c r="K463" s="198"/>
    </row>
    <row r="464" spans="5:11" ht="11.25" customHeight="1" x14ac:dyDescent="0.2">
      <c r="E464" s="199"/>
      <c r="F464" s="199"/>
      <c r="G464" s="198"/>
      <c r="J464" s="198"/>
      <c r="K464" s="198"/>
    </row>
    <row r="465" spans="5:11" ht="11.25" customHeight="1" x14ac:dyDescent="0.2">
      <c r="E465" s="199"/>
      <c r="F465" s="199"/>
      <c r="G465" s="198"/>
      <c r="J465" s="198"/>
      <c r="K465" s="198"/>
    </row>
    <row r="466" spans="5:11" ht="11.25" customHeight="1" x14ac:dyDescent="0.2">
      <c r="E466" s="199"/>
      <c r="F466" s="199"/>
      <c r="G466" s="198"/>
      <c r="J466" s="198"/>
      <c r="K466" s="198"/>
    </row>
    <row r="467" spans="5:11" ht="11.25" customHeight="1" x14ac:dyDescent="0.2">
      <c r="E467" s="199"/>
      <c r="F467" s="199"/>
      <c r="G467" s="198"/>
      <c r="J467" s="198"/>
      <c r="K467" s="198"/>
    </row>
    <row r="468" spans="5:11" ht="11.25" customHeight="1" x14ac:dyDescent="0.2">
      <c r="E468" s="199"/>
      <c r="F468" s="199"/>
      <c r="G468" s="198"/>
      <c r="J468" s="198"/>
      <c r="K468" s="198"/>
    </row>
    <row r="469" spans="5:11" ht="11.25" customHeight="1" x14ac:dyDescent="0.2">
      <c r="E469" s="199"/>
      <c r="F469" s="199"/>
      <c r="G469" s="198"/>
      <c r="J469" s="198"/>
      <c r="K469" s="198"/>
    </row>
    <row r="470" spans="5:11" ht="11.25" customHeight="1" x14ac:dyDescent="0.2">
      <c r="E470" s="199"/>
      <c r="F470" s="199"/>
      <c r="G470" s="198"/>
      <c r="J470" s="198"/>
      <c r="K470" s="198"/>
    </row>
    <row r="471" spans="5:11" ht="11.25" customHeight="1" x14ac:dyDescent="0.2">
      <c r="E471" s="199"/>
      <c r="F471" s="199"/>
      <c r="G471" s="198"/>
      <c r="J471" s="198"/>
      <c r="K471" s="198"/>
    </row>
    <row r="472" spans="5:11" ht="11.25" customHeight="1" x14ac:dyDescent="0.2">
      <c r="E472" s="199"/>
      <c r="F472" s="199"/>
      <c r="G472" s="198"/>
      <c r="J472" s="198"/>
      <c r="K472" s="198"/>
    </row>
    <row r="473" spans="5:11" ht="11.25" customHeight="1" x14ac:dyDescent="0.2">
      <c r="E473" s="199"/>
      <c r="F473" s="199"/>
      <c r="G473" s="198"/>
      <c r="J473" s="198"/>
      <c r="K473" s="198"/>
    </row>
    <row r="474" spans="5:11" ht="11.25" customHeight="1" x14ac:dyDescent="0.2">
      <c r="E474" s="199"/>
      <c r="F474" s="199"/>
      <c r="G474" s="198"/>
      <c r="J474" s="198"/>
      <c r="K474" s="198"/>
    </row>
    <row r="475" spans="5:11" ht="11.25" customHeight="1" x14ac:dyDescent="0.2">
      <c r="E475" s="199"/>
      <c r="F475" s="199"/>
      <c r="G475" s="198"/>
      <c r="J475" s="198"/>
      <c r="K475" s="198"/>
    </row>
    <row r="476" spans="5:11" ht="11.25" customHeight="1" x14ac:dyDescent="0.2">
      <c r="E476" s="199"/>
      <c r="F476" s="199"/>
      <c r="G476" s="198"/>
      <c r="J476" s="198"/>
      <c r="K476" s="198"/>
    </row>
    <row r="477" spans="5:11" ht="11.25" customHeight="1" x14ac:dyDescent="0.2">
      <c r="E477" s="199"/>
      <c r="F477" s="199"/>
      <c r="G477" s="198"/>
      <c r="J477" s="198"/>
      <c r="K477" s="198"/>
    </row>
    <row r="478" spans="5:11" ht="11.25" customHeight="1" x14ac:dyDescent="0.2">
      <c r="E478" s="199"/>
      <c r="F478" s="199"/>
      <c r="G478" s="198"/>
      <c r="J478" s="198"/>
      <c r="K478" s="198"/>
    </row>
    <row r="479" spans="5:11" ht="11.25" customHeight="1" x14ac:dyDescent="0.2">
      <c r="E479" s="199"/>
      <c r="F479" s="199"/>
      <c r="G479" s="198"/>
      <c r="J479" s="198"/>
      <c r="K479" s="198"/>
    </row>
    <row r="480" spans="5:11" ht="11.25" customHeight="1" x14ac:dyDescent="0.2">
      <c r="E480" s="199"/>
      <c r="F480" s="199"/>
      <c r="G480" s="198"/>
      <c r="J480" s="198"/>
      <c r="K480" s="198"/>
    </row>
    <row r="481" spans="5:11" ht="11.25" customHeight="1" x14ac:dyDescent="0.2">
      <c r="E481" s="199"/>
      <c r="F481" s="199"/>
      <c r="G481" s="198"/>
      <c r="J481" s="198"/>
      <c r="K481" s="198"/>
    </row>
    <row r="482" spans="5:11" ht="11.25" customHeight="1" x14ac:dyDescent="0.2">
      <c r="E482" s="199"/>
      <c r="F482" s="199"/>
      <c r="G482" s="198"/>
      <c r="J482" s="198"/>
      <c r="K482" s="198"/>
    </row>
    <row r="483" spans="5:11" ht="11.25" customHeight="1" x14ac:dyDescent="0.2">
      <c r="E483" s="199"/>
      <c r="F483" s="199"/>
      <c r="G483" s="198"/>
      <c r="J483" s="198"/>
      <c r="K483" s="198"/>
    </row>
    <row r="484" spans="5:11" ht="11.25" customHeight="1" x14ac:dyDescent="0.2">
      <c r="E484" s="199"/>
      <c r="F484" s="199"/>
      <c r="G484" s="198"/>
      <c r="J484" s="198"/>
      <c r="K484" s="198"/>
    </row>
    <row r="485" spans="5:11" ht="11.25" customHeight="1" x14ac:dyDescent="0.2">
      <c r="E485" s="199"/>
      <c r="F485" s="199"/>
      <c r="G485" s="198"/>
      <c r="J485" s="198"/>
      <c r="K485" s="198"/>
    </row>
    <row r="486" spans="5:11" ht="11.25" customHeight="1" x14ac:dyDescent="0.2">
      <c r="E486" s="199"/>
      <c r="F486" s="199"/>
      <c r="G486" s="198"/>
      <c r="J486" s="198"/>
      <c r="K486" s="198"/>
    </row>
    <row r="487" spans="5:11" ht="11.25" customHeight="1" x14ac:dyDescent="0.2">
      <c r="E487" s="199"/>
      <c r="F487" s="199"/>
      <c r="G487" s="198"/>
      <c r="J487" s="198"/>
      <c r="K487" s="198"/>
    </row>
    <row r="488" spans="5:11" ht="11.25" customHeight="1" x14ac:dyDescent="0.2">
      <c r="E488" s="199"/>
      <c r="F488" s="199"/>
      <c r="G488" s="198"/>
      <c r="J488" s="198"/>
      <c r="K488" s="198"/>
    </row>
    <row r="489" spans="5:11" ht="11.25" customHeight="1" x14ac:dyDescent="0.2">
      <c r="E489" s="199"/>
      <c r="F489" s="199"/>
      <c r="G489" s="198"/>
      <c r="J489" s="198"/>
      <c r="K489" s="198"/>
    </row>
    <row r="490" spans="5:11" ht="11.25" customHeight="1" x14ac:dyDescent="0.2">
      <c r="E490" s="199"/>
      <c r="F490" s="199"/>
      <c r="G490" s="198"/>
      <c r="J490" s="198"/>
      <c r="K490" s="198"/>
    </row>
    <row r="491" spans="5:11" ht="11.25" customHeight="1" x14ac:dyDescent="0.2">
      <c r="E491" s="199"/>
      <c r="F491" s="199"/>
      <c r="G491" s="198"/>
      <c r="J491" s="198"/>
      <c r="K491" s="198"/>
    </row>
    <row r="492" spans="5:11" ht="11.25" customHeight="1" x14ac:dyDescent="0.2">
      <c r="E492" s="199"/>
      <c r="F492" s="199"/>
      <c r="G492" s="198"/>
      <c r="J492" s="198"/>
      <c r="K492" s="198"/>
    </row>
    <row r="493" spans="5:11" ht="11.25" customHeight="1" x14ac:dyDescent="0.2">
      <c r="E493" s="199"/>
      <c r="F493" s="199"/>
      <c r="G493" s="198"/>
      <c r="J493" s="198"/>
      <c r="K493" s="198"/>
    </row>
    <row r="494" spans="5:11" ht="11.25" customHeight="1" x14ac:dyDescent="0.2">
      <c r="E494" s="199"/>
      <c r="F494" s="199"/>
      <c r="G494" s="198"/>
      <c r="J494" s="198"/>
      <c r="K494" s="198"/>
    </row>
    <row r="495" spans="5:11" ht="11.25" customHeight="1" x14ac:dyDescent="0.2">
      <c r="E495" s="199"/>
      <c r="F495" s="199"/>
      <c r="G495" s="198"/>
      <c r="J495" s="198"/>
      <c r="K495" s="198"/>
    </row>
    <row r="496" spans="5:11" ht="11.25" customHeight="1" x14ac:dyDescent="0.2">
      <c r="E496" s="199"/>
      <c r="F496" s="199"/>
      <c r="G496" s="198"/>
      <c r="J496" s="198"/>
      <c r="K496" s="198"/>
    </row>
    <row r="497" spans="5:11" ht="11.25" customHeight="1" x14ac:dyDescent="0.2">
      <c r="E497" s="199"/>
      <c r="F497" s="199"/>
      <c r="G497" s="198"/>
      <c r="J497" s="198"/>
      <c r="K497" s="198"/>
    </row>
    <row r="498" spans="5:11" ht="11.25" customHeight="1" x14ac:dyDescent="0.2">
      <c r="E498" s="199"/>
      <c r="F498" s="199"/>
      <c r="G498" s="198"/>
      <c r="J498" s="198"/>
      <c r="K498" s="198"/>
    </row>
    <row r="499" spans="5:11" ht="11.25" customHeight="1" x14ac:dyDescent="0.2">
      <c r="E499" s="199"/>
      <c r="F499" s="199"/>
      <c r="G499" s="198"/>
      <c r="J499" s="198"/>
      <c r="K499" s="198"/>
    </row>
    <row r="500" spans="5:11" ht="11.25" customHeight="1" x14ac:dyDescent="0.2">
      <c r="E500" s="199"/>
      <c r="F500" s="199"/>
      <c r="G500" s="198"/>
      <c r="J500" s="198"/>
      <c r="K500" s="198"/>
    </row>
    <row r="501" spans="5:11" ht="11.25" customHeight="1" x14ac:dyDescent="0.2">
      <c r="E501" s="199"/>
      <c r="F501" s="199"/>
      <c r="G501" s="198"/>
      <c r="J501" s="198"/>
      <c r="K501" s="198"/>
    </row>
    <row r="502" spans="5:11" ht="11.25" customHeight="1" x14ac:dyDescent="0.2">
      <c r="E502" s="199"/>
      <c r="F502" s="199"/>
      <c r="G502" s="198"/>
      <c r="J502" s="198"/>
      <c r="K502" s="198"/>
    </row>
    <row r="503" spans="5:11" ht="11.25" customHeight="1" x14ac:dyDescent="0.2">
      <c r="E503" s="199"/>
      <c r="F503" s="199"/>
      <c r="G503" s="198"/>
      <c r="J503" s="198"/>
      <c r="K503" s="198"/>
    </row>
    <row r="504" spans="5:11" ht="11.25" customHeight="1" x14ac:dyDescent="0.2">
      <c r="E504" s="199"/>
      <c r="F504" s="199"/>
      <c r="G504" s="198"/>
      <c r="J504" s="198"/>
      <c r="K504" s="198"/>
    </row>
    <row r="505" spans="5:11" ht="11.25" customHeight="1" x14ac:dyDescent="0.2">
      <c r="E505" s="199"/>
      <c r="F505" s="199"/>
      <c r="G505" s="198"/>
      <c r="J505" s="198"/>
      <c r="K505" s="198"/>
    </row>
    <row r="506" spans="5:11" ht="11.25" customHeight="1" x14ac:dyDescent="0.2">
      <c r="E506" s="199"/>
      <c r="F506" s="199"/>
      <c r="G506" s="198"/>
      <c r="J506" s="198"/>
      <c r="K506" s="198"/>
    </row>
    <row r="507" spans="5:11" ht="11.25" customHeight="1" x14ac:dyDescent="0.2">
      <c r="E507" s="199"/>
      <c r="F507" s="199"/>
      <c r="G507" s="198"/>
      <c r="J507" s="198"/>
      <c r="K507" s="198"/>
    </row>
    <row r="508" spans="5:11" ht="11.25" customHeight="1" x14ac:dyDescent="0.2">
      <c r="E508" s="199"/>
      <c r="F508" s="199"/>
      <c r="G508" s="198"/>
      <c r="J508" s="198"/>
      <c r="K508" s="198"/>
    </row>
    <row r="509" spans="5:11" ht="11.25" customHeight="1" x14ac:dyDescent="0.2">
      <c r="E509" s="199"/>
      <c r="F509" s="199"/>
      <c r="G509" s="198"/>
      <c r="J509" s="198"/>
      <c r="K509" s="198"/>
    </row>
    <row r="510" spans="5:11" ht="11.25" customHeight="1" x14ac:dyDescent="0.2">
      <c r="E510" s="199"/>
      <c r="F510" s="199"/>
      <c r="G510" s="198"/>
      <c r="J510" s="198"/>
      <c r="K510" s="198"/>
    </row>
    <row r="511" spans="5:11" ht="11.25" customHeight="1" x14ac:dyDescent="0.2">
      <c r="E511" s="199"/>
      <c r="F511" s="199"/>
      <c r="G511" s="198"/>
      <c r="J511" s="198"/>
      <c r="K511" s="198"/>
    </row>
    <row r="512" spans="5:11" ht="11.25" customHeight="1" x14ac:dyDescent="0.2">
      <c r="E512" s="199"/>
      <c r="F512" s="199"/>
      <c r="G512" s="198"/>
      <c r="J512" s="198"/>
      <c r="K512" s="198"/>
    </row>
    <row r="513" spans="5:11" ht="11.25" customHeight="1" x14ac:dyDescent="0.2">
      <c r="E513" s="199"/>
      <c r="F513" s="199"/>
      <c r="G513" s="198"/>
      <c r="J513" s="198"/>
      <c r="K513" s="198"/>
    </row>
    <row r="514" spans="5:11" ht="11.25" customHeight="1" x14ac:dyDescent="0.2">
      <c r="E514" s="199"/>
      <c r="F514" s="199"/>
      <c r="G514" s="198"/>
      <c r="J514" s="198"/>
      <c r="K514" s="198"/>
    </row>
    <row r="515" spans="5:11" ht="11.25" customHeight="1" x14ac:dyDescent="0.2">
      <c r="E515" s="199"/>
      <c r="F515" s="199"/>
      <c r="G515" s="198"/>
      <c r="J515" s="198"/>
      <c r="K515" s="198"/>
    </row>
    <row r="516" spans="5:11" ht="11.25" customHeight="1" x14ac:dyDescent="0.2">
      <c r="E516" s="199"/>
      <c r="F516" s="199"/>
      <c r="G516" s="198"/>
      <c r="J516" s="198"/>
      <c r="K516" s="198"/>
    </row>
    <row r="517" spans="5:11" ht="11.25" customHeight="1" x14ac:dyDescent="0.2">
      <c r="E517" s="199"/>
      <c r="F517" s="199"/>
      <c r="G517" s="198"/>
      <c r="J517" s="198"/>
      <c r="K517" s="198"/>
    </row>
    <row r="518" spans="5:11" ht="11.25" customHeight="1" x14ac:dyDescent="0.2">
      <c r="E518" s="199"/>
      <c r="F518" s="199"/>
      <c r="G518" s="198"/>
      <c r="J518" s="198"/>
      <c r="K518" s="198"/>
    </row>
    <row r="519" spans="5:11" ht="11.25" customHeight="1" x14ac:dyDescent="0.2">
      <c r="E519" s="199"/>
      <c r="F519" s="199"/>
      <c r="G519" s="198"/>
      <c r="J519" s="198"/>
      <c r="K519" s="198"/>
    </row>
    <row r="520" spans="5:11" ht="11.25" customHeight="1" x14ac:dyDescent="0.2">
      <c r="E520" s="199"/>
      <c r="F520" s="199"/>
      <c r="G520" s="198"/>
      <c r="J520" s="198"/>
      <c r="K520" s="198"/>
    </row>
    <row r="521" spans="5:11" ht="11.25" customHeight="1" x14ac:dyDescent="0.2">
      <c r="E521" s="199"/>
      <c r="F521" s="199"/>
      <c r="G521" s="198"/>
      <c r="J521" s="198"/>
      <c r="K521" s="198"/>
    </row>
    <row r="522" spans="5:11" ht="11.25" customHeight="1" x14ac:dyDescent="0.2">
      <c r="E522" s="199"/>
      <c r="F522" s="199"/>
      <c r="G522" s="198"/>
      <c r="J522" s="198"/>
      <c r="K522" s="198"/>
    </row>
    <row r="523" spans="5:11" ht="11.25" customHeight="1" x14ac:dyDescent="0.2">
      <c r="E523" s="199"/>
      <c r="F523" s="199"/>
      <c r="G523" s="198"/>
      <c r="J523" s="198"/>
      <c r="K523" s="198"/>
    </row>
    <row r="524" spans="5:11" ht="11.25" customHeight="1" x14ac:dyDescent="0.2">
      <c r="E524" s="199"/>
      <c r="F524" s="199"/>
      <c r="G524" s="198"/>
      <c r="J524" s="198"/>
      <c r="K524" s="198"/>
    </row>
    <row r="525" spans="5:11" ht="11.25" customHeight="1" x14ac:dyDescent="0.2">
      <c r="E525" s="199"/>
      <c r="F525" s="199"/>
      <c r="G525" s="198"/>
      <c r="J525" s="198"/>
      <c r="K525" s="198"/>
    </row>
    <row r="526" spans="5:11" ht="11.25" customHeight="1" x14ac:dyDescent="0.2">
      <c r="E526" s="199"/>
      <c r="F526" s="199"/>
      <c r="G526" s="198"/>
      <c r="J526" s="198"/>
      <c r="K526" s="198"/>
    </row>
    <row r="527" spans="5:11" ht="11.25" customHeight="1" x14ac:dyDescent="0.2">
      <c r="E527" s="199"/>
      <c r="F527" s="199"/>
      <c r="G527" s="198"/>
      <c r="J527" s="198"/>
      <c r="K527" s="198"/>
    </row>
    <row r="528" spans="5:11" ht="11.25" customHeight="1" x14ac:dyDescent="0.2">
      <c r="E528" s="199"/>
      <c r="F528" s="199"/>
      <c r="G528" s="198"/>
      <c r="J528" s="198"/>
      <c r="K528" s="198"/>
    </row>
    <row r="529" spans="5:11" ht="11.25" customHeight="1" x14ac:dyDescent="0.2">
      <c r="E529" s="199"/>
      <c r="F529" s="199"/>
      <c r="G529" s="198"/>
      <c r="J529" s="198"/>
      <c r="K529" s="198"/>
    </row>
    <row r="530" spans="5:11" ht="11.25" customHeight="1" x14ac:dyDescent="0.2">
      <c r="E530" s="199"/>
      <c r="F530" s="199"/>
      <c r="G530" s="198"/>
      <c r="J530" s="198"/>
      <c r="K530" s="198"/>
    </row>
    <row r="531" spans="5:11" ht="11.25" customHeight="1" x14ac:dyDescent="0.2">
      <c r="E531" s="199"/>
      <c r="F531" s="199"/>
      <c r="G531" s="198"/>
      <c r="J531" s="198"/>
      <c r="K531" s="198"/>
    </row>
    <row r="532" spans="5:11" ht="11.25" customHeight="1" x14ac:dyDescent="0.2">
      <c r="E532" s="199"/>
      <c r="F532" s="199"/>
      <c r="G532" s="198"/>
      <c r="J532" s="198"/>
      <c r="K532" s="198"/>
    </row>
    <row r="533" spans="5:11" ht="11.25" customHeight="1" x14ac:dyDescent="0.2">
      <c r="E533" s="199"/>
      <c r="F533" s="199"/>
      <c r="G533" s="198"/>
      <c r="J533" s="198"/>
      <c r="K533" s="198"/>
    </row>
    <row r="534" spans="5:11" ht="11.25" customHeight="1" x14ac:dyDescent="0.2">
      <c r="E534" s="199"/>
      <c r="F534" s="199"/>
      <c r="G534" s="198"/>
      <c r="J534" s="198"/>
      <c r="K534" s="198"/>
    </row>
    <row r="535" spans="5:11" ht="11.25" customHeight="1" x14ac:dyDescent="0.2">
      <c r="E535" s="199"/>
      <c r="F535" s="199"/>
      <c r="G535" s="198"/>
      <c r="J535" s="198"/>
      <c r="K535" s="198"/>
    </row>
    <row r="536" spans="5:11" ht="11.25" customHeight="1" x14ac:dyDescent="0.2">
      <c r="E536" s="199"/>
      <c r="F536" s="199"/>
      <c r="G536" s="198"/>
      <c r="J536" s="198"/>
      <c r="K536" s="198"/>
    </row>
    <row r="537" spans="5:11" ht="11.25" customHeight="1" x14ac:dyDescent="0.2">
      <c r="E537" s="199"/>
      <c r="F537" s="199"/>
      <c r="G537" s="198"/>
      <c r="J537" s="198"/>
      <c r="K537" s="198"/>
    </row>
    <row r="538" spans="5:11" ht="11.25" customHeight="1" x14ac:dyDescent="0.2">
      <c r="E538" s="199"/>
      <c r="F538" s="199"/>
      <c r="G538" s="198"/>
      <c r="J538" s="198"/>
      <c r="K538" s="198"/>
    </row>
    <row r="539" spans="5:11" ht="11.25" customHeight="1" x14ac:dyDescent="0.2">
      <c r="E539" s="199"/>
      <c r="F539" s="199"/>
      <c r="G539" s="198"/>
      <c r="J539" s="198"/>
      <c r="K539" s="198"/>
    </row>
    <row r="540" spans="5:11" ht="11.25" customHeight="1" x14ac:dyDescent="0.2">
      <c r="E540" s="199"/>
      <c r="F540" s="199"/>
      <c r="G540" s="198"/>
      <c r="J540" s="198"/>
      <c r="K540" s="198"/>
    </row>
    <row r="541" spans="5:11" ht="11.25" customHeight="1" x14ac:dyDescent="0.2">
      <c r="E541" s="199"/>
      <c r="F541" s="199"/>
      <c r="G541" s="198"/>
      <c r="J541" s="198"/>
      <c r="K541" s="198"/>
    </row>
    <row r="542" spans="5:11" ht="11.25" customHeight="1" x14ac:dyDescent="0.2">
      <c r="E542" s="199"/>
      <c r="F542" s="199"/>
      <c r="G542" s="198"/>
      <c r="J542" s="198"/>
      <c r="K542" s="198"/>
    </row>
    <row r="543" spans="5:11" ht="11.25" customHeight="1" x14ac:dyDescent="0.2">
      <c r="E543" s="199"/>
      <c r="F543" s="199"/>
      <c r="G543" s="198"/>
      <c r="J543" s="198"/>
      <c r="K543" s="198"/>
    </row>
    <row r="544" spans="5:11" ht="11.25" customHeight="1" x14ac:dyDescent="0.2">
      <c r="E544" s="199"/>
      <c r="F544" s="199"/>
      <c r="G544" s="198"/>
      <c r="J544" s="198"/>
      <c r="K544" s="198"/>
    </row>
    <row r="545" spans="5:11" ht="11.25" customHeight="1" x14ac:dyDescent="0.2">
      <c r="E545" s="199"/>
      <c r="F545" s="199"/>
      <c r="G545" s="198"/>
      <c r="J545" s="198"/>
      <c r="K545" s="198"/>
    </row>
    <row r="546" spans="5:11" ht="11.25" customHeight="1" x14ac:dyDescent="0.2">
      <c r="E546" s="199"/>
      <c r="F546" s="199"/>
      <c r="G546" s="198"/>
      <c r="J546" s="198"/>
      <c r="K546" s="198"/>
    </row>
    <row r="547" spans="5:11" ht="11.25" customHeight="1" x14ac:dyDescent="0.2">
      <c r="E547" s="199"/>
      <c r="F547" s="199"/>
      <c r="G547" s="198"/>
      <c r="J547" s="198"/>
      <c r="K547" s="198"/>
    </row>
    <row r="548" spans="5:11" ht="11.25" customHeight="1" x14ac:dyDescent="0.2">
      <c r="E548" s="199"/>
      <c r="F548" s="199"/>
      <c r="G548" s="198"/>
      <c r="J548" s="198"/>
      <c r="K548" s="198"/>
    </row>
    <row r="549" spans="5:11" ht="11.25" customHeight="1" x14ac:dyDescent="0.2">
      <c r="E549" s="199"/>
      <c r="F549" s="199"/>
      <c r="G549" s="198"/>
      <c r="J549" s="198"/>
      <c r="K549" s="198"/>
    </row>
    <row r="550" spans="5:11" ht="11.25" customHeight="1" x14ac:dyDescent="0.2">
      <c r="E550" s="199"/>
      <c r="F550" s="199"/>
      <c r="G550" s="198"/>
      <c r="J550" s="198"/>
      <c r="K550" s="198"/>
    </row>
    <row r="551" spans="5:11" ht="11.25" customHeight="1" x14ac:dyDescent="0.2">
      <c r="E551" s="199"/>
      <c r="F551" s="199"/>
      <c r="G551" s="198"/>
      <c r="J551" s="198"/>
      <c r="K551" s="198"/>
    </row>
    <row r="552" spans="5:11" ht="11.25" customHeight="1" x14ac:dyDescent="0.2">
      <c r="E552" s="199"/>
      <c r="F552" s="199"/>
      <c r="G552" s="198"/>
      <c r="J552" s="198"/>
      <c r="K552" s="198"/>
    </row>
    <row r="553" spans="5:11" ht="11.25" customHeight="1" x14ac:dyDescent="0.2">
      <c r="E553" s="199"/>
      <c r="F553" s="199"/>
      <c r="G553" s="198"/>
      <c r="J553" s="198"/>
      <c r="K553" s="198"/>
    </row>
    <row r="554" spans="5:11" ht="11.25" customHeight="1" x14ac:dyDescent="0.2">
      <c r="E554" s="199"/>
      <c r="F554" s="199"/>
      <c r="G554" s="198"/>
      <c r="J554" s="198"/>
      <c r="K554" s="198"/>
    </row>
    <row r="555" spans="5:11" ht="11.25" customHeight="1" x14ac:dyDescent="0.2">
      <c r="E555" s="199"/>
      <c r="F555" s="199"/>
      <c r="G555" s="198"/>
      <c r="J555" s="198"/>
      <c r="K555" s="198"/>
    </row>
    <row r="556" spans="5:11" ht="11.25" customHeight="1" x14ac:dyDescent="0.2">
      <c r="E556" s="199"/>
      <c r="F556" s="199"/>
      <c r="G556" s="198"/>
      <c r="J556" s="198"/>
      <c r="K556" s="198"/>
    </row>
    <row r="557" spans="5:11" ht="11.25" customHeight="1" x14ac:dyDescent="0.2">
      <c r="E557" s="199"/>
      <c r="F557" s="199"/>
      <c r="G557" s="198"/>
      <c r="J557" s="198"/>
      <c r="K557" s="198"/>
    </row>
    <row r="558" spans="5:11" ht="11.25" customHeight="1" x14ac:dyDescent="0.2">
      <c r="E558" s="199"/>
      <c r="F558" s="199"/>
      <c r="G558" s="198"/>
      <c r="J558" s="198"/>
      <c r="K558" s="198"/>
    </row>
    <row r="559" spans="5:11" ht="11.25" customHeight="1" x14ac:dyDescent="0.2">
      <c r="E559" s="199"/>
      <c r="F559" s="199"/>
      <c r="G559" s="198"/>
      <c r="J559" s="198"/>
      <c r="K559" s="198"/>
    </row>
    <row r="560" spans="5:11" ht="11.25" customHeight="1" x14ac:dyDescent="0.2">
      <c r="E560" s="199"/>
      <c r="F560" s="199"/>
      <c r="G560" s="198"/>
      <c r="J560" s="198"/>
      <c r="K560" s="198"/>
    </row>
    <row r="561" spans="5:11" ht="11.25" customHeight="1" x14ac:dyDescent="0.2">
      <c r="E561" s="199"/>
      <c r="F561" s="199"/>
      <c r="G561" s="198"/>
      <c r="J561" s="198"/>
      <c r="K561" s="198"/>
    </row>
    <row r="562" spans="5:11" ht="11.25" customHeight="1" x14ac:dyDescent="0.2">
      <c r="E562" s="199"/>
      <c r="F562" s="199"/>
      <c r="G562" s="198"/>
      <c r="J562" s="198"/>
      <c r="K562" s="198"/>
    </row>
    <row r="563" spans="5:11" ht="11.25" customHeight="1" x14ac:dyDescent="0.2">
      <c r="E563" s="199"/>
      <c r="F563" s="199"/>
      <c r="G563" s="198"/>
      <c r="J563" s="198"/>
      <c r="K563" s="198"/>
    </row>
    <row r="564" spans="5:11" ht="11.25" customHeight="1" x14ac:dyDescent="0.2">
      <c r="E564" s="199"/>
      <c r="F564" s="199"/>
      <c r="G564" s="198"/>
      <c r="J564" s="198"/>
      <c r="K564" s="198"/>
    </row>
    <row r="565" spans="5:11" ht="11.25" customHeight="1" x14ac:dyDescent="0.2">
      <c r="E565" s="199"/>
      <c r="F565" s="199"/>
      <c r="G565" s="198"/>
      <c r="J565" s="198"/>
      <c r="K565" s="198"/>
    </row>
    <row r="566" spans="5:11" ht="11.25" customHeight="1" x14ac:dyDescent="0.2">
      <c r="E566" s="199"/>
      <c r="F566" s="199"/>
      <c r="G566" s="198"/>
      <c r="J566" s="198"/>
      <c r="K566" s="198"/>
    </row>
    <row r="567" spans="5:11" ht="11.25" customHeight="1" x14ac:dyDescent="0.2">
      <c r="E567" s="199"/>
      <c r="F567" s="199"/>
      <c r="G567" s="198"/>
      <c r="J567" s="198"/>
      <c r="K567" s="198"/>
    </row>
    <row r="568" spans="5:11" ht="11.25" customHeight="1" x14ac:dyDescent="0.2">
      <c r="E568" s="199"/>
      <c r="F568" s="199"/>
      <c r="G568" s="198"/>
      <c r="J568" s="198"/>
      <c r="K568" s="198"/>
    </row>
    <row r="569" spans="5:11" ht="11.25" customHeight="1" x14ac:dyDescent="0.2">
      <c r="E569" s="199"/>
      <c r="F569" s="199"/>
      <c r="G569" s="198"/>
      <c r="J569" s="198"/>
      <c r="K569" s="198"/>
    </row>
    <row r="570" spans="5:11" ht="11.25" customHeight="1" x14ac:dyDescent="0.2">
      <c r="E570" s="199"/>
      <c r="F570" s="199"/>
      <c r="G570" s="198"/>
      <c r="J570" s="198"/>
      <c r="K570" s="198"/>
    </row>
    <row r="571" spans="5:11" ht="11.25" customHeight="1" x14ac:dyDescent="0.2">
      <c r="E571" s="199"/>
      <c r="F571" s="199"/>
      <c r="G571" s="198"/>
      <c r="J571" s="198"/>
      <c r="K571" s="198"/>
    </row>
    <row r="572" spans="5:11" ht="11.25" customHeight="1" x14ac:dyDescent="0.2">
      <c r="E572" s="199"/>
      <c r="F572" s="199"/>
      <c r="G572" s="198"/>
      <c r="J572" s="198"/>
      <c r="K572" s="198"/>
    </row>
    <row r="573" spans="5:11" ht="11.25" customHeight="1" x14ac:dyDescent="0.2">
      <c r="E573" s="199"/>
      <c r="F573" s="199"/>
      <c r="G573" s="198"/>
      <c r="J573" s="198"/>
      <c r="K573" s="198"/>
    </row>
    <row r="574" spans="5:11" ht="11.25" customHeight="1" x14ac:dyDescent="0.2">
      <c r="E574" s="199"/>
      <c r="F574" s="199"/>
      <c r="G574" s="198"/>
      <c r="J574" s="198"/>
      <c r="K574" s="198"/>
    </row>
    <row r="575" spans="5:11" ht="11.25" customHeight="1" x14ac:dyDescent="0.2">
      <c r="E575" s="199"/>
      <c r="F575" s="199"/>
      <c r="G575" s="198"/>
      <c r="J575" s="198"/>
      <c r="K575" s="198"/>
    </row>
    <row r="576" spans="5:11" ht="11.25" customHeight="1" x14ac:dyDescent="0.2">
      <c r="E576" s="199"/>
      <c r="F576" s="199"/>
      <c r="G576" s="198"/>
      <c r="J576" s="198"/>
      <c r="K576" s="198"/>
    </row>
    <row r="577" spans="5:11" ht="11.25" customHeight="1" x14ac:dyDescent="0.2">
      <c r="E577" s="199"/>
      <c r="F577" s="199"/>
      <c r="G577" s="198"/>
      <c r="J577" s="198"/>
      <c r="K577" s="198"/>
    </row>
    <row r="578" spans="5:11" ht="11.25" customHeight="1" x14ac:dyDescent="0.2"/>
    <row r="579" spans="5:11" ht="11.25" customHeight="1" x14ac:dyDescent="0.2"/>
    <row r="580" spans="5:11" ht="11.25" customHeight="1" x14ac:dyDescent="0.2"/>
    <row r="581" spans="5:11" ht="11.25" customHeight="1" x14ac:dyDescent="0.2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workbookViewId="0">
      <selection activeCell="I5" sqref="I5"/>
    </sheetView>
  </sheetViews>
  <sheetFormatPr defaultColWidth="9.5" defaultRowHeight="11.25" outlineLevelCol="1" x14ac:dyDescent="0.2"/>
  <cols>
    <col min="1" max="1" width="2.33203125" style="146" bestFit="1" customWidth="1"/>
    <col min="2" max="2" width="1.6640625" style="146" customWidth="1"/>
    <col min="3" max="3" width="3.5" style="146" bestFit="1" customWidth="1"/>
    <col min="4" max="4" width="31.1640625" style="146" bestFit="1" customWidth="1"/>
    <col min="5" max="5" width="22.83203125" style="146" bestFit="1" customWidth="1"/>
    <col min="6" max="6" width="20.33203125" style="146" bestFit="1" customWidth="1"/>
    <col min="7" max="7" width="19" style="146" hidden="1" customWidth="1" outlineLevel="1"/>
    <col min="8" max="8" width="11.6640625" style="146" hidden="1" customWidth="1" outlineLevel="1"/>
    <col min="9" max="9" width="11.5" style="146" customWidth="1" collapsed="1"/>
    <col min="10" max="10" width="10.6640625" style="146" bestFit="1" customWidth="1"/>
    <col min="11" max="11" width="9.5" style="146" bestFit="1" customWidth="1"/>
    <col min="12" max="12" width="10.6640625" style="146" bestFit="1" customWidth="1"/>
    <col min="13" max="13" width="11.6640625" style="146" bestFit="1" customWidth="1"/>
    <col min="14" max="14" width="10.1640625" style="146" customWidth="1"/>
    <col min="15" max="15" width="12.83203125" style="146" bestFit="1" customWidth="1"/>
    <col min="16" max="16" width="12.83203125" style="146" hidden="1" customWidth="1" outlineLevel="1"/>
    <col min="17" max="17" width="7" style="146" customWidth="1" collapsed="1"/>
    <col min="18" max="18" width="13.1640625" style="146" customWidth="1"/>
    <col min="19" max="19" width="6.6640625" style="146" customWidth="1"/>
    <col min="20" max="21" width="7" style="146" customWidth="1"/>
    <col min="22" max="22" width="3.6640625" style="146" customWidth="1"/>
    <col min="23" max="23" width="10.6640625" style="146" bestFit="1" customWidth="1"/>
    <col min="24" max="24" width="3.1640625" style="146" customWidth="1"/>
    <col min="25" max="25" width="9.5" style="146" bestFit="1" customWidth="1"/>
    <col min="26" max="26" width="12.5" style="146" bestFit="1" customWidth="1"/>
    <col min="27" max="28" width="9.5" style="146" bestFit="1" customWidth="1"/>
    <col min="29" max="29" width="8.33203125" style="146" bestFit="1" customWidth="1"/>
    <col min="30" max="31" width="9.5" style="146"/>
    <col min="32" max="32" width="20.33203125" style="146" bestFit="1" customWidth="1"/>
    <col min="33" max="33" width="12.33203125" style="146" bestFit="1" customWidth="1"/>
    <col min="34" max="35" width="9.5" style="146" bestFit="1" customWidth="1"/>
    <col min="36" max="36" width="12.1640625" style="146" customWidth="1"/>
    <col min="37" max="16384" width="9.5" style="146"/>
  </cols>
  <sheetData>
    <row r="1" spans="1:36" ht="12" thickBot="1" x14ac:dyDescent="0.25"/>
    <row r="2" spans="1:36" ht="19.5" customHeight="1" x14ac:dyDescent="0.2">
      <c r="D2" s="158" t="s">
        <v>67</v>
      </c>
      <c r="E2" s="159" t="s">
        <v>59</v>
      </c>
      <c r="F2" s="159" t="s">
        <v>60</v>
      </c>
      <c r="G2" s="158" t="s">
        <v>95</v>
      </c>
      <c r="H2" s="159"/>
      <c r="I2" s="159" t="s">
        <v>57</v>
      </c>
      <c r="J2" s="159" t="s">
        <v>27</v>
      </c>
      <c r="K2" s="173"/>
      <c r="L2" s="173"/>
      <c r="M2" s="160"/>
      <c r="N2" s="159" t="s">
        <v>92</v>
      </c>
      <c r="P2" s="159" t="s">
        <v>97</v>
      </c>
      <c r="W2" s="226" t="s">
        <v>75</v>
      </c>
      <c r="AA2" s="333" t="s">
        <v>74</v>
      </c>
      <c r="AB2" s="333"/>
      <c r="AC2" s="333"/>
      <c r="AF2" s="158" t="s">
        <v>59</v>
      </c>
      <c r="AG2" s="158"/>
      <c r="AH2" s="159" t="s">
        <v>31</v>
      </c>
      <c r="AI2" s="159" t="s">
        <v>65</v>
      </c>
      <c r="AJ2" s="160" t="s">
        <v>66</v>
      </c>
    </row>
    <row r="3" spans="1:36" x14ac:dyDescent="0.2">
      <c r="D3" s="148" t="str">
        <f>$E$9&amp;"LastFixing"&amp;QuoteSuffix</f>
        <v>AUDBBSW3MLastFixing_Quote</v>
      </c>
      <c r="E3" s="149" t="e">
        <f>_xll.qlCalendarAdvance(Calendar,_xll.qlLastFixingQuoteReferenceDate($D$3),_xll.qlInterestRateIndexFixingDays($E$9)&amp;"D","f",,LastFixingsTrigger)</f>
        <v>#NUM!</v>
      </c>
      <c r="F3" s="149" t="e">
        <f>_xll.qlInterestRateIndexMaturity($E$9,E3)</f>
        <v>#NUM!</v>
      </c>
      <c r="G3" s="148" t="e">
        <f>_xll.qlMakeDatedOIS(,E3,F3,OvernightIndex,0,,,,EvaluationDate)</f>
        <v>#NUM!</v>
      </c>
      <c r="H3" s="149" t="e">
        <f>_xll.qlInstrumentSetPricingEngine(G3,OisEngine)</f>
        <v>#VALUE!</v>
      </c>
      <c r="I3" s="150" t="e">
        <f>_xll.qlQuoteValue($D3,AllTriggers)</f>
        <v>#NUM!</v>
      </c>
      <c r="J3" s="151" t="e">
        <f>_xll.qlOvernightIndexedSwapFairRate(G3,_xll.ohTrigger(H3,InterestRatesTrigger))</f>
        <v>#VALUE!</v>
      </c>
      <c r="K3" s="174" t="e">
        <f>I3*_xll.qlDayCounterYearFraction(DayCounter3M,E3,F3,,,Trigger)</f>
        <v>#NUM!</v>
      </c>
      <c r="L3" s="174" t="e">
        <f>J3*_xll.qlDayCounterYearFraction(DayCounterOIS,E3,F3,,,Trigger)</f>
        <v>#VALUE!</v>
      </c>
      <c r="M3" s="185" t="e">
        <f>K3-L3</f>
        <v>#NUM!</v>
      </c>
      <c r="N3" s="185" t="e">
        <f>M3</f>
        <v>#NUM!</v>
      </c>
      <c r="P3" s="185" t="b">
        <f>IF(E14="FUT",FALSE,IF(E14="FIX+FUT",TRUE,FALSE))</f>
        <v>0</v>
      </c>
      <c r="R3" s="334" t="s">
        <v>68</v>
      </c>
      <c r="S3" s="165">
        <f t="array" ref="S3:S5">_xll.ohFilter(N10:N14,P10:P14)</f>
        <v>5.165642289839947E-3</v>
      </c>
      <c r="T3" s="166">
        <f t="array" ref="T3:T5">_xll.ohFilter(M10:M14,P10:P14)</f>
        <v>3.1079001688872208E-2</v>
      </c>
      <c r="U3" s="167">
        <f t="array" ref="U3:U5">_xll.ohFilter(L10:L14,P10:P14)</f>
        <v>0.24931506849315069</v>
      </c>
      <c r="V3" s="161"/>
      <c r="W3" s="169">
        <f t="array" ref="W3:W5">MMULT(AA3:AC5,Y3:Y5)</f>
        <v>-2.2347841977194208E-4</v>
      </c>
      <c r="X3" s="170"/>
      <c r="Y3" s="150">
        <f t="array" ref="Y3:Y5">_xll.ohFilter(N3:N7,P3:P7)</f>
        <v>4.0891925374961506E-4</v>
      </c>
      <c r="AA3" s="165">
        <f t="array" ref="AA3:AC5">MINVERSE(S3:U5)</f>
        <v>679.27628515552135</v>
      </c>
      <c r="AB3" s="166">
        <v>-739.32280760020831</v>
      </c>
      <c r="AC3" s="167">
        <v>60.713706027405735</v>
      </c>
      <c r="AF3" s="178">
        <f>SettlementDate</f>
        <v>41891</v>
      </c>
      <c r="AG3" s="192">
        <f>_xll.qlDayCounterYearFraction(DayCounterON,SettlementDate,AF3,,,Trigger)</f>
        <v>0</v>
      </c>
      <c r="AH3" s="179">
        <f t="shared" ref="AH3:AH66" si="0">$W$13</f>
        <v>1.6401706331715328E-3</v>
      </c>
      <c r="AI3" s="179">
        <f t="shared" ref="AI3:AI66" si="1">$W$10+$W$9*AG3</f>
        <v>1.5126611806855449E-3</v>
      </c>
      <c r="AJ3" s="180">
        <f t="shared" ref="AJ3:AJ66" si="2">($W$5+$W$4*AG3+$W$3*AG3^2)</f>
        <v>1.5097354264315744E-3</v>
      </c>
    </row>
    <row r="4" spans="1:36" x14ac:dyDescent="0.2">
      <c r="D4" s="223" t="s">
        <v>105</v>
      </c>
      <c r="E4" s="149">
        <f>SettlementDate</f>
        <v>41891</v>
      </c>
      <c r="F4" s="149">
        <f>_xll.qlInterestRateIndexMaturity($E$9,E4)</f>
        <v>41982</v>
      </c>
      <c r="G4" s="148" t="str">
        <f>_xll.qlMakeDatedOIS(,E4,F4,OvernightIndex,0,,,,EvaluationDate)</f>
        <v>obj_0025a#0000</v>
      </c>
      <c r="H4" s="149" t="b">
        <f>_xll.qlInstrumentSetPricingEngine(G4,OisEngine)</f>
        <v>1</v>
      </c>
      <c r="I4" s="150"/>
      <c r="J4" s="151"/>
      <c r="K4" s="174"/>
      <c r="L4" s="174"/>
      <c r="M4" s="185"/>
      <c r="N4" s="224">
        <f>_xll.qlInterpolationInterpolate($H$13,E4,TRUE,Trigger)</f>
        <v>4.0891925374961506E-4</v>
      </c>
      <c r="P4" s="185" t="b">
        <f>IF(E14="FUT",FALSE,IF(E14="FIX+FUT",FALSE,TRUE))</f>
        <v>1</v>
      </c>
      <c r="R4" s="334"/>
      <c r="S4" s="165">
        <v>6.6477780319797496E-3</v>
      </c>
      <c r="T4" s="166">
        <v>3.6543441546256335E-2</v>
      </c>
      <c r="U4" s="167">
        <v>0.24931506849315069</v>
      </c>
      <c r="V4" s="162" t="e">
        <f>#REF!</f>
        <v>#REF!</v>
      </c>
      <c r="W4" s="169">
        <v>1.083492720114921E-3</v>
      </c>
      <c r="X4" s="162" t="e">
        <f>#REF!</f>
        <v>#REF!</v>
      </c>
      <c r="Y4" s="150">
        <v>4.1450870920105558E-4</v>
      </c>
      <c r="AA4" s="165">
        <v>-367.24343453156956</v>
      </c>
      <c r="AB4" s="166">
        <v>383.53002555081338</v>
      </c>
      <c r="AC4" s="167">
        <v>-16.467553141679893</v>
      </c>
      <c r="AF4" s="181">
        <f>_xll.qlCalendarAdvance(Calendar,AF3,"1d","mf",,Trigger)</f>
        <v>41892</v>
      </c>
      <c r="AG4" s="192">
        <f>_xll.qlDayCounterYearFraction(DayCounterON,SettlementDate,AF4,,,Trigger)</f>
        <v>2.7397260273972603E-3</v>
      </c>
      <c r="AH4" s="182">
        <f t="shared" si="0"/>
        <v>1.6401706331715328E-3</v>
      </c>
      <c r="AI4" s="182">
        <f t="shared" si="1"/>
        <v>1.5154635862346874E-3</v>
      </c>
      <c r="AJ4" s="152">
        <f t="shared" si="2"/>
        <v>1.5127022221862914E-3</v>
      </c>
    </row>
    <row r="5" spans="1:36" x14ac:dyDescent="0.2">
      <c r="A5" s="164"/>
      <c r="B5" s="164"/>
      <c r="C5" s="146" t="str">
        <f>_xll.qlIMMNextCode(SettlementDate-1,TRUE)</f>
        <v>U4</v>
      </c>
      <c r="D5" s="148" t="str">
        <f>Currency&amp;"FUT3M"&amp;C5&amp;QuoteSuffix</f>
        <v>AUDFUT3MU4_Quote</v>
      </c>
      <c r="E5" s="149">
        <f>_xll.qlIMMdate(C5)</f>
        <v>41899</v>
      </c>
      <c r="F5" s="149">
        <f>_xll.qlInterestRateIndexMaturity($E$9,E5)</f>
        <v>41990</v>
      </c>
      <c r="G5" s="148" t="str">
        <f>_xll.qlMakeDatedOIS(,E5,F5,OvernightIndex,0,,,,EvaluationDate)</f>
        <v>obj_0025f#0000</v>
      </c>
      <c r="H5" s="149" t="b">
        <f>_xll.qlInstrumentSetPricingEngine(G5,OisEngine)</f>
        <v>1</v>
      </c>
      <c r="I5" s="150">
        <f>1-_xll.qlQuoteValue($D5,AllTriggers)/100</f>
        <v>2.6249999999999996E-2</v>
      </c>
      <c r="J5" s="151">
        <f>_xll.qlOvernightIndexedSwapFairRate(G5,_xll.ohTrigger(H5,InterestRatesTrigger))</f>
        <v>2.4587410122435323E-2</v>
      </c>
      <c r="K5" s="174">
        <f>I5*_xll.qlDayCounterYearFraction(DayCounter3M,E5,F5,,,Trigger)</f>
        <v>6.5445205479452047E-3</v>
      </c>
      <c r="L5" s="174">
        <f>J5*_xll.qlDayCounterYearFraction(DayCounterOIS,E5,F5,,,Trigger)</f>
        <v>6.1300118387441491E-3</v>
      </c>
      <c r="M5" s="185">
        <f>K5-L5</f>
        <v>4.1450870920105558E-4</v>
      </c>
      <c r="N5" s="185">
        <f>M5</f>
        <v>4.1450870920105558E-4</v>
      </c>
      <c r="P5" s="185" t="b">
        <v>1</v>
      </c>
      <c r="R5" s="334"/>
      <c r="S5" s="165">
        <v>3.9627882586108054E-2</v>
      </c>
      <c r="T5" s="166">
        <v>9.7279039219365718E-2</v>
      </c>
      <c r="U5" s="167">
        <v>0.24657534246575341</v>
      </c>
      <c r="V5" s="164"/>
      <c r="W5" s="169">
        <v>1.5097354264315744E-3</v>
      </c>
      <c r="X5" s="162"/>
      <c r="Y5" s="150">
        <v>4.688086840397487E-4</v>
      </c>
      <c r="AA5" s="165">
        <v>35.716497485565235</v>
      </c>
      <c r="AB5" s="166">
        <v>-32.491630770671357</v>
      </c>
      <c r="AC5" s="167">
        <v>0.79485698827397133</v>
      </c>
      <c r="AF5" s="181">
        <f>_xll.qlCalendarAdvance(Calendar,AF4,"1d","mf",,Trigger)</f>
        <v>41893</v>
      </c>
      <c r="AG5" s="192">
        <f>_xll.qlDayCounterYearFraction(DayCounterON,SettlementDate,AF5,,,Trigger)</f>
        <v>5.4794520547945206E-3</v>
      </c>
      <c r="AH5" s="182">
        <f t="shared" si="0"/>
        <v>1.6401706331715328E-3</v>
      </c>
      <c r="AI5" s="182">
        <f t="shared" si="1"/>
        <v>1.51826599178383E-3</v>
      </c>
      <c r="AJ5" s="152">
        <f t="shared" si="2"/>
        <v>1.5156656630388539E-3</v>
      </c>
    </row>
    <row r="6" spans="1:36" x14ac:dyDescent="0.2">
      <c r="A6" s="164"/>
      <c r="B6" s="164"/>
      <c r="C6" s="222" t="str">
        <f>_xll.qlIMMNextCode(E5,TRUE)</f>
        <v>Z4</v>
      </c>
      <c r="D6" s="148" t="str">
        <f>Currency&amp;"FUT3M"&amp;C6&amp;QuoteSuffix</f>
        <v>AUDFUT3MZ4_Quote</v>
      </c>
      <c r="E6" s="149">
        <f>_xll.qlIMMdate(C6)</f>
        <v>41990</v>
      </c>
      <c r="F6" s="149">
        <f>_xll.qlInterestRateIndexMaturity($E$9,E6)</f>
        <v>42080</v>
      </c>
      <c r="G6" s="148" t="str">
        <f>_xll.qlMakeDatedOIS(,E6,F6,OvernightIndex,0,,,,EvaluationDate)</f>
        <v>obj_0025e#0000</v>
      </c>
      <c r="H6" s="149" t="b">
        <f>_xll.qlInstrumentSetPricingEngine(G6,OisEngine)</f>
        <v>1</v>
      </c>
      <c r="I6" s="150">
        <f>1-_xll.qlQuoteValue($D6,AllTriggers)/100</f>
        <v>2.6249999999999996E-2</v>
      </c>
      <c r="J6" s="151">
        <f>_xll.qlOvernightIndexedSwapFairRate(G6,_xll.ohTrigger(H6,InterestRatesTrigger))</f>
        <v>2.4348720336949903E-2</v>
      </c>
      <c r="K6" s="174">
        <f>I6*_xll.qlDayCounterYearFraction(DayCounter3M,E6,F6,,,Trigger)</f>
        <v>6.4726027397260261E-3</v>
      </c>
      <c r="L6" s="174">
        <f>J6*_xll.qlDayCounterYearFraction(DayCounterOIS,E6,F6,,,Trigger)</f>
        <v>6.0037940556862774E-3</v>
      </c>
      <c r="M6" s="185">
        <f>K6-L6</f>
        <v>4.688086840397487E-4</v>
      </c>
      <c r="N6" s="185">
        <f>M6</f>
        <v>4.688086840397487E-4</v>
      </c>
      <c r="P6" s="185" t="b">
        <v>1</v>
      </c>
      <c r="W6" s="171"/>
      <c r="X6" s="227"/>
      <c r="Y6" s="172"/>
      <c r="AF6" s="181">
        <f>_xll.qlCalendarAdvance(Calendar,AF5,"1d","mf",,Trigger)</f>
        <v>41894</v>
      </c>
      <c r="AG6" s="192">
        <f>_xll.qlDayCounterYearFraction(DayCounterON,SettlementDate,AF6,,,Trigger)</f>
        <v>8.21917808219178E-3</v>
      </c>
      <c r="AH6" s="182">
        <f t="shared" si="0"/>
        <v>1.6401706331715328E-3</v>
      </c>
      <c r="AI6" s="182">
        <f t="shared" si="1"/>
        <v>1.5210683973329725E-3</v>
      </c>
      <c r="AJ6" s="152">
        <f t="shared" si="2"/>
        <v>1.5186257489892617E-3</v>
      </c>
    </row>
    <row r="7" spans="1:36" ht="12" thickBot="1" x14ac:dyDescent="0.25">
      <c r="A7" s="164"/>
      <c r="B7" s="164"/>
      <c r="C7" s="222" t="str">
        <f>_xll.qlIMMNextCode(E6,TRUE)</f>
        <v>H5</v>
      </c>
      <c r="D7" s="153" t="str">
        <f>Currency&amp;"FUT3M"&amp;C7&amp;QuoteSuffix</f>
        <v>AUDFUT3MH5_Quote</v>
      </c>
      <c r="E7" s="154">
        <f>_xll.qlIMMdate(C7)</f>
        <v>42081</v>
      </c>
      <c r="F7" s="154">
        <f>_xll.qlInterestRateIndexMaturity($E$9,E7)</f>
        <v>42173</v>
      </c>
      <c r="G7" s="153" t="str">
        <f>_xll.qlMakeDatedOIS(,E7,F7,OvernightIndex,0,,,,EvaluationDate)</f>
        <v>obj_00260#0000</v>
      </c>
      <c r="H7" s="154" t="b">
        <f>_xll.qlInstrumentSetPricingEngine(G7,OisEngine)</f>
        <v>1</v>
      </c>
      <c r="I7" s="156">
        <f>1-_xll.qlQuoteValue($D7,AllTriggers)/100</f>
        <v>2.6349999999999874E-2</v>
      </c>
      <c r="J7" s="156">
        <f>_xll.qlOvernightIndexedSwapFairRate(G7,_xll.ohTrigger(H7,InterestRatesTrigger))</f>
        <v>2.4423041157925075E-2</v>
      </c>
      <c r="K7" s="175">
        <f>I7*_xll.qlDayCounterYearFraction(DayCounter3M,E7,F7,,,Trigger)</f>
        <v>6.6416438356164068E-3</v>
      </c>
      <c r="L7" s="175">
        <f>J7*_xll.qlDayCounterYearFraction(DayCounterOIS,E7,F7,,,Trigger)</f>
        <v>6.1559446206276907E-3</v>
      </c>
      <c r="M7" s="186">
        <f>K7-L7</f>
        <v>4.8569921498871609E-4</v>
      </c>
      <c r="N7" s="186">
        <f>M7</f>
        <v>4.8569921498871609E-4</v>
      </c>
      <c r="P7" s="186" t="b">
        <f>IF(E14="FUT",TRUE,FALSE)</f>
        <v>0</v>
      </c>
      <c r="W7" s="171"/>
      <c r="X7" s="227"/>
      <c r="Y7" s="172"/>
      <c r="AF7" s="181">
        <f>_xll.qlCalendarAdvance(Calendar,AF6,"1d","mf",,Trigger)</f>
        <v>41897</v>
      </c>
      <c r="AG7" s="192">
        <f>_xll.qlDayCounterYearFraction(DayCounterON,SettlementDate,AF7,,,Trigger)</f>
        <v>1.643835616438356E-2</v>
      </c>
      <c r="AH7" s="182">
        <f t="shared" si="0"/>
        <v>1.6401706331715328E-3</v>
      </c>
      <c r="AI7" s="182">
        <f t="shared" si="1"/>
        <v>1.5294756139804001E-3</v>
      </c>
      <c r="AJ7" s="152">
        <f t="shared" si="2"/>
        <v>1.527485877427558E-3</v>
      </c>
    </row>
    <row r="8" spans="1:36" ht="18.75" customHeight="1" thickBot="1" x14ac:dyDescent="0.25">
      <c r="W8" s="228" t="s">
        <v>76</v>
      </c>
      <c r="X8" s="227"/>
      <c r="Y8" s="172"/>
      <c r="AF8" s="181">
        <f>_xll.qlCalendarAdvance(Calendar,AF7,"1d","mf",,Trigger)</f>
        <v>41898</v>
      </c>
      <c r="AG8" s="192">
        <f>_xll.qlDayCounterYearFraction(DayCounterON,SettlementDate,AF8,,,Trigger)</f>
        <v>1.9178082191780823E-2</v>
      </c>
      <c r="AH8" s="182">
        <f t="shared" si="0"/>
        <v>1.6401706331715328E-3</v>
      </c>
      <c r="AI8" s="182">
        <f t="shared" si="1"/>
        <v>1.5322780195295427E-3</v>
      </c>
      <c r="AJ8" s="152">
        <f t="shared" si="2"/>
        <v>1.5304325437693472E-3</v>
      </c>
    </row>
    <row r="9" spans="1:36" x14ac:dyDescent="0.2">
      <c r="D9" s="158" t="s">
        <v>93</v>
      </c>
      <c r="E9" s="220" t="str">
        <f>Currency&amp;IborType&amp;"3M"</f>
        <v>AUDBBSW3M</v>
      </c>
      <c r="J9" s="158"/>
      <c r="K9" s="159"/>
      <c r="L9" s="159" t="s">
        <v>77</v>
      </c>
      <c r="M9" s="173" t="s">
        <v>78</v>
      </c>
      <c r="N9" s="160" t="s">
        <v>79</v>
      </c>
      <c r="P9" s="160" t="s">
        <v>97</v>
      </c>
      <c r="R9" s="333" t="s">
        <v>69</v>
      </c>
      <c r="S9" s="229"/>
      <c r="T9" s="165">
        <f t="array" ref="T9:T10">_xll.ohFilter(M10:M14,P10:P14)</f>
        <v>3.1079001688872208E-2</v>
      </c>
      <c r="U9" s="167">
        <f t="array" ref="U9:U10">_xll.ohFilter(L10:L14,P10:P14)</f>
        <v>0.24931506849315069</v>
      </c>
      <c r="V9" s="335" t="s">
        <v>29</v>
      </c>
      <c r="W9" s="169">
        <f t="array" ref="W9:W10">MMULT(AA9:AB10,Y9:Y10)</f>
        <v>1.0228780254370323E-3</v>
      </c>
      <c r="X9" s="335" t="s">
        <v>30</v>
      </c>
      <c r="Y9" s="150">
        <f t="array" ref="Y9:Y10">_xll.ohFilter(N3:N7,P3:P7)</f>
        <v>4.0891925374961506E-4</v>
      </c>
      <c r="AA9" s="165">
        <f t="array" ref="AA9:AB10">MINVERSE(T9:U10)</f>
        <v>-183.00137362637363</v>
      </c>
      <c r="AB9" s="167">
        <v>183.00137362637363</v>
      </c>
      <c r="AF9" s="181">
        <f>_xll.qlCalendarAdvance(Calendar,AF8,"1d","mf",,Trigger)</f>
        <v>41899</v>
      </c>
      <c r="AG9" s="192">
        <f>_xll.qlDayCounterYearFraction(DayCounterON,SettlementDate,AF9,,,Trigger)</f>
        <v>2.1917808219178082E-2</v>
      </c>
      <c r="AH9" s="182">
        <f t="shared" si="0"/>
        <v>1.6401706331715328E-3</v>
      </c>
      <c r="AI9" s="182">
        <f t="shared" si="1"/>
        <v>1.5350804250786852E-3</v>
      </c>
      <c r="AJ9" s="152">
        <f t="shared" si="2"/>
        <v>1.5333758552089822E-3</v>
      </c>
    </row>
    <row r="10" spans="1:36" ht="11.25" customHeight="1" x14ac:dyDescent="0.2">
      <c r="D10" s="176" t="s">
        <v>110</v>
      </c>
      <c r="E10" s="221" t="s">
        <v>73</v>
      </c>
      <c r="J10" s="230" t="e">
        <f>_xll.qlDayCounterYearFraction(DayCounterON,SettlementDate,E3,,,Trigger)</f>
        <v>#NUM!</v>
      </c>
      <c r="K10" s="231" t="e">
        <f>_xll.qlDayCounterYearFraction(DayCounterON,SettlementDate,F3,,,Trigger)</f>
        <v>#NUM!</v>
      </c>
      <c r="L10" s="231" t="e">
        <f>K10-J10</f>
        <v>#NUM!</v>
      </c>
      <c r="M10" s="231" t="e">
        <f>(K10^2-J10^2)/2</f>
        <v>#NUM!</v>
      </c>
      <c r="N10" s="232" t="e">
        <f>(K10^3-J10^3)/3</f>
        <v>#NUM!</v>
      </c>
      <c r="P10" s="232" t="b">
        <f>P3</f>
        <v>0</v>
      </c>
      <c r="R10" s="333"/>
      <c r="S10" s="229"/>
      <c r="T10" s="165">
        <v>3.6543441546256335E-2</v>
      </c>
      <c r="U10" s="167">
        <v>0.24931506849315069</v>
      </c>
      <c r="V10" s="335"/>
      <c r="W10" s="169">
        <v>1.5126611806855449E-3</v>
      </c>
      <c r="X10" s="335"/>
      <c r="Y10" s="150">
        <v>4.1450870920105558E-4</v>
      </c>
      <c r="AA10" s="165">
        <v>26.823489010989015</v>
      </c>
      <c r="AB10" s="167">
        <v>-22.812500000000004</v>
      </c>
      <c r="AF10" s="181">
        <f>_xll.qlCalendarAdvance(Calendar,AF9,"1d","mf",,Trigger)</f>
        <v>41900</v>
      </c>
      <c r="AG10" s="192">
        <f>_xll.qlDayCounterYearFraction(DayCounterON,SettlementDate,AF10,,,Trigger)</f>
        <v>2.4657534246575342E-2</v>
      </c>
      <c r="AH10" s="182">
        <f t="shared" si="0"/>
        <v>1.6401706331715328E-3</v>
      </c>
      <c r="AI10" s="182">
        <f t="shared" si="1"/>
        <v>1.5378828306278278E-3</v>
      </c>
      <c r="AJ10" s="152">
        <f t="shared" si="2"/>
        <v>1.5363158117464627E-3</v>
      </c>
    </row>
    <row r="11" spans="1:36" ht="11.25" customHeight="1" x14ac:dyDescent="0.2">
      <c r="D11" s="176" t="s">
        <v>71</v>
      </c>
      <c r="E11" s="221" t="s">
        <v>73</v>
      </c>
      <c r="J11" s="230">
        <f>_xll.qlDayCounterYearFraction(DayCounterON,SettlementDate,E4,,,Trigger)</f>
        <v>0</v>
      </c>
      <c r="K11" s="231">
        <f>_xll.qlDayCounterYearFraction(DayCounterON,SettlementDate,F4,,,Trigger)</f>
        <v>0.24931506849315069</v>
      </c>
      <c r="L11" s="231">
        <f>K11-J11</f>
        <v>0.24931506849315069</v>
      </c>
      <c r="M11" s="231">
        <f>(K11^2-J11^2)/2</f>
        <v>3.1079001688872208E-2</v>
      </c>
      <c r="N11" s="232">
        <f>(K11^3-J11^3)/3</f>
        <v>5.165642289839947E-3</v>
      </c>
      <c r="P11" s="232" t="b">
        <f>P4</f>
        <v>1</v>
      </c>
      <c r="W11" s="171"/>
      <c r="X11" s="227"/>
      <c r="Y11" s="172"/>
      <c r="AF11" s="181">
        <f>_xll.qlCalendarAdvance(Calendar,AF10,"1d","mf",,Trigger)</f>
        <v>41901</v>
      </c>
      <c r="AG11" s="192">
        <f>_xll.qlDayCounterYearFraction(DayCounterON,SettlementDate,AF11,,,Trigger)</f>
        <v>2.7397260273972601E-2</v>
      </c>
      <c r="AH11" s="182">
        <f t="shared" si="0"/>
        <v>1.6401706331715328E-3</v>
      </c>
      <c r="AI11" s="182">
        <f t="shared" si="1"/>
        <v>1.5406852361769703E-3</v>
      </c>
      <c r="AJ11" s="152">
        <f t="shared" si="2"/>
        <v>1.5392524133817885E-3</v>
      </c>
    </row>
    <row r="12" spans="1:36" ht="11.25" customHeight="1" thickBot="1" x14ac:dyDescent="0.25">
      <c r="D12" s="176" t="s">
        <v>72</v>
      </c>
      <c r="E12" s="221" t="s">
        <v>73</v>
      </c>
      <c r="J12" s="230">
        <f>_xll.qlDayCounterYearFraction(DayCounterON,SettlementDate,E5,,,Trigger)</f>
        <v>2.1917808219178082E-2</v>
      </c>
      <c r="K12" s="231">
        <f>_xll.qlDayCounterYearFraction(DayCounterON,SettlementDate,F5,,,Trigger)</f>
        <v>0.27123287671232876</v>
      </c>
      <c r="L12" s="231">
        <f>K12-J12</f>
        <v>0.24931506849315069</v>
      </c>
      <c r="M12" s="231">
        <f>(K12^2-J12^2)/2</f>
        <v>3.6543441546256335E-2</v>
      </c>
      <c r="N12" s="232">
        <f>(K12^3-J12^3)/3</f>
        <v>6.6477780319797496E-3</v>
      </c>
      <c r="P12" s="232" t="b">
        <f>P5</f>
        <v>1</v>
      </c>
      <c r="W12" s="226" t="s">
        <v>28</v>
      </c>
      <c r="X12" s="227"/>
      <c r="Y12" s="172"/>
      <c r="AF12" s="181">
        <f>_xll.qlCalendarAdvance(Calendar,AF11,"1d","mf",,Trigger)</f>
        <v>41904</v>
      </c>
      <c r="AG12" s="192">
        <f>_xll.qlDayCounterYearFraction(DayCounterON,SettlementDate,AF12,,,Trigger)</f>
        <v>3.5616438356164383E-2</v>
      </c>
      <c r="AH12" s="182">
        <f t="shared" si="0"/>
        <v>1.6401706331715328E-3</v>
      </c>
      <c r="AI12" s="182">
        <f t="shared" si="1"/>
        <v>1.5490924528243982E-3</v>
      </c>
      <c r="AJ12" s="152">
        <f t="shared" si="2"/>
        <v>1.5480420888748384E-3</v>
      </c>
    </row>
    <row r="13" spans="1:36" ht="11.25" customHeight="1" thickBot="1" x14ac:dyDescent="0.25">
      <c r="D13" s="176" t="s">
        <v>98</v>
      </c>
      <c r="E13" s="246" t="s">
        <v>63</v>
      </c>
      <c r="F13" s="146" t="s">
        <v>111</v>
      </c>
      <c r="G13" s="240" t="s">
        <v>96</v>
      </c>
      <c r="H13" s="225" t="str">
        <f>_xll.qlInterpolation(,E13,E5:E7,M5:M7)</f>
        <v>obj_003a6#0004</v>
      </c>
      <c r="J13" s="230">
        <f>_xll.qlDayCounterYearFraction(DayCounterON,SettlementDate,E6,,,Trigger)</f>
        <v>0.27123287671232876</v>
      </c>
      <c r="K13" s="231">
        <f>_xll.qlDayCounterYearFraction(DayCounterON,SettlementDate,F6,,,Trigger)</f>
        <v>0.51780821917808217</v>
      </c>
      <c r="L13" s="231">
        <f>K13-J13</f>
        <v>0.24657534246575341</v>
      </c>
      <c r="M13" s="231">
        <f>(K13^2-J13^2)/2</f>
        <v>9.7279039219365718E-2</v>
      </c>
      <c r="N13" s="232">
        <f>(K13^3-J13^3)/3</f>
        <v>3.9627882586108054E-2</v>
      </c>
      <c r="P13" s="232" t="b">
        <f>P6</f>
        <v>1</v>
      </c>
      <c r="R13" s="219" t="s">
        <v>70</v>
      </c>
      <c r="U13" s="168">
        <f t="array" ref="U13">_xll.ohFilter(L10:L14,P10:P14)</f>
        <v>0.24931506849315069</v>
      </c>
      <c r="V13" s="219" t="s">
        <v>29</v>
      </c>
      <c r="W13" s="169">
        <f>MMULT(AA13,Y13)</f>
        <v>1.6401706331715328E-3</v>
      </c>
      <c r="X13" s="219" t="s">
        <v>30</v>
      </c>
      <c r="Y13" s="150">
        <f>_xll.ohFilter(N3:N7,P3:P7)</f>
        <v>4.0891925374961506E-4</v>
      </c>
      <c r="AA13" s="168">
        <f>MINVERSE(U13)</f>
        <v>4.0109890109890109</v>
      </c>
      <c r="AF13" s="181">
        <f>_xll.qlCalendarAdvance(Calendar,AF12,"1d","mf",,Trigger)</f>
        <v>41905</v>
      </c>
      <c r="AG13" s="192">
        <f>_xll.qlDayCounterYearFraction(DayCounterON,SettlementDate,AF13,,,Trigger)</f>
        <v>3.8356164383561646E-2</v>
      </c>
      <c r="AH13" s="182">
        <f t="shared" si="0"/>
        <v>1.6401706331715328E-3</v>
      </c>
      <c r="AI13" s="182">
        <f t="shared" si="1"/>
        <v>1.5518948583735407E-3</v>
      </c>
      <c r="AJ13" s="152">
        <f t="shared" si="2"/>
        <v>1.5509652709015458E-3</v>
      </c>
    </row>
    <row r="14" spans="1:36" ht="11.25" customHeight="1" thickBot="1" x14ac:dyDescent="0.25">
      <c r="D14" s="177" t="s">
        <v>101</v>
      </c>
      <c r="E14" s="242" t="s">
        <v>103</v>
      </c>
      <c r="J14" s="233">
        <f>_xll.qlDayCounterYearFraction(DayCounterON,SettlementDate,E7,,,Trigger)</f>
        <v>0.52054794520547942</v>
      </c>
      <c r="K14" s="234">
        <f>_xll.qlDayCounterYearFraction(DayCounterON,SettlementDate,F7,,,Trigger)</f>
        <v>0.77260273972602744</v>
      </c>
      <c r="L14" s="234">
        <f>K14-J14</f>
        <v>0.25205479452054802</v>
      </c>
      <c r="M14" s="234">
        <f>(K14^2-J14^2)/2</f>
        <v>0.16297241508725843</v>
      </c>
      <c r="N14" s="235">
        <f>(K14^3-J14^3)/3</f>
        <v>0.10670839920449066</v>
      </c>
      <c r="P14" s="235" t="b">
        <f>P7</f>
        <v>0</v>
      </c>
      <c r="AF14" s="181">
        <f>_xll.qlCalendarAdvance(Calendar,AF13,"1d","mf",,Trigger)</f>
        <v>41906</v>
      </c>
      <c r="AG14" s="192">
        <f>_xll.qlDayCounterYearFraction(DayCounterON,SettlementDate,AF14,,,Trigger)</f>
        <v>4.1095890410958902E-2</v>
      </c>
      <c r="AH14" s="182">
        <f t="shared" si="0"/>
        <v>1.6401706331715328E-3</v>
      </c>
      <c r="AI14" s="182">
        <f t="shared" si="1"/>
        <v>1.5546972639226833E-3</v>
      </c>
      <c r="AJ14" s="152">
        <f t="shared" si="2"/>
        <v>1.5538850980260988E-3</v>
      </c>
    </row>
    <row r="15" spans="1:36" ht="14.25" customHeight="1" thickBot="1" x14ac:dyDescent="0.25">
      <c r="P15" s="163"/>
      <c r="AF15" s="181">
        <f>_xll.qlCalendarAdvance(Calendar,AF14,"1d","mf",,Trigger)</f>
        <v>41907</v>
      </c>
      <c r="AG15" s="192">
        <f>_xll.qlDayCounterYearFraction(DayCounterON,SettlementDate,AF15,,,Trigger)</f>
        <v>4.3835616438356165E-2</v>
      </c>
      <c r="AH15" s="182">
        <f t="shared" si="0"/>
        <v>1.6401706331715328E-3</v>
      </c>
      <c r="AI15" s="182">
        <f t="shared" si="1"/>
        <v>1.5574996694718258E-3</v>
      </c>
      <c r="AJ15" s="152">
        <f t="shared" si="2"/>
        <v>1.5568015702484971E-3</v>
      </c>
    </row>
    <row r="16" spans="1:36" ht="11.25" customHeight="1" thickBot="1" x14ac:dyDescent="0.25">
      <c r="M16" s="236" t="s">
        <v>104</v>
      </c>
      <c r="N16" s="237"/>
      <c r="O16" s="238"/>
      <c r="P16" s="163"/>
      <c r="AF16" s="181">
        <f>_xll.qlCalendarAdvance(Calendar,AF15,"1d","mf",,Trigger)</f>
        <v>41908</v>
      </c>
      <c r="AG16" s="192">
        <f>_xll.qlDayCounterYearFraction(DayCounterON,SettlementDate,AF16,,,Trigger)</f>
        <v>4.6575342465753428E-2</v>
      </c>
      <c r="AH16" s="182">
        <f t="shared" si="0"/>
        <v>1.6401706331715328E-3</v>
      </c>
      <c r="AI16" s="182">
        <f t="shared" si="1"/>
        <v>1.5603020750209683E-3</v>
      </c>
      <c r="AJ16" s="152">
        <f t="shared" si="2"/>
        <v>1.5597146875687409E-3</v>
      </c>
    </row>
    <row r="17" spans="4:36" ht="15.75" customHeight="1" x14ac:dyDescent="0.2">
      <c r="D17" s="158" t="s">
        <v>80</v>
      </c>
      <c r="E17" s="159" t="s">
        <v>59</v>
      </c>
      <c r="F17" s="159" t="s">
        <v>60</v>
      </c>
      <c r="G17" s="173" t="s">
        <v>99</v>
      </c>
      <c r="H17" s="173"/>
      <c r="I17" s="159" t="s">
        <v>27</v>
      </c>
      <c r="J17" s="159"/>
      <c r="K17" s="159"/>
      <c r="L17" s="159"/>
      <c r="M17" s="239" t="s">
        <v>70</v>
      </c>
      <c r="N17" s="160" t="s">
        <v>69</v>
      </c>
      <c r="O17" s="160" t="s">
        <v>68</v>
      </c>
      <c r="P17" s="163"/>
      <c r="AF17" s="181">
        <f>_xll.qlCalendarAdvance(Calendar,AF16,"1d","mf",,Trigger)</f>
        <v>41911</v>
      </c>
      <c r="AG17" s="192">
        <f>_xll.qlDayCounterYearFraction(DayCounterON,SettlementDate,AF17,,,Trigger)</f>
        <v>5.4794520547945202E-2</v>
      </c>
      <c r="AH17" s="182">
        <f t="shared" si="0"/>
        <v>1.6401706331715328E-3</v>
      </c>
      <c r="AI17" s="182">
        <f t="shared" si="1"/>
        <v>1.568709291668396E-3</v>
      </c>
      <c r="AJ17" s="152">
        <f t="shared" si="2"/>
        <v>1.5684339101165446E-3</v>
      </c>
    </row>
    <row r="18" spans="4:36" ht="11.25" customHeight="1" x14ac:dyDescent="0.2">
      <c r="D18" s="197" t="s">
        <v>35</v>
      </c>
      <c r="E18" s="189">
        <f>_xll.qlCalendarAdvance(Calendar,SettlementDate,"2D","f",,Trigger)</f>
        <v>41893</v>
      </c>
      <c r="F18" s="189">
        <f>_xll.qlCalendarAdvance(Calendar,E18,D18,"Following",,Trigger)</f>
        <v>41894</v>
      </c>
      <c r="G18" s="190" t="str">
        <f>_xll.qlMakeDatedOIS(,E18,F18,OvernightIndex,0,,,,EvaluationDate)</f>
        <v>obj_0022f#0000</v>
      </c>
      <c r="H18" s="216" t="b">
        <f>_xll.qlInstrumentSetPricingEngine(G18,OisEngine)</f>
        <v>1</v>
      </c>
      <c r="I18" s="187">
        <f>_xll.qlOvernightIndexedSwapFairRate(G18,_xll.ohTrigger(InterestRatesTrigger))</f>
        <v>2.4655472613623882E-2</v>
      </c>
      <c r="J18" s="231">
        <f>_xll.qlDayCounterYearFraction(DayCounterOIS,E18,F18,,,Trigger)</f>
        <v>2.7397260273972603E-3</v>
      </c>
      <c r="K18" s="231">
        <f>_xll.qlDayCounterYearFraction(DayCounter3M,E18,F18,,,Trigger)</f>
        <v>2.7397260273972603E-3</v>
      </c>
      <c r="L18" s="231">
        <f>_xll.qlDayCounterYearFraction(DayCounterON,E18,F18,,,Trigger)</f>
        <v>2.7397260273972603E-3</v>
      </c>
      <c r="M18" s="182">
        <f>($I18*$J18+$W$13*L18)/$K18</f>
        <v>2.6295643246795418E-2</v>
      </c>
      <c r="N18" s="182">
        <f>($I18*$J18+($W$10*L18+$W$9*L18^2/2))/$K18</f>
        <v>2.6169534997084E-2</v>
      </c>
      <c r="O18" s="180">
        <f>($I18*$J18+($W$5*L18+$W$4*L18^2/2+$W$3*L18^3/3))/$K18</f>
        <v>2.6166691717507996E-2</v>
      </c>
      <c r="P18" s="163"/>
      <c r="AF18" s="181">
        <f>_xll.qlCalendarAdvance(Calendar,AF17,"1d","mf",,Trigger)</f>
        <v>41912</v>
      </c>
      <c r="AG18" s="192">
        <f>_xll.qlDayCounterYearFraction(DayCounterON,SettlementDate,AF18,,,Trigger)</f>
        <v>5.7534246575342465E-2</v>
      </c>
      <c r="AH18" s="182">
        <f t="shared" si="0"/>
        <v>1.6401706331715328E-3</v>
      </c>
      <c r="AI18" s="182">
        <f t="shared" si="1"/>
        <v>1.5715116972175385E-3</v>
      </c>
      <c r="AJ18" s="152">
        <f t="shared" si="2"/>
        <v>1.5713336078281698E-3</v>
      </c>
    </row>
    <row r="19" spans="4:36" ht="11.25" customHeight="1" x14ac:dyDescent="0.2">
      <c r="D19" s="195" t="s">
        <v>36</v>
      </c>
      <c r="E19" s="191">
        <f>_xll.qlCalendarAdvance(Calendar,SettlementDate,"2D","f",,Trigger)</f>
        <v>41893</v>
      </c>
      <c r="F19" s="191">
        <f>_xll.qlCalendarAdvance(Calendar,E19,D19,"Following",,Trigger)</f>
        <v>41900</v>
      </c>
      <c r="G19" s="192" t="str">
        <f>_xll.qlMakeDatedOIS(,E19,F19,OvernightIndex,0,,,,EvaluationDate)</f>
        <v>obj_00249#0000</v>
      </c>
      <c r="H19" s="217" t="b">
        <f>_xll.qlInstrumentSetPricingEngine(G19,OisEngine)</f>
        <v>1</v>
      </c>
      <c r="I19" s="151">
        <f>_xll.qlOvernightIndexedSwapFairRate(G19,_xll.ohTrigger(InterestRatesTrigger))</f>
        <v>2.4655872692119933E-2</v>
      </c>
      <c r="J19" s="231">
        <f>_xll.qlDayCounterYearFraction(DayCounterOIS,E19,F19,,,Trigger)</f>
        <v>1.9178082191780823E-2</v>
      </c>
      <c r="K19" s="231">
        <f>_xll.qlDayCounterYearFraction(DayCounter3M,E19,F19,,,Trigger)</f>
        <v>1.9178082191780823E-2</v>
      </c>
      <c r="L19" s="231">
        <f>_xll.qlDayCounterYearFraction(DayCounterON,E19,F19,,,Trigger)</f>
        <v>1.9178082191780823E-2</v>
      </c>
      <c r="M19" s="182">
        <f>($I19*$J19+$W$13*L19)/$K19</f>
        <v>2.6296043325291462E-2</v>
      </c>
      <c r="N19" s="182">
        <f t="shared" ref="N19:N24" si="3">($I19*$J19+($W$10*L19+$W$9*L19^2/2))/$K19</f>
        <v>2.6178342292227475E-2</v>
      </c>
      <c r="O19" s="152">
        <f t="shared" ref="O19:O24" si="4">($I19*$J19+($W$5*L19+$W$4*L19^2/2+$W$3*L19^3/3))/$K19</f>
        <v>2.6175970376404192E-2</v>
      </c>
      <c r="P19" s="163"/>
      <c r="AF19" s="181">
        <f>_xll.qlCalendarAdvance(Calendar,AF18,"1d","mf",,Trigger)</f>
        <v>41913</v>
      </c>
      <c r="AG19" s="192">
        <f>_xll.qlDayCounterYearFraction(DayCounterON,SettlementDate,AF19,,,Trigger)</f>
        <v>6.0273972602739728E-2</v>
      </c>
      <c r="AH19" s="182">
        <f t="shared" si="0"/>
        <v>1.6401706331715328E-3</v>
      </c>
      <c r="AI19" s="182">
        <f t="shared" si="1"/>
        <v>1.5743141027666811E-3</v>
      </c>
      <c r="AJ19" s="152">
        <f t="shared" si="2"/>
        <v>1.5742299506376408E-3</v>
      </c>
    </row>
    <row r="20" spans="4:36" ht="11.25" customHeight="1" x14ac:dyDescent="0.2">
      <c r="D20" s="195" t="s">
        <v>37</v>
      </c>
      <c r="E20" s="191">
        <f>_xll.qlCalendarAdvance(Calendar,SettlementDate,"2D","f",,Trigger)</f>
        <v>41893</v>
      </c>
      <c r="F20" s="191">
        <f>_xll.qlCalendarAdvance(Calendar,E20,D20,"Following",,Trigger)</f>
        <v>41907</v>
      </c>
      <c r="G20" s="192" t="str">
        <f>_xll.qlMakeDatedOIS(,E20,F20,OvernightIndex,0,,,,EvaluationDate)</f>
        <v>obj_0024f#0000</v>
      </c>
      <c r="H20" s="217" t="b">
        <f>_xll.qlInstrumentSetPricingEngine(G20,OisEngine)</f>
        <v>1</v>
      </c>
      <c r="I20" s="151">
        <f>_xll.qlOvernightIndexedSwapFairRate(G20,_xll.ohTrigger(InterestRatesTrigger))</f>
        <v>2.4653233516339159E-2</v>
      </c>
      <c r="J20" s="231">
        <f>_xll.qlDayCounterYearFraction(DayCounterOIS,E20,F20,,,Trigger)</f>
        <v>3.8356164383561646E-2</v>
      </c>
      <c r="K20" s="231">
        <f>_xll.qlDayCounterYearFraction(DayCounter3M,E20,F20,,,Trigger)</f>
        <v>3.8356164383561646E-2</v>
      </c>
      <c r="L20" s="231">
        <f>_xll.qlDayCounterYearFraction(DayCounterON,E20,F20,,,Trigger)</f>
        <v>3.8356164383561646E-2</v>
      </c>
      <c r="M20" s="182">
        <f t="shared" ref="M20:M24" si="5">($I20*$J20+$W$13*L20)/$K20</f>
        <v>2.6293404149510691E-2</v>
      </c>
      <c r="N20" s="182">
        <f t="shared" si="3"/>
        <v>2.6185511535868705E-2</v>
      </c>
      <c r="O20" s="152">
        <f t="shared" si="4"/>
        <v>2.6183638661740911E-2</v>
      </c>
      <c r="P20" s="163"/>
      <c r="AF20" s="181">
        <f>_xll.qlCalendarAdvance(Calendar,AF19,"1d","mf",,Trigger)</f>
        <v>41914</v>
      </c>
      <c r="AG20" s="192">
        <f>_xll.qlDayCounterYearFraction(DayCounterON,SettlementDate,AF20,,,Trigger)</f>
        <v>6.3013698630136991E-2</v>
      </c>
      <c r="AH20" s="182">
        <f t="shared" si="0"/>
        <v>1.6401706331715328E-3</v>
      </c>
      <c r="AI20" s="182">
        <f t="shared" si="1"/>
        <v>1.5771165083158236E-3</v>
      </c>
      <c r="AJ20" s="152">
        <f t="shared" si="2"/>
        <v>1.5771229385449571E-3</v>
      </c>
    </row>
    <row r="21" spans="4:36" ht="11.25" customHeight="1" x14ac:dyDescent="0.2">
      <c r="D21" s="195" t="s">
        <v>38</v>
      </c>
      <c r="E21" s="191">
        <f>_xll.qlCalendarAdvance(Calendar,SettlementDate,"2D","f",,Trigger)</f>
        <v>41893</v>
      </c>
      <c r="F21" s="191">
        <f>_xll.qlCalendarAdvance(Calendar,E21,D21,"Following",,Trigger)</f>
        <v>41914</v>
      </c>
      <c r="G21" s="192" t="str">
        <f>_xll.qlMakeDatedOIS(,E21,F21,OvernightIndex,0,,,,EvaluationDate)</f>
        <v>obj_00255#0000</v>
      </c>
      <c r="H21" s="217" t="b">
        <f>_xll.qlInstrumentSetPricingEngine(G21,OisEngine)</f>
        <v>1</v>
      </c>
      <c r="I21" s="151">
        <f>_xll.qlOvernightIndexedSwapFairRate(G21,_xll.ohTrigger(InterestRatesTrigger))</f>
        <v>2.4649880609034978E-2</v>
      </c>
      <c r="J21" s="231">
        <f>_xll.qlDayCounterYearFraction(DayCounterOIS,E21,F21,,,Trigger)</f>
        <v>5.7534246575342465E-2</v>
      </c>
      <c r="K21" s="231">
        <f>_xll.qlDayCounterYearFraction(DayCounter3M,E21,F21,,,Trigger)</f>
        <v>5.7534246575342465E-2</v>
      </c>
      <c r="L21" s="231">
        <f>_xll.qlDayCounterYearFraction(DayCounterON,E21,F21,,,Trigger)</f>
        <v>5.7534246575342465E-2</v>
      </c>
      <c r="M21" s="182">
        <f t="shared" si="5"/>
        <v>2.629005124220651E-2</v>
      </c>
      <c r="N21" s="182">
        <f t="shared" si="3"/>
        <v>2.6191967047986518E-2</v>
      </c>
      <c r="O21" s="152">
        <f t="shared" si="4"/>
        <v>2.6190538418819031E-2</v>
      </c>
      <c r="P21" s="163"/>
      <c r="AF21" s="181">
        <f>_xll.qlCalendarAdvance(Calendar,AF20,"1d","mf",,Trigger)</f>
        <v>41915</v>
      </c>
      <c r="AG21" s="192">
        <f>_xll.qlDayCounterYearFraction(DayCounterON,SettlementDate,AF21,,,Trigger)</f>
        <v>6.575342465753424E-2</v>
      </c>
      <c r="AH21" s="182">
        <f t="shared" si="0"/>
        <v>1.6401706331715328E-3</v>
      </c>
      <c r="AI21" s="182">
        <f t="shared" si="1"/>
        <v>1.5799189138649662E-3</v>
      </c>
      <c r="AJ21" s="152">
        <f t="shared" si="2"/>
        <v>1.5800125715501186E-3</v>
      </c>
    </row>
    <row r="22" spans="4:36" ht="11.25" customHeight="1" x14ac:dyDescent="0.2">
      <c r="D22" s="195" t="s">
        <v>32</v>
      </c>
      <c r="E22" s="191">
        <f>_xll.qlCalendarAdvance(Calendar,SettlementDate,"2D","f",,Trigger)</f>
        <v>41893</v>
      </c>
      <c r="F22" s="191">
        <f>_xll.qlCalendarAdvance(Calendar,E22,D22,"Following",,Trigger)</f>
        <v>41925</v>
      </c>
      <c r="G22" s="192" t="str">
        <f>_xll.qlMakeDatedOIS(,E22,F22,OvernightIndex,0,,,,EvaluationDate)</f>
        <v>obj_00254#0000</v>
      </c>
      <c r="H22" s="217" t="b">
        <f>_xll.qlInstrumentSetPricingEngine(G22,OisEngine)</f>
        <v>1</v>
      </c>
      <c r="I22" s="151">
        <f>_xll.qlOvernightIndexedSwapFairRate(G22,_xll.ohTrigger(InterestRatesTrigger))</f>
        <v>2.4644053533167669E-2</v>
      </c>
      <c r="J22" s="231">
        <f>_xll.qlDayCounterYearFraction(DayCounterOIS,E22,F22,,,Trigger)</f>
        <v>8.7671232876712329E-2</v>
      </c>
      <c r="K22" s="231">
        <f>_xll.qlDayCounterYearFraction(DayCounter3M,E22,F22,,,Trigger)</f>
        <v>8.7671232876712329E-2</v>
      </c>
      <c r="L22" s="231">
        <f>_xll.qlDayCounterYearFraction(DayCounterON,E22,F22,,,Trigger)</f>
        <v>8.7671232876712329E-2</v>
      </c>
      <c r="M22" s="182">
        <f t="shared" si="5"/>
        <v>2.6284224166339201E-2</v>
      </c>
      <c r="N22" s="182">
        <f t="shared" si="3"/>
        <v>2.6201553202639494E-2</v>
      </c>
      <c r="O22" s="152">
        <f t="shared" si="4"/>
        <v>2.6200711960924238E-2</v>
      </c>
      <c r="P22" s="163"/>
      <c r="AF22" s="181">
        <f>_xll.qlCalendarAdvance(Calendar,AF21,"1d","mf",,Trigger)</f>
        <v>41919</v>
      </c>
      <c r="AG22" s="192">
        <f>_xll.qlDayCounterYearFraction(DayCounterON,SettlementDate,AF22,,,Trigger)</f>
        <v>7.6712328767123292E-2</v>
      </c>
      <c r="AH22" s="182">
        <f t="shared" si="0"/>
        <v>1.6401706331715328E-3</v>
      </c>
      <c r="AI22" s="182">
        <f t="shared" si="1"/>
        <v>1.5911285360615363E-3</v>
      </c>
      <c r="AJ22" s="152">
        <f t="shared" si="2"/>
        <v>1.5915375545492198E-3</v>
      </c>
    </row>
    <row r="23" spans="4:36" ht="11.25" customHeight="1" x14ac:dyDescent="0.2">
      <c r="D23" s="195" t="s">
        <v>39</v>
      </c>
      <c r="E23" s="191">
        <f>_xll.qlCalendarAdvance(Calendar,SettlementDate,"2D","f",,Trigger)</f>
        <v>41893</v>
      </c>
      <c r="F23" s="191">
        <f>_xll.qlCalendarAdvance(Calendar,E23,D23,"Following",,Trigger)</f>
        <v>41954</v>
      </c>
      <c r="G23" s="192" t="str">
        <f>_xll.qlMakeDatedOIS(,E23,F23,OvernightIndex,0,,,,EvaluationDate)</f>
        <v>obj_00248#0000</v>
      </c>
      <c r="H23" s="217" t="b">
        <f>_xll.qlInstrumentSetPricingEngine(G23,OisEngine)</f>
        <v>1</v>
      </c>
      <c r="I23" s="151">
        <f>_xll.qlOvernightIndexedSwapFairRate(G23,_xll.ohTrigger(InterestRatesTrigger))</f>
        <v>2.463044874464955E-2</v>
      </c>
      <c r="J23" s="231">
        <f>_xll.qlDayCounterYearFraction(DayCounterOIS,E23,F23,,,Trigger)</f>
        <v>0.16712328767123288</v>
      </c>
      <c r="K23" s="231">
        <f>_xll.qlDayCounterYearFraction(DayCounter3M,E23,F23,,,Trigger)</f>
        <v>0.16712328767123288</v>
      </c>
      <c r="L23" s="231">
        <f>_xll.qlDayCounterYearFraction(DayCounterON,E23,F23,,,Trigger)</f>
        <v>0.16712328767123288</v>
      </c>
      <c r="M23" s="182">
        <f t="shared" si="5"/>
        <v>2.6270619377821082E-2</v>
      </c>
      <c r="N23" s="182">
        <f t="shared" si="3"/>
        <v>2.622858329458394E-2</v>
      </c>
      <c r="O23" s="152">
        <f t="shared" si="4"/>
        <v>2.6228642005371651E-2</v>
      </c>
      <c r="P23" s="163"/>
      <c r="AF23" s="181">
        <f>_xll.qlCalendarAdvance(Calendar,AF22,"1d","mf",,Trigger)</f>
        <v>41920</v>
      </c>
      <c r="AG23" s="192">
        <f>_xll.qlDayCounterYearFraction(DayCounterON,SettlementDate,AF23,,,Trigger)</f>
        <v>7.9452054794520555E-2</v>
      </c>
      <c r="AH23" s="182">
        <f t="shared" si="0"/>
        <v>1.6401706331715328E-3</v>
      </c>
      <c r="AI23" s="182">
        <f t="shared" si="1"/>
        <v>1.5939309416106789E-3</v>
      </c>
      <c r="AJ23" s="152">
        <f t="shared" si="2"/>
        <v>1.5944104130436085E-3</v>
      </c>
    </row>
    <row r="24" spans="4:36" ht="11.25" customHeight="1" thickBot="1" x14ac:dyDescent="0.25">
      <c r="D24" s="196" t="s">
        <v>33</v>
      </c>
      <c r="E24" s="193">
        <f>_xll.qlCalendarAdvance(Calendar,SettlementDate,"2D","f",,Trigger)</f>
        <v>41893</v>
      </c>
      <c r="F24" s="193">
        <f>_xll.qlCalendarAdvance(Calendar,E24,D24,"Following",,Trigger)</f>
        <v>41984</v>
      </c>
      <c r="G24" s="194" t="str">
        <f>_xll.qlMakeDatedOIS(,E24,F24,OvernightIndex,0,,,,EvaluationDate)</f>
        <v>obj_00251#0000</v>
      </c>
      <c r="H24" s="218" t="b">
        <f>_xll.qlInstrumentSetPricingEngine(G24,OisEngine)</f>
        <v>1</v>
      </c>
      <c r="I24" s="156">
        <f>_xll.qlOvernightIndexedSwapFairRate(G24,_xll.ohTrigger(InterestRatesTrigger))</f>
        <v>2.4609696779316619E-2</v>
      </c>
      <c r="J24" s="234">
        <f>_xll.qlDayCounterYearFraction(DayCounterOIS,E24,F24,,,Trigger)</f>
        <v>0.24931506849315069</v>
      </c>
      <c r="K24" s="234">
        <f>_xll.qlDayCounterYearFraction(DayCounter3M,E24,F24,,,Trigger)</f>
        <v>0.24931506849315069</v>
      </c>
      <c r="L24" s="234">
        <f>_xll.qlDayCounterYearFraction(DayCounterON,E24,F24,,,Trigger)</f>
        <v>0.24931506849315069</v>
      </c>
      <c r="M24" s="184">
        <f t="shared" si="5"/>
        <v>2.6249867412488151E-2</v>
      </c>
      <c r="N24" s="184">
        <f t="shared" si="3"/>
        <v>2.6249867412488151E-2</v>
      </c>
      <c r="O24" s="157">
        <f t="shared" si="4"/>
        <v>2.6249867412488154E-2</v>
      </c>
      <c r="P24" s="163"/>
      <c r="AF24" s="181">
        <f>_xll.qlCalendarAdvance(Calendar,AF23,"1d","mf",,Trigger)</f>
        <v>41921</v>
      </c>
      <c r="AG24" s="192">
        <f>_xll.qlDayCounterYearFraction(DayCounterON,SettlementDate,AF24,,,Trigger)</f>
        <v>8.2191780821917804E-2</v>
      </c>
      <c r="AH24" s="182">
        <f t="shared" si="0"/>
        <v>1.6401706331715328E-3</v>
      </c>
      <c r="AI24" s="182">
        <f t="shared" si="1"/>
        <v>1.5967333471598214E-3</v>
      </c>
      <c r="AJ24" s="152">
        <f t="shared" si="2"/>
        <v>1.5972799166358428E-3</v>
      </c>
    </row>
    <row r="25" spans="4:36" x14ac:dyDescent="0.2">
      <c r="P25" s="163"/>
      <c r="AF25" s="181">
        <f>_xll.qlCalendarAdvance(Calendar,AF24,"1d","mf",,Trigger)</f>
        <v>41922</v>
      </c>
      <c r="AG25" s="192">
        <f>_xll.qlDayCounterYearFraction(DayCounterON,SettlementDate,AF25,,,Trigger)</f>
        <v>8.4931506849315067E-2</v>
      </c>
      <c r="AH25" s="182">
        <f t="shared" si="0"/>
        <v>1.6401706331715328E-3</v>
      </c>
      <c r="AI25" s="182">
        <f t="shared" si="1"/>
        <v>1.599535752708964E-3</v>
      </c>
      <c r="AJ25" s="152">
        <f t="shared" si="2"/>
        <v>1.6001460653259222E-3</v>
      </c>
    </row>
    <row r="26" spans="4:36" x14ac:dyDescent="0.2">
      <c r="P26" s="163"/>
      <c r="AF26" s="181">
        <f>_xll.qlCalendarAdvance(Calendar,AF25,"1d","mf",,Trigger)</f>
        <v>41925</v>
      </c>
      <c r="AG26" s="192">
        <f>_xll.qlDayCounterYearFraction(DayCounterON,SettlementDate,AF26,,,Trigger)</f>
        <v>9.3150684931506855E-2</v>
      </c>
      <c r="AH26" s="182">
        <f t="shared" si="0"/>
        <v>1.6401706331715328E-3</v>
      </c>
      <c r="AI26" s="182">
        <f t="shared" si="1"/>
        <v>1.6079429693563918E-3</v>
      </c>
      <c r="AJ26" s="152">
        <f t="shared" si="2"/>
        <v>1.6087243819832336E-3</v>
      </c>
    </row>
    <row r="27" spans="4:36" x14ac:dyDescent="0.2">
      <c r="P27" s="163"/>
      <c r="AF27" s="181">
        <f>_xll.qlCalendarAdvance(Calendar,AF26,"1d","mf",,Trigger)</f>
        <v>41926</v>
      </c>
      <c r="AG27" s="192">
        <f>_xll.qlDayCounterYearFraction(DayCounterON,SettlementDate,AF27,,,Trigger)</f>
        <v>9.5890410958904104E-2</v>
      </c>
      <c r="AH27" s="182">
        <f t="shared" si="0"/>
        <v>1.6401706331715328E-3</v>
      </c>
      <c r="AI27" s="182">
        <f t="shared" si="1"/>
        <v>1.6107453749055344E-3</v>
      </c>
      <c r="AJ27" s="152">
        <f t="shared" si="2"/>
        <v>1.6115771110646949E-3</v>
      </c>
    </row>
    <row r="28" spans="4:36" x14ac:dyDescent="0.2">
      <c r="AF28" s="181">
        <f>_xll.qlCalendarAdvance(Calendar,AF27,"1d","mf",,Trigger)</f>
        <v>41927</v>
      </c>
      <c r="AG28" s="192">
        <f>_xll.qlDayCounterYearFraction(DayCounterON,SettlementDate,AF28,,,Trigger)</f>
        <v>9.8630136986301367E-2</v>
      </c>
      <c r="AH28" s="182">
        <f t="shared" si="0"/>
        <v>1.6401706331715328E-3</v>
      </c>
      <c r="AI28" s="182">
        <f t="shared" si="1"/>
        <v>1.6135477804546769E-3</v>
      </c>
      <c r="AJ28" s="152">
        <f t="shared" si="2"/>
        <v>1.6144264852440016E-3</v>
      </c>
    </row>
    <row r="29" spans="4:36" ht="12" thickBot="1" x14ac:dyDescent="0.25">
      <c r="AF29" s="181">
        <f>_xll.qlCalendarAdvance(Calendar,AF28,"1d","mf",,Trigger)</f>
        <v>41928</v>
      </c>
      <c r="AG29" s="192">
        <f>_xll.qlDayCounterYearFraction(DayCounterON,SettlementDate,AF29,,,Trigger)</f>
        <v>0.10136986301369863</v>
      </c>
      <c r="AH29" s="182">
        <f t="shared" si="0"/>
        <v>1.6401706331715328E-3</v>
      </c>
      <c r="AI29" s="182">
        <f t="shared" si="1"/>
        <v>1.6163501860038195E-3</v>
      </c>
      <c r="AJ29" s="152">
        <f t="shared" si="2"/>
        <v>1.6172725045211539E-3</v>
      </c>
    </row>
    <row r="30" spans="4:36" ht="12.75" customHeight="1" x14ac:dyDescent="0.2">
      <c r="D30" s="239" t="s">
        <v>102</v>
      </c>
      <c r="AF30" s="181">
        <f>_xll.qlCalendarAdvance(Calendar,AF29,"1d","mf",,Trigger)</f>
        <v>41929</v>
      </c>
      <c r="AG30" s="192">
        <f>_xll.qlDayCounterYearFraction(DayCounterON,SettlementDate,AF30,,,Trigger)</f>
        <v>0.10410958904109589</v>
      </c>
      <c r="AH30" s="182">
        <f t="shared" si="0"/>
        <v>1.6401706331715328E-3</v>
      </c>
      <c r="AI30" s="182">
        <f t="shared" si="1"/>
        <v>1.619152591552962E-3</v>
      </c>
      <c r="AJ30" s="152">
        <f t="shared" si="2"/>
        <v>1.6201151688961515E-3</v>
      </c>
    </row>
    <row r="31" spans="4:36" x14ac:dyDescent="0.2">
      <c r="D31" s="243" t="s">
        <v>68</v>
      </c>
      <c r="AF31" s="181">
        <f>_xll.qlCalendarAdvance(Calendar,AF30,"1d","mf",,Trigger)</f>
        <v>41932</v>
      </c>
      <c r="AG31" s="192">
        <f>_xll.qlDayCounterYearFraction(DayCounterON,SettlementDate,AF31,,,Trigger)</f>
        <v>0.11232876712328767</v>
      </c>
      <c r="AH31" s="182">
        <f t="shared" si="0"/>
        <v>1.6401706331715328E-3</v>
      </c>
      <c r="AI31" s="182">
        <f t="shared" si="1"/>
        <v>1.6275598082003896E-3</v>
      </c>
      <c r="AJ31" s="152">
        <f t="shared" si="2"/>
        <v>1.6286230326082167E-3</v>
      </c>
    </row>
    <row r="32" spans="4:36" x14ac:dyDescent="0.2">
      <c r="D32" s="182">
        <f t="shared" ref="D32:D38" si="6">IF($D$31="FLAT",M18,IF($D$31="linear",N18,O18))</f>
        <v>2.6166691717507996E-2</v>
      </c>
      <c r="AF32" s="181">
        <f>_xll.qlCalendarAdvance(Calendar,AF31,"1d","mf",,Trigger)</f>
        <v>41933</v>
      </c>
      <c r="AG32" s="192">
        <f>_xll.qlDayCounterYearFraction(DayCounterON,SettlementDate,AF32,,,Trigger)</f>
        <v>0.11506849315068493</v>
      </c>
      <c r="AH32" s="182">
        <f t="shared" si="0"/>
        <v>1.6401706331715328E-3</v>
      </c>
      <c r="AI32" s="182">
        <f t="shared" si="1"/>
        <v>1.6303622137495322E-3</v>
      </c>
      <c r="AJ32" s="152">
        <f t="shared" si="2"/>
        <v>1.6314522773745958E-3</v>
      </c>
    </row>
    <row r="33" spans="4:36" x14ac:dyDescent="0.2">
      <c r="D33" s="182">
        <f t="shared" si="6"/>
        <v>2.6175970376404192E-2</v>
      </c>
      <c r="AF33" s="181">
        <f>_xll.qlCalendarAdvance(Calendar,AF32,"1d","mf",,Trigger)</f>
        <v>41934</v>
      </c>
      <c r="AG33" s="192">
        <f>_xll.qlDayCounterYearFraction(DayCounterON,SettlementDate,AF33,,,Trigger)</f>
        <v>0.11780821917808219</v>
      </c>
      <c r="AH33" s="182">
        <f t="shared" si="0"/>
        <v>1.6401706331715328E-3</v>
      </c>
      <c r="AI33" s="182">
        <f t="shared" si="1"/>
        <v>1.6331646192986747E-3</v>
      </c>
      <c r="AJ33" s="152">
        <f t="shared" si="2"/>
        <v>1.6342781672388205E-3</v>
      </c>
    </row>
    <row r="34" spans="4:36" x14ac:dyDescent="0.2">
      <c r="D34" s="182">
        <f t="shared" si="6"/>
        <v>2.6183638661740911E-2</v>
      </c>
      <c r="AF34" s="181">
        <f>_xll.qlCalendarAdvance(Calendar,AF33,"1d","mf",,Trigger)</f>
        <v>41935</v>
      </c>
      <c r="AG34" s="192">
        <f>_xll.qlDayCounterYearFraction(DayCounterON,SettlementDate,AF34,,,Trigger)</f>
        <v>0.12054794520547946</v>
      </c>
      <c r="AH34" s="182">
        <f t="shared" si="0"/>
        <v>1.6401706331715328E-3</v>
      </c>
      <c r="AI34" s="182">
        <f t="shared" si="1"/>
        <v>1.6359670248478173E-3</v>
      </c>
      <c r="AJ34" s="152">
        <f t="shared" si="2"/>
        <v>1.6371007022008906E-3</v>
      </c>
    </row>
    <row r="35" spans="4:36" x14ac:dyDescent="0.2">
      <c r="D35" s="182">
        <f t="shared" si="6"/>
        <v>2.6190538418819031E-2</v>
      </c>
      <c r="AF35" s="181">
        <f>_xll.qlCalendarAdvance(Calendar,AF34,"1d","mf",,Trigger)</f>
        <v>41936</v>
      </c>
      <c r="AG35" s="192">
        <f>_xll.qlDayCounterYearFraction(DayCounterON,SettlementDate,AF35,,,Trigger)</f>
        <v>0.12328767123287671</v>
      </c>
      <c r="AH35" s="182">
        <f t="shared" si="0"/>
        <v>1.6401706331715328E-3</v>
      </c>
      <c r="AI35" s="182">
        <f t="shared" si="1"/>
        <v>1.6387694303969598E-3</v>
      </c>
      <c r="AJ35" s="152">
        <f t="shared" si="2"/>
        <v>1.639919882260806E-3</v>
      </c>
    </row>
    <row r="36" spans="4:36" x14ac:dyDescent="0.2">
      <c r="D36" s="182">
        <f t="shared" si="6"/>
        <v>2.6200711960924238E-2</v>
      </c>
      <c r="AF36" s="181">
        <f>_xll.qlCalendarAdvance(Calendar,AF35,"1d","mf",,Trigger)</f>
        <v>41939</v>
      </c>
      <c r="AG36" s="192">
        <f>_xll.qlDayCounterYearFraction(DayCounterON,SettlementDate,AF36,,,Trigger)</f>
        <v>0.13150684931506848</v>
      </c>
      <c r="AH36" s="182">
        <f t="shared" si="0"/>
        <v>1.6401706331715328E-3</v>
      </c>
      <c r="AI36" s="182">
        <f t="shared" si="1"/>
        <v>1.6471766470443874E-3</v>
      </c>
      <c r="AJ36" s="152">
        <f t="shared" si="2"/>
        <v>1.6483572930276252E-3</v>
      </c>
    </row>
    <row r="37" spans="4:36" x14ac:dyDescent="0.2">
      <c r="D37" s="182">
        <f t="shared" si="6"/>
        <v>2.6228642005371651E-2</v>
      </c>
      <c r="AF37" s="181">
        <f>_xll.qlCalendarAdvance(Calendar,AF36,"1d","mf",,Trigger)</f>
        <v>41940</v>
      </c>
      <c r="AG37" s="192">
        <f>_xll.qlDayCounterYearFraction(DayCounterON,SettlementDate,AF37,,,Trigger)</f>
        <v>0.13424657534246576</v>
      </c>
      <c r="AH37" s="182">
        <f t="shared" si="0"/>
        <v>1.6401706331715328E-3</v>
      </c>
      <c r="AI37" s="182">
        <f t="shared" si="1"/>
        <v>1.64997905259353E-3</v>
      </c>
      <c r="AJ37" s="152">
        <f t="shared" si="2"/>
        <v>1.6511630534789224E-3</v>
      </c>
    </row>
    <row r="38" spans="4:36" x14ac:dyDescent="0.2">
      <c r="D38" s="244">
        <f t="shared" si="6"/>
        <v>2.6249867412488154E-2</v>
      </c>
      <c r="AF38" s="181">
        <f>_xll.qlCalendarAdvance(Calendar,AF37,"1d","mf",,Trigger)</f>
        <v>41941</v>
      </c>
      <c r="AG38" s="192">
        <f>_xll.qlDayCounterYearFraction(DayCounterON,SettlementDate,AF38,,,Trigger)</f>
        <v>0.13698630136986301</v>
      </c>
      <c r="AH38" s="182">
        <f t="shared" si="0"/>
        <v>1.6401706331715328E-3</v>
      </c>
      <c r="AI38" s="182">
        <f t="shared" si="1"/>
        <v>1.6527814581426725E-3</v>
      </c>
      <c r="AJ38" s="152">
        <f t="shared" si="2"/>
        <v>1.653965459028065E-3</v>
      </c>
    </row>
    <row r="39" spans="4:36" x14ac:dyDescent="0.2">
      <c r="AF39" s="181">
        <f>_xll.qlCalendarAdvance(Calendar,AF38,"1d","mf",,Trigger)</f>
        <v>41942</v>
      </c>
      <c r="AG39" s="192">
        <f>_xll.qlDayCounterYearFraction(DayCounterON,SettlementDate,AF39,,,Trigger)</f>
        <v>0.13972602739726028</v>
      </c>
      <c r="AH39" s="182">
        <f t="shared" si="0"/>
        <v>1.6401706331715328E-3</v>
      </c>
      <c r="AI39" s="182">
        <f t="shared" si="1"/>
        <v>1.6555838636918151E-3</v>
      </c>
      <c r="AJ39" s="152">
        <f t="shared" si="2"/>
        <v>1.6567645096750531E-3</v>
      </c>
    </row>
    <row r="40" spans="4:36" x14ac:dyDescent="0.2">
      <c r="AF40" s="181">
        <f>_xll.qlCalendarAdvance(Calendar,AF39,"1d","mf",,Trigger)</f>
        <v>41943</v>
      </c>
      <c r="AG40" s="192">
        <f>_xll.qlDayCounterYearFraction(DayCounterON,SettlementDate,AF40,,,Trigger)</f>
        <v>0.14246575342465753</v>
      </c>
      <c r="AH40" s="182">
        <f t="shared" si="0"/>
        <v>1.6401706331715328E-3</v>
      </c>
      <c r="AI40" s="182">
        <f t="shared" si="1"/>
        <v>1.6583862692409576E-3</v>
      </c>
      <c r="AJ40" s="152">
        <f t="shared" si="2"/>
        <v>1.6595602054198864E-3</v>
      </c>
    </row>
    <row r="41" spans="4:36" x14ac:dyDescent="0.2">
      <c r="AF41" s="181">
        <f>_xll.qlCalendarAdvance(Calendar,AF40,"1d","mf",,Trigger)</f>
        <v>41946</v>
      </c>
      <c r="AG41" s="192">
        <f>_xll.qlDayCounterYearFraction(DayCounterON,SettlementDate,AF41,,,Trigger)</f>
        <v>0.15068493150684931</v>
      </c>
      <c r="AH41" s="182">
        <f t="shared" si="0"/>
        <v>1.6401706331715328E-3</v>
      </c>
      <c r="AI41" s="182">
        <f t="shared" si="1"/>
        <v>1.6667934858883853E-3</v>
      </c>
      <c r="AJ41" s="152">
        <f t="shared" si="2"/>
        <v>1.6679271632414595E-3</v>
      </c>
    </row>
    <row r="42" spans="4:36" x14ac:dyDescent="0.2">
      <c r="AF42" s="181">
        <f>_xll.qlCalendarAdvance(Calendar,AF41,"1d","mf",,Trigger)</f>
        <v>41947</v>
      </c>
      <c r="AG42" s="192">
        <f>_xll.qlDayCounterYearFraction(DayCounterON,SettlementDate,AF42,,,Trigger)</f>
        <v>0.15342465753424658</v>
      </c>
      <c r="AH42" s="182">
        <f t="shared" si="0"/>
        <v>1.6401706331715328E-3</v>
      </c>
      <c r="AI42" s="182">
        <f t="shared" si="1"/>
        <v>1.6695958914375278E-3</v>
      </c>
      <c r="AJ42" s="152">
        <f t="shared" si="2"/>
        <v>1.6707094393776745E-3</v>
      </c>
    </row>
    <row r="43" spans="4:36" ht="11.25" customHeight="1" x14ac:dyDescent="0.2">
      <c r="N43" s="241"/>
      <c r="AF43" s="181">
        <f>_xll.qlCalendarAdvance(Calendar,AF42,"1d","mf",,Trigger)</f>
        <v>41948</v>
      </c>
      <c r="AG43" s="192">
        <f>_xll.qlDayCounterYearFraction(DayCounterON,SettlementDate,AF43,,,Trigger)</f>
        <v>0.15616438356164383</v>
      </c>
      <c r="AH43" s="182">
        <f t="shared" si="0"/>
        <v>1.6401706331715328E-3</v>
      </c>
      <c r="AI43" s="182">
        <f t="shared" si="1"/>
        <v>1.6723982969866704E-3</v>
      </c>
      <c r="AJ43" s="152">
        <f t="shared" si="2"/>
        <v>1.6734883606117348E-3</v>
      </c>
    </row>
    <row r="44" spans="4:36" x14ac:dyDescent="0.2">
      <c r="J44" s="163"/>
      <c r="K44" s="163"/>
      <c r="N44" s="241"/>
      <c r="AF44" s="181">
        <f>_xll.qlCalendarAdvance(Calendar,AF43,"1d","mf",,Trigger)</f>
        <v>41949</v>
      </c>
      <c r="AG44" s="192">
        <f>_xll.qlDayCounterYearFraction(DayCounterON,SettlementDate,AF44,,,Trigger)</f>
        <v>0.15890410958904111</v>
      </c>
      <c r="AH44" s="182">
        <f t="shared" si="0"/>
        <v>1.6401706331715328E-3</v>
      </c>
      <c r="AI44" s="182">
        <f t="shared" si="1"/>
        <v>1.6752007025358131E-3</v>
      </c>
      <c r="AJ44" s="152">
        <f t="shared" si="2"/>
        <v>1.6762639269436409E-3</v>
      </c>
    </row>
    <row r="45" spans="4:36" x14ac:dyDescent="0.2">
      <c r="N45" s="241"/>
      <c r="AF45" s="181">
        <f>_xll.qlCalendarAdvance(Calendar,AF44,"1d","mf",,Trigger)</f>
        <v>41950</v>
      </c>
      <c r="AG45" s="192">
        <f>_xll.qlDayCounterYearFraction(DayCounterON,SettlementDate,AF45,,,Trigger)</f>
        <v>0.16164383561643836</v>
      </c>
      <c r="AH45" s="182">
        <f t="shared" si="0"/>
        <v>1.6401706331715328E-3</v>
      </c>
      <c r="AI45" s="182">
        <f t="shared" si="1"/>
        <v>1.6780031080849557E-3</v>
      </c>
      <c r="AJ45" s="152">
        <f t="shared" si="2"/>
        <v>1.6790361383733922E-3</v>
      </c>
    </row>
    <row r="46" spans="4:36" x14ac:dyDescent="0.2">
      <c r="N46" s="241"/>
      <c r="AF46" s="181">
        <f>_xll.qlCalendarAdvance(Calendar,AF45,"1d","mf",,Trigger)</f>
        <v>41953</v>
      </c>
      <c r="AG46" s="192">
        <f>_xll.qlDayCounterYearFraction(DayCounterON,SettlementDate,AF46,,,Trigger)</f>
        <v>0.16986301369863013</v>
      </c>
      <c r="AH46" s="182">
        <f t="shared" si="0"/>
        <v>1.6401706331715328E-3</v>
      </c>
      <c r="AI46" s="182">
        <f t="shared" si="1"/>
        <v>1.6864103247323833E-3</v>
      </c>
      <c r="AJ46" s="152">
        <f t="shared" si="2"/>
        <v>1.6873326432497191E-3</v>
      </c>
    </row>
    <row r="47" spans="4:36" x14ac:dyDescent="0.2">
      <c r="N47" s="241"/>
      <c r="AF47" s="181">
        <f>_xll.qlCalendarAdvance(Calendar,AF46,"1d","mf",,Trigger)</f>
        <v>41954</v>
      </c>
      <c r="AG47" s="192">
        <f>_xll.qlDayCounterYearFraction(DayCounterON,SettlementDate,AF47,,,Trigger)</f>
        <v>0.17260273972602741</v>
      </c>
      <c r="AH47" s="182">
        <f t="shared" si="0"/>
        <v>1.6401706331715328E-3</v>
      </c>
      <c r="AI47" s="182">
        <f t="shared" si="1"/>
        <v>1.6892127302815258E-3</v>
      </c>
      <c r="AJ47" s="152">
        <f t="shared" si="2"/>
        <v>1.6900914350708521E-3</v>
      </c>
    </row>
    <row r="48" spans="4:36" x14ac:dyDescent="0.2">
      <c r="AF48" s="181">
        <f>_xll.qlCalendarAdvance(Calendar,AF47,"1d","mf",,Trigger)</f>
        <v>41955</v>
      </c>
      <c r="AG48" s="192">
        <f>_xll.qlDayCounterYearFraction(DayCounterON,SettlementDate,AF48,,,Trigger)</f>
        <v>0.17534246575342466</v>
      </c>
      <c r="AH48" s="182">
        <f t="shared" si="0"/>
        <v>1.6401706331715328E-3</v>
      </c>
      <c r="AI48" s="182">
        <f t="shared" si="1"/>
        <v>1.6920151358306684E-3</v>
      </c>
      <c r="AJ48" s="152">
        <f t="shared" si="2"/>
        <v>1.6928468719898306E-3</v>
      </c>
    </row>
    <row r="49" spans="10:36" x14ac:dyDescent="0.2">
      <c r="AF49" s="181">
        <f>_xll.qlCalendarAdvance(Calendar,AF48,"1d","mf",,Trigger)</f>
        <v>41956</v>
      </c>
      <c r="AG49" s="192">
        <f>_xll.qlDayCounterYearFraction(DayCounterON,SettlementDate,AF49,,,Trigger)</f>
        <v>0.17808219178082191</v>
      </c>
      <c r="AH49" s="182">
        <f t="shared" si="0"/>
        <v>1.6401706331715328E-3</v>
      </c>
      <c r="AI49" s="182">
        <f t="shared" si="1"/>
        <v>1.6948175413798109E-3</v>
      </c>
      <c r="AJ49" s="152">
        <f t="shared" si="2"/>
        <v>1.6955989540066545E-3</v>
      </c>
    </row>
    <row r="50" spans="10:36" x14ac:dyDescent="0.2">
      <c r="AF50" s="181">
        <f>_xll.qlCalendarAdvance(Calendar,AF49,"1d","mf",,Trigger)</f>
        <v>41957</v>
      </c>
      <c r="AG50" s="192">
        <f>_xll.qlDayCounterYearFraction(DayCounterON,SettlementDate,AF50,,,Trigger)</f>
        <v>0.18082191780821918</v>
      </c>
      <c r="AH50" s="182">
        <f t="shared" si="0"/>
        <v>1.6401706331715328E-3</v>
      </c>
      <c r="AI50" s="182">
        <f t="shared" si="1"/>
        <v>1.6976199469289535E-3</v>
      </c>
      <c r="AJ50" s="152">
        <f t="shared" si="2"/>
        <v>1.6983476811213238E-3</v>
      </c>
    </row>
    <row r="51" spans="10:36" x14ac:dyDescent="0.2">
      <c r="AF51" s="181">
        <f>_xll.qlCalendarAdvance(Calendar,AF50,"1d","mf",,Trigger)</f>
        <v>41960</v>
      </c>
      <c r="AG51" s="192">
        <f>_xll.qlDayCounterYearFraction(DayCounterON,SettlementDate,AF51,,,Trigger)</f>
        <v>0.18904109589041096</v>
      </c>
      <c r="AH51" s="182">
        <f t="shared" si="0"/>
        <v>1.6401706331715328E-3</v>
      </c>
      <c r="AI51" s="182">
        <f t="shared" si="1"/>
        <v>1.7060271635763811E-3</v>
      </c>
      <c r="AJ51" s="152">
        <f t="shared" si="2"/>
        <v>1.7065737330524042E-3</v>
      </c>
    </row>
    <row r="52" spans="10:36" x14ac:dyDescent="0.2">
      <c r="AF52" s="181">
        <f>_xll.qlCalendarAdvance(Calendar,AF51,"1d","mf",,Trigger)</f>
        <v>41961</v>
      </c>
      <c r="AG52" s="192">
        <f>_xll.qlDayCounterYearFraction(DayCounterON,SettlementDate,AF52,,,Trigger)</f>
        <v>0.19178082191780821</v>
      </c>
      <c r="AH52" s="182">
        <f t="shared" si="0"/>
        <v>1.6401706331715328E-3</v>
      </c>
      <c r="AI52" s="182">
        <f t="shared" si="1"/>
        <v>1.7088295691255237E-3</v>
      </c>
      <c r="AJ52" s="152">
        <f t="shared" si="2"/>
        <v>1.7093090405584553E-3</v>
      </c>
    </row>
    <row r="53" spans="10:36" x14ac:dyDescent="0.2">
      <c r="AF53" s="181">
        <f>_xll.qlCalendarAdvance(Calendar,AF52,"1d","mf",,Trigger)</f>
        <v>41962</v>
      </c>
      <c r="AG53" s="192">
        <f>_xll.qlDayCounterYearFraction(DayCounterON,SettlementDate,AF53,,,Trigger)</f>
        <v>0.19452054794520549</v>
      </c>
      <c r="AH53" s="182">
        <f t="shared" si="0"/>
        <v>1.6401706331715328E-3</v>
      </c>
      <c r="AI53" s="182">
        <f t="shared" si="1"/>
        <v>1.7116319746746662E-3</v>
      </c>
      <c r="AJ53" s="152">
        <f t="shared" si="2"/>
        <v>1.7120409931623518E-3</v>
      </c>
    </row>
    <row r="54" spans="10:36" x14ac:dyDescent="0.2">
      <c r="AF54" s="181">
        <f>_xll.qlCalendarAdvance(Calendar,AF53,"1d","mf",,Trigger)</f>
        <v>41963</v>
      </c>
      <c r="AG54" s="192">
        <f>_xll.qlDayCounterYearFraction(DayCounterON,SettlementDate,AF54,,,Trigger)</f>
        <v>0.19726027397260273</v>
      </c>
      <c r="AH54" s="182">
        <f t="shared" si="0"/>
        <v>1.6401706331715328E-3</v>
      </c>
      <c r="AI54" s="182">
        <f t="shared" si="1"/>
        <v>1.7144343802238087E-3</v>
      </c>
      <c r="AJ54" s="152">
        <f t="shared" si="2"/>
        <v>1.7147695908640936E-3</v>
      </c>
    </row>
    <row r="55" spans="10:36" x14ac:dyDescent="0.2">
      <c r="AF55" s="181">
        <f>_xll.qlCalendarAdvance(Calendar,AF54,"1d","mf",,Trigger)</f>
        <v>41964</v>
      </c>
      <c r="AG55" s="192">
        <f>_xll.qlDayCounterYearFraction(DayCounterON,SettlementDate,AF55,,,Trigger)</f>
        <v>0.2</v>
      </c>
      <c r="AH55" s="182">
        <f t="shared" si="0"/>
        <v>1.6401706331715328E-3</v>
      </c>
      <c r="AI55" s="182">
        <f t="shared" si="1"/>
        <v>1.7172367857729513E-3</v>
      </c>
      <c r="AJ55" s="152">
        <f t="shared" si="2"/>
        <v>1.717494833663681E-3</v>
      </c>
    </row>
    <row r="56" spans="10:36" x14ac:dyDescent="0.2">
      <c r="AF56" s="181">
        <f>_xll.qlCalendarAdvance(Calendar,AF55,"1d","mf",,Trigger)</f>
        <v>41967</v>
      </c>
      <c r="AG56" s="192">
        <f>_xll.qlDayCounterYearFraction(DayCounterON,SettlementDate,AF56,,,Trigger)</f>
        <v>0.20821917808219179</v>
      </c>
      <c r="AH56" s="182">
        <f t="shared" si="0"/>
        <v>1.6401706331715328E-3</v>
      </c>
      <c r="AI56" s="182">
        <f t="shared" si="1"/>
        <v>1.7256440024203789E-3</v>
      </c>
      <c r="AJ56" s="152">
        <f t="shared" si="2"/>
        <v>1.7256504326495154E-3</v>
      </c>
    </row>
    <row r="57" spans="10:36" x14ac:dyDescent="0.2">
      <c r="AF57" s="181">
        <f>_xll.qlCalendarAdvance(Calendar,AF56,"1d","mf",,Trigger)</f>
        <v>41968</v>
      </c>
      <c r="AG57" s="192">
        <f>_xll.qlDayCounterYearFraction(DayCounterON,SettlementDate,AF57,,,Trigger)</f>
        <v>0.21095890410958903</v>
      </c>
      <c r="AH57" s="182">
        <f t="shared" si="0"/>
        <v>1.6401706331715328E-3</v>
      </c>
      <c r="AI57" s="182">
        <f t="shared" si="1"/>
        <v>1.7284464079695215E-3</v>
      </c>
      <c r="AJ57" s="152">
        <f t="shared" si="2"/>
        <v>1.7283622558404842E-3</v>
      </c>
    </row>
    <row r="58" spans="10:36" x14ac:dyDescent="0.2">
      <c r="AF58" s="181">
        <f>_xll.qlCalendarAdvance(Calendar,AF57,"1d","mf",,Trigger)</f>
        <v>41969</v>
      </c>
      <c r="AG58" s="192">
        <f>_xll.qlDayCounterYearFraction(DayCounterON,SettlementDate,AF58,,,Trigger)</f>
        <v>0.21369863013698631</v>
      </c>
      <c r="AH58" s="182">
        <f t="shared" si="0"/>
        <v>1.6401706331715328E-3</v>
      </c>
      <c r="AI58" s="182">
        <f t="shared" si="1"/>
        <v>1.7312488135186642E-3</v>
      </c>
      <c r="AJ58" s="152">
        <f t="shared" si="2"/>
        <v>1.7310707241292988E-3</v>
      </c>
    </row>
    <row r="59" spans="10:36" x14ac:dyDescent="0.2">
      <c r="AF59" s="181">
        <f>_xll.qlCalendarAdvance(Calendar,AF58,"1d","mf",,Trigger)</f>
        <v>41970</v>
      </c>
      <c r="AG59" s="192">
        <f>_xll.qlDayCounterYearFraction(DayCounterON,SettlementDate,AF59,,,Trigger)</f>
        <v>0.21643835616438356</v>
      </c>
      <c r="AH59" s="182">
        <f t="shared" si="0"/>
        <v>1.6401706331715328E-3</v>
      </c>
      <c r="AI59" s="182">
        <f t="shared" si="1"/>
        <v>1.7340512190678068E-3</v>
      </c>
      <c r="AJ59" s="152">
        <f t="shared" si="2"/>
        <v>1.7337758375159584E-3</v>
      </c>
    </row>
    <row r="60" spans="10:36" x14ac:dyDescent="0.2">
      <c r="AF60" s="181">
        <f>_xll.qlCalendarAdvance(Calendar,AF59,"1d","mf",,Trigger)</f>
        <v>41971</v>
      </c>
      <c r="AG60" s="192">
        <f>_xll.qlDayCounterYearFraction(DayCounterON,SettlementDate,AF60,,,Trigger)</f>
        <v>0.21917808219178081</v>
      </c>
      <c r="AH60" s="182">
        <f t="shared" si="0"/>
        <v>1.6401706331715328E-3</v>
      </c>
      <c r="AI60" s="182">
        <f t="shared" si="1"/>
        <v>1.7368536246169493E-3</v>
      </c>
      <c r="AJ60" s="152">
        <f t="shared" si="2"/>
        <v>1.7364775960004636E-3</v>
      </c>
    </row>
    <row r="61" spans="10:36" x14ac:dyDescent="0.2">
      <c r="AF61" s="181">
        <f>_xll.qlCalendarAdvance(Calendar,AF60,"1d","mf",,Trigger)</f>
        <v>41974</v>
      </c>
      <c r="AG61" s="192">
        <f>_xll.qlDayCounterYearFraction(DayCounterON,SettlementDate,AF61,,,Trigger)</f>
        <v>0.22739726027397261</v>
      </c>
      <c r="AH61" s="182">
        <f t="shared" si="0"/>
        <v>1.6401706331715328E-3</v>
      </c>
      <c r="AI61" s="182">
        <f t="shared" si="1"/>
        <v>1.745260841264377E-3</v>
      </c>
      <c r="AJ61" s="152">
        <f t="shared" si="2"/>
        <v>1.7445627420410517E-3</v>
      </c>
    </row>
    <row r="62" spans="10:36" x14ac:dyDescent="0.2">
      <c r="AF62" s="181">
        <f>_xll.qlCalendarAdvance(Calendar,AF61,"1d","mf",,Trigger)</f>
        <v>41975</v>
      </c>
      <c r="AG62" s="192">
        <f>_xll.qlDayCounterYearFraction(DayCounterON,SettlementDate,AF62,,,Trigger)</f>
        <v>0.23013698630136986</v>
      </c>
      <c r="AH62" s="182">
        <f t="shared" si="0"/>
        <v>1.6401706331715328E-3</v>
      </c>
      <c r="AI62" s="182">
        <f t="shared" si="1"/>
        <v>1.7480632468135195E-3</v>
      </c>
      <c r="AJ62" s="152">
        <f t="shared" si="2"/>
        <v>1.7472510809169387E-3</v>
      </c>
    </row>
    <row r="63" spans="10:36" x14ac:dyDescent="0.2">
      <c r="J63" s="163"/>
      <c r="AF63" s="181">
        <f>_xll.qlCalendarAdvance(Calendar,AF62,"1d","mf",,Trigger)</f>
        <v>41976</v>
      </c>
      <c r="AG63" s="192">
        <f>_xll.qlDayCounterYearFraction(DayCounterON,SettlementDate,AF63,,,Trigger)</f>
        <v>0.23287671232876711</v>
      </c>
      <c r="AH63" s="182">
        <f t="shared" si="0"/>
        <v>1.6401706331715328E-3</v>
      </c>
      <c r="AI63" s="182">
        <f t="shared" si="1"/>
        <v>1.750865652362662E-3</v>
      </c>
      <c r="AJ63" s="152">
        <f t="shared" si="2"/>
        <v>1.7499360648906711E-3</v>
      </c>
    </row>
    <row r="64" spans="10:36" x14ac:dyDescent="0.2">
      <c r="J64" s="163"/>
      <c r="AF64" s="181">
        <f>_xll.qlCalendarAdvance(Calendar,AF63,"1d","mf",,Trigger)</f>
        <v>41977</v>
      </c>
      <c r="AG64" s="192">
        <f>_xll.qlDayCounterYearFraction(DayCounterON,SettlementDate,AF64,,,Trigger)</f>
        <v>0.23561643835616439</v>
      </c>
      <c r="AH64" s="182">
        <f t="shared" si="0"/>
        <v>1.6401706331715328E-3</v>
      </c>
      <c r="AI64" s="182">
        <f t="shared" si="1"/>
        <v>1.7536680579118046E-3</v>
      </c>
      <c r="AJ64" s="152">
        <f t="shared" si="2"/>
        <v>1.7526176939622487E-3</v>
      </c>
    </row>
    <row r="65" spans="10:36" x14ac:dyDescent="0.2">
      <c r="J65" s="163"/>
      <c r="AF65" s="181">
        <f>_xll.qlCalendarAdvance(Calendar,AF64,"1d","mf",,Trigger)</f>
        <v>41978</v>
      </c>
      <c r="AG65" s="192">
        <f>_xll.qlDayCounterYearFraction(DayCounterON,SettlementDate,AF65,,,Trigger)</f>
        <v>0.23835616438356164</v>
      </c>
      <c r="AH65" s="182">
        <f t="shared" si="0"/>
        <v>1.6401706331715328E-3</v>
      </c>
      <c r="AI65" s="182">
        <f t="shared" si="1"/>
        <v>1.7564704634609471E-3</v>
      </c>
      <c r="AJ65" s="152">
        <f t="shared" si="2"/>
        <v>1.7552959681316719E-3</v>
      </c>
    </row>
    <row r="66" spans="10:36" x14ac:dyDescent="0.2">
      <c r="J66" s="163"/>
      <c r="AF66" s="181">
        <f>_xll.qlCalendarAdvance(Calendar,AF65,"1d","mf",,Trigger)</f>
        <v>41981</v>
      </c>
      <c r="AG66" s="192">
        <f>_xll.qlDayCounterYearFraction(DayCounterON,SettlementDate,AF66,,,Trigger)</f>
        <v>0.24657534246575341</v>
      </c>
      <c r="AH66" s="182">
        <f t="shared" si="0"/>
        <v>1.6401706331715328E-3</v>
      </c>
      <c r="AI66" s="182">
        <f t="shared" si="1"/>
        <v>1.7648776801083748E-3</v>
      </c>
      <c r="AJ66" s="152">
        <f t="shared" si="2"/>
        <v>1.7633106612270138E-3</v>
      </c>
    </row>
    <row r="67" spans="10:36" ht="12" thickBot="1" x14ac:dyDescent="0.25">
      <c r="J67" s="163"/>
      <c r="AF67" s="183">
        <f>_xll.qlCalendarAdvance(Calendar,AF66,"1d","mf",,Trigger)</f>
        <v>41982</v>
      </c>
      <c r="AG67" s="194">
        <f>_xll.qlDayCounterYearFraction(DayCounterON,SettlementDate,AF67,,,Trigger)</f>
        <v>0.24931506849315069</v>
      </c>
      <c r="AH67" s="184">
        <f t="shared" ref="AH67" si="7">$W$13</f>
        <v>1.6401706331715328E-3</v>
      </c>
      <c r="AI67" s="184">
        <f t="shared" ref="AI67" si="8">$W$10+$W$9*AG67</f>
        <v>1.7676800856575173E-3</v>
      </c>
      <c r="AJ67" s="157">
        <f t="shared" ref="AJ67" si="9">($W$5+$W$4*AG67+$W$3*AG67^2)</f>
        <v>1.7659755157878186E-3</v>
      </c>
    </row>
    <row r="68" spans="10:36" x14ac:dyDescent="0.2">
      <c r="J68" s="163"/>
    </row>
    <row r="69" spans="10:36" x14ac:dyDescent="0.2">
      <c r="J69" s="163"/>
      <c r="K69" s="163"/>
    </row>
    <row r="70" spans="10:36" x14ac:dyDescent="0.2">
      <c r="J70" s="163"/>
      <c r="K70" s="163"/>
    </row>
    <row r="71" spans="10:36" x14ac:dyDescent="0.2">
      <c r="J71" s="163"/>
      <c r="K71" s="163"/>
    </row>
    <row r="72" spans="10:36" x14ac:dyDescent="0.2">
      <c r="J72" s="163"/>
      <c r="K72" s="163"/>
    </row>
    <row r="73" spans="10:36" x14ac:dyDescent="0.2">
      <c r="J73" s="163"/>
      <c r="K73" s="163"/>
    </row>
    <row r="74" spans="10:36" x14ac:dyDescent="0.2">
      <c r="J74" s="163"/>
      <c r="K74" s="163"/>
    </row>
    <row r="75" spans="10:36" x14ac:dyDescent="0.2">
      <c r="J75" s="163"/>
      <c r="K75" s="163"/>
    </row>
    <row r="76" spans="10:36" x14ac:dyDescent="0.2">
      <c r="J76" s="163"/>
      <c r="K76" s="163"/>
    </row>
    <row r="77" spans="10:36" x14ac:dyDescent="0.2">
      <c r="J77" s="163"/>
      <c r="K77" s="163"/>
    </row>
    <row r="78" spans="10:36" x14ac:dyDescent="0.2">
      <c r="J78" s="163"/>
      <c r="K78" s="163"/>
    </row>
    <row r="79" spans="10:36" x14ac:dyDescent="0.2">
      <c r="J79" s="163"/>
      <c r="K79" s="163"/>
    </row>
    <row r="80" spans="10:36" x14ac:dyDescent="0.2">
      <c r="J80" s="163"/>
      <c r="K80" s="163"/>
    </row>
    <row r="81" spans="10:11" x14ac:dyDescent="0.2">
      <c r="J81" s="163"/>
      <c r="K81" s="163"/>
    </row>
    <row r="82" spans="10:11" x14ac:dyDescent="0.2">
      <c r="J82" s="163"/>
      <c r="K82" s="163"/>
    </row>
    <row r="83" spans="10:11" x14ac:dyDescent="0.2">
      <c r="J83" s="163"/>
      <c r="K83" s="163"/>
    </row>
    <row r="84" spans="10:11" x14ac:dyDescent="0.2">
      <c r="J84" s="163"/>
      <c r="K84" s="163"/>
    </row>
    <row r="85" spans="10:11" x14ac:dyDescent="0.2">
      <c r="J85" s="163"/>
      <c r="K85" s="163"/>
    </row>
    <row r="86" spans="10:11" x14ac:dyDescent="0.2">
      <c r="J86" s="163"/>
      <c r="K86" s="163"/>
    </row>
    <row r="87" spans="10:11" x14ac:dyDescent="0.2">
      <c r="J87" s="163"/>
      <c r="K87" s="163"/>
    </row>
    <row r="88" spans="10:11" x14ac:dyDescent="0.2">
      <c r="J88" s="163"/>
      <c r="K88" s="163"/>
    </row>
    <row r="89" spans="10:11" x14ac:dyDescent="0.2">
      <c r="J89" s="163"/>
      <c r="K89" s="163"/>
    </row>
    <row r="90" spans="10:11" x14ac:dyDescent="0.2">
      <c r="J90" s="163"/>
      <c r="K90" s="163"/>
    </row>
    <row r="91" spans="10:11" x14ac:dyDescent="0.2">
      <c r="J91" s="163"/>
      <c r="K91" s="163"/>
    </row>
    <row r="92" spans="10:11" x14ac:dyDescent="0.2">
      <c r="J92" s="163"/>
      <c r="K92" s="163"/>
    </row>
    <row r="93" spans="10:11" x14ac:dyDescent="0.2">
      <c r="J93" s="163"/>
      <c r="K93" s="163"/>
    </row>
    <row r="94" spans="10:11" x14ac:dyDescent="0.2">
      <c r="J94" s="163"/>
      <c r="K94" s="163"/>
    </row>
    <row r="95" spans="10:11" x14ac:dyDescent="0.2">
      <c r="J95" s="163"/>
      <c r="K95" s="163"/>
    </row>
    <row r="96" spans="10:11" x14ac:dyDescent="0.2">
      <c r="J96" s="163"/>
      <c r="K96" s="163"/>
    </row>
    <row r="97" spans="10:11" x14ac:dyDescent="0.2">
      <c r="J97" s="163"/>
      <c r="K97" s="163"/>
    </row>
    <row r="98" spans="10:11" x14ac:dyDescent="0.2">
      <c r="J98" s="163"/>
      <c r="K98" s="163"/>
    </row>
    <row r="99" spans="10:11" x14ac:dyDescent="0.2">
      <c r="J99" s="163"/>
      <c r="K99" s="163"/>
    </row>
    <row r="100" spans="10:11" x14ac:dyDescent="0.2">
      <c r="J100" s="163"/>
      <c r="K100" s="163"/>
    </row>
    <row r="101" spans="10:11" x14ac:dyDescent="0.2">
      <c r="J101" s="163"/>
      <c r="K101" s="163"/>
    </row>
    <row r="102" spans="10:11" x14ac:dyDescent="0.2">
      <c r="J102" s="163"/>
      <c r="K102" s="163"/>
    </row>
    <row r="103" spans="10:11" x14ac:dyDescent="0.2">
      <c r="J103" s="163"/>
      <c r="K103" s="163"/>
    </row>
    <row r="104" spans="10:11" x14ac:dyDescent="0.2">
      <c r="J104" s="163"/>
      <c r="K104" s="163"/>
    </row>
    <row r="105" spans="10:11" x14ac:dyDescent="0.2">
      <c r="J105" s="163"/>
      <c r="K105" s="163"/>
    </row>
    <row r="106" spans="10:11" x14ac:dyDescent="0.2">
      <c r="J106" s="163"/>
      <c r="K106" s="163"/>
    </row>
    <row r="107" spans="10:11" x14ac:dyDescent="0.2">
      <c r="J107" s="163"/>
      <c r="K107" s="163"/>
    </row>
    <row r="108" spans="10:11" x14ac:dyDescent="0.2">
      <c r="J108" s="163"/>
      <c r="K108" s="163"/>
    </row>
    <row r="109" spans="10:11" x14ac:dyDescent="0.2">
      <c r="J109" s="163"/>
      <c r="K109" s="163"/>
    </row>
    <row r="110" spans="10:11" x14ac:dyDescent="0.2">
      <c r="J110" s="163"/>
      <c r="K110" s="163"/>
    </row>
    <row r="111" spans="10:11" x14ac:dyDescent="0.2">
      <c r="J111" s="163"/>
      <c r="K111" s="163"/>
    </row>
    <row r="112" spans="10:11" x14ac:dyDescent="0.2">
      <c r="J112" s="163"/>
      <c r="K112" s="163"/>
    </row>
    <row r="113" spans="10:11" x14ac:dyDescent="0.2">
      <c r="J113" s="163"/>
      <c r="K113" s="163"/>
    </row>
    <row r="114" spans="10:11" x14ac:dyDescent="0.2">
      <c r="J114" s="163"/>
      <c r="K114" s="163"/>
    </row>
    <row r="115" spans="10:11" x14ac:dyDescent="0.2">
      <c r="J115" s="163"/>
      <c r="K115" s="163"/>
    </row>
    <row r="116" spans="10:11" x14ac:dyDescent="0.2">
      <c r="J116" s="147"/>
      <c r="K116" s="163"/>
    </row>
    <row r="117" spans="10:11" x14ac:dyDescent="0.2">
      <c r="J117" s="147"/>
      <c r="K117" s="163"/>
    </row>
    <row r="118" spans="10:11" x14ac:dyDescent="0.2">
      <c r="J118" s="147"/>
      <c r="K118" s="163"/>
    </row>
    <row r="119" spans="10:11" x14ac:dyDescent="0.2">
      <c r="J119" s="147"/>
      <c r="K119" s="163"/>
    </row>
    <row r="120" spans="10:11" x14ac:dyDescent="0.2">
      <c r="J120" s="147"/>
      <c r="K120" s="163"/>
    </row>
    <row r="121" spans="10:11" x14ac:dyDescent="0.2">
      <c r="J121" s="147"/>
      <c r="K121" s="163"/>
    </row>
    <row r="122" spans="10:11" x14ac:dyDescent="0.2">
      <c r="J122" s="147"/>
      <c r="K122" s="147"/>
    </row>
    <row r="123" spans="10:11" x14ac:dyDescent="0.2">
      <c r="J123" s="147"/>
      <c r="K123" s="147"/>
    </row>
    <row r="124" spans="10:11" x14ac:dyDescent="0.2">
      <c r="J124" s="147"/>
      <c r="K124" s="147"/>
    </row>
    <row r="125" spans="10:11" x14ac:dyDescent="0.2">
      <c r="J125" s="147"/>
      <c r="K125" s="147"/>
    </row>
    <row r="126" spans="10:11" x14ac:dyDescent="0.2">
      <c r="J126" s="147"/>
      <c r="K126" s="147"/>
    </row>
    <row r="127" spans="10:11" x14ac:dyDescent="0.2">
      <c r="J127" s="147"/>
      <c r="K127" s="147"/>
    </row>
    <row r="128" spans="10:11" x14ac:dyDescent="0.2">
      <c r="J128" s="147"/>
      <c r="K128" s="147"/>
    </row>
    <row r="129" spans="10:11" x14ac:dyDescent="0.2">
      <c r="J129" s="147"/>
      <c r="K129" s="147"/>
    </row>
    <row r="130" spans="10:11" x14ac:dyDescent="0.2">
      <c r="J130" s="147"/>
      <c r="K130" s="147"/>
    </row>
    <row r="131" spans="10:11" x14ac:dyDescent="0.2">
      <c r="J131" s="147"/>
      <c r="K131" s="147"/>
    </row>
    <row r="132" spans="10:11" x14ac:dyDescent="0.2">
      <c r="K132" s="147"/>
    </row>
    <row r="133" spans="10:11" x14ac:dyDescent="0.2">
      <c r="K133" s="147"/>
    </row>
    <row r="134" spans="10:11" x14ac:dyDescent="0.2">
      <c r="K134" s="147"/>
    </row>
    <row r="135" spans="10:11" x14ac:dyDescent="0.2">
      <c r="K135" s="147"/>
    </row>
    <row r="136" spans="10:11" x14ac:dyDescent="0.2">
      <c r="K136" s="147"/>
    </row>
    <row r="137" spans="10:11" x14ac:dyDescent="0.2">
      <c r="K137" s="147"/>
    </row>
  </sheetData>
  <mergeCells count="5">
    <mergeCell ref="AA2:AC2"/>
    <mergeCell ref="R3:R5"/>
    <mergeCell ref="R9:R10"/>
    <mergeCell ref="V9:V10"/>
    <mergeCell ref="X9:X10"/>
  </mergeCells>
  <conditionalFormatting sqref="N3">
    <cfRule type="expression" dxfId="4" priority="5">
      <formula>$P$3</formula>
    </cfRule>
  </conditionalFormatting>
  <conditionalFormatting sqref="N4">
    <cfRule type="expression" dxfId="3" priority="4">
      <formula>$P$4</formula>
    </cfRule>
  </conditionalFormatting>
  <conditionalFormatting sqref="N5">
    <cfRule type="expression" dxfId="2" priority="3">
      <formula>$P$5</formula>
    </cfRule>
  </conditionalFormatting>
  <conditionalFormatting sqref="N6">
    <cfRule type="expression" dxfId="1" priority="2">
      <formula>$P$6</formula>
    </cfRule>
  </conditionalFormatting>
  <conditionalFormatting sqref="N7">
    <cfRule type="expression" dxfId="0" priority="1">
      <formula>$P$7</formula>
    </cfRule>
  </conditionalFormatting>
  <dataValidations count="4">
    <dataValidation type="list" allowBlank="1" showInputMessage="1" showErrorMessage="1" sqref="D31">
      <formula1>"flat,linear,quadratic"</formula1>
    </dataValidation>
    <dataValidation type="list" allowBlank="1" showInputMessage="1" showErrorMessage="1" sqref="E14">
      <formula1>"FIX+FUT,INTERP+FUT,FUT"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7"/>
  <sheetViews>
    <sheetView workbookViewId="0"/>
  </sheetViews>
  <sheetFormatPr defaultColWidth="9.5" defaultRowHeight="11.25" outlineLevelCol="1" x14ac:dyDescent="0.2"/>
  <cols>
    <col min="1" max="2" width="2.33203125" style="146" bestFit="1" customWidth="1"/>
    <col min="3" max="3" width="3.5" style="146" bestFit="1" customWidth="1"/>
    <col min="4" max="4" width="31.1640625" style="146" bestFit="1" customWidth="1"/>
    <col min="5" max="5" width="22.83203125" style="146" bestFit="1" customWidth="1"/>
    <col min="6" max="6" width="20.33203125" style="146" bestFit="1" customWidth="1"/>
    <col min="7" max="7" width="19" style="146" hidden="1" customWidth="1" outlineLevel="1"/>
    <col min="8" max="8" width="11.6640625" style="146" hidden="1" customWidth="1" outlineLevel="1"/>
    <col min="9" max="9" width="10.6640625" style="146" bestFit="1" customWidth="1" collapsed="1"/>
    <col min="10" max="10" width="10.6640625" style="146" bestFit="1" customWidth="1"/>
    <col min="11" max="11" width="9.5" style="146" bestFit="1" customWidth="1"/>
    <col min="12" max="12" width="10.6640625" style="146" bestFit="1" customWidth="1"/>
    <col min="13" max="13" width="11.6640625" style="146" bestFit="1" customWidth="1"/>
    <col min="14" max="14" width="10.1640625" style="146" customWidth="1"/>
    <col min="15" max="15" width="12.83203125" style="146" bestFit="1" customWidth="1"/>
    <col min="16" max="16" width="12.83203125" style="146" hidden="1" customWidth="1" outlineLevel="1"/>
    <col min="17" max="17" width="7" style="146" customWidth="1" collapsed="1"/>
    <col min="18" max="18" width="13.1640625" style="146" customWidth="1"/>
    <col min="19" max="19" width="6.6640625" style="146" customWidth="1"/>
    <col min="20" max="21" width="7" style="146" customWidth="1"/>
    <col min="22" max="22" width="3.6640625" style="146" customWidth="1"/>
    <col min="23" max="23" width="10.6640625" style="146" bestFit="1" customWidth="1"/>
    <col min="24" max="24" width="3.1640625" style="146" customWidth="1"/>
    <col min="25" max="25" width="9.5" style="146" bestFit="1" customWidth="1"/>
    <col min="26" max="26" width="12.5" style="146" bestFit="1" customWidth="1"/>
    <col min="27" max="28" width="9.5" style="146" bestFit="1" customWidth="1"/>
    <col min="29" max="29" width="8.33203125" style="146" bestFit="1" customWidth="1"/>
    <col min="30" max="31" width="9.5" style="146"/>
    <col min="32" max="32" width="20.33203125" style="146" bestFit="1" customWidth="1"/>
    <col min="33" max="33" width="12.33203125" style="146" bestFit="1" customWidth="1"/>
    <col min="34" max="35" width="9.5" style="146" bestFit="1" customWidth="1"/>
    <col min="36" max="36" width="12.1640625" style="146" customWidth="1"/>
    <col min="37" max="16384" width="9.5" style="146"/>
  </cols>
  <sheetData>
    <row r="1" spans="1:36" ht="12" thickBot="1" x14ac:dyDescent="0.25"/>
    <row r="2" spans="1:36" ht="19.5" customHeight="1" x14ac:dyDescent="0.2">
      <c r="D2" s="158" t="s">
        <v>67</v>
      </c>
      <c r="E2" s="159" t="s">
        <v>59</v>
      </c>
      <c r="F2" s="159" t="s">
        <v>60</v>
      </c>
      <c r="G2" s="158" t="s">
        <v>95</v>
      </c>
      <c r="H2" s="159"/>
      <c r="I2" s="159" t="s">
        <v>57</v>
      </c>
      <c r="J2" s="159" t="s">
        <v>27</v>
      </c>
      <c r="K2" s="173"/>
      <c r="L2" s="173"/>
      <c r="M2" s="160"/>
      <c r="N2" s="159" t="s">
        <v>92</v>
      </c>
      <c r="P2" s="159" t="s">
        <v>97</v>
      </c>
      <c r="W2" s="226" t="s">
        <v>75</v>
      </c>
      <c r="AA2" s="333" t="s">
        <v>74</v>
      </c>
      <c r="AB2" s="333"/>
      <c r="AC2" s="333"/>
      <c r="AF2" s="158" t="s">
        <v>59</v>
      </c>
      <c r="AG2" s="158"/>
      <c r="AH2" s="159" t="s">
        <v>31</v>
      </c>
      <c r="AI2" s="159" t="s">
        <v>65</v>
      </c>
      <c r="AJ2" s="160" t="s">
        <v>66</v>
      </c>
    </row>
    <row r="3" spans="1:36" x14ac:dyDescent="0.2">
      <c r="D3" s="148" t="str">
        <f>$E$9&amp;"LastFixing"&amp;QuoteSuffix</f>
        <v>AUDBBSW6MLastFixing_Quote</v>
      </c>
      <c r="E3" s="149" t="e">
        <f>_xll.qlCalendarAdvance(Calendar,_xll.qlLastFixingQuoteReferenceDate($D$3),_xll.qlInterestRateIndexFixingDays($E$9)&amp;"D","f",,LastFixingsTrigger)</f>
        <v>#NUM!</v>
      </c>
      <c r="F3" s="149" t="e">
        <f>_xll.qlInterestRateIndexMaturity($E$9,E3)</f>
        <v>#NUM!</v>
      </c>
      <c r="G3" s="148" t="e">
        <f>_xll.qlMakeDatedOIS(,E3,F3,OvernightIndex,0,,,,EvaluationDate)</f>
        <v>#NUM!</v>
      </c>
      <c r="H3" s="149" t="e">
        <f>_xll.qlInstrumentSetPricingEngine(G3,OisEngine)</f>
        <v>#VALUE!</v>
      </c>
      <c r="I3" s="150" t="e">
        <f>_xll.qlQuoteValue($D3,AllTriggers)</f>
        <v>#NUM!</v>
      </c>
      <c r="J3" s="151" t="e">
        <f>_xll.qlOvernightIndexedSwapFairRate(G3,_xll.ohTrigger(H3,InterestRatesTrigger))</f>
        <v>#VALUE!</v>
      </c>
      <c r="K3" s="174" t="e">
        <f>I3*_xll.qlDayCounterYearFraction(DayCounter6M,E3,F3,,,Trigger)</f>
        <v>#NUM!</v>
      </c>
      <c r="L3" s="174" t="e">
        <f>J3*_xll.qlDayCounterYearFraction(DayCounterOIS,E3,F3,,,Trigger)</f>
        <v>#VALUE!</v>
      </c>
      <c r="M3" s="185" t="e">
        <f>K3-L3</f>
        <v>#NUM!</v>
      </c>
      <c r="N3" s="185" t="e">
        <f>M3</f>
        <v>#NUM!</v>
      </c>
      <c r="P3" s="185" t="b">
        <f>IF(E14="FIX+FRA",TRUE,FALSE)</f>
        <v>0</v>
      </c>
      <c r="R3" s="334" t="s">
        <v>68</v>
      </c>
      <c r="S3" s="165">
        <f t="array" ref="S3:S5">_xll.ohFilter(N10:N14,P10:P14)</f>
        <v>4.1325131463834909E-2</v>
      </c>
      <c r="T3" s="166">
        <f t="array" ref="T3:T5">_xll.ohFilter(M10:M14,P10:P14)</f>
        <v>0.12431225370613623</v>
      </c>
      <c r="U3" s="167">
        <f t="array" ref="U3:U5">_xll.ohFilter(L10:L14,P10:P14)</f>
        <v>0.49589041095890413</v>
      </c>
      <c r="V3" s="161"/>
      <c r="W3" s="169" t="e">
        <f t="array" ref="W3:W5">MMULT(AA3:AC5,Y3:Y5)</f>
        <v>#N/A</v>
      </c>
      <c r="X3" s="170"/>
      <c r="Y3" s="150">
        <f t="array" ref="Y3:Y5">_xll.ohFilter(N3:N7,P3:P7)</f>
        <v>9.9992036093551201E-4</v>
      </c>
      <c r="AA3" s="165" t="e">
        <f t="array" ref="AA3:AC5">MINVERSE(S3:U5)</f>
        <v>#N/A</v>
      </c>
      <c r="AB3" s="166" t="e">
        <v>#N/A</v>
      </c>
      <c r="AC3" s="167" t="e">
        <v>#N/A</v>
      </c>
      <c r="AF3" s="178">
        <f>SettlementDate</f>
        <v>41891</v>
      </c>
      <c r="AG3" s="192">
        <f>_xll.qlDayCounterYearFraction(DayCounterON,SettlementDate,AF3,,,Trigger)</f>
        <v>0</v>
      </c>
      <c r="AH3" s="179">
        <f t="shared" ref="AH3:AH34" si="0">$W$13</f>
        <v>2.0164139875218888E-3</v>
      </c>
      <c r="AI3" s="179">
        <f t="shared" ref="AI3:AI34" si="1">$W$10+$W$9*AG3</f>
        <v>1.924648575524251E-3</v>
      </c>
      <c r="AJ3" s="180" t="e">
        <f t="shared" ref="AJ3:AJ34" si="2">($W$5+$W$4*AG3+$W$3*AG3^2)</f>
        <v>#N/A</v>
      </c>
    </row>
    <row r="4" spans="1:36" x14ac:dyDescent="0.2">
      <c r="D4" s="223" t="s">
        <v>94</v>
      </c>
      <c r="E4" s="149">
        <f>SettlementDate</f>
        <v>41891</v>
      </c>
      <c r="F4" s="149">
        <f>_xll.qlInterestRateIndexMaturity($E$9,E4)</f>
        <v>42072</v>
      </c>
      <c r="G4" s="148" t="str">
        <f>_xll.qlMakeDatedOIS(,E4,F4,OvernightIndex,0,,,,EvaluationDate)</f>
        <v>obj_00258#0000</v>
      </c>
      <c r="H4" s="149" t="b">
        <f>_xll.qlInstrumentSetPricingEngine(G4,OisEngine)</f>
        <v>1</v>
      </c>
      <c r="I4" s="150"/>
      <c r="J4" s="151"/>
      <c r="K4" s="174"/>
      <c r="L4" s="174"/>
      <c r="M4" s="185"/>
      <c r="N4" s="224">
        <f>_xll.qlInterpolationInterpolate($H$13,E4,TRUE,Trigger)</f>
        <v>9.9931903426154914E-4</v>
      </c>
      <c r="P4" s="185" t="b">
        <v>0</v>
      </c>
      <c r="R4" s="334"/>
      <c r="S4" s="165">
        <v>0.29475543399560106</v>
      </c>
      <c r="T4" s="166">
        <v>0.37842747232126117</v>
      </c>
      <c r="U4" s="167">
        <v>0.50410958904109604</v>
      </c>
      <c r="V4" s="162" t="e">
        <f>#REF!</f>
        <v>#REF!</v>
      </c>
      <c r="W4" s="169" t="e">
        <v>#N/A</v>
      </c>
      <c r="X4" s="162" t="e">
        <f>#REF!</f>
        <v>#REF!</v>
      </c>
      <c r="Y4" s="150">
        <v>1.1087604889228001E-3</v>
      </c>
      <c r="AA4" s="165" t="e">
        <v>#N/A</v>
      </c>
      <c r="AB4" s="166" t="e">
        <v>#N/A</v>
      </c>
      <c r="AC4" s="167" t="e">
        <v>#N/A</v>
      </c>
      <c r="AF4" s="181">
        <f>_xll.qlCalendarAdvance(Calendar,AF3,"1d","mf",,Trigger)</f>
        <v>41892</v>
      </c>
      <c r="AG4" s="192">
        <f>_xll.qlDayCounterYearFraction(DayCounterON,SettlementDate,AF4,,,Trigger)</f>
        <v>2.7397260273972603E-3</v>
      </c>
      <c r="AH4" s="182">
        <f t="shared" si="0"/>
        <v>2.0164139875218888E-3</v>
      </c>
      <c r="AI4" s="182">
        <f t="shared" si="1"/>
        <v>1.9256514762018208E-3</v>
      </c>
      <c r="AJ4" s="152" t="e">
        <f t="shared" si="2"/>
        <v>#N/A</v>
      </c>
    </row>
    <row r="5" spans="1:36" x14ac:dyDescent="0.2">
      <c r="A5" s="164"/>
      <c r="B5" s="164"/>
      <c r="C5" s="222"/>
      <c r="D5" s="148" t="str">
        <f>'6M BBSWSwapForBasisCalc'!J3</f>
        <v>AUDQM3AB6M_S3BR6BR_Quote</v>
      </c>
      <c r="E5" s="149">
        <f>_xll.qlCalendarAdvance(Calendar,SettlementDate,"1d","f",,Trigger)</f>
        <v>41892</v>
      </c>
      <c r="F5" s="149">
        <f>_xll.qlInterestRateIndexMaturity($E$9,E5)</f>
        <v>42073</v>
      </c>
      <c r="G5" s="148" t="str">
        <f>_xll.qlMakeDatedOIS(,E5,F5,OvernightIndex,0,,,,EvaluationDate)</f>
        <v>obj_00259#0000</v>
      </c>
      <c r="H5" s="149" t="b">
        <f>_xll.qlInstrumentSetPricingEngine(G5,OisEngine)</f>
        <v>1</v>
      </c>
      <c r="I5" s="150">
        <f>_xll.qlQuoteValue(D5,AllTriggers)</f>
        <v>2.6575318095870396E-2</v>
      </c>
      <c r="J5" s="151">
        <f>_xll.qlOvernightIndexedSwapFairRate(G5,_xll.ohTrigger(H5,InterestRatesTrigger))</f>
        <v>2.4558904108348507E-2</v>
      </c>
      <c r="K5" s="174">
        <f>I5*_xll.qlDayCounterYearFraction(DayCounter6M,E5,F5,,,Trigger)</f>
        <v>1.3178445411924773E-2</v>
      </c>
      <c r="L5" s="174">
        <f>J5*_xll.qlDayCounterYearFraction(DayCounterOIS,E5,F5,,,Trigger)</f>
        <v>1.217852505098926E-2</v>
      </c>
      <c r="M5" s="185">
        <f>K5-L5</f>
        <v>9.9992036093551201E-4</v>
      </c>
      <c r="N5" s="185">
        <f>M5</f>
        <v>9.9992036093551201E-4</v>
      </c>
      <c r="P5" s="185" t="b">
        <f>IF(E14="FRA",TRUE,FALSE)</f>
        <v>1</v>
      </c>
      <c r="R5" s="334"/>
      <c r="S5" s="165" t="e">
        <v>#N/A</v>
      </c>
      <c r="T5" s="166" t="e">
        <v>#N/A</v>
      </c>
      <c r="U5" s="167" t="e">
        <v>#N/A</v>
      </c>
      <c r="V5" s="164"/>
      <c r="W5" s="169" t="e">
        <v>#N/A</v>
      </c>
      <c r="X5" s="162"/>
      <c r="Y5" s="150" t="e">
        <v>#N/A</v>
      </c>
      <c r="AA5" s="165" t="e">
        <v>#N/A</v>
      </c>
      <c r="AB5" s="166" t="e">
        <v>#N/A</v>
      </c>
      <c r="AC5" s="167" t="e">
        <v>#N/A</v>
      </c>
      <c r="AF5" s="181">
        <f>_xll.qlCalendarAdvance(Calendar,AF4,"1d","mf",,Trigger)</f>
        <v>41893</v>
      </c>
      <c r="AG5" s="192">
        <f>_xll.qlDayCounterYearFraction(DayCounterON,SettlementDate,AF5,,,Trigger)</f>
        <v>5.4794520547945206E-3</v>
      </c>
      <c r="AH5" s="182">
        <f t="shared" si="0"/>
        <v>2.0164139875218888E-3</v>
      </c>
      <c r="AI5" s="182">
        <f t="shared" si="1"/>
        <v>1.9266543768793906E-3</v>
      </c>
      <c r="AJ5" s="152" t="e">
        <f t="shared" si="2"/>
        <v>#N/A</v>
      </c>
    </row>
    <row r="6" spans="1:36" x14ac:dyDescent="0.2">
      <c r="A6" s="164">
        <v>6</v>
      </c>
      <c r="B6" s="164" t="s">
        <v>29</v>
      </c>
      <c r="C6" s="222">
        <v>12</v>
      </c>
      <c r="D6" s="146" t="str">
        <f>Currency&amp;A6&amp;B6&amp;C6&amp;"F"</f>
        <v>AUD6x12F</v>
      </c>
      <c r="E6" s="149">
        <f>_xll.qlCalendarAdvance(Calendar,E5,A6&amp;"M","mf")</f>
        <v>42073</v>
      </c>
      <c r="F6" s="149">
        <f>_xll.qlInterestRateIndexMaturity($E$9,E6)</f>
        <v>42257</v>
      </c>
      <c r="G6" s="148" t="str">
        <f>_xll.qlMakeDatedOIS(,E6,F6,OvernightIndex,0,,,,EvaluationDate)</f>
        <v>obj_0025b#0000</v>
      </c>
      <c r="H6" s="149" t="b">
        <f>_xll.qlInstrumentSetPricingEngine(G6,OisEngine)</f>
        <v>1</v>
      </c>
      <c r="I6" s="150">
        <f>(((1+K7)/(1+K5))-1)/_xll.qlDayCounterYearFraction(DayCounter6M,E6,F6,,,Trigger)</f>
        <v>2.6903312220843398E-2</v>
      </c>
      <c r="J6" s="151">
        <f>_xll.qlOvernightIndexedSwapFairRate(G6,_xll.ohTrigger(H6,InterestRatesTrigger))</f>
        <v>2.4703868859665017E-2</v>
      </c>
      <c r="K6" s="174">
        <f>I6*_xll.qlDayCounterYearFraction(DayCounter6M,E6,F6,,,Trigger)</f>
        <v>1.3562217667493659E-2</v>
      </c>
      <c r="L6" s="174">
        <f>J6*_xll.qlDayCounterYearFraction(DayCounterOIS,E6,F6,,,Trigger)</f>
        <v>1.2453457178570859E-2</v>
      </c>
      <c r="M6" s="185">
        <f>K6-L6</f>
        <v>1.1087604889228001E-3</v>
      </c>
      <c r="N6" s="185">
        <f>M6</f>
        <v>1.1087604889228001E-3</v>
      </c>
      <c r="P6" s="185" t="b">
        <v>1</v>
      </c>
      <c r="W6" s="171"/>
      <c r="X6" s="227"/>
      <c r="Y6" s="172"/>
      <c r="AF6" s="181">
        <f>_xll.qlCalendarAdvance(Calendar,AF5,"1d","mf",,Trigger)</f>
        <v>41894</v>
      </c>
      <c r="AG6" s="192">
        <f>_xll.qlDayCounterYearFraction(DayCounterON,SettlementDate,AF6,,,Trigger)</f>
        <v>8.21917808219178E-3</v>
      </c>
      <c r="AH6" s="182">
        <f t="shared" si="0"/>
        <v>2.0164139875218888E-3</v>
      </c>
      <c r="AI6" s="182">
        <f t="shared" si="1"/>
        <v>1.9276572775569604E-3</v>
      </c>
      <c r="AJ6" s="152" t="e">
        <f t="shared" si="2"/>
        <v>#N/A</v>
      </c>
    </row>
    <row r="7" spans="1:36" ht="12" thickBot="1" x14ac:dyDescent="0.25">
      <c r="A7" s="164"/>
      <c r="B7" s="164"/>
      <c r="C7" s="222"/>
      <c r="D7" s="153" t="str">
        <f>'6M BBSWSwapForBasisCalc'!J4</f>
        <v>AUDQM3AB1Y_S3BR6BR_Quote</v>
      </c>
      <c r="E7" s="154">
        <f>E5</f>
        <v>41892</v>
      </c>
      <c r="F7" s="154">
        <f>_xll.qlCalendarAdvance(Calendar,E7,"1Y","mf",,Trigger)</f>
        <v>42257</v>
      </c>
      <c r="G7" s="153" t="str">
        <f>_xll.qlMakeDatedOIS(,E7,F7,OvernightIndex,0,,,,EvaluationDate)</f>
        <v>obj_0024d#0000</v>
      </c>
      <c r="H7" s="154" t="b">
        <f>_xll.qlInstrumentSetPricingEngine(G7,OisEngine)</f>
        <v>1</v>
      </c>
      <c r="I7" s="155">
        <f>_xll.qlQuoteValue($D7,AllTriggers)</f>
        <v>2.6919392024614325E-2</v>
      </c>
      <c r="J7" s="156"/>
      <c r="K7" s="155">
        <f>I7*_xll.qlDayCounterYearFraction(DayCounter6M,E7,F7,,,Trigger)</f>
        <v>2.6919392024614325E-2</v>
      </c>
      <c r="L7" s="175"/>
      <c r="M7" s="186"/>
      <c r="N7" s="186"/>
      <c r="P7" s="186"/>
      <c r="W7" s="171"/>
      <c r="X7" s="227"/>
      <c r="Y7" s="172"/>
      <c r="AF7" s="181">
        <f>_xll.qlCalendarAdvance(Calendar,AF6,"1d","mf",,Trigger)</f>
        <v>41897</v>
      </c>
      <c r="AG7" s="192">
        <f>_xll.qlDayCounterYearFraction(DayCounterON,SettlementDate,AF7,,,Trigger)</f>
        <v>1.643835616438356E-2</v>
      </c>
      <c r="AH7" s="182">
        <f t="shared" si="0"/>
        <v>2.0164139875218888E-3</v>
      </c>
      <c r="AI7" s="182">
        <f t="shared" si="1"/>
        <v>1.9306659795896698E-3</v>
      </c>
      <c r="AJ7" s="152" t="e">
        <f t="shared" si="2"/>
        <v>#N/A</v>
      </c>
    </row>
    <row r="8" spans="1:36" ht="18.75" customHeight="1" thickBot="1" x14ac:dyDescent="0.25">
      <c r="W8" s="228" t="s">
        <v>76</v>
      </c>
      <c r="X8" s="227"/>
      <c r="Y8" s="172"/>
      <c r="AF8" s="181">
        <f>_xll.qlCalendarAdvance(Calendar,AF7,"1d","mf",,Trigger)</f>
        <v>41898</v>
      </c>
      <c r="AG8" s="192">
        <f>_xll.qlDayCounterYearFraction(DayCounterON,SettlementDate,AF8,,,Trigger)</f>
        <v>1.9178082191780823E-2</v>
      </c>
      <c r="AH8" s="182">
        <f t="shared" si="0"/>
        <v>2.0164139875218888E-3</v>
      </c>
      <c r="AI8" s="182">
        <f t="shared" si="1"/>
        <v>1.9316688802672398E-3</v>
      </c>
      <c r="AJ8" s="152" t="e">
        <f t="shared" si="2"/>
        <v>#N/A</v>
      </c>
    </row>
    <row r="9" spans="1:36" x14ac:dyDescent="0.2">
      <c r="D9" s="158" t="s">
        <v>93</v>
      </c>
      <c r="E9" s="220" t="str">
        <f>Currency&amp;IborType&amp;"6M"</f>
        <v>AUDBBSW6M</v>
      </c>
      <c r="J9" s="158"/>
      <c r="K9" s="159"/>
      <c r="L9" s="159" t="s">
        <v>77</v>
      </c>
      <c r="M9" s="173" t="s">
        <v>78</v>
      </c>
      <c r="N9" s="160" t="s">
        <v>79</v>
      </c>
      <c r="P9" s="160" t="s">
        <v>97</v>
      </c>
      <c r="R9" s="333" t="s">
        <v>69</v>
      </c>
      <c r="S9" s="229"/>
      <c r="T9" s="165">
        <f t="array" ref="T9:T10">_xll.ohFilter(M10:M14,P10:P14)</f>
        <v>0.12431225370613623</v>
      </c>
      <c r="U9" s="167">
        <f t="array" ref="U9:U10">_xll.ohFilter(L10:L14,P10:P14)</f>
        <v>0.49589041095890413</v>
      </c>
      <c r="V9" s="335" t="s">
        <v>29</v>
      </c>
      <c r="W9" s="169">
        <f t="array" ref="W9:W10">MMULT(AA9:AB10,Y9:Y10)</f>
        <v>3.6605874731298303E-4</v>
      </c>
      <c r="X9" s="335" t="s">
        <v>30</v>
      </c>
      <c r="Y9" s="150">
        <f t="array" ref="Y9:Y10">_xll.ohFilter(N3:N7,P3:P7)</f>
        <v>9.9992036093551201E-4</v>
      </c>
      <c r="AA9" s="165">
        <f t="array" ref="AA9:AB10">MINVERSE(T9:U10)</f>
        <v>-4.0331491712707175</v>
      </c>
      <c r="AB9" s="167">
        <v>3.9673913043478248</v>
      </c>
      <c r="AF9" s="181">
        <f>_xll.qlCalendarAdvance(Calendar,AF8,"1d","mf",,Trigger)</f>
        <v>41899</v>
      </c>
      <c r="AG9" s="192">
        <f>_xll.qlDayCounterYearFraction(DayCounterON,SettlementDate,AF9,,,Trigger)</f>
        <v>2.1917808219178082E-2</v>
      </c>
      <c r="AH9" s="182">
        <f t="shared" si="0"/>
        <v>2.0164139875218888E-3</v>
      </c>
      <c r="AI9" s="182">
        <f t="shared" si="1"/>
        <v>1.9326717809448096E-3</v>
      </c>
      <c r="AJ9" s="152" t="e">
        <f t="shared" si="2"/>
        <v>#N/A</v>
      </c>
    </row>
    <row r="10" spans="1:36" ht="11.25" customHeight="1" x14ac:dyDescent="0.2">
      <c r="D10" s="176" t="s">
        <v>91</v>
      </c>
      <c r="E10" s="221" t="s">
        <v>73</v>
      </c>
      <c r="J10" s="230" t="e">
        <f>_xll.qlDayCounterYearFraction(DayCounterON,SettlementDate,E3,,,Trigger)</f>
        <v>#NUM!</v>
      </c>
      <c r="K10" s="231" t="e">
        <f>_xll.qlDayCounterYearFraction(DayCounterON,SettlementDate,F3,,,Trigger)</f>
        <v>#NUM!</v>
      </c>
      <c r="L10" s="231" t="e">
        <f>K10-J10</f>
        <v>#NUM!</v>
      </c>
      <c r="M10" s="231" t="e">
        <f>(K10^2-J10^2)/2</f>
        <v>#NUM!</v>
      </c>
      <c r="N10" s="232" t="e">
        <f>(K10^3-J10^3)/3</f>
        <v>#NUM!</v>
      </c>
      <c r="P10" s="232" t="b">
        <f>P3</f>
        <v>0</v>
      </c>
      <c r="R10" s="333"/>
      <c r="S10" s="229"/>
      <c r="T10" s="165">
        <v>0.37842747232126117</v>
      </c>
      <c r="U10" s="167">
        <v>0.50410958904109604</v>
      </c>
      <c r="V10" s="335"/>
      <c r="W10" s="169">
        <v>1.924648575524251E-3</v>
      </c>
      <c r="X10" s="335"/>
      <c r="Y10" s="150">
        <v>1.1087604889228001E-3</v>
      </c>
      <c r="AA10" s="165">
        <v>3.027624309392265</v>
      </c>
      <c r="AB10" s="167">
        <v>-0.99456521739130388</v>
      </c>
      <c r="AF10" s="181">
        <f>_xll.qlCalendarAdvance(Calendar,AF9,"1d","mf",,Trigger)</f>
        <v>41900</v>
      </c>
      <c r="AG10" s="192">
        <f>_xll.qlDayCounterYearFraction(DayCounterON,SettlementDate,AF10,,,Trigger)</f>
        <v>2.4657534246575342E-2</v>
      </c>
      <c r="AH10" s="182">
        <f t="shared" si="0"/>
        <v>2.0164139875218888E-3</v>
      </c>
      <c r="AI10" s="182">
        <f t="shared" si="1"/>
        <v>1.9336746816223794E-3</v>
      </c>
      <c r="AJ10" s="152" t="e">
        <f t="shared" si="2"/>
        <v>#N/A</v>
      </c>
    </row>
    <row r="11" spans="1:36" ht="11.25" customHeight="1" x14ac:dyDescent="0.2">
      <c r="D11" s="176" t="s">
        <v>71</v>
      </c>
      <c r="E11" s="221" t="s">
        <v>73</v>
      </c>
      <c r="J11" s="230">
        <f>_xll.qlDayCounterYearFraction(DayCounterON,SettlementDate,E4,,,Trigger)</f>
        <v>0</v>
      </c>
      <c r="K11" s="231">
        <f>_xll.qlDayCounterYearFraction(DayCounterON,SettlementDate,F4,,,Trigger)</f>
        <v>0.49589041095890413</v>
      </c>
      <c r="L11" s="231">
        <f>K11-J11</f>
        <v>0.49589041095890413</v>
      </c>
      <c r="M11" s="231">
        <f>(K11^2-J11^2)/2</f>
        <v>0.12295364984049541</v>
      </c>
      <c r="N11" s="232">
        <f>(K11^3-J11^3)/3</f>
        <v>4.0647690632200313E-2</v>
      </c>
      <c r="P11" s="232" t="b">
        <f>P4</f>
        <v>0</v>
      </c>
      <c r="W11" s="171"/>
      <c r="X11" s="227"/>
      <c r="Y11" s="172"/>
      <c r="AF11" s="181">
        <f>_xll.qlCalendarAdvance(Calendar,AF10,"1d","mf",,Trigger)</f>
        <v>41901</v>
      </c>
      <c r="AG11" s="192">
        <f>_xll.qlDayCounterYearFraction(DayCounterON,SettlementDate,AF11,,,Trigger)</f>
        <v>2.7397260273972601E-2</v>
      </c>
      <c r="AH11" s="182">
        <f t="shared" si="0"/>
        <v>2.0164139875218888E-3</v>
      </c>
      <c r="AI11" s="182">
        <f t="shared" si="1"/>
        <v>1.9346775822999492E-3</v>
      </c>
      <c r="AJ11" s="152" t="e">
        <f t="shared" si="2"/>
        <v>#N/A</v>
      </c>
    </row>
    <row r="12" spans="1:36" ht="11.25" customHeight="1" thickBot="1" x14ac:dyDescent="0.25">
      <c r="D12" s="176" t="s">
        <v>72</v>
      </c>
      <c r="E12" s="221" t="s">
        <v>73</v>
      </c>
      <c r="J12" s="230">
        <f>_xll.qlDayCounterYearFraction(DayCounterON,SettlementDate,E5,,,Trigger)</f>
        <v>2.7397260273972603E-3</v>
      </c>
      <c r="K12" s="231">
        <f>_xll.qlDayCounterYearFraction(DayCounterON,SettlementDate,F5,,,Trigger)</f>
        <v>0.49863013698630138</v>
      </c>
      <c r="L12" s="231">
        <f>K12-J12</f>
        <v>0.49589041095890413</v>
      </c>
      <c r="M12" s="231">
        <f>(K12^2-J12^2)/2</f>
        <v>0.12431225370613623</v>
      </c>
      <c r="N12" s="232">
        <f>(K12^3-J12^3)/3</f>
        <v>4.1325131463834909E-2</v>
      </c>
      <c r="P12" s="232" t="b">
        <f>P5</f>
        <v>1</v>
      </c>
      <c r="W12" s="226" t="s">
        <v>28</v>
      </c>
      <c r="X12" s="227"/>
      <c r="Y12" s="172"/>
      <c r="AF12" s="181">
        <f>_xll.qlCalendarAdvance(Calendar,AF11,"1d","mf",,Trigger)</f>
        <v>41904</v>
      </c>
      <c r="AG12" s="192">
        <f>_xll.qlDayCounterYearFraction(DayCounterON,SettlementDate,AF12,,,Trigger)</f>
        <v>3.5616438356164383E-2</v>
      </c>
      <c r="AH12" s="182">
        <f t="shared" si="0"/>
        <v>2.0164139875218888E-3</v>
      </c>
      <c r="AI12" s="182">
        <f t="shared" si="1"/>
        <v>1.9376862843326586E-3</v>
      </c>
      <c r="AJ12" s="152" t="e">
        <f t="shared" si="2"/>
        <v>#N/A</v>
      </c>
    </row>
    <row r="13" spans="1:36" ht="11.25" customHeight="1" thickBot="1" x14ac:dyDescent="0.25">
      <c r="D13" s="176" t="s">
        <v>98</v>
      </c>
      <c r="E13" s="246" t="s">
        <v>63</v>
      </c>
      <c r="F13" s="146" t="s">
        <v>111</v>
      </c>
      <c r="G13" s="240" t="s">
        <v>96</v>
      </c>
      <c r="H13" s="225" t="str">
        <f>_xll.qlInterpolation(,E13,E5:E6,M5:M6)</f>
        <v>obj_00542#0003</v>
      </c>
      <c r="J13" s="230">
        <f>_xll.qlDayCounterYearFraction(DayCounterON,SettlementDate,E6,,,Trigger)</f>
        <v>0.49863013698630138</v>
      </c>
      <c r="K13" s="231">
        <f>_xll.qlDayCounterYearFraction(DayCounterON,SettlementDate,F6,,,Trigger)</f>
        <v>1.0027397260273974</v>
      </c>
      <c r="L13" s="231">
        <f>K13-J13</f>
        <v>0.50410958904109604</v>
      </c>
      <c r="M13" s="231">
        <f>(K13^2-J13^2)/2</f>
        <v>0.37842747232126117</v>
      </c>
      <c r="N13" s="232">
        <f>(K13^3-J13^3)/3</f>
        <v>0.29475543399560106</v>
      </c>
      <c r="P13" s="232" t="b">
        <f>P6</f>
        <v>1</v>
      </c>
      <c r="R13" s="215" t="s">
        <v>70</v>
      </c>
      <c r="U13" s="168">
        <f t="array" ref="U13">_xll.ohFilter(L10:L14,P10:P14)</f>
        <v>0.49589041095890413</v>
      </c>
      <c r="V13" s="215" t="s">
        <v>29</v>
      </c>
      <c r="W13" s="169">
        <f>MMULT(AA13,Y13)</f>
        <v>2.0164139875218888E-3</v>
      </c>
      <c r="X13" s="215" t="s">
        <v>30</v>
      </c>
      <c r="Y13" s="150">
        <f>_xll.ohFilter(N3:N7,P3:P7)</f>
        <v>9.9992036093551201E-4</v>
      </c>
      <c r="AA13" s="168">
        <f>MINVERSE(U13)</f>
        <v>2.0165745856353592</v>
      </c>
      <c r="AF13" s="181">
        <f>_xll.qlCalendarAdvance(Calendar,AF12,"1d","mf",,Trigger)</f>
        <v>41905</v>
      </c>
      <c r="AG13" s="192">
        <f>_xll.qlDayCounterYearFraction(DayCounterON,SettlementDate,AF13,,,Trigger)</f>
        <v>3.8356164383561646E-2</v>
      </c>
      <c r="AH13" s="182">
        <f t="shared" si="0"/>
        <v>2.0164139875218888E-3</v>
      </c>
      <c r="AI13" s="182">
        <f t="shared" si="1"/>
        <v>1.9386891850102284E-3</v>
      </c>
      <c r="AJ13" s="152" t="e">
        <f t="shared" si="2"/>
        <v>#N/A</v>
      </c>
    </row>
    <row r="14" spans="1:36" ht="11.25" customHeight="1" thickBot="1" x14ac:dyDescent="0.25">
      <c r="D14" s="177" t="s">
        <v>101</v>
      </c>
      <c r="E14" s="242" t="s">
        <v>61</v>
      </c>
      <c r="J14" s="233">
        <f>_xll.qlDayCounterYearFraction(DayCounterON,SettlementDate,E7,,,Trigger)</f>
        <v>2.7397260273972603E-3</v>
      </c>
      <c r="K14" s="234">
        <f>_xll.qlDayCounterYearFraction(DayCounterON,SettlementDate,F7,,,Trigger)</f>
        <v>1.0027397260273974</v>
      </c>
      <c r="L14" s="234">
        <f>K14-J14</f>
        <v>1</v>
      </c>
      <c r="M14" s="234">
        <f>(K14^2-J14^2)/2</f>
        <v>0.50273972602739736</v>
      </c>
      <c r="N14" s="235">
        <f>(K14^3-J14^3)/3</f>
        <v>0.33608056545943593</v>
      </c>
      <c r="P14" s="235"/>
      <c r="AF14" s="181">
        <f>_xll.qlCalendarAdvance(Calendar,AF13,"1d","mf",,Trigger)</f>
        <v>41906</v>
      </c>
      <c r="AG14" s="192">
        <f>_xll.qlDayCounterYearFraction(DayCounterON,SettlementDate,AF14,,,Trigger)</f>
        <v>4.1095890410958902E-2</v>
      </c>
      <c r="AH14" s="182">
        <f t="shared" si="0"/>
        <v>2.0164139875218888E-3</v>
      </c>
      <c r="AI14" s="182">
        <f t="shared" si="1"/>
        <v>1.9396920856877982E-3</v>
      </c>
      <c r="AJ14" s="152" t="e">
        <f t="shared" si="2"/>
        <v>#N/A</v>
      </c>
    </row>
    <row r="15" spans="1:36" ht="14.25" customHeight="1" thickBot="1" x14ac:dyDescent="0.25">
      <c r="P15" s="163"/>
      <c r="AF15" s="181">
        <f>_xll.qlCalendarAdvance(Calendar,AF14,"1d","mf",,Trigger)</f>
        <v>41907</v>
      </c>
      <c r="AG15" s="192">
        <f>_xll.qlDayCounterYearFraction(DayCounterON,SettlementDate,AF15,,,Trigger)</f>
        <v>4.3835616438356165E-2</v>
      </c>
      <c r="AH15" s="182">
        <f t="shared" si="0"/>
        <v>2.0164139875218888E-3</v>
      </c>
      <c r="AI15" s="182">
        <f t="shared" si="1"/>
        <v>1.940694986365368E-3</v>
      </c>
      <c r="AJ15" s="152" t="e">
        <f t="shared" si="2"/>
        <v>#N/A</v>
      </c>
    </row>
    <row r="16" spans="1:36" ht="11.25" customHeight="1" thickBot="1" x14ac:dyDescent="0.25">
      <c r="M16" s="236" t="s">
        <v>100</v>
      </c>
      <c r="N16" s="237"/>
      <c r="O16" s="238"/>
      <c r="P16" s="163"/>
      <c r="AF16" s="181">
        <f>_xll.qlCalendarAdvance(Calendar,AF15,"1d","mf",,Trigger)</f>
        <v>41908</v>
      </c>
      <c r="AG16" s="192">
        <f>_xll.qlDayCounterYearFraction(DayCounterON,SettlementDate,AF16,,,Trigger)</f>
        <v>4.6575342465753428E-2</v>
      </c>
      <c r="AH16" s="182">
        <f t="shared" si="0"/>
        <v>2.0164139875218888E-3</v>
      </c>
      <c r="AI16" s="182">
        <f t="shared" si="1"/>
        <v>1.9416978870429378E-3</v>
      </c>
      <c r="AJ16" s="152" t="e">
        <f t="shared" si="2"/>
        <v>#N/A</v>
      </c>
    </row>
    <row r="17" spans="4:36" ht="15.75" customHeight="1" x14ac:dyDescent="0.2">
      <c r="D17" s="158" t="s">
        <v>80</v>
      </c>
      <c r="E17" s="159" t="s">
        <v>59</v>
      </c>
      <c r="F17" s="159" t="s">
        <v>60</v>
      </c>
      <c r="G17" s="173" t="s">
        <v>99</v>
      </c>
      <c r="H17" s="173"/>
      <c r="I17" s="159" t="s">
        <v>27</v>
      </c>
      <c r="J17" s="159"/>
      <c r="K17" s="159"/>
      <c r="L17" s="159"/>
      <c r="M17" s="239" t="s">
        <v>70</v>
      </c>
      <c r="N17" s="160" t="s">
        <v>69</v>
      </c>
      <c r="O17" s="160" t="s">
        <v>68</v>
      </c>
      <c r="P17" s="163"/>
      <c r="AF17" s="181">
        <f>_xll.qlCalendarAdvance(Calendar,AF16,"1d","mf",,Trigger)</f>
        <v>41911</v>
      </c>
      <c r="AG17" s="192">
        <f>_xll.qlDayCounterYearFraction(DayCounterON,SettlementDate,AF17,,,Trigger)</f>
        <v>5.4794520547945202E-2</v>
      </c>
      <c r="AH17" s="182">
        <f t="shared" si="0"/>
        <v>2.0164139875218888E-3</v>
      </c>
      <c r="AI17" s="182">
        <f t="shared" si="1"/>
        <v>1.9447065890756475E-3</v>
      </c>
      <c r="AJ17" s="152" t="e">
        <f t="shared" si="2"/>
        <v>#N/A</v>
      </c>
    </row>
    <row r="18" spans="4:36" ht="11.25" customHeight="1" x14ac:dyDescent="0.2">
      <c r="D18" s="197" t="s">
        <v>35</v>
      </c>
      <c r="E18" s="188">
        <f>_xll.qlCalendarAdvance(Calendar,SettlementDate,"2D","f",,Trigger)</f>
        <v>41893</v>
      </c>
      <c r="F18" s="189">
        <f>_xll.qlCalendarAdvance(Calendar,E18,D18,"Following",,Trigger)</f>
        <v>41894</v>
      </c>
      <c r="G18" s="190" t="str">
        <f>_xll.qlMakeDatedOIS(,E18,F18,OvernightIndex,0,,,,EvaluationDate)</f>
        <v>obj_00269#0000</v>
      </c>
      <c r="H18" s="216" t="b">
        <f>_xll.qlInstrumentSetPricingEngine(G18,OisEngine)</f>
        <v>1</v>
      </c>
      <c r="I18" s="187">
        <f>_xll.qlOvernightIndexedSwapFairRate(G18,_xll.ohTrigger(InterestRatesTrigger))</f>
        <v>2.4655472613623882E-2</v>
      </c>
      <c r="J18" s="231">
        <f>_xll.qlDayCounterYearFraction(DayCounterOIS,E18,F18,,,Trigger)</f>
        <v>2.7397260273972603E-3</v>
      </c>
      <c r="K18" s="231">
        <f>_xll.qlDayCounterYearFraction(DayCounter6M,E18,F18,,,Trigger)</f>
        <v>2.7397260273972603E-3</v>
      </c>
      <c r="L18" s="231">
        <f>_xll.qlDayCounterYearFraction(DayCounterON,E18,F18,,,Trigger)</f>
        <v>2.7397260273972603E-3</v>
      </c>
      <c r="M18" s="182">
        <f>($I18*$J18+$W$13*L18)/$K18</f>
        <v>2.6671886601145771E-2</v>
      </c>
      <c r="N18" s="182">
        <f>($I18*$J18+($W$10*L18+$W$9*L18^2/2))/$K18</f>
        <v>2.6580622639486916E-2</v>
      </c>
      <c r="O18" s="182" t="e">
        <f>($I18*$J18+($W$5*L18+$W$4*L18^2/2+$W$3*L18^3/3))/$K18</f>
        <v>#N/A</v>
      </c>
      <c r="P18" s="163"/>
      <c r="AF18" s="181">
        <f>_xll.qlCalendarAdvance(Calendar,AF17,"1d","mf",,Trigger)</f>
        <v>41912</v>
      </c>
      <c r="AG18" s="192">
        <f>_xll.qlDayCounterYearFraction(DayCounterON,SettlementDate,AF18,,,Trigger)</f>
        <v>5.7534246575342465E-2</v>
      </c>
      <c r="AH18" s="182">
        <f t="shared" si="0"/>
        <v>2.0164139875218888E-3</v>
      </c>
      <c r="AI18" s="182">
        <f t="shared" si="1"/>
        <v>1.9457094897532173E-3</v>
      </c>
      <c r="AJ18" s="152" t="e">
        <f t="shared" si="2"/>
        <v>#N/A</v>
      </c>
    </row>
    <row r="19" spans="4:36" ht="11.25" customHeight="1" x14ac:dyDescent="0.2">
      <c r="D19" s="195" t="s">
        <v>36</v>
      </c>
      <c r="E19" s="149">
        <f>_xll.qlCalendarAdvance(Calendar,SettlementDate,"2D","f",,Trigger)</f>
        <v>41893</v>
      </c>
      <c r="F19" s="191">
        <f>_xll.qlCalendarAdvance(Calendar,E19,D19,"Following",,Trigger)</f>
        <v>41900</v>
      </c>
      <c r="G19" s="192" t="str">
        <f>_xll.qlMakeDatedOIS(,E19,F19,OvernightIndex,0,,,,EvaluationDate)</f>
        <v>obj_00266#0000</v>
      </c>
      <c r="H19" s="217" t="b">
        <f>_xll.qlInstrumentSetPricingEngine(G19,OisEngine)</f>
        <v>1</v>
      </c>
      <c r="I19" s="151">
        <f>_xll.qlOvernightIndexedSwapFairRate(G19,_xll.ohTrigger(InterestRatesTrigger))</f>
        <v>2.4655872692119933E-2</v>
      </c>
      <c r="J19" s="231">
        <f>_xll.qlDayCounterYearFraction(DayCounterOIS,E19,F19,,,Trigger)</f>
        <v>1.9178082191780823E-2</v>
      </c>
      <c r="K19" s="231">
        <f>_xll.qlDayCounterYearFraction(DayCounter6M,E19,F19,,,Trigger)</f>
        <v>1.9178082191780823E-2</v>
      </c>
      <c r="L19" s="231">
        <f>_xll.qlDayCounterYearFraction(DayCounterON,E19,F19,,,Trigger)</f>
        <v>1.9178082191780823E-2</v>
      </c>
      <c r="M19" s="182">
        <f>($I19*$J19+$W$13*L19)/$K19</f>
        <v>2.6672286679641822E-2</v>
      </c>
      <c r="N19" s="182">
        <f t="shared" ref="N19:N27" si="3">($I19*$J19+($W$10*L19+$W$9*L19^2/2))/$K19</f>
        <v>2.6584031420015676E-2</v>
      </c>
      <c r="O19" s="182" t="e">
        <f t="shared" ref="O19:O27" si="4">($I19*$J19+($W$5*L19+$W$4*L19^2/2+$W$3*L19^3/3))/$K19</f>
        <v>#N/A</v>
      </c>
      <c r="P19" s="163"/>
      <c r="AF19" s="181">
        <f>_xll.qlCalendarAdvance(Calendar,AF18,"1d","mf",,Trigger)</f>
        <v>41913</v>
      </c>
      <c r="AG19" s="192">
        <f>_xll.qlDayCounterYearFraction(DayCounterON,SettlementDate,AF19,,,Trigger)</f>
        <v>6.0273972602739728E-2</v>
      </c>
      <c r="AH19" s="182">
        <f t="shared" si="0"/>
        <v>2.0164139875218888E-3</v>
      </c>
      <c r="AI19" s="182">
        <f t="shared" si="1"/>
        <v>1.9467123904307871E-3</v>
      </c>
      <c r="AJ19" s="152" t="e">
        <f t="shared" si="2"/>
        <v>#N/A</v>
      </c>
    </row>
    <row r="20" spans="4:36" ht="11.25" customHeight="1" x14ac:dyDescent="0.2">
      <c r="D20" s="195" t="s">
        <v>37</v>
      </c>
      <c r="E20" s="149">
        <f>_xll.qlCalendarAdvance(Calendar,SettlementDate,"2D","f",,Trigger)</f>
        <v>41893</v>
      </c>
      <c r="F20" s="191">
        <f>_xll.qlCalendarAdvance(Calendar,E20,D20,"Following",,Trigger)</f>
        <v>41907</v>
      </c>
      <c r="G20" s="192" t="str">
        <f>_xll.qlMakeDatedOIS(,E20,F20,OvernightIndex,0,,,,EvaluationDate)</f>
        <v>obj_00265#0000</v>
      </c>
      <c r="H20" s="217" t="b">
        <f>_xll.qlInstrumentSetPricingEngine(G20,OisEngine)</f>
        <v>1</v>
      </c>
      <c r="I20" s="151">
        <f>_xll.qlOvernightIndexedSwapFairRate(G20,_xll.ohTrigger(InterestRatesTrigger))</f>
        <v>2.4653233516339159E-2</v>
      </c>
      <c r="J20" s="231">
        <f>_xll.qlDayCounterYearFraction(DayCounterOIS,E20,F20,,,Trigger)</f>
        <v>3.8356164383561646E-2</v>
      </c>
      <c r="K20" s="231">
        <f>_xll.qlDayCounterYearFraction(DayCounter6M,E20,F20,,,Trigger)</f>
        <v>3.8356164383561646E-2</v>
      </c>
      <c r="L20" s="231">
        <f>_xll.qlDayCounterYearFraction(DayCounterON,E20,F20,,,Trigger)</f>
        <v>3.8356164383561646E-2</v>
      </c>
      <c r="M20" s="182">
        <f t="shared" ref="M20:M27" si="5">($I20*$J20+$W$13*L20)/$K20</f>
        <v>2.6669647503861048E-2</v>
      </c>
      <c r="N20" s="182">
        <f t="shared" si="3"/>
        <v>2.6584902396606401E-2</v>
      </c>
      <c r="O20" s="182" t="e">
        <f t="shared" si="4"/>
        <v>#N/A</v>
      </c>
      <c r="P20" s="163"/>
      <c r="AF20" s="181">
        <f>_xll.qlCalendarAdvance(Calendar,AF19,"1d","mf",,Trigger)</f>
        <v>41914</v>
      </c>
      <c r="AG20" s="192">
        <f>_xll.qlDayCounterYearFraction(DayCounterON,SettlementDate,AF20,,,Trigger)</f>
        <v>6.3013698630136991E-2</v>
      </c>
      <c r="AH20" s="182">
        <f t="shared" si="0"/>
        <v>2.0164139875218888E-3</v>
      </c>
      <c r="AI20" s="182">
        <f t="shared" si="1"/>
        <v>1.9477152911083569E-3</v>
      </c>
      <c r="AJ20" s="152" t="e">
        <f t="shared" si="2"/>
        <v>#N/A</v>
      </c>
    </row>
    <row r="21" spans="4:36" ht="11.25" customHeight="1" x14ac:dyDescent="0.2">
      <c r="D21" s="195" t="s">
        <v>38</v>
      </c>
      <c r="E21" s="149">
        <f>_xll.qlCalendarAdvance(Calendar,SettlementDate,"2D","f",,Trigger)</f>
        <v>41893</v>
      </c>
      <c r="F21" s="191">
        <f>_xll.qlCalendarAdvance(Calendar,E21,D21,"Following",,Trigger)</f>
        <v>41914</v>
      </c>
      <c r="G21" s="192" t="str">
        <f>_xll.qlMakeDatedOIS(,E21,F21,OvernightIndex,0,,,,EvaluationDate)</f>
        <v>obj_00262#0000</v>
      </c>
      <c r="H21" s="217" t="b">
        <f>_xll.qlInstrumentSetPricingEngine(G21,OisEngine)</f>
        <v>1</v>
      </c>
      <c r="I21" s="151">
        <f>_xll.qlOvernightIndexedSwapFairRate(G21,_xll.ohTrigger(InterestRatesTrigger))</f>
        <v>2.4649880609034978E-2</v>
      </c>
      <c r="J21" s="231">
        <f>_xll.qlDayCounterYearFraction(DayCounterOIS,E21,F21,,,Trigger)</f>
        <v>5.7534246575342465E-2</v>
      </c>
      <c r="K21" s="231">
        <f>_xll.qlDayCounterYearFraction(DayCounter6M,E21,F21,,,Trigger)</f>
        <v>5.7534246575342465E-2</v>
      </c>
      <c r="L21" s="231">
        <f>_xll.qlDayCounterYearFraction(DayCounterON,E21,F21,,,Trigger)</f>
        <v>5.7534246575342465E-2</v>
      </c>
      <c r="M21" s="182">
        <f t="shared" si="5"/>
        <v>2.6666294596556867E-2</v>
      </c>
      <c r="N21" s="182">
        <f t="shared" si="3"/>
        <v>2.6585059641673715E-2</v>
      </c>
      <c r="O21" s="182" t="e">
        <f t="shared" si="4"/>
        <v>#N/A</v>
      </c>
      <c r="P21" s="163"/>
      <c r="AF21" s="181">
        <f>_xll.qlCalendarAdvance(Calendar,AF20,"1d","mf",,Trigger)</f>
        <v>41915</v>
      </c>
      <c r="AG21" s="192">
        <f>_xll.qlDayCounterYearFraction(DayCounterON,SettlementDate,AF21,,,Trigger)</f>
        <v>6.575342465753424E-2</v>
      </c>
      <c r="AH21" s="182">
        <f t="shared" si="0"/>
        <v>2.0164139875218888E-3</v>
      </c>
      <c r="AI21" s="182">
        <f t="shared" si="1"/>
        <v>1.9487181917859267E-3</v>
      </c>
      <c r="AJ21" s="152" t="e">
        <f t="shared" si="2"/>
        <v>#N/A</v>
      </c>
    </row>
    <row r="22" spans="4:36" ht="11.25" customHeight="1" x14ac:dyDescent="0.2">
      <c r="D22" s="195" t="s">
        <v>32</v>
      </c>
      <c r="E22" s="149">
        <f>_xll.qlCalendarAdvance(Calendar,SettlementDate,"2D","f",,Trigger)</f>
        <v>41893</v>
      </c>
      <c r="F22" s="191">
        <f>_xll.qlCalendarAdvance(Calendar,E22,D22,"Following",,Trigger)</f>
        <v>41925</v>
      </c>
      <c r="G22" s="192" t="str">
        <f>_xll.qlMakeDatedOIS(,E22,F22,OvernightIndex,0,,,,EvaluationDate)</f>
        <v>obj_00268#0000</v>
      </c>
      <c r="H22" s="217" t="b">
        <f>_xll.qlInstrumentSetPricingEngine(G22,OisEngine)</f>
        <v>1</v>
      </c>
      <c r="I22" s="151">
        <f>_xll.qlOvernightIndexedSwapFairRate(G22,_xll.ohTrigger(InterestRatesTrigger))</f>
        <v>2.4644053533167669E-2</v>
      </c>
      <c r="J22" s="231">
        <f>_xll.qlDayCounterYearFraction(DayCounterOIS,E22,F22,,,Trigger)</f>
        <v>8.7671232876712329E-2</v>
      </c>
      <c r="K22" s="231">
        <f>_xll.qlDayCounterYearFraction(DayCounter6M,E22,F22,,,Trigger)</f>
        <v>8.7671232876712329E-2</v>
      </c>
      <c r="L22" s="231">
        <f>_xll.qlDayCounterYearFraction(DayCounterON,E22,F22,,,Trigger)</f>
        <v>8.7671232876712329E-2</v>
      </c>
      <c r="M22" s="182">
        <f t="shared" si="5"/>
        <v>2.6660467520689558E-2</v>
      </c>
      <c r="N22" s="182">
        <f t="shared" si="3"/>
        <v>2.6584748519533036E-2</v>
      </c>
      <c r="O22" s="182" t="e">
        <f t="shared" si="4"/>
        <v>#N/A</v>
      </c>
      <c r="P22" s="163"/>
      <c r="AF22" s="181">
        <f>_xll.qlCalendarAdvance(Calendar,AF21,"1d","mf",,Trigger)</f>
        <v>41919</v>
      </c>
      <c r="AG22" s="192">
        <f>_xll.qlDayCounterYearFraction(DayCounterON,SettlementDate,AF22,,,Trigger)</f>
        <v>7.6712328767123292E-2</v>
      </c>
      <c r="AH22" s="182">
        <f t="shared" si="0"/>
        <v>2.0164139875218888E-3</v>
      </c>
      <c r="AI22" s="182">
        <f t="shared" si="1"/>
        <v>1.9527297944962059E-3</v>
      </c>
      <c r="AJ22" s="152" t="e">
        <f t="shared" si="2"/>
        <v>#N/A</v>
      </c>
    </row>
    <row r="23" spans="4:36" ht="11.25" customHeight="1" x14ac:dyDescent="0.2">
      <c r="D23" s="195" t="s">
        <v>39</v>
      </c>
      <c r="E23" s="149">
        <f>_xll.qlCalendarAdvance(Calendar,SettlementDate,"2D","f",,Trigger)</f>
        <v>41893</v>
      </c>
      <c r="F23" s="191">
        <f>_xll.qlCalendarAdvance(Calendar,E23,D23,"Following",,Trigger)</f>
        <v>41954</v>
      </c>
      <c r="G23" s="192" t="str">
        <f>_xll.qlMakeDatedOIS(,E23,F23,OvernightIndex,0,,,,EvaluationDate)</f>
        <v>obj_0026a#0000</v>
      </c>
      <c r="H23" s="217" t="b">
        <f>_xll.qlInstrumentSetPricingEngine(G23,OisEngine)</f>
        <v>1</v>
      </c>
      <c r="I23" s="151">
        <f>_xll.qlOvernightIndexedSwapFairRate(G23,_xll.ohTrigger(InterestRatesTrigger))</f>
        <v>2.463044874464955E-2</v>
      </c>
      <c r="J23" s="231">
        <f>_xll.qlDayCounterYearFraction(DayCounterOIS,E23,F23,,,Trigger)</f>
        <v>0.16712328767123288</v>
      </c>
      <c r="K23" s="231">
        <f>_xll.qlDayCounterYearFraction(DayCounter6M,E23,F23,,,Trigger)</f>
        <v>0.16712328767123288</v>
      </c>
      <c r="L23" s="231">
        <f>_xll.qlDayCounterYearFraction(DayCounterON,E23,F23,,,Trigger)</f>
        <v>0.16712328767123288</v>
      </c>
      <c r="M23" s="182">
        <f t="shared" si="5"/>
        <v>2.6646862732171435E-2</v>
      </c>
      <c r="N23" s="182">
        <f t="shared" si="3"/>
        <v>2.658568579083968E-2</v>
      </c>
      <c r="O23" s="182" t="e">
        <f t="shared" si="4"/>
        <v>#N/A</v>
      </c>
      <c r="P23" s="163"/>
      <c r="AF23" s="181">
        <f>_xll.qlCalendarAdvance(Calendar,AF22,"1d","mf",,Trigger)</f>
        <v>41920</v>
      </c>
      <c r="AG23" s="192">
        <f>_xll.qlDayCounterYearFraction(DayCounterON,SettlementDate,AF23,,,Trigger)</f>
        <v>7.9452054794520555E-2</v>
      </c>
      <c r="AH23" s="182">
        <f t="shared" si="0"/>
        <v>2.0164139875218888E-3</v>
      </c>
      <c r="AI23" s="182">
        <f t="shared" si="1"/>
        <v>1.9537326951737759E-3</v>
      </c>
      <c r="AJ23" s="152" t="e">
        <f t="shared" si="2"/>
        <v>#N/A</v>
      </c>
    </row>
    <row r="24" spans="4:36" ht="11.25" customHeight="1" x14ac:dyDescent="0.2">
      <c r="D24" s="195" t="s">
        <v>33</v>
      </c>
      <c r="E24" s="149">
        <f>_xll.qlCalendarAdvance(Calendar,SettlementDate,"2D","f",,Trigger)</f>
        <v>41893</v>
      </c>
      <c r="F24" s="191">
        <f>_xll.qlCalendarAdvance(Calendar,E24,D24,"Following",,Trigger)</f>
        <v>41984</v>
      </c>
      <c r="G24" s="192" t="str">
        <f>_xll.qlMakeDatedOIS(,E24,F24,OvernightIndex,0,,,,EvaluationDate)</f>
        <v>obj_0026b#0000</v>
      </c>
      <c r="H24" s="217" t="b">
        <f>_xll.qlInstrumentSetPricingEngine(G24,OisEngine)</f>
        <v>1</v>
      </c>
      <c r="I24" s="151">
        <f>_xll.qlOvernightIndexedSwapFairRate(G24,_xll.ohTrigger(InterestRatesTrigger))</f>
        <v>2.4609696779316619E-2</v>
      </c>
      <c r="J24" s="231">
        <f>_xll.qlDayCounterYearFraction(DayCounterOIS,E24,F24,,,Trigger)</f>
        <v>0.24931506849315069</v>
      </c>
      <c r="K24" s="231">
        <f>_xll.qlDayCounterYearFraction(DayCounter6M,E24,F24,,,Trigger)</f>
        <v>0.24931506849315069</v>
      </c>
      <c r="L24" s="231">
        <f>_xll.qlDayCounterYearFraction(DayCounterON,E24,F24,,,Trigger)</f>
        <v>0.24931506849315069</v>
      </c>
      <c r="M24" s="182">
        <f t="shared" si="5"/>
        <v>2.6626110766838507E-2</v>
      </c>
      <c r="N24" s="182">
        <f t="shared" si="3"/>
        <v>2.6579977335670295E-2</v>
      </c>
      <c r="O24" s="182" t="e">
        <f t="shared" si="4"/>
        <v>#N/A</v>
      </c>
      <c r="P24" s="163"/>
      <c r="AF24" s="181">
        <f>_xll.qlCalendarAdvance(Calendar,AF23,"1d","mf",,Trigger)</f>
        <v>41921</v>
      </c>
      <c r="AG24" s="192">
        <f>_xll.qlDayCounterYearFraction(DayCounterON,SettlementDate,AF24,,,Trigger)</f>
        <v>8.2191780821917804E-2</v>
      </c>
      <c r="AH24" s="182">
        <f t="shared" si="0"/>
        <v>2.0164139875218888E-3</v>
      </c>
      <c r="AI24" s="182">
        <f t="shared" si="1"/>
        <v>1.9547355958513457E-3</v>
      </c>
      <c r="AJ24" s="152" t="e">
        <f t="shared" si="2"/>
        <v>#N/A</v>
      </c>
    </row>
    <row r="25" spans="4:36" x14ac:dyDescent="0.2">
      <c r="D25" s="195" t="s">
        <v>40</v>
      </c>
      <c r="E25" s="149">
        <f>_xll.qlCalendarAdvance(Calendar,SettlementDate,"2D","f",,Trigger)</f>
        <v>41893</v>
      </c>
      <c r="F25" s="191">
        <f>_xll.qlCalendarAdvance(Calendar,E25,D25,"Following",,Trigger)</f>
        <v>42016</v>
      </c>
      <c r="G25" s="192" t="str">
        <f>_xll.qlMakeDatedOIS(,E25,F25,OvernightIndex,0,,,,EvaluationDate)</f>
        <v>obj_00267#0000</v>
      </c>
      <c r="H25" s="217" t="b">
        <f>_xll.qlInstrumentSetPricingEngine(G25,OisEngine)</f>
        <v>1</v>
      </c>
      <c r="I25" s="151">
        <f>_xll.qlOvernightIndexedSwapFairRate(G25,_xll.ohTrigger(InterestRatesTrigger))</f>
        <v>2.4566374238971043E-2</v>
      </c>
      <c r="J25" s="231">
        <f>_xll.qlDayCounterYearFraction(DayCounterOIS,E25,F25,,,Trigger)</f>
        <v>0.33698630136986302</v>
      </c>
      <c r="K25" s="231">
        <f>_xll.qlDayCounterYearFraction(DayCounter6M,E25,F25,,,Trigger)</f>
        <v>0.33698630136986302</v>
      </c>
      <c r="L25" s="231">
        <f>_xll.qlDayCounterYearFraction(DayCounterON,E25,F25,,,Trigger)</f>
        <v>0.33698630136986302</v>
      </c>
      <c r="M25" s="182">
        <f t="shared" si="5"/>
        <v>2.6582788226492928E-2</v>
      </c>
      <c r="N25" s="182">
        <f t="shared" si="3"/>
        <v>2.6552701206165836E-2</v>
      </c>
      <c r="O25" s="182" t="e">
        <f t="shared" si="4"/>
        <v>#N/A</v>
      </c>
      <c r="P25" s="163"/>
      <c r="AF25" s="181">
        <f>_xll.qlCalendarAdvance(Calendar,AF24,"1d","mf",,Trigger)</f>
        <v>41922</v>
      </c>
      <c r="AG25" s="192">
        <f>_xll.qlDayCounterYearFraction(DayCounterON,SettlementDate,AF25,,,Trigger)</f>
        <v>8.4931506849315067E-2</v>
      </c>
      <c r="AH25" s="182">
        <f t="shared" si="0"/>
        <v>2.0164139875218888E-3</v>
      </c>
      <c r="AI25" s="182">
        <f t="shared" si="1"/>
        <v>1.9557384965289155E-3</v>
      </c>
      <c r="AJ25" s="152" t="e">
        <f t="shared" si="2"/>
        <v>#N/A</v>
      </c>
    </row>
    <row r="26" spans="4:36" x14ac:dyDescent="0.2">
      <c r="D26" s="195" t="s">
        <v>41</v>
      </c>
      <c r="E26" s="149">
        <f>_xll.qlCalendarAdvance(Calendar,SettlementDate,"2D","f",,Trigger)</f>
        <v>41893</v>
      </c>
      <c r="F26" s="191">
        <f>_xll.qlCalendarAdvance(Calendar,E26,D26,"Following",,Trigger)</f>
        <v>42046</v>
      </c>
      <c r="G26" s="192" t="str">
        <f>_xll.qlMakeDatedOIS(,E26,F26,OvernightIndex,0,,,,EvaluationDate)</f>
        <v>obj_00261#0000</v>
      </c>
      <c r="H26" s="217" t="b">
        <f>_xll.qlInstrumentSetPricingEngine(G26,OisEngine)</f>
        <v>1</v>
      </c>
      <c r="I26" s="151">
        <f>_xll.qlOvernightIndexedSwapFairRate(G26,_xll.ohTrigger(InterestRatesTrigger))</f>
        <v>2.4556518431679442E-2</v>
      </c>
      <c r="J26" s="231">
        <f>_xll.qlDayCounterYearFraction(DayCounterOIS,E26,F26,,,Trigger)</f>
        <v>0.41917808219178082</v>
      </c>
      <c r="K26" s="231">
        <f>_xll.qlDayCounterYearFraction(DayCounter6M,E26,F26,,,Trigger)</f>
        <v>0.41917808219178082</v>
      </c>
      <c r="L26" s="231">
        <f>_xll.qlDayCounterYearFraction(DayCounterON,E26,F26,,,Trigger)</f>
        <v>0.41917808219178082</v>
      </c>
      <c r="M26" s="182">
        <f t="shared" si="5"/>
        <v>2.657293241920133E-2</v>
      </c>
      <c r="N26" s="182">
        <f t="shared" si="3"/>
        <v>2.6557888909037781E-2</v>
      </c>
      <c r="O26" s="182" t="e">
        <f t="shared" si="4"/>
        <v>#N/A</v>
      </c>
      <c r="P26" s="163"/>
      <c r="AF26" s="181">
        <f>_xll.qlCalendarAdvance(Calendar,AF25,"1d","mf",,Trigger)</f>
        <v>41925</v>
      </c>
      <c r="AG26" s="192">
        <f>_xll.qlDayCounterYearFraction(DayCounterON,SettlementDate,AF26,,,Trigger)</f>
        <v>9.3150684931506855E-2</v>
      </c>
      <c r="AH26" s="182">
        <f t="shared" si="0"/>
        <v>2.0164139875218888E-3</v>
      </c>
      <c r="AI26" s="182">
        <f t="shared" si="1"/>
        <v>1.9587471985616249E-3</v>
      </c>
      <c r="AJ26" s="152" t="e">
        <f t="shared" si="2"/>
        <v>#N/A</v>
      </c>
    </row>
    <row r="27" spans="4:36" ht="12" thickBot="1" x14ac:dyDescent="0.25">
      <c r="D27" s="196" t="s">
        <v>34</v>
      </c>
      <c r="E27" s="154">
        <f>_xll.qlCalendarAdvance(Calendar,SettlementDate,"2D","f",,Trigger)</f>
        <v>41893</v>
      </c>
      <c r="F27" s="193">
        <f>_xll.qlCalendarAdvance(Calendar,E27,D27,"Following",,Trigger)</f>
        <v>42074</v>
      </c>
      <c r="G27" s="194" t="str">
        <f>_xll.qlMakeDatedOIS(,E27,F27,OvernightIndex,0,,,,EvaluationDate)</f>
        <v>obj_00264#0000</v>
      </c>
      <c r="H27" s="218" t="b">
        <f>_xll.qlInstrumentSetPricingEngine(G27,OisEngine)</f>
        <v>1</v>
      </c>
      <c r="I27" s="156">
        <f>_xll.qlOvernightIndexedSwapFairRate(G27,_xll.ohTrigger(InterestRatesTrigger))</f>
        <v>2.4556757949082735E-2</v>
      </c>
      <c r="J27" s="234">
        <f>_xll.qlDayCounterYearFraction(DayCounterOIS,E27,F27,,,Trigger)</f>
        <v>0.49589041095890413</v>
      </c>
      <c r="K27" s="234">
        <f>_xll.qlDayCounterYearFraction(DayCounter6M,E27,F27,,,Trigger)</f>
        <v>0.49589041095890413</v>
      </c>
      <c r="L27" s="234">
        <f>_xll.qlDayCounterYearFraction(DayCounterON,E27,F27,,,Trigger)</f>
        <v>0.49589041095890413</v>
      </c>
      <c r="M27" s="184">
        <f t="shared" si="5"/>
        <v>2.6573171936604623E-2</v>
      </c>
      <c r="N27" s="184">
        <f t="shared" si="3"/>
        <v>2.6572169035927056E-2</v>
      </c>
      <c r="O27" s="184" t="e">
        <f t="shared" si="4"/>
        <v>#N/A</v>
      </c>
      <c r="P27" s="163"/>
      <c r="AF27" s="181">
        <f>_xll.qlCalendarAdvance(Calendar,AF26,"1d","mf",,Trigger)</f>
        <v>41926</v>
      </c>
      <c r="AG27" s="192">
        <f>_xll.qlDayCounterYearFraction(DayCounterON,SettlementDate,AF27,,,Trigger)</f>
        <v>9.5890410958904104E-2</v>
      </c>
      <c r="AH27" s="182">
        <f t="shared" si="0"/>
        <v>2.0164139875218888E-3</v>
      </c>
      <c r="AI27" s="182">
        <f t="shared" si="1"/>
        <v>1.9597500992391947E-3</v>
      </c>
      <c r="AJ27" s="152" t="e">
        <f t="shared" si="2"/>
        <v>#N/A</v>
      </c>
    </row>
    <row r="28" spans="4:36" x14ac:dyDescent="0.2">
      <c r="AF28" s="181">
        <f>_xll.qlCalendarAdvance(Calendar,AF27,"1d","mf",,Trigger)</f>
        <v>41927</v>
      </c>
      <c r="AG28" s="192">
        <f>_xll.qlDayCounterYearFraction(DayCounterON,SettlementDate,AF28,,,Trigger)</f>
        <v>9.8630136986301367E-2</v>
      </c>
      <c r="AH28" s="182">
        <f t="shared" si="0"/>
        <v>2.0164139875218888E-3</v>
      </c>
      <c r="AI28" s="182">
        <f t="shared" si="1"/>
        <v>1.9607529999167645E-3</v>
      </c>
      <c r="AJ28" s="152" t="e">
        <f t="shared" si="2"/>
        <v>#N/A</v>
      </c>
    </row>
    <row r="29" spans="4:36" ht="12" thickBot="1" x14ac:dyDescent="0.25">
      <c r="AF29" s="181">
        <f>_xll.qlCalendarAdvance(Calendar,AF28,"1d","mf",,Trigger)</f>
        <v>41928</v>
      </c>
      <c r="AG29" s="192">
        <f>_xll.qlDayCounterYearFraction(DayCounterON,SettlementDate,AF29,,,Trigger)</f>
        <v>0.10136986301369863</v>
      </c>
      <c r="AH29" s="182">
        <f t="shared" si="0"/>
        <v>2.0164139875218888E-3</v>
      </c>
      <c r="AI29" s="182">
        <f t="shared" si="1"/>
        <v>1.9617559005943343E-3</v>
      </c>
      <c r="AJ29" s="152" t="e">
        <f t="shared" si="2"/>
        <v>#N/A</v>
      </c>
    </row>
    <row r="30" spans="4:36" ht="12.75" customHeight="1" x14ac:dyDescent="0.2">
      <c r="D30" s="239" t="s">
        <v>102</v>
      </c>
      <c r="AF30" s="181">
        <f>_xll.qlCalendarAdvance(Calendar,AF29,"1d","mf",,Trigger)</f>
        <v>41929</v>
      </c>
      <c r="AG30" s="192">
        <f>_xll.qlDayCounterYearFraction(DayCounterON,SettlementDate,AF30,,,Trigger)</f>
        <v>0.10410958904109589</v>
      </c>
      <c r="AH30" s="182">
        <f t="shared" si="0"/>
        <v>2.0164139875218888E-3</v>
      </c>
      <c r="AI30" s="182">
        <f t="shared" si="1"/>
        <v>1.9627588012719041E-3</v>
      </c>
      <c r="AJ30" s="152" t="e">
        <f t="shared" si="2"/>
        <v>#N/A</v>
      </c>
    </row>
    <row r="31" spans="4:36" x14ac:dyDescent="0.2">
      <c r="D31" s="243" t="s">
        <v>69</v>
      </c>
      <c r="AF31" s="181">
        <f>_xll.qlCalendarAdvance(Calendar,AF30,"1d","mf",,Trigger)</f>
        <v>41932</v>
      </c>
      <c r="AG31" s="192">
        <f>_xll.qlDayCounterYearFraction(DayCounterON,SettlementDate,AF31,,,Trigger)</f>
        <v>0.11232876712328767</v>
      </c>
      <c r="AH31" s="182">
        <f t="shared" si="0"/>
        <v>2.0164139875218888E-3</v>
      </c>
      <c r="AI31" s="182">
        <f t="shared" si="1"/>
        <v>1.9657675033046135E-3</v>
      </c>
      <c r="AJ31" s="152" t="e">
        <f t="shared" si="2"/>
        <v>#N/A</v>
      </c>
    </row>
    <row r="32" spans="4:36" x14ac:dyDescent="0.2">
      <c r="D32" s="182">
        <f t="shared" ref="D32:D41" si="6">IF($D$31="FLAT",M18,IF($D$31="linear",N18,O18))</f>
        <v>2.6580622639486916E-2</v>
      </c>
      <c r="AF32" s="181">
        <f>_xll.qlCalendarAdvance(Calendar,AF31,"1d","mf",,Trigger)</f>
        <v>41933</v>
      </c>
      <c r="AG32" s="192">
        <f>_xll.qlDayCounterYearFraction(DayCounterON,SettlementDate,AF32,,,Trigger)</f>
        <v>0.11506849315068493</v>
      </c>
      <c r="AH32" s="182">
        <f t="shared" si="0"/>
        <v>2.0164139875218888E-3</v>
      </c>
      <c r="AI32" s="182">
        <f t="shared" si="1"/>
        <v>1.9667704039821833E-3</v>
      </c>
      <c r="AJ32" s="152" t="e">
        <f t="shared" si="2"/>
        <v>#N/A</v>
      </c>
    </row>
    <row r="33" spans="4:36" x14ac:dyDescent="0.2">
      <c r="D33" s="182">
        <f t="shared" si="6"/>
        <v>2.6584031420015676E-2</v>
      </c>
      <c r="AF33" s="181">
        <f>_xll.qlCalendarAdvance(Calendar,AF32,"1d","mf",,Trigger)</f>
        <v>41934</v>
      </c>
      <c r="AG33" s="192">
        <f>_xll.qlDayCounterYearFraction(DayCounterON,SettlementDate,AF33,,,Trigger)</f>
        <v>0.11780821917808219</v>
      </c>
      <c r="AH33" s="182">
        <f t="shared" si="0"/>
        <v>2.0164139875218888E-3</v>
      </c>
      <c r="AI33" s="182">
        <f t="shared" si="1"/>
        <v>1.9677733046597531E-3</v>
      </c>
      <c r="AJ33" s="152" t="e">
        <f t="shared" si="2"/>
        <v>#N/A</v>
      </c>
    </row>
    <row r="34" spans="4:36" x14ac:dyDescent="0.2">
      <c r="D34" s="182">
        <f t="shared" si="6"/>
        <v>2.6584902396606401E-2</v>
      </c>
      <c r="AF34" s="181">
        <f>_xll.qlCalendarAdvance(Calendar,AF33,"1d","mf",,Trigger)</f>
        <v>41935</v>
      </c>
      <c r="AG34" s="192">
        <f>_xll.qlDayCounterYearFraction(DayCounterON,SettlementDate,AF34,,,Trigger)</f>
        <v>0.12054794520547946</v>
      </c>
      <c r="AH34" s="182">
        <f t="shared" si="0"/>
        <v>2.0164139875218888E-3</v>
      </c>
      <c r="AI34" s="182">
        <f t="shared" si="1"/>
        <v>1.9687762053373229E-3</v>
      </c>
      <c r="AJ34" s="152" t="e">
        <f t="shared" si="2"/>
        <v>#N/A</v>
      </c>
    </row>
    <row r="35" spans="4:36" x14ac:dyDescent="0.2">
      <c r="D35" s="182">
        <f t="shared" si="6"/>
        <v>2.6585059641673715E-2</v>
      </c>
      <c r="AF35" s="181">
        <f>_xll.qlCalendarAdvance(Calendar,AF34,"1d","mf",,Trigger)</f>
        <v>41936</v>
      </c>
      <c r="AG35" s="192">
        <f>_xll.qlDayCounterYearFraction(DayCounterON,SettlementDate,AF35,,,Trigger)</f>
        <v>0.12328767123287671</v>
      </c>
      <c r="AH35" s="182">
        <f t="shared" ref="AH35:AH66" si="7">$W$13</f>
        <v>2.0164139875218888E-3</v>
      </c>
      <c r="AI35" s="182">
        <f t="shared" ref="AI35:AI66" si="8">$W$10+$W$9*AG35</f>
        <v>1.9697791060148927E-3</v>
      </c>
      <c r="AJ35" s="152" t="e">
        <f t="shared" ref="AJ35:AJ66" si="9">($W$5+$W$4*AG35+$W$3*AG35^2)</f>
        <v>#N/A</v>
      </c>
    </row>
    <row r="36" spans="4:36" x14ac:dyDescent="0.2">
      <c r="D36" s="182">
        <f t="shared" si="6"/>
        <v>2.6584748519533036E-2</v>
      </c>
      <c r="AF36" s="181">
        <f>_xll.qlCalendarAdvance(Calendar,AF35,"1d","mf",,Trigger)</f>
        <v>41939</v>
      </c>
      <c r="AG36" s="192">
        <f>_xll.qlDayCounterYearFraction(DayCounterON,SettlementDate,AF36,,,Trigger)</f>
        <v>0.13150684931506848</v>
      </c>
      <c r="AH36" s="182">
        <f t="shared" si="7"/>
        <v>2.0164139875218888E-3</v>
      </c>
      <c r="AI36" s="182">
        <f t="shared" si="8"/>
        <v>1.9727878080476021E-3</v>
      </c>
      <c r="AJ36" s="152" t="e">
        <f t="shared" si="9"/>
        <v>#N/A</v>
      </c>
    </row>
    <row r="37" spans="4:36" x14ac:dyDescent="0.2">
      <c r="D37" s="182">
        <f t="shared" si="6"/>
        <v>2.658568579083968E-2</v>
      </c>
      <c r="AF37" s="181">
        <f>_xll.qlCalendarAdvance(Calendar,AF36,"1d","mf",,Trigger)</f>
        <v>41940</v>
      </c>
      <c r="AG37" s="192">
        <f>_xll.qlDayCounterYearFraction(DayCounterON,SettlementDate,AF37,,,Trigger)</f>
        <v>0.13424657534246576</v>
      </c>
      <c r="AH37" s="182">
        <f t="shared" si="7"/>
        <v>2.0164139875218888E-3</v>
      </c>
      <c r="AI37" s="182">
        <f t="shared" si="8"/>
        <v>1.9737907087251719E-3</v>
      </c>
      <c r="AJ37" s="152" t="e">
        <f t="shared" si="9"/>
        <v>#N/A</v>
      </c>
    </row>
    <row r="38" spans="4:36" x14ac:dyDescent="0.2">
      <c r="D38" s="182">
        <f t="shared" si="6"/>
        <v>2.6579977335670295E-2</v>
      </c>
      <c r="AF38" s="181">
        <f>_xll.qlCalendarAdvance(Calendar,AF37,"1d","mf",,Trigger)</f>
        <v>41941</v>
      </c>
      <c r="AG38" s="192">
        <f>_xll.qlDayCounterYearFraction(DayCounterON,SettlementDate,AF38,,,Trigger)</f>
        <v>0.13698630136986301</v>
      </c>
      <c r="AH38" s="182">
        <f t="shared" si="7"/>
        <v>2.0164139875218888E-3</v>
      </c>
      <c r="AI38" s="182">
        <f t="shared" si="8"/>
        <v>1.9747936094027417E-3</v>
      </c>
      <c r="AJ38" s="152" t="e">
        <f t="shared" si="9"/>
        <v>#N/A</v>
      </c>
    </row>
    <row r="39" spans="4:36" x14ac:dyDescent="0.2">
      <c r="D39" s="182">
        <f t="shared" si="6"/>
        <v>2.6552701206165836E-2</v>
      </c>
      <c r="AF39" s="181">
        <f>_xll.qlCalendarAdvance(Calendar,AF38,"1d","mf",,Trigger)</f>
        <v>41942</v>
      </c>
      <c r="AG39" s="192">
        <f>_xll.qlDayCounterYearFraction(DayCounterON,SettlementDate,AF39,,,Trigger)</f>
        <v>0.13972602739726028</v>
      </c>
      <c r="AH39" s="182">
        <f t="shared" si="7"/>
        <v>2.0164139875218888E-3</v>
      </c>
      <c r="AI39" s="182">
        <f t="shared" si="8"/>
        <v>1.9757965100803115E-3</v>
      </c>
      <c r="AJ39" s="152" t="e">
        <f t="shared" si="9"/>
        <v>#N/A</v>
      </c>
    </row>
    <row r="40" spans="4:36" x14ac:dyDescent="0.2">
      <c r="D40" s="182">
        <f t="shared" si="6"/>
        <v>2.6557888909037781E-2</v>
      </c>
      <c r="AF40" s="181">
        <f>_xll.qlCalendarAdvance(Calendar,AF39,"1d","mf",,Trigger)</f>
        <v>41943</v>
      </c>
      <c r="AG40" s="192">
        <f>_xll.qlDayCounterYearFraction(DayCounterON,SettlementDate,AF40,,,Trigger)</f>
        <v>0.14246575342465753</v>
      </c>
      <c r="AH40" s="182">
        <f t="shared" si="7"/>
        <v>2.0164139875218888E-3</v>
      </c>
      <c r="AI40" s="182">
        <f t="shared" si="8"/>
        <v>1.9767994107578813E-3</v>
      </c>
      <c r="AJ40" s="152" t="e">
        <f t="shared" si="9"/>
        <v>#N/A</v>
      </c>
    </row>
    <row r="41" spans="4:36" ht="12" thickBot="1" x14ac:dyDescent="0.25">
      <c r="D41" s="184">
        <f t="shared" si="6"/>
        <v>2.6572169035927056E-2</v>
      </c>
      <c r="AF41" s="181">
        <f>_xll.qlCalendarAdvance(Calendar,AF40,"1d","mf",,Trigger)</f>
        <v>41946</v>
      </c>
      <c r="AG41" s="192">
        <f>_xll.qlDayCounterYearFraction(DayCounterON,SettlementDate,AF41,,,Trigger)</f>
        <v>0.15068493150684931</v>
      </c>
      <c r="AH41" s="182">
        <f t="shared" si="7"/>
        <v>2.0164139875218888E-3</v>
      </c>
      <c r="AI41" s="182">
        <f t="shared" si="8"/>
        <v>1.9798081127905911E-3</v>
      </c>
      <c r="AJ41" s="152" t="e">
        <f t="shared" si="9"/>
        <v>#N/A</v>
      </c>
    </row>
    <row r="42" spans="4:36" x14ac:dyDescent="0.2">
      <c r="AF42" s="181">
        <f>_xll.qlCalendarAdvance(Calendar,AF41,"1d","mf",,Trigger)</f>
        <v>41947</v>
      </c>
      <c r="AG42" s="192">
        <f>_xll.qlDayCounterYearFraction(DayCounterON,SettlementDate,AF42,,,Trigger)</f>
        <v>0.15342465753424658</v>
      </c>
      <c r="AH42" s="182">
        <f t="shared" si="7"/>
        <v>2.0164139875218888E-3</v>
      </c>
      <c r="AI42" s="182">
        <f t="shared" si="8"/>
        <v>1.9808110134681609E-3</v>
      </c>
      <c r="AJ42" s="152" t="e">
        <f t="shared" si="9"/>
        <v>#N/A</v>
      </c>
    </row>
    <row r="43" spans="4:36" ht="11.25" customHeight="1" x14ac:dyDescent="0.2">
      <c r="N43" s="241"/>
      <c r="AF43" s="181">
        <f>_xll.qlCalendarAdvance(Calendar,AF42,"1d","mf",,Trigger)</f>
        <v>41948</v>
      </c>
      <c r="AG43" s="192">
        <f>_xll.qlDayCounterYearFraction(DayCounterON,SettlementDate,AF43,,,Trigger)</f>
        <v>0.15616438356164383</v>
      </c>
      <c r="AH43" s="182">
        <f t="shared" si="7"/>
        <v>2.0164139875218888E-3</v>
      </c>
      <c r="AI43" s="182">
        <f t="shared" si="8"/>
        <v>1.9818139141457307E-3</v>
      </c>
      <c r="AJ43" s="152" t="e">
        <f t="shared" si="9"/>
        <v>#N/A</v>
      </c>
    </row>
    <row r="44" spans="4:36" x14ac:dyDescent="0.2">
      <c r="J44" s="163"/>
      <c r="K44" s="163"/>
      <c r="N44" s="241"/>
      <c r="AF44" s="181">
        <f>_xll.qlCalendarAdvance(Calendar,AF43,"1d","mf",,Trigger)</f>
        <v>41949</v>
      </c>
      <c r="AG44" s="192">
        <f>_xll.qlDayCounterYearFraction(DayCounterON,SettlementDate,AF44,,,Trigger)</f>
        <v>0.15890410958904111</v>
      </c>
      <c r="AH44" s="182">
        <f t="shared" si="7"/>
        <v>2.0164139875218888E-3</v>
      </c>
      <c r="AI44" s="182">
        <f t="shared" si="8"/>
        <v>1.9828168148233005E-3</v>
      </c>
      <c r="AJ44" s="152" t="e">
        <f t="shared" si="9"/>
        <v>#N/A</v>
      </c>
    </row>
    <row r="45" spans="4:36" x14ac:dyDescent="0.2">
      <c r="N45" s="241"/>
      <c r="AF45" s="181">
        <f>_xll.qlCalendarAdvance(Calendar,AF44,"1d","mf",,Trigger)</f>
        <v>41950</v>
      </c>
      <c r="AG45" s="192">
        <f>_xll.qlDayCounterYearFraction(DayCounterON,SettlementDate,AF45,,,Trigger)</f>
        <v>0.16164383561643836</v>
      </c>
      <c r="AH45" s="182">
        <f t="shared" si="7"/>
        <v>2.0164139875218888E-3</v>
      </c>
      <c r="AI45" s="182">
        <f t="shared" si="8"/>
        <v>1.9838197155008703E-3</v>
      </c>
      <c r="AJ45" s="152" t="e">
        <f t="shared" si="9"/>
        <v>#N/A</v>
      </c>
    </row>
    <row r="46" spans="4:36" x14ac:dyDescent="0.2">
      <c r="N46" s="241"/>
      <c r="AF46" s="181">
        <f>_xll.qlCalendarAdvance(Calendar,AF45,"1d","mf",,Trigger)</f>
        <v>41953</v>
      </c>
      <c r="AG46" s="192">
        <f>_xll.qlDayCounterYearFraction(DayCounterON,SettlementDate,AF46,,,Trigger)</f>
        <v>0.16986301369863013</v>
      </c>
      <c r="AH46" s="182">
        <f t="shared" si="7"/>
        <v>2.0164139875218888E-3</v>
      </c>
      <c r="AI46" s="182">
        <f t="shared" si="8"/>
        <v>1.9868284175335797E-3</v>
      </c>
      <c r="AJ46" s="152" t="e">
        <f t="shared" si="9"/>
        <v>#N/A</v>
      </c>
    </row>
    <row r="47" spans="4:36" x14ac:dyDescent="0.2">
      <c r="N47" s="241"/>
      <c r="AF47" s="181">
        <f>_xll.qlCalendarAdvance(Calendar,AF46,"1d","mf",,Trigger)</f>
        <v>41954</v>
      </c>
      <c r="AG47" s="192">
        <f>_xll.qlDayCounterYearFraction(DayCounterON,SettlementDate,AF47,,,Trigger)</f>
        <v>0.17260273972602741</v>
      </c>
      <c r="AH47" s="182">
        <f t="shared" si="7"/>
        <v>2.0164139875218888E-3</v>
      </c>
      <c r="AI47" s="182">
        <f t="shared" si="8"/>
        <v>1.9878313182111495E-3</v>
      </c>
      <c r="AJ47" s="152" t="e">
        <f t="shared" si="9"/>
        <v>#N/A</v>
      </c>
    </row>
    <row r="48" spans="4:36" x14ac:dyDescent="0.2">
      <c r="AF48" s="181">
        <f>_xll.qlCalendarAdvance(Calendar,AF47,"1d","mf",,Trigger)</f>
        <v>41955</v>
      </c>
      <c r="AG48" s="192">
        <f>_xll.qlDayCounterYearFraction(DayCounterON,SettlementDate,AF48,,,Trigger)</f>
        <v>0.17534246575342466</v>
      </c>
      <c r="AH48" s="182">
        <f t="shared" si="7"/>
        <v>2.0164139875218888E-3</v>
      </c>
      <c r="AI48" s="182">
        <f t="shared" si="8"/>
        <v>1.9888342188887193E-3</v>
      </c>
      <c r="AJ48" s="152" t="e">
        <f t="shared" si="9"/>
        <v>#N/A</v>
      </c>
    </row>
    <row r="49" spans="10:36" x14ac:dyDescent="0.2">
      <c r="AF49" s="181">
        <f>_xll.qlCalendarAdvance(Calendar,AF48,"1d","mf",,Trigger)</f>
        <v>41956</v>
      </c>
      <c r="AG49" s="192">
        <f>_xll.qlDayCounterYearFraction(DayCounterON,SettlementDate,AF49,,,Trigger)</f>
        <v>0.17808219178082191</v>
      </c>
      <c r="AH49" s="182">
        <f t="shared" si="7"/>
        <v>2.0164139875218888E-3</v>
      </c>
      <c r="AI49" s="182">
        <f t="shared" si="8"/>
        <v>1.9898371195662891E-3</v>
      </c>
      <c r="AJ49" s="152" t="e">
        <f t="shared" si="9"/>
        <v>#N/A</v>
      </c>
    </row>
    <row r="50" spans="10:36" x14ac:dyDescent="0.2">
      <c r="AF50" s="181">
        <f>_xll.qlCalendarAdvance(Calendar,AF49,"1d","mf",,Trigger)</f>
        <v>41957</v>
      </c>
      <c r="AG50" s="192">
        <f>_xll.qlDayCounterYearFraction(DayCounterON,SettlementDate,AF50,,,Trigger)</f>
        <v>0.18082191780821918</v>
      </c>
      <c r="AH50" s="182">
        <f t="shared" si="7"/>
        <v>2.0164139875218888E-3</v>
      </c>
      <c r="AI50" s="182">
        <f t="shared" si="8"/>
        <v>1.9908400202438589E-3</v>
      </c>
      <c r="AJ50" s="152" t="e">
        <f t="shared" si="9"/>
        <v>#N/A</v>
      </c>
    </row>
    <row r="51" spans="10:36" x14ac:dyDescent="0.2">
      <c r="AF51" s="181">
        <f>_xll.qlCalendarAdvance(Calendar,AF50,"1d","mf",,Trigger)</f>
        <v>41960</v>
      </c>
      <c r="AG51" s="192">
        <f>_xll.qlDayCounterYearFraction(DayCounterON,SettlementDate,AF51,,,Trigger)</f>
        <v>0.18904109589041096</v>
      </c>
      <c r="AH51" s="182">
        <f t="shared" si="7"/>
        <v>2.0164139875218888E-3</v>
      </c>
      <c r="AI51" s="182">
        <f t="shared" si="8"/>
        <v>1.9938487222765683E-3</v>
      </c>
      <c r="AJ51" s="152" t="e">
        <f t="shared" si="9"/>
        <v>#N/A</v>
      </c>
    </row>
    <row r="52" spans="10:36" x14ac:dyDescent="0.2">
      <c r="AF52" s="181">
        <f>_xll.qlCalendarAdvance(Calendar,AF51,"1d","mf",,Trigger)</f>
        <v>41961</v>
      </c>
      <c r="AG52" s="192">
        <f>_xll.qlDayCounterYearFraction(DayCounterON,SettlementDate,AF52,,,Trigger)</f>
        <v>0.19178082191780821</v>
      </c>
      <c r="AH52" s="182">
        <f t="shared" si="7"/>
        <v>2.0164139875218888E-3</v>
      </c>
      <c r="AI52" s="182">
        <f t="shared" si="8"/>
        <v>1.9948516229541381E-3</v>
      </c>
      <c r="AJ52" s="152" t="e">
        <f t="shared" si="9"/>
        <v>#N/A</v>
      </c>
    </row>
    <row r="53" spans="10:36" x14ac:dyDescent="0.2">
      <c r="AF53" s="181">
        <f>_xll.qlCalendarAdvance(Calendar,AF52,"1d","mf",,Trigger)</f>
        <v>41962</v>
      </c>
      <c r="AG53" s="192">
        <f>_xll.qlDayCounterYearFraction(DayCounterON,SettlementDate,AF53,,,Trigger)</f>
        <v>0.19452054794520549</v>
      </c>
      <c r="AH53" s="182">
        <f t="shared" si="7"/>
        <v>2.0164139875218888E-3</v>
      </c>
      <c r="AI53" s="182">
        <f t="shared" si="8"/>
        <v>1.9958545236317079E-3</v>
      </c>
      <c r="AJ53" s="152" t="e">
        <f t="shared" si="9"/>
        <v>#N/A</v>
      </c>
    </row>
    <row r="54" spans="10:36" x14ac:dyDescent="0.2">
      <c r="AF54" s="181">
        <f>_xll.qlCalendarAdvance(Calendar,AF53,"1d","mf",,Trigger)</f>
        <v>41963</v>
      </c>
      <c r="AG54" s="192">
        <f>_xll.qlDayCounterYearFraction(DayCounterON,SettlementDate,AF54,,,Trigger)</f>
        <v>0.19726027397260273</v>
      </c>
      <c r="AH54" s="182">
        <f t="shared" si="7"/>
        <v>2.0164139875218888E-3</v>
      </c>
      <c r="AI54" s="182">
        <f t="shared" si="8"/>
        <v>1.9968574243092777E-3</v>
      </c>
      <c r="AJ54" s="152" t="e">
        <f t="shared" si="9"/>
        <v>#N/A</v>
      </c>
    </row>
    <row r="55" spans="10:36" x14ac:dyDescent="0.2">
      <c r="AF55" s="181">
        <f>_xll.qlCalendarAdvance(Calendar,AF54,"1d","mf",,Trigger)</f>
        <v>41964</v>
      </c>
      <c r="AG55" s="192">
        <f>_xll.qlDayCounterYearFraction(DayCounterON,SettlementDate,AF55,,,Trigger)</f>
        <v>0.2</v>
      </c>
      <c r="AH55" s="182">
        <f t="shared" si="7"/>
        <v>2.0164139875218888E-3</v>
      </c>
      <c r="AI55" s="182">
        <f t="shared" si="8"/>
        <v>1.9978603249868475E-3</v>
      </c>
      <c r="AJ55" s="152" t="e">
        <f t="shared" si="9"/>
        <v>#N/A</v>
      </c>
    </row>
    <row r="56" spans="10:36" x14ac:dyDescent="0.2">
      <c r="AF56" s="181">
        <f>_xll.qlCalendarAdvance(Calendar,AF55,"1d","mf",,Trigger)</f>
        <v>41967</v>
      </c>
      <c r="AG56" s="192">
        <f>_xll.qlDayCounterYearFraction(DayCounterON,SettlementDate,AF56,,,Trigger)</f>
        <v>0.20821917808219179</v>
      </c>
      <c r="AH56" s="182">
        <f t="shared" si="7"/>
        <v>2.0164139875218888E-3</v>
      </c>
      <c r="AI56" s="182">
        <f t="shared" si="8"/>
        <v>2.0008690270195569E-3</v>
      </c>
      <c r="AJ56" s="152" t="e">
        <f t="shared" si="9"/>
        <v>#N/A</v>
      </c>
    </row>
    <row r="57" spans="10:36" x14ac:dyDescent="0.2">
      <c r="AF57" s="181">
        <f>_xll.qlCalendarAdvance(Calendar,AF56,"1d","mf",,Trigger)</f>
        <v>41968</v>
      </c>
      <c r="AG57" s="192">
        <f>_xll.qlDayCounterYearFraction(DayCounterON,SettlementDate,AF57,,,Trigger)</f>
        <v>0.21095890410958903</v>
      </c>
      <c r="AH57" s="182">
        <f t="shared" si="7"/>
        <v>2.0164139875218888E-3</v>
      </c>
      <c r="AI57" s="182">
        <f t="shared" si="8"/>
        <v>2.0018719276971267E-3</v>
      </c>
      <c r="AJ57" s="152" t="e">
        <f t="shared" si="9"/>
        <v>#N/A</v>
      </c>
    </row>
    <row r="58" spans="10:36" x14ac:dyDescent="0.2">
      <c r="AF58" s="181">
        <f>_xll.qlCalendarAdvance(Calendar,AF57,"1d","mf",,Trigger)</f>
        <v>41969</v>
      </c>
      <c r="AG58" s="192">
        <f>_xll.qlDayCounterYearFraction(DayCounterON,SettlementDate,AF58,,,Trigger)</f>
        <v>0.21369863013698631</v>
      </c>
      <c r="AH58" s="182">
        <f t="shared" si="7"/>
        <v>2.0164139875218888E-3</v>
      </c>
      <c r="AI58" s="182">
        <f t="shared" si="8"/>
        <v>2.0028748283746969E-3</v>
      </c>
      <c r="AJ58" s="152" t="e">
        <f t="shared" si="9"/>
        <v>#N/A</v>
      </c>
    </row>
    <row r="59" spans="10:36" x14ac:dyDescent="0.2">
      <c r="AF59" s="181">
        <f>_xll.qlCalendarAdvance(Calendar,AF58,"1d","mf",,Trigger)</f>
        <v>41970</v>
      </c>
      <c r="AG59" s="192">
        <f>_xll.qlDayCounterYearFraction(DayCounterON,SettlementDate,AF59,,,Trigger)</f>
        <v>0.21643835616438356</v>
      </c>
      <c r="AH59" s="182">
        <f t="shared" si="7"/>
        <v>2.0164139875218888E-3</v>
      </c>
      <c r="AI59" s="182">
        <f t="shared" si="8"/>
        <v>2.0038777290522667E-3</v>
      </c>
      <c r="AJ59" s="152" t="e">
        <f t="shared" si="9"/>
        <v>#N/A</v>
      </c>
    </row>
    <row r="60" spans="10:36" x14ac:dyDescent="0.2">
      <c r="AF60" s="181">
        <f>_xll.qlCalendarAdvance(Calendar,AF59,"1d","mf",,Trigger)</f>
        <v>41971</v>
      </c>
      <c r="AG60" s="192">
        <f>_xll.qlDayCounterYearFraction(DayCounterON,SettlementDate,AF60,,,Trigger)</f>
        <v>0.21917808219178081</v>
      </c>
      <c r="AH60" s="182">
        <f t="shared" si="7"/>
        <v>2.0164139875218888E-3</v>
      </c>
      <c r="AI60" s="182">
        <f t="shared" si="8"/>
        <v>2.0048806297298365E-3</v>
      </c>
      <c r="AJ60" s="152" t="e">
        <f t="shared" si="9"/>
        <v>#N/A</v>
      </c>
    </row>
    <row r="61" spans="10:36" x14ac:dyDescent="0.2">
      <c r="AF61" s="181">
        <f>_xll.qlCalendarAdvance(Calendar,AF60,"1d","mf",,Trigger)</f>
        <v>41974</v>
      </c>
      <c r="AG61" s="192">
        <f>_xll.qlDayCounterYearFraction(DayCounterON,SettlementDate,AF61,,,Trigger)</f>
        <v>0.22739726027397261</v>
      </c>
      <c r="AH61" s="182">
        <f t="shared" si="7"/>
        <v>2.0164139875218888E-3</v>
      </c>
      <c r="AI61" s="182">
        <f t="shared" si="8"/>
        <v>2.0078893317625459E-3</v>
      </c>
      <c r="AJ61" s="152" t="e">
        <f t="shared" si="9"/>
        <v>#N/A</v>
      </c>
    </row>
    <row r="62" spans="10:36" x14ac:dyDescent="0.2">
      <c r="AF62" s="181">
        <f>_xll.qlCalendarAdvance(Calendar,AF61,"1d","mf",,Trigger)</f>
        <v>41975</v>
      </c>
      <c r="AG62" s="192">
        <f>_xll.qlDayCounterYearFraction(DayCounterON,SettlementDate,AF62,,,Trigger)</f>
        <v>0.23013698630136986</v>
      </c>
      <c r="AH62" s="182">
        <f t="shared" si="7"/>
        <v>2.0164139875218888E-3</v>
      </c>
      <c r="AI62" s="182">
        <f t="shared" si="8"/>
        <v>2.0088922324401157E-3</v>
      </c>
      <c r="AJ62" s="152" t="e">
        <f t="shared" si="9"/>
        <v>#N/A</v>
      </c>
    </row>
    <row r="63" spans="10:36" x14ac:dyDescent="0.2">
      <c r="J63" s="163"/>
      <c r="AF63" s="181">
        <f>_xll.qlCalendarAdvance(Calendar,AF62,"1d","mf",,Trigger)</f>
        <v>41976</v>
      </c>
      <c r="AG63" s="192">
        <f>_xll.qlDayCounterYearFraction(DayCounterON,SettlementDate,AF63,,,Trigger)</f>
        <v>0.23287671232876711</v>
      </c>
      <c r="AH63" s="182">
        <f t="shared" si="7"/>
        <v>2.0164139875218888E-3</v>
      </c>
      <c r="AI63" s="182">
        <f t="shared" si="8"/>
        <v>2.0098951331176855E-3</v>
      </c>
      <c r="AJ63" s="152" t="e">
        <f t="shared" si="9"/>
        <v>#N/A</v>
      </c>
    </row>
    <row r="64" spans="10:36" x14ac:dyDescent="0.2">
      <c r="J64" s="163"/>
      <c r="AF64" s="181">
        <f>_xll.qlCalendarAdvance(Calendar,AF63,"1d","mf",,Trigger)</f>
        <v>41977</v>
      </c>
      <c r="AG64" s="192">
        <f>_xll.qlDayCounterYearFraction(DayCounterON,SettlementDate,AF64,,,Trigger)</f>
        <v>0.23561643835616439</v>
      </c>
      <c r="AH64" s="182">
        <f t="shared" si="7"/>
        <v>2.0164139875218888E-3</v>
      </c>
      <c r="AI64" s="182">
        <f t="shared" si="8"/>
        <v>2.0108980337952553E-3</v>
      </c>
      <c r="AJ64" s="152" t="e">
        <f t="shared" si="9"/>
        <v>#N/A</v>
      </c>
    </row>
    <row r="65" spans="10:36" x14ac:dyDescent="0.2">
      <c r="J65" s="163"/>
      <c r="AF65" s="181">
        <f>_xll.qlCalendarAdvance(Calendar,AF64,"1d","mf",,Trigger)</f>
        <v>41978</v>
      </c>
      <c r="AG65" s="192">
        <f>_xll.qlDayCounterYearFraction(DayCounterON,SettlementDate,AF65,,,Trigger)</f>
        <v>0.23835616438356164</v>
      </c>
      <c r="AH65" s="182">
        <f t="shared" si="7"/>
        <v>2.0164139875218888E-3</v>
      </c>
      <c r="AI65" s="182">
        <f t="shared" si="8"/>
        <v>2.0119009344728251E-3</v>
      </c>
      <c r="AJ65" s="152" t="e">
        <f t="shared" si="9"/>
        <v>#N/A</v>
      </c>
    </row>
    <row r="66" spans="10:36" x14ac:dyDescent="0.2">
      <c r="J66" s="163"/>
      <c r="AF66" s="181">
        <f>_xll.qlCalendarAdvance(Calendar,AF65,"1d","mf",,Trigger)</f>
        <v>41981</v>
      </c>
      <c r="AG66" s="192">
        <f>_xll.qlDayCounterYearFraction(DayCounterON,SettlementDate,AF66,,,Trigger)</f>
        <v>0.24657534246575341</v>
      </c>
      <c r="AH66" s="182">
        <f t="shared" si="7"/>
        <v>2.0164139875218888E-3</v>
      </c>
      <c r="AI66" s="182">
        <f t="shared" si="8"/>
        <v>2.0149096365055345E-3</v>
      </c>
      <c r="AJ66" s="152" t="e">
        <f t="shared" si="9"/>
        <v>#N/A</v>
      </c>
    </row>
    <row r="67" spans="10:36" x14ac:dyDescent="0.2">
      <c r="J67" s="163"/>
      <c r="AF67" s="181">
        <f>_xll.qlCalendarAdvance(Calendar,AF66,"1d","mf",,Trigger)</f>
        <v>41982</v>
      </c>
      <c r="AG67" s="192">
        <f>_xll.qlDayCounterYearFraction(DayCounterON,SettlementDate,AF67,,,Trigger)</f>
        <v>0.24931506849315069</v>
      </c>
      <c r="AH67" s="182">
        <f t="shared" ref="AH67:AH98" si="10">$W$13</f>
        <v>2.0164139875218888E-3</v>
      </c>
      <c r="AI67" s="182">
        <f t="shared" ref="AI67:AI98" si="11">$W$10+$W$9*AG67</f>
        <v>2.0159125371831043E-3</v>
      </c>
      <c r="AJ67" s="152" t="e">
        <f t="shared" ref="AJ67:AJ98" si="12">($W$5+$W$4*AG67+$W$3*AG67^2)</f>
        <v>#N/A</v>
      </c>
    </row>
    <row r="68" spans="10:36" x14ac:dyDescent="0.2">
      <c r="J68" s="163"/>
      <c r="AF68" s="181">
        <f>_xll.qlCalendarAdvance(Calendar,AF67,"1d","mf",,Trigger)</f>
        <v>41983</v>
      </c>
      <c r="AG68" s="192">
        <f>_xll.qlDayCounterYearFraction(DayCounterON,SettlementDate,AF68,,,Trigger)</f>
        <v>0.25205479452054796</v>
      </c>
      <c r="AH68" s="182">
        <f t="shared" si="10"/>
        <v>2.0164139875218888E-3</v>
      </c>
      <c r="AI68" s="182">
        <f t="shared" si="11"/>
        <v>2.0169154378606741E-3</v>
      </c>
      <c r="AJ68" s="152" t="e">
        <f t="shared" si="12"/>
        <v>#N/A</v>
      </c>
    </row>
    <row r="69" spans="10:36" x14ac:dyDescent="0.2">
      <c r="J69" s="163"/>
      <c r="K69" s="163"/>
      <c r="AF69" s="181">
        <f>_xll.qlCalendarAdvance(Calendar,AF68,"1d","mf",,Trigger)</f>
        <v>41984</v>
      </c>
      <c r="AG69" s="192">
        <f>_xll.qlDayCounterYearFraction(DayCounterON,SettlementDate,AF69,,,Trigger)</f>
        <v>0.25479452054794521</v>
      </c>
      <c r="AH69" s="182">
        <f t="shared" si="10"/>
        <v>2.0164139875218888E-3</v>
      </c>
      <c r="AI69" s="182">
        <f t="shared" si="11"/>
        <v>2.0179183385382439E-3</v>
      </c>
      <c r="AJ69" s="152" t="e">
        <f t="shared" si="12"/>
        <v>#N/A</v>
      </c>
    </row>
    <row r="70" spans="10:36" x14ac:dyDescent="0.2">
      <c r="J70" s="163"/>
      <c r="K70" s="163"/>
      <c r="AF70" s="181">
        <f>_xll.qlCalendarAdvance(Calendar,AF69,"1d","mf",,Trigger)</f>
        <v>41985</v>
      </c>
      <c r="AG70" s="192">
        <f>_xll.qlDayCounterYearFraction(DayCounterON,SettlementDate,AF70,,,Trigger)</f>
        <v>0.25753424657534246</v>
      </c>
      <c r="AH70" s="182">
        <f t="shared" si="10"/>
        <v>2.0164139875218888E-3</v>
      </c>
      <c r="AI70" s="182">
        <f t="shared" si="11"/>
        <v>2.0189212392158137E-3</v>
      </c>
      <c r="AJ70" s="152" t="e">
        <f t="shared" si="12"/>
        <v>#N/A</v>
      </c>
    </row>
    <row r="71" spans="10:36" x14ac:dyDescent="0.2">
      <c r="J71" s="163"/>
      <c r="K71" s="163"/>
      <c r="AF71" s="181">
        <f>_xll.qlCalendarAdvance(Calendar,AF70,"1d","mf",,Trigger)</f>
        <v>41988</v>
      </c>
      <c r="AG71" s="192">
        <f>_xll.qlDayCounterYearFraction(DayCounterON,SettlementDate,AF71,,,Trigger)</f>
        <v>0.26575342465753427</v>
      </c>
      <c r="AH71" s="182">
        <f t="shared" si="10"/>
        <v>2.0164139875218888E-3</v>
      </c>
      <c r="AI71" s="182">
        <f t="shared" si="11"/>
        <v>2.0219299412485231E-3</v>
      </c>
      <c r="AJ71" s="152" t="e">
        <f t="shared" si="12"/>
        <v>#N/A</v>
      </c>
    </row>
    <row r="72" spans="10:36" x14ac:dyDescent="0.2">
      <c r="J72" s="163"/>
      <c r="K72" s="163"/>
      <c r="AF72" s="181">
        <f>_xll.qlCalendarAdvance(Calendar,AF71,"1d","mf",,Trigger)</f>
        <v>41989</v>
      </c>
      <c r="AG72" s="192">
        <f>_xll.qlDayCounterYearFraction(DayCounterON,SettlementDate,AF72,,,Trigger)</f>
        <v>0.26849315068493151</v>
      </c>
      <c r="AH72" s="182">
        <f t="shared" si="10"/>
        <v>2.0164139875218888E-3</v>
      </c>
      <c r="AI72" s="182">
        <f t="shared" si="11"/>
        <v>2.0229328419260929E-3</v>
      </c>
      <c r="AJ72" s="152" t="e">
        <f t="shared" si="12"/>
        <v>#N/A</v>
      </c>
    </row>
    <row r="73" spans="10:36" x14ac:dyDescent="0.2">
      <c r="J73" s="163"/>
      <c r="K73" s="163"/>
      <c r="AF73" s="181">
        <f>_xll.qlCalendarAdvance(Calendar,AF72,"1d","mf",,Trigger)</f>
        <v>41990</v>
      </c>
      <c r="AG73" s="192">
        <f>_xll.qlDayCounterYearFraction(DayCounterON,SettlementDate,AF73,,,Trigger)</f>
        <v>0.27123287671232876</v>
      </c>
      <c r="AH73" s="182">
        <f t="shared" si="10"/>
        <v>2.0164139875218888E-3</v>
      </c>
      <c r="AI73" s="182">
        <f t="shared" si="11"/>
        <v>2.0239357426036627E-3</v>
      </c>
      <c r="AJ73" s="152" t="e">
        <f t="shared" si="12"/>
        <v>#N/A</v>
      </c>
    </row>
    <row r="74" spans="10:36" x14ac:dyDescent="0.2">
      <c r="J74" s="163"/>
      <c r="K74" s="163"/>
      <c r="AF74" s="181">
        <f>_xll.qlCalendarAdvance(Calendar,AF73,"1d","mf",,Trigger)</f>
        <v>41991</v>
      </c>
      <c r="AG74" s="192">
        <f>_xll.qlDayCounterYearFraction(DayCounterON,SettlementDate,AF74,,,Trigger)</f>
        <v>0.27397260273972601</v>
      </c>
      <c r="AH74" s="182">
        <f t="shared" si="10"/>
        <v>2.0164139875218888E-3</v>
      </c>
      <c r="AI74" s="182">
        <f t="shared" si="11"/>
        <v>2.0249386432812325E-3</v>
      </c>
      <c r="AJ74" s="152" t="e">
        <f t="shared" si="12"/>
        <v>#N/A</v>
      </c>
    </row>
    <row r="75" spans="10:36" x14ac:dyDescent="0.2">
      <c r="J75" s="163"/>
      <c r="K75" s="163"/>
      <c r="AF75" s="181">
        <f>_xll.qlCalendarAdvance(Calendar,AF74,"1d","mf",,Trigger)</f>
        <v>41992</v>
      </c>
      <c r="AG75" s="192">
        <f>_xll.qlDayCounterYearFraction(DayCounterON,SettlementDate,AF75,,,Trigger)</f>
        <v>0.27671232876712326</v>
      </c>
      <c r="AH75" s="182">
        <f t="shared" si="10"/>
        <v>2.0164139875218888E-3</v>
      </c>
      <c r="AI75" s="182">
        <f t="shared" si="11"/>
        <v>2.0259415439588023E-3</v>
      </c>
      <c r="AJ75" s="152" t="e">
        <f t="shared" si="12"/>
        <v>#N/A</v>
      </c>
    </row>
    <row r="76" spans="10:36" x14ac:dyDescent="0.2">
      <c r="J76" s="163"/>
      <c r="K76" s="163"/>
      <c r="AF76" s="181">
        <f>_xll.qlCalendarAdvance(Calendar,AF75,"1d","mf",,Trigger)</f>
        <v>41995</v>
      </c>
      <c r="AG76" s="192">
        <f>_xll.qlDayCounterYearFraction(DayCounterON,SettlementDate,AF76,,,Trigger)</f>
        <v>0.28493150684931506</v>
      </c>
      <c r="AH76" s="182">
        <f t="shared" si="10"/>
        <v>2.0164139875218888E-3</v>
      </c>
      <c r="AI76" s="182">
        <f t="shared" si="11"/>
        <v>2.0289502459915117E-3</v>
      </c>
      <c r="AJ76" s="152" t="e">
        <f t="shared" si="12"/>
        <v>#N/A</v>
      </c>
    </row>
    <row r="77" spans="10:36" x14ac:dyDescent="0.2">
      <c r="J77" s="163"/>
      <c r="K77" s="163"/>
      <c r="AF77" s="181">
        <f>_xll.qlCalendarAdvance(Calendar,AF76,"1d","mf",,Trigger)</f>
        <v>41996</v>
      </c>
      <c r="AG77" s="192">
        <f>_xll.qlDayCounterYearFraction(DayCounterON,SettlementDate,AF77,,,Trigger)</f>
        <v>0.28767123287671231</v>
      </c>
      <c r="AH77" s="182">
        <f t="shared" si="10"/>
        <v>2.0164139875218888E-3</v>
      </c>
      <c r="AI77" s="182">
        <f t="shared" si="11"/>
        <v>2.0299531466690815E-3</v>
      </c>
      <c r="AJ77" s="152" t="e">
        <f t="shared" si="12"/>
        <v>#N/A</v>
      </c>
    </row>
    <row r="78" spans="10:36" x14ac:dyDescent="0.2">
      <c r="J78" s="163"/>
      <c r="K78" s="163"/>
      <c r="AF78" s="181">
        <f>_xll.qlCalendarAdvance(Calendar,AF77,"1d","mf",,Trigger)</f>
        <v>41997</v>
      </c>
      <c r="AG78" s="192">
        <f>_xll.qlDayCounterYearFraction(DayCounterON,SettlementDate,AF78,,,Trigger)</f>
        <v>0.29041095890410956</v>
      </c>
      <c r="AH78" s="182">
        <f t="shared" si="10"/>
        <v>2.0164139875218888E-3</v>
      </c>
      <c r="AI78" s="182">
        <f t="shared" si="11"/>
        <v>2.0309560473466518E-3</v>
      </c>
      <c r="AJ78" s="152" t="e">
        <f t="shared" si="12"/>
        <v>#N/A</v>
      </c>
    </row>
    <row r="79" spans="10:36" x14ac:dyDescent="0.2">
      <c r="J79" s="163"/>
      <c r="K79" s="163"/>
      <c r="AF79" s="181">
        <f>_xll.qlCalendarAdvance(Calendar,AF78,"1d","mf",,Trigger)</f>
        <v>42002</v>
      </c>
      <c r="AG79" s="192">
        <f>_xll.qlDayCounterYearFraction(DayCounterON,SettlementDate,AF79,,,Trigger)</f>
        <v>0.30410958904109592</v>
      </c>
      <c r="AH79" s="182">
        <f t="shared" si="10"/>
        <v>2.0164139875218888E-3</v>
      </c>
      <c r="AI79" s="182">
        <f t="shared" si="11"/>
        <v>2.0359705507345008E-3</v>
      </c>
      <c r="AJ79" s="152" t="e">
        <f t="shared" si="12"/>
        <v>#N/A</v>
      </c>
    </row>
    <row r="80" spans="10:36" x14ac:dyDescent="0.2">
      <c r="J80" s="163"/>
      <c r="K80" s="163"/>
      <c r="AF80" s="181">
        <f>_xll.qlCalendarAdvance(Calendar,AF79,"1d","mf",,Trigger)</f>
        <v>42003</v>
      </c>
      <c r="AG80" s="192">
        <f>_xll.qlDayCounterYearFraction(DayCounterON,SettlementDate,AF80,,,Trigger)</f>
        <v>0.30684931506849317</v>
      </c>
      <c r="AH80" s="182">
        <f t="shared" si="10"/>
        <v>2.0164139875218888E-3</v>
      </c>
      <c r="AI80" s="182">
        <f t="shared" si="11"/>
        <v>2.0369734514120706E-3</v>
      </c>
      <c r="AJ80" s="152" t="e">
        <f t="shared" si="12"/>
        <v>#N/A</v>
      </c>
    </row>
    <row r="81" spans="10:36" x14ac:dyDescent="0.2">
      <c r="J81" s="163"/>
      <c r="K81" s="163"/>
      <c r="AF81" s="181">
        <f>_xll.qlCalendarAdvance(Calendar,AF80,"1d","mf",,Trigger)</f>
        <v>42004</v>
      </c>
      <c r="AG81" s="192">
        <f>_xll.qlDayCounterYearFraction(DayCounterON,SettlementDate,AF81,,,Trigger)</f>
        <v>0.30958904109589042</v>
      </c>
      <c r="AH81" s="182">
        <f t="shared" si="10"/>
        <v>2.0164139875218888E-3</v>
      </c>
      <c r="AI81" s="182">
        <f t="shared" si="11"/>
        <v>2.0379763520896404E-3</v>
      </c>
      <c r="AJ81" s="152" t="e">
        <f t="shared" si="12"/>
        <v>#N/A</v>
      </c>
    </row>
    <row r="82" spans="10:36" x14ac:dyDescent="0.2">
      <c r="J82" s="163"/>
      <c r="K82" s="163"/>
      <c r="AF82" s="181">
        <f>_xll.qlCalendarAdvance(Calendar,AF81,"1d","mf",,Trigger)</f>
        <v>42006</v>
      </c>
      <c r="AG82" s="192">
        <f>_xll.qlDayCounterYearFraction(DayCounterON,SettlementDate,AF82,,,Trigger)</f>
        <v>0.31506849315068491</v>
      </c>
      <c r="AH82" s="182">
        <f t="shared" si="10"/>
        <v>2.0164139875218888E-3</v>
      </c>
      <c r="AI82" s="182">
        <f t="shared" si="11"/>
        <v>2.03998215344478E-3</v>
      </c>
      <c r="AJ82" s="152" t="e">
        <f t="shared" si="12"/>
        <v>#N/A</v>
      </c>
    </row>
    <row r="83" spans="10:36" x14ac:dyDescent="0.2">
      <c r="J83" s="163"/>
      <c r="K83" s="163"/>
      <c r="AF83" s="181">
        <f>_xll.qlCalendarAdvance(Calendar,AF82,"1d","mf",,Trigger)</f>
        <v>42009</v>
      </c>
      <c r="AG83" s="192">
        <f>_xll.qlDayCounterYearFraction(DayCounterON,SettlementDate,AF83,,,Trigger)</f>
        <v>0.32328767123287672</v>
      </c>
      <c r="AH83" s="182">
        <f t="shared" si="10"/>
        <v>2.0164139875218888E-3</v>
      </c>
      <c r="AI83" s="182">
        <f t="shared" si="11"/>
        <v>2.0429908554774894E-3</v>
      </c>
      <c r="AJ83" s="152" t="e">
        <f t="shared" si="12"/>
        <v>#N/A</v>
      </c>
    </row>
    <row r="84" spans="10:36" x14ac:dyDescent="0.2">
      <c r="J84" s="163"/>
      <c r="K84" s="163"/>
      <c r="AF84" s="181">
        <f>_xll.qlCalendarAdvance(Calendar,AF83,"1d","mf",,Trigger)</f>
        <v>42010</v>
      </c>
      <c r="AG84" s="192">
        <f>_xll.qlDayCounterYearFraction(DayCounterON,SettlementDate,AF84,,,Trigger)</f>
        <v>0.32602739726027397</v>
      </c>
      <c r="AH84" s="182">
        <f t="shared" si="10"/>
        <v>2.0164139875218888E-3</v>
      </c>
      <c r="AI84" s="182">
        <f t="shared" si="11"/>
        <v>2.0439937561550592E-3</v>
      </c>
      <c r="AJ84" s="152" t="e">
        <f t="shared" si="12"/>
        <v>#N/A</v>
      </c>
    </row>
    <row r="85" spans="10:36" x14ac:dyDescent="0.2">
      <c r="J85" s="163"/>
      <c r="K85" s="163"/>
      <c r="AF85" s="181">
        <f>_xll.qlCalendarAdvance(Calendar,AF84,"1d","mf",,Trigger)</f>
        <v>42011</v>
      </c>
      <c r="AG85" s="192">
        <f>_xll.qlDayCounterYearFraction(DayCounterON,SettlementDate,AF85,,,Trigger)</f>
        <v>0.32876712328767121</v>
      </c>
      <c r="AH85" s="182">
        <f t="shared" si="10"/>
        <v>2.0164139875218888E-3</v>
      </c>
      <c r="AI85" s="182">
        <f t="shared" si="11"/>
        <v>2.044996656832629E-3</v>
      </c>
      <c r="AJ85" s="152" t="e">
        <f t="shared" si="12"/>
        <v>#N/A</v>
      </c>
    </row>
    <row r="86" spans="10:36" x14ac:dyDescent="0.2">
      <c r="J86" s="163"/>
      <c r="K86" s="163"/>
      <c r="AF86" s="181">
        <f>_xll.qlCalendarAdvance(Calendar,AF85,"1d","mf",,Trigger)</f>
        <v>42012</v>
      </c>
      <c r="AG86" s="192">
        <f>_xll.qlDayCounterYearFraction(DayCounterON,SettlementDate,AF86,,,Trigger)</f>
        <v>0.33150684931506852</v>
      </c>
      <c r="AH86" s="182">
        <f t="shared" si="10"/>
        <v>2.0164139875218888E-3</v>
      </c>
      <c r="AI86" s="182">
        <f t="shared" si="11"/>
        <v>2.0459995575101988E-3</v>
      </c>
      <c r="AJ86" s="152" t="e">
        <f t="shared" si="12"/>
        <v>#N/A</v>
      </c>
    </row>
    <row r="87" spans="10:36" x14ac:dyDescent="0.2">
      <c r="J87" s="163"/>
      <c r="K87" s="163"/>
      <c r="AF87" s="181">
        <f>_xll.qlCalendarAdvance(Calendar,AF86,"1d","mf",,Trigger)</f>
        <v>42013</v>
      </c>
      <c r="AG87" s="192">
        <f>_xll.qlDayCounterYearFraction(DayCounterON,SettlementDate,AF87,,,Trigger)</f>
        <v>0.33424657534246577</v>
      </c>
      <c r="AH87" s="182">
        <f t="shared" si="10"/>
        <v>2.0164139875218888E-3</v>
      </c>
      <c r="AI87" s="182">
        <f t="shared" si="11"/>
        <v>2.0470024581877686E-3</v>
      </c>
      <c r="AJ87" s="152" t="e">
        <f t="shared" si="12"/>
        <v>#N/A</v>
      </c>
    </row>
    <row r="88" spans="10:36" x14ac:dyDescent="0.2">
      <c r="J88" s="163"/>
      <c r="K88" s="163"/>
      <c r="AF88" s="181">
        <f>_xll.qlCalendarAdvance(Calendar,AF87,"1d","mf",,Trigger)</f>
        <v>42016</v>
      </c>
      <c r="AG88" s="192">
        <f>_xll.qlDayCounterYearFraction(DayCounterON,SettlementDate,AF88,,,Trigger)</f>
        <v>0.34246575342465752</v>
      </c>
      <c r="AH88" s="182">
        <f t="shared" si="10"/>
        <v>2.0164139875218888E-3</v>
      </c>
      <c r="AI88" s="182">
        <f t="shared" si="11"/>
        <v>2.050011160220478E-3</v>
      </c>
      <c r="AJ88" s="152" t="e">
        <f t="shared" si="12"/>
        <v>#N/A</v>
      </c>
    </row>
    <row r="89" spans="10:36" x14ac:dyDescent="0.2">
      <c r="J89" s="163"/>
      <c r="K89" s="163"/>
      <c r="AF89" s="181">
        <f>_xll.qlCalendarAdvance(Calendar,AF88,"1d","mf",,Trigger)</f>
        <v>42017</v>
      </c>
      <c r="AG89" s="192">
        <f>_xll.qlDayCounterYearFraction(DayCounterON,SettlementDate,AF89,,,Trigger)</f>
        <v>0.34520547945205482</v>
      </c>
      <c r="AH89" s="182">
        <f t="shared" si="10"/>
        <v>2.0164139875218888E-3</v>
      </c>
      <c r="AI89" s="182">
        <f t="shared" si="11"/>
        <v>2.0510140608980478E-3</v>
      </c>
      <c r="AJ89" s="152" t="e">
        <f t="shared" si="12"/>
        <v>#N/A</v>
      </c>
    </row>
    <row r="90" spans="10:36" x14ac:dyDescent="0.2">
      <c r="J90" s="163"/>
      <c r="K90" s="163"/>
      <c r="AF90" s="181">
        <f>_xll.qlCalendarAdvance(Calendar,AF89,"1d","mf",,Trigger)</f>
        <v>42018</v>
      </c>
      <c r="AG90" s="192">
        <f>_xll.qlDayCounterYearFraction(DayCounterON,SettlementDate,AF90,,,Trigger)</f>
        <v>0.34794520547945207</v>
      </c>
      <c r="AH90" s="182">
        <f t="shared" si="10"/>
        <v>2.0164139875218888E-3</v>
      </c>
      <c r="AI90" s="182">
        <f t="shared" si="11"/>
        <v>2.0520169615756176E-3</v>
      </c>
      <c r="AJ90" s="152" t="e">
        <f t="shared" si="12"/>
        <v>#N/A</v>
      </c>
    </row>
    <row r="91" spans="10:36" x14ac:dyDescent="0.2">
      <c r="J91" s="163"/>
      <c r="K91" s="163"/>
      <c r="AF91" s="181">
        <f>_xll.qlCalendarAdvance(Calendar,AF90,"1d","mf",,Trigger)</f>
        <v>42019</v>
      </c>
      <c r="AG91" s="192">
        <f>_xll.qlDayCounterYearFraction(DayCounterON,SettlementDate,AF91,,,Trigger)</f>
        <v>0.35068493150684932</v>
      </c>
      <c r="AH91" s="182">
        <f t="shared" si="10"/>
        <v>2.0164139875218888E-3</v>
      </c>
      <c r="AI91" s="182">
        <f t="shared" si="11"/>
        <v>2.0530198622531874E-3</v>
      </c>
      <c r="AJ91" s="152" t="e">
        <f t="shared" si="12"/>
        <v>#N/A</v>
      </c>
    </row>
    <row r="92" spans="10:36" x14ac:dyDescent="0.2">
      <c r="J92" s="163"/>
      <c r="K92" s="163"/>
      <c r="AF92" s="181">
        <f>_xll.qlCalendarAdvance(Calendar,AF91,"1d","mf",,Trigger)</f>
        <v>42020</v>
      </c>
      <c r="AG92" s="192">
        <f>_xll.qlDayCounterYearFraction(DayCounterON,SettlementDate,AF92,,,Trigger)</f>
        <v>0.35342465753424657</v>
      </c>
      <c r="AH92" s="182">
        <f t="shared" si="10"/>
        <v>2.0164139875218888E-3</v>
      </c>
      <c r="AI92" s="182">
        <f t="shared" si="11"/>
        <v>2.0540227629307572E-3</v>
      </c>
      <c r="AJ92" s="152" t="e">
        <f t="shared" si="12"/>
        <v>#N/A</v>
      </c>
    </row>
    <row r="93" spans="10:36" x14ac:dyDescent="0.2">
      <c r="J93" s="163"/>
      <c r="K93" s="163"/>
      <c r="AF93" s="181">
        <f>_xll.qlCalendarAdvance(Calendar,AF92,"1d","mf",,Trigger)</f>
        <v>42023</v>
      </c>
      <c r="AG93" s="192">
        <f>_xll.qlDayCounterYearFraction(DayCounterON,SettlementDate,AF93,,,Trigger)</f>
        <v>0.36164383561643837</v>
      </c>
      <c r="AH93" s="182">
        <f t="shared" si="10"/>
        <v>2.0164139875218888E-3</v>
      </c>
      <c r="AI93" s="182">
        <f t="shared" si="11"/>
        <v>2.057031464963467E-3</v>
      </c>
      <c r="AJ93" s="152" t="e">
        <f t="shared" si="12"/>
        <v>#N/A</v>
      </c>
    </row>
    <row r="94" spans="10:36" x14ac:dyDescent="0.2">
      <c r="J94" s="163"/>
      <c r="K94" s="163"/>
      <c r="AF94" s="181">
        <f>_xll.qlCalendarAdvance(Calendar,AF93,"1d","mf",,Trigger)</f>
        <v>42024</v>
      </c>
      <c r="AG94" s="192">
        <f>_xll.qlDayCounterYearFraction(DayCounterON,SettlementDate,AF94,,,Trigger)</f>
        <v>0.36438356164383562</v>
      </c>
      <c r="AH94" s="182">
        <f t="shared" si="10"/>
        <v>2.0164139875218888E-3</v>
      </c>
      <c r="AI94" s="182">
        <f t="shared" si="11"/>
        <v>2.0580343656410368E-3</v>
      </c>
      <c r="AJ94" s="152" t="e">
        <f t="shared" si="12"/>
        <v>#N/A</v>
      </c>
    </row>
    <row r="95" spans="10:36" x14ac:dyDescent="0.2">
      <c r="J95" s="163"/>
      <c r="K95" s="163"/>
      <c r="AF95" s="181">
        <f>_xll.qlCalendarAdvance(Calendar,AF94,"1d","mf",,Trigger)</f>
        <v>42025</v>
      </c>
      <c r="AG95" s="192">
        <f>_xll.qlDayCounterYearFraction(DayCounterON,SettlementDate,AF95,,,Trigger)</f>
        <v>0.36712328767123287</v>
      </c>
      <c r="AH95" s="182">
        <f t="shared" si="10"/>
        <v>2.0164139875218888E-3</v>
      </c>
      <c r="AI95" s="182">
        <f t="shared" si="11"/>
        <v>2.0590372663186066E-3</v>
      </c>
      <c r="AJ95" s="152" t="e">
        <f t="shared" si="12"/>
        <v>#N/A</v>
      </c>
    </row>
    <row r="96" spans="10:36" x14ac:dyDescent="0.2">
      <c r="J96" s="163"/>
      <c r="K96" s="163"/>
      <c r="AF96" s="181">
        <f>_xll.qlCalendarAdvance(Calendar,AF95,"1d","mf",,Trigger)</f>
        <v>42026</v>
      </c>
      <c r="AG96" s="192">
        <f>_xll.qlDayCounterYearFraction(DayCounterON,SettlementDate,AF96,,,Trigger)</f>
        <v>0.36986301369863012</v>
      </c>
      <c r="AH96" s="182">
        <f t="shared" si="10"/>
        <v>2.0164139875218888E-3</v>
      </c>
      <c r="AI96" s="182">
        <f t="shared" si="11"/>
        <v>2.0600401669961764E-3</v>
      </c>
      <c r="AJ96" s="152" t="e">
        <f t="shared" si="12"/>
        <v>#N/A</v>
      </c>
    </row>
    <row r="97" spans="10:36" x14ac:dyDescent="0.2">
      <c r="J97" s="163"/>
      <c r="K97" s="163"/>
      <c r="AF97" s="181">
        <f>_xll.qlCalendarAdvance(Calendar,AF96,"1d","mf",,Trigger)</f>
        <v>42027</v>
      </c>
      <c r="AG97" s="192">
        <f>_xll.qlDayCounterYearFraction(DayCounterON,SettlementDate,AF97,,,Trigger)</f>
        <v>0.37260273972602742</v>
      </c>
      <c r="AH97" s="182">
        <f t="shared" si="10"/>
        <v>2.0164139875218888E-3</v>
      </c>
      <c r="AI97" s="182">
        <f t="shared" si="11"/>
        <v>2.0610430676737462E-3</v>
      </c>
      <c r="AJ97" s="152" t="e">
        <f t="shared" si="12"/>
        <v>#N/A</v>
      </c>
    </row>
    <row r="98" spans="10:36" x14ac:dyDescent="0.2">
      <c r="J98" s="163"/>
      <c r="K98" s="163"/>
      <c r="AF98" s="181">
        <f>_xll.qlCalendarAdvance(Calendar,AF97,"1d","mf",,Trigger)</f>
        <v>42031</v>
      </c>
      <c r="AG98" s="192">
        <f>_xll.qlDayCounterYearFraction(DayCounterON,SettlementDate,AF98,,,Trigger)</f>
        <v>0.38356164383561642</v>
      </c>
      <c r="AH98" s="182">
        <f t="shared" si="10"/>
        <v>2.0164139875218888E-3</v>
      </c>
      <c r="AI98" s="182">
        <f t="shared" si="11"/>
        <v>2.0650546703840254E-3</v>
      </c>
      <c r="AJ98" s="152" t="e">
        <f t="shared" si="12"/>
        <v>#N/A</v>
      </c>
    </row>
    <row r="99" spans="10:36" x14ac:dyDescent="0.2">
      <c r="J99" s="163"/>
      <c r="K99" s="163"/>
      <c r="AF99" s="181">
        <f>_xll.qlCalendarAdvance(Calendar,AF98,"1d","mf",,Trigger)</f>
        <v>42032</v>
      </c>
      <c r="AG99" s="192">
        <f>_xll.qlDayCounterYearFraction(DayCounterON,SettlementDate,AF99,,,Trigger)</f>
        <v>0.38630136986301372</v>
      </c>
      <c r="AH99" s="182">
        <f t="shared" ref="AH99:AH132" si="13">$W$13</f>
        <v>2.0164139875218888E-3</v>
      </c>
      <c r="AI99" s="182">
        <f t="shared" ref="AI99:AI132" si="14">$W$10+$W$9*AG99</f>
        <v>2.0660575710615952E-3</v>
      </c>
      <c r="AJ99" s="152" t="e">
        <f t="shared" ref="AJ99:AJ132" si="15">($W$5+$W$4*AG99+$W$3*AG99^2)</f>
        <v>#N/A</v>
      </c>
    </row>
    <row r="100" spans="10:36" x14ac:dyDescent="0.2">
      <c r="J100" s="163"/>
      <c r="K100" s="163"/>
      <c r="AF100" s="181">
        <f>_xll.qlCalendarAdvance(Calendar,AF99,"1d","mf",,Trigger)</f>
        <v>42033</v>
      </c>
      <c r="AG100" s="192">
        <f>_xll.qlDayCounterYearFraction(DayCounterON,SettlementDate,AF100,,,Trigger)</f>
        <v>0.38904109589041097</v>
      </c>
      <c r="AH100" s="182">
        <f t="shared" si="13"/>
        <v>2.0164139875218888E-3</v>
      </c>
      <c r="AI100" s="182">
        <f t="shared" si="14"/>
        <v>2.067060471739165E-3</v>
      </c>
      <c r="AJ100" s="152" t="e">
        <f t="shared" si="15"/>
        <v>#N/A</v>
      </c>
    </row>
    <row r="101" spans="10:36" x14ac:dyDescent="0.2">
      <c r="J101" s="163"/>
      <c r="K101" s="163"/>
      <c r="AF101" s="181">
        <f>_xll.qlCalendarAdvance(Calendar,AF100,"1d","mf",,Trigger)</f>
        <v>42034</v>
      </c>
      <c r="AG101" s="192">
        <f>_xll.qlDayCounterYearFraction(DayCounterON,SettlementDate,AF101,,,Trigger)</f>
        <v>0.39178082191780822</v>
      </c>
      <c r="AH101" s="182">
        <f t="shared" si="13"/>
        <v>2.0164139875218888E-3</v>
      </c>
      <c r="AI101" s="182">
        <f t="shared" si="14"/>
        <v>2.0680633724167348E-3</v>
      </c>
      <c r="AJ101" s="152" t="e">
        <f t="shared" si="15"/>
        <v>#N/A</v>
      </c>
    </row>
    <row r="102" spans="10:36" x14ac:dyDescent="0.2">
      <c r="J102" s="163"/>
      <c r="K102" s="163"/>
      <c r="AF102" s="181">
        <f>_xll.qlCalendarAdvance(Calendar,AF101,"1d","mf",,Trigger)</f>
        <v>42037</v>
      </c>
      <c r="AG102" s="192">
        <f>_xll.qlDayCounterYearFraction(DayCounterON,SettlementDate,AF102,,,Trigger)</f>
        <v>0.4</v>
      </c>
      <c r="AH102" s="182">
        <f t="shared" si="13"/>
        <v>2.0164139875218888E-3</v>
      </c>
      <c r="AI102" s="182">
        <f t="shared" si="14"/>
        <v>2.0710720744494442E-3</v>
      </c>
      <c r="AJ102" s="152" t="e">
        <f t="shared" si="15"/>
        <v>#N/A</v>
      </c>
    </row>
    <row r="103" spans="10:36" x14ac:dyDescent="0.2">
      <c r="J103" s="163"/>
      <c r="K103" s="163"/>
      <c r="AF103" s="181">
        <f>_xll.qlCalendarAdvance(Calendar,AF102,"1d","mf",,Trigger)</f>
        <v>42038</v>
      </c>
      <c r="AG103" s="192">
        <f>_xll.qlDayCounterYearFraction(DayCounterON,SettlementDate,AF103,,,Trigger)</f>
        <v>0.40273972602739727</v>
      </c>
      <c r="AH103" s="182">
        <f t="shared" si="13"/>
        <v>2.0164139875218888E-3</v>
      </c>
      <c r="AI103" s="182">
        <f t="shared" si="14"/>
        <v>2.072074975127014E-3</v>
      </c>
      <c r="AJ103" s="152" t="e">
        <f t="shared" si="15"/>
        <v>#N/A</v>
      </c>
    </row>
    <row r="104" spans="10:36" x14ac:dyDescent="0.2">
      <c r="J104" s="163"/>
      <c r="K104" s="163"/>
      <c r="AF104" s="181">
        <f>_xll.qlCalendarAdvance(Calendar,AF103,"1d","mf",,Trigger)</f>
        <v>42039</v>
      </c>
      <c r="AG104" s="192">
        <f>_xll.qlDayCounterYearFraction(DayCounterON,SettlementDate,AF104,,,Trigger)</f>
        <v>0.40547945205479452</v>
      </c>
      <c r="AH104" s="182">
        <f t="shared" si="13"/>
        <v>2.0164139875218888E-3</v>
      </c>
      <c r="AI104" s="182">
        <f t="shared" si="14"/>
        <v>2.0730778758045838E-3</v>
      </c>
      <c r="AJ104" s="152" t="e">
        <f t="shared" si="15"/>
        <v>#N/A</v>
      </c>
    </row>
    <row r="105" spans="10:36" x14ac:dyDescent="0.2">
      <c r="J105" s="163"/>
      <c r="K105" s="163"/>
      <c r="AF105" s="181">
        <f>_xll.qlCalendarAdvance(Calendar,AF104,"1d","mf",,Trigger)</f>
        <v>42040</v>
      </c>
      <c r="AG105" s="192">
        <f>_xll.qlDayCounterYearFraction(DayCounterON,SettlementDate,AF105,,,Trigger)</f>
        <v>0.40821917808219177</v>
      </c>
      <c r="AH105" s="182">
        <f t="shared" si="13"/>
        <v>2.0164139875218888E-3</v>
      </c>
      <c r="AI105" s="182">
        <f t="shared" si="14"/>
        <v>2.0740807764821536E-3</v>
      </c>
      <c r="AJ105" s="152" t="e">
        <f t="shared" si="15"/>
        <v>#N/A</v>
      </c>
    </row>
    <row r="106" spans="10:36" x14ac:dyDescent="0.2">
      <c r="J106" s="163"/>
      <c r="K106" s="163"/>
      <c r="AF106" s="181">
        <f>_xll.qlCalendarAdvance(Calendar,AF105,"1d","mf",,Trigger)</f>
        <v>42041</v>
      </c>
      <c r="AG106" s="192">
        <f>_xll.qlDayCounterYearFraction(DayCounterON,SettlementDate,AF106,,,Trigger)</f>
        <v>0.41095890410958902</v>
      </c>
      <c r="AH106" s="182">
        <f t="shared" si="13"/>
        <v>2.0164139875218888E-3</v>
      </c>
      <c r="AI106" s="182">
        <f t="shared" si="14"/>
        <v>2.0750836771597234E-3</v>
      </c>
      <c r="AJ106" s="152" t="e">
        <f t="shared" si="15"/>
        <v>#N/A</v>
      </c>
    </row>
    <row r="107" spans="10:36" x14ac:dyDescent="0.2">
      <c r="J107" s="163"/>
      <c r="K107" s="163"/>
      <c r="AF107" s="181">
        <f>_xll.qlCalendarAdvance(Calendar,AF106,"1d","mf",,Trigger)</f>
        <v>42044</v>
      </c>
      <c r="AG107" s="192">
        <f>_xll.qlDayCounterYearFraction(DayCounterON,SettlementDate,AF107,,,Trigger)</f>
        <v>0.41917808219178082</v>
      </c>
      <c r="AH107" s="182">
        <f t="shared" si="13"/>
        <v>2.0164139875218888E-3</v>
      </c>
      <c r="AI107" s="182">
        <f t="shared" si="14"/>
        <v>2.0780923791924328E-3</v>
      </c>
      <c r="AJ107" s="152" t="e">
        <f t="shared" si="15"/>
        <v>#N/A</v>
      </c>
    </row>
    <row r="108" spans="10:36" x14ac:dyDescent="0.2">
      <c r="J108" s="163"/>
      <c r="K108" s="163"/>
      <c r="AF108" s="181">
        <f>_xll.qlCalendarAdvance(Calendar,AF107,"1d","mf",,Trigger)</f>
        <v>42045</v>
      </c>
      <c r="AG108" s="192">
        <f>_xll.qlDayCounterYearFraction(DayCounterON,SettlementDate,AF108,,,Trigger)</f>
        <v>0.42191780821917807</v>
      </c>
      <c r="AH108" s="182">
        <f t="shared" si="13"/>
        <v>2.0164139875218888E-3</v>
      </c>
      <c r="AI108" s="182">
        <f t="shared" si="14"/>
        <v>2.0790952798700026E-3</v>
      </c>
      <c r="AJ108" s="152" t="e">
        <f t="shared" si="15"/>
        <v>#N/A</v>
      </c>
    </row>
    <row r="109" spans="10:36" x14ac:dyDescent="0.2">
      <c r="J109" s="163"/>
      <c r="K109" s="163"/>
      <c r="AF109" s="181">
        <f>_xll.qlCalendarAdvance(Calendar,AF108,"1d","mf",,Trigger)</f>
        <v>42046</v>
      </c>
      <c r="AG109" s="192">
        <f>_xll.qlDayCounterYearFraction(DayCounterON,SettlementDate,AF109,,,Trigger)</f>
        <v>0.42465753424657532</v>
      </c>
      <c r="AH109" s="182">
        <f t="shared" si="13"/>
        <v>2.0164139875218888E-3</v>
      </c>
      <c r="AI109" s="182">
        <f t="shared" si="14"/>
        <v>2.0800981805475724E-3</v>
      </c>
      <c r="AJ109" s="152" t="e">
        <f t="shared" si="15"/>
        <v>#N/A</v>
      </c>
    </row>
    <row r="110" spans="10:36" x14ac:dyDescent="0.2">
      <c r="J110" s="163"/>
      <c r="K110" s="163"/>
      <c r="AF110" s="181">
        <f>_xll.qlCalendarAdvance(Calendar,AF109,"1d","mf",,Trigger)</f>
        <v>42047</v>
      </c>
      <c r="AG110" s="192">
        <f>_xll.qlDayCounterYearFraction(DayCounterON,SettlementDate,AF110,,,Trigger)</f>
        <v>0.42739726027397262</v>
      </c>
      <c r="AH110" s="182">
        <f t="shared" si="13"/>
        <v>2.0164139875218888E-3</v>
      </c>
      <c r="AI110" s="182">
        <f t="shared" si="14"/>
        <v>2.0811010812251422E-3</v>
      </c>
      <c r="AJ110" s="152" t="e">
        <f t="shared" si="15"/>
        <v>#N/A</v>
      </c>
    </row>
    <row r="111" spans="10:36" x14ac:dyDescent="0.2">
      <c r="J111" s="163"/>
      <c r="K111" s="163"/>
      <c r="AF111" s="181">
        <f>_xll.qlCalendarAdvance(Calendar,AF110,"1d","mf",,Trigger)</f>
        <v>42048</v>
      </c>
      <c r="AG111" s="192">
        <f>_xll.qlDayCounterYearFraction(DayCounterON,SettlementDate,AF111,,,Trigger)</f>
        <v>0.43013698630136987</v>
      </c>
      <c r="AH111" s="182">
        <f t="shared" si="13"/>
        <v>2.0164139875218888E-3</v>
      </c>
      <c r="AI111" s="182">
        <f t="shared" si="14"/>
        <v>2.082103981902712E-3</v>
      </c>
      <c r="AJ111" s="152" t="e">
        <f t="shared" si="15"/>
        <v>#N/A</v>
      </c>
    </row>
    <row r="112" spans="10:36" x14ac:dyDescent="0.2">
      <c r="J112" s="163"/>
      <c r="K112" s="163"/>
      <c r="AF112" s="181">
        <f>_xll.qlCalendarAdvance(Calendar,AF111,"1d","mf",,Trigger)</f>
        <v>42051</v>
      </c>
      <c r="AG112" s="192">
        <f>_xll.qlDayCounterYearFraction(DayCounterON,SettlementDate,AF112,,,Trigger)</f>
        <v>0.43835616438356162</v>
      </c>
      <c r="AH112" s="182">
        <f t="shared" si="13"/>
        <v>2.0164139875218888E-3</v>
      </c>
      <c r="AI112" s="182">
        <f t="shared" si="14"/>
        <v>2.0851126839354218E-3</v>
      </c>
      <c r="AJ112" s="152" t="e">
        <f t="shared" si="15"/>
        <v>#N/A</v>
      </c>
    </row>
    <row r="113" spans="10:36" x14ac:dyDescent="0.2">
      <c r="J113" s="163"/>
      <c r="K113" s="163"/>
      <c r="AF113" s="181">
        <f>_xll.qlCalendarAdvance(Calendar,AF112,"1d","mf",,Trigger)</f>
        <v>42052</v>
      </c>
      <c r="AG113" s="192">
        <f>_xll.qlDayCounterYearFraction(DayCounterON,SettlementDate,AF113,,,Trigger)</f>
        <v>0.44109589041095892</v>
      </c>
      <c r="AH113" s="182">
        <f t="shared" si="13"/>
        <v>2.0164139875218888E-3</v>
      </c>
      <c r="AI113" s="182">
        <f t="shared" si="14"/>
        <v>2.0861155846129916E-3</v>
      </c>
      <c r="AJ113" s="152" t="e">
        <f t="shared" si="15"/>
        <v>#N/A</v>
      </c>
    </row>
    <row r="114" spans="10:36" x14ac:dyDescent="0.2">
      <c r="J114" s="163"/>
      <c r="K114" s="163"/>
      <c r="AF114" s="181">
        <f>_xll.qlCalendarAdvance(Calendar,AF113,"1d","mf",,Trigger)</f>
        <v>42053</v>
      </c>
      <c r="AG114" s="192">
        <f>_xll.qlDayCounterYearFraction(DayCounterON,SettlementDate,AF114,,,Trigger)</f>
        <v>0.44383561643835617</v>
      </c>
      <c r="AH114" s="182">
        <f t="shared" si="13"/>
        <v>2.0164139875218888E-3</v>
      </c>
      <c r="AI114" s="182">
        <f t="shared" si="14"/>
        <v>2.0871184852905614E-3</v>
      </c>
      <c r="AJ114" s="152" t="e">
        <f t="shared" si="15"/>
        <v>#N/A</v>
      </c>
    </row>
    <row r="115" spans="10:36" x14ac:dyDescent="0.2">
      <c r="J115" s="163"/>
      <c r="K115" s="163"/>
      <c r="AF115" s="181">
        <f>_xll.qlCalendarAdvance(Calendar,AF114,"1d","mf",,Trigger)</f>
        <v>42054</v>
      </c>
      <c r="AG115" s="192">
        <f>_xll.qlDayCounterYearFraction(DayCounterON,SettlementDate,AF115,,,Trigger)</f>
        <v>0.44657534246575342</v>
      </c>
      <c r="AH115" s="182">
        <f t="shared" si="13"/>
        <v>2.0164139875218888E-3</v>
      </c>
      <c r="AI115" s="182">
        <f t="shared" si="14"/>
        <v>2.0881213859681312E-3</v>
      </c>
      <c r="AJ115" s="152" t="e">
        <f t="shared" si="15"/>
        <v>#N/A</v>
      </c>
    </row>
    <row r="116" spans="10:36" x14ac:dyDescent="0.2">
      <c r="J116" s="147"/>
      <c r="K116" s="163"/>
      <c r="AF116" s="181">
        <f>_xll.qlCalendarAdvance(Calendar,AF115,"1d","mf",,Trigger)</f>
        <v>42055</v>
      </c>
      <c r="AG116" s="192">
        <f>_xll.qlDayCounterYearFraction(DayCounterON,SettlementDate,AF116,,,Trigger)</f>
        <v>0.44931506849315067</v>
      </c>
      <c r="AH116" s="182">
        <f t="shared" si="13"/>
        <v>2.0164139875218888E-3</v>
      </c>
      <c r="AI116" s="182">
        <f t="shared" si="14"/>
        <v>2.089124286645701E-3</v>
      </c>
      <c r="AJ116" s="152" t="e">
        <f t="shared" si="15"/>
        <v>#N/A</v>
      </c>
    </row>
    <row r="117" spans="10:36" x14ac:dyDescent="0.2">
      <c r="J117" s="147"/>
      <c r="K117" s="163"/>
      <c r="AF117" s="181">
        <f>_xll.qlCalendarAdvance(Calendar,AF116,"1d","mf",,Trigger)</f>
        <v>42058</v>
      </c>
      <c r="AG117" s="192">
        <f>_xll.qlDayCounterYearFraction(DayCounterON,SettlementDate,AF117,,,Trigger)</f>
        <v>0.45753424657534247</v>
      </c>
      <c r="AH117" s="182">
        <f t="shared" si="13"/>
        <v>2.0164139875218888E-3</v>
      </c>
      <c r="AI117" s="182">
        <f t="shared" si="14"/>
        <v>2.0921329886784104E-3</v>
      </c>
      <c r="AJ117" s="152" t="e">
        <f t="shared" si="15"/>
        <v>#N/A</v>
      </c>
    </row>
    <row r="118" spans="10:36" x14ac:dyDescent="0.2">
      <c r="J118" s="147"/>
      <c r="K118" s="163"/>
      <c r="AF118" s="181">
        <f>_xll.qlCalendarAdvance(Calendar,AF117,"1d","mf",,Trigger)</f>
        <v>42059</v>
      </c>
      <c r="AG118" s="192">
        <f>_xll.qlDayCounterYearFraction(DayCounterON,SettlementDate,AF118,,,Trigger)</f>
        <v>0.46027397260273972</v>
      </c>
      <c r="AH118" s="182">
        <f t="shared" si="13"/>
        <v>2.0164139875218888E-3</v>
      </c>
      <c r="AI118" s="182">
        <f t="shared" si="14"/>
        <v>2.0931358893559802E-3</v>
      </c>
      <c r="AJ118" s="152" t="e">
        <f t="shared" si="15"/>
        <v>#N/A</v>
      </c>
    </row>
    <row r="119" spans="10:36" x14ac:dyDescent="0.2">
      <c r="J119" s="147"/>
      <c r="K119" s="163"/>
      <c r="AF119" s="181">
        <f>_xll.qlCalendarAdvance(Calendar,AF118,"1d","mf",,Trigger)</f>
        <v>42060</v>
      </c>
      <c r="AG119" s="192">
        <f>_xll.qlDayCounterYearFraction(DayCounterON,SettlementDate,AF119,,,Trigger)</f>
        <v>0.46301369863013697</v>
      </c>
      <c r="AH119" s="182">
        <f t="shared" si="13"/>
        <v>2.0164139875218888E-3</v>
      </c>
      <c r="AI119" s="182">
        <f t="shared" si="14"/>
        <v>2.09413879003355E-3</v>
      </c>
      <c r="AJ119" s="152" t="e">
        <f t="shared" si="15"/>
        <v>#N/A</v>
      </c>
    </row>
    <row r="120" spans="10:36" x14ac:dyDescent="0.2">
      <c r="J120" s="147"/>
      <c r="K120" s="163"/>
      <c r="AF120" s="181">
        <f>_xll.qlCalendarAdvance(Calendar,AF119,"1d","mf",,Trigger)</f>
        <v>42061</v>
      </c>
      <c r="AG120" s="192">
        <f>_xll.qlDayCounterYearFraction(DayCounterON,SettlementDate,AF120,,,Trigger)</f>
        <v>0.46575342465753422</v>
      </c>
      <c r="AH120" s="182">
        <f t="shared" si="13"/>
        <v>2.0164139875218888E-3</v>
      </c>
      <c r="AI120" s="182">
        <f t="shared" si="14"/>
        <v>2.0951416907111198E-3</v>
      </c>
      <c r="AJ120" s="152" t="e">
        <f t="shared" si="15"/>
        <v>#N/A</v>
      </c>
    </row>
    <row r="121" spans="10:36" x14ac:dyDescent="0.2">
      <c r="J121" s="147"/>
      <c r="K121" s="163"/>
      <c r="AF121" s="181">
        <f>_xll.qlCalendarAdvance(Calendar,AF120,"1d","mf",,Trigger)</f>
        <v>42062</v>
      </c>
      <c r="AG121" s="192">
        <f>_xll.qlDayCounterYearFraction(DayCounterON,SettlementDate,AF121,,,Trigger)</f>
        <v>0.46849315068493153</v>
      </c>
      <c r="AH121" s="182">
        <f t="shared" si="13"/>
        <v>2.0164139875218888E-3</v>
      </c>
      <c r="AI121" s="182">
        <f t="shared" si="14"/>
        <v>2.0961445913886896E-3</v>
      </c>
      <c r="AJ121" s="152" t="e">
        <f t="shared" si="15"/>
        <v>#N/A</v>
      </c>
    </row>
    <row r="122" spans="10:36" x14ac:dyDescent="0.2">
      <c r="J122" s="147"/>
      <c r="K122" s="147"/>
      <c r="AF122" s="181">
        <f>_xll.qlCalendarAdvance(Calendar,AF121,"1d","mf",,Trigger)</f>
        <v>42065</v>
      </c>
      <c r="AG122" s="192">
        <f>_xll.qlDayCounterYearFraction(DayCounterON,SettlementDate,AF122,,,Trigger)</f>
        <v>0.47671232876712327</v>
      </c>
      <c r="AH122" s="182">
        <f t="shared" si="13"/>
        <v>2.0164139875218888E-3</v>
      </c>
      <c r="AI122" s="182">
        <f t="shared" si="14"/>
        <v>2.099153293421399E-3</v>
      </c>
      <c r="AJ122" s="152" t="e">
        <f t="shared" si="15"/>
        <v>#N/A</v>
      </c>
    </row>
    <row r="123" spans="10:36" x14ac:dyDescent="0.2">
      <c r="J123" s="147"/>
      <c r="K123" s="147"/>
      <c r="AF123" s="181">
        <f>_xll.qlCalendarAdvance(Calendar,AF122,"1d","mf",,Trigger)</f>
        <v>42066</v>
      </c>
      <c r="AG123" s="192">
        <f>_xll.qlDayCounterYearFraction(DayCounterON,SettlementDate,AF123,,,Trigger)</f>
        <v>0.47945205479452052</v>
      </c>
      <c r="AH123" s="182">
        <f t="shared" si="13"/>
        <v>2.0164139875218888E-3</v>
      </c>
      <c r="AI123" s="182">
        <f t="shared" si="14"/>
        <v>2.1001561940989688E-3</v>
      </c>
      <c r="AJ123" s="152" t="e">
        <f t="shared" si="15"/>
        <v>#N/A</v>
      </c>
    </row>
    <row r="124" spans="10:36" x14ac:dyDescent="0.2">
      <c r="J124" s="147"/>
      <c r="K124" s="147"/>
      <c r="AF124" s="181">
        <f>_xll.qlCalendarAdvance(Calendar,AF123,"1d","mf",,Trigger)</f>
        <v>42067</v>
      </c>
      <c r="AG124" s="192">
        <f>_xll.qlDayCounterYearFraction(DayCounterON,SettlementDate,AF124,,,Trigger)</f>
        <v>0.48219178082191783</v>
      </c>
      <c r="AH124" s="182">
        <f t="shared" si="13"/>
        <v>2.0164139875218888E-3</v>
      </c>
      <c r="AI124" s="182">
        <f t="shared" si="14"/>
        <v>2.1011590947765386E-3</v>
      </c>
      <c r="AJ124" s="152" t="e">
        <f t="shared" si="15"/>
        <v>#N/A</v>
      </c>
    </row>
    <row r="125" spans="10:36" x14ac:dyDescent="0.2">
      <c r="J125" s="147"/>
      <c r="K125" s="147"/>
      <c r="AF125" s="181">
        <f>_xll.qlCalendarAdvance(Calendar,AF124,"1d","mf",,Trigger)</f>
        <v>42068</v>
      </c>
      <c r="AG125" s="192">
        <f>_xll.qlDayCounterYearFraction(DayCounterON,SettlementDate,AF125,,,Trigger)</f>
        <v>0.48493150684931507</v>
      </c>
      <c r="AH125" s="182">
        <f t="shared" si="13"/>
        <v>2.0164139875218888E-3</v>
      </c>
      <c r="AI125" s="182">
        <f t="shared" si="14"/>
        <v>2.1021619954541084E-3</v>
      </c>
      <c r="AJ125" s="152" t="e">
        <f t="shared" si="15"/>
        <v>#N/A</v>
      </c>
    </row>
    <row r="126" spans="10:36" x14ac:dyDescent="0.2">
      <c r="J126" s="147"/>
      <c r="K126" s="147"/>
      <c r="AF126" s="181">
        <f>_xll.qlCalendarAdvance(Calendar,AF125,"1d","mf",,Trigger)</f>
        <v>42069</v>
      </c>
      <c r="AG126" s="192">
        <f>_xll.qlDayCounterYearFraction(DayCounterON,SettlementDate,AF126,,,Trigger)</f>
        <v>0.48767123287671232</v>
      </c>
      <c r="AH126" s="182">
        <f t="shared" si="13"/>
        <v>2.0164139875218888E-3</v>
      </c>
      <c r="AI126" s="182">
        <f t="shared" si="14"/>
        <v>2.1031648961316782E-3</v>
      </c>
      <c r="AJ126" s="152" t="e">
        <f t="shared" si="15"/>
        <v>#N/A</v>
      </c>
    </row>
    <row r="127" spans="10:36" x14ac:dyDescent="0.2">
      <c r="J127" s="147"/>
      <c r="K127" s="147"/>
      <c r="AF127" s="181">
        <f>_xll.qlCalendarAdvance(Calendar,AF126,"1d","mf",,Trigger)</f>
        <v>42072</v>
      </c>
      <c r="AG127" s="192">
        <f>_xll.qlDayCounterYearFraction(DayCounterON,SettlementDate,AF127,,,Trigger)</f>
        <v>0.49589041095890413</v>
      </c>
      <c r="AH127" s="182">
        <f t="shared" si="13"/>
        <v>2.0164139875218888E-3</v>
      </c>
      <c r="AI127" s="182">
        <f t="shared" si="14"/>
        <v>2.1061735981643876E-3</v>
      </c>
      <c r="AJ127" s="152" t="e">
        <f t="shared" si="15"/>
        <v>#N/A</v>
      </c>
    </row>
    <row r="128" spans="10:36" x14ac:dyDescent="0.2">
      <c r="J128" s="147"/>
      <c r="K128" s="147"/>
      <c r="AF128" s="181">
        <f>_xll.qlCalendarAdvance(Calendar,AF127,"1d","mf",,Trigger)</f>
        <v>42073</v>
      </c>
      <c r="AG128" s="192">
        <f>_xll.qlDayCounterYearFraction(DayCounterON,SettlementDate,AF128,,,Trigger)</f>
        <v>0.49863013698630138</v>
      </c>
      <c r="AH128" s="182">
        <f t="shared" si="13"/>
        <v>2.0164139875218888E-3</v>
      </c>
      <c r="AI128" s="182">
        <f t="shared" si="14"/>
        <v>2.1071764988419579E-3</v>
      </c>
      <c r="AJ128" s="152" t="e">
        <f t="shared" si="15"/>
        <v>#N/A</v>
      </c>
    </row>
    <row r="129" spans="10:36" x14ac:dyDescent="0.2">
      <c r="J129" s="147"/>
      <c r="K129" s="147"/>
      <c r="AF129" s="181">
        <f>_xll.qlCalendarAdvance(Calendar,AF128,"1d","mf",,Trigger)</f>
        <v>42074</v>
      </c>
      <c r="AG129" s="192">
        <f>_xll.qlDayCounterYearFraction(DayCounterON,SettlementDate,AF129,,,Trigger)</f>
        <v>0.50136986301369868</v>
      </c>
      <c r="AH129" s="182">
        <f t="shared" si="13"/>
        <v>2.0164139875218888E-3</v>
      </c>
      <c r="AI129" s="182">
        <f t="shared" si="14"/>
        <v>2.1081793995195277E-3</v>
      </c>
      <c r="AJ129" s="152" t="e">
        <f t="shared" si="15"/>
        <v>#N/A</v>
      </c>
    </row>
    <row r="130" spans="10:36" x14ac:dyDescent="0.2">
      <c r="J130" s="147"/>
      <c r="K130" s="147"/>
      <c r="AF130" s="181">
        <f>_xll.qlCalendarAdvance(Calendar,AF129,"1d","mf",,Trigger)</f>
        <v>42075</v>
      </c>
      <c r="AG130" s="192">
        <f>_xll.qlDayCounterYearFraction(DayCounterON,SettlementDate,AF130,,,Trigger)</f>
        <v>0.50410958904109593</v>
      </c>
      <c r="AH130" s="182">
        <f t="shared" si="13"/>
        <v>2.0164139875218888E-3</v>
      </c>
      <c r="AI130" s="182">
        <f t="shared" si="14"/>
        <v>2.1091823001970975E-3</v>
      </c>
      <c r="AJ130" s="152" t="e">
        <f t="shared" si="15"/>
        <v>#N/A</v>
      </c>
    </row>
    <row r="131" spans="10:36" x14ac:dyDescent="0.2">
      <c r="J131" s="147"/>
      <c r="K131" s="147"/>
      <c r="AF131" s="181">
        <f>_xll.qlCalendarAdvance(Calendar,AF130,"1d","mf",,Trigger)</f>
        <v>42076</v>
      </c>
      <c r="AG131" s="192">
        <f>_xll.qlDayCounterYearFraction(DayCounterON,SettlementDate,AF131,,,Trigger)</f>
        <v>0.50684931506849318</v>
      </c>
      <c r="AH131" s="182">
        <f t="shared" si="13"/>
        <v>2.0164139875218888E-3</v>
      </c>
      <c r="AI131" s="182">
        <f t="shared" si="14"/>
        <v>2.1101852008746673E-3</v>
      </c>
      <c r="AJ131" s="152" t="e">
        <f t="shared" si="15"/>
        <v>#N/A</v>
      </c>
    </row>
    <row r="132" spans="10:36" ht="12" thickBot="1" x14ac:dyDescent="0.25">
      <c r="K132" s="147"/>
      <c r="AF132" s="183">
        <f>_xll.qlCalendarAdvance(Calendar,AF131,"1d","mf",,Trigger)</f>
        <v>42079</v>
      </c>
      <c r="AG132" s="194">
        <f>_xll.qlDayCounterYearFraction(DayCounterON,SettlementDate,AF132,,,Trigger)</f>
        <v>0.51506849315068493</v>
      </c>
      <c r="AH132" s="184">
        <f t="shared" si="13"/>
        <v>2.0164139875218888E-3</v>
      </c>
      <c r="AI132" s="184">
        <f t="shared" si="14"/>
        <v>2.1131939029073767E-3</v>
      </c>
      <c r="AJ132" s="157" t="e">
        <f t="shared" si="15"/>
        <v>#N/A</v>
      </c>
    </row>
    <row r="133" spans="10:36" x14ac:dyDescent="0.2">
      <c r="K133" s="147"/>
    </row>
    <row r="134" spans="10:36" x14ac:dyDescent="0.2">
      <c r="K134" s="147"/>
    </row>
    <row r="135" spans="10:36" x14ac:dyDescent="0.2">
      <c r="K135" s="147"/>
    </row>
    <row r="136" spans="10:36" x14ac:dyDescent="0.2">
      <c r="K136" s="147"/>
    </row>
    <row r="137" spans="10:36" x14ac:dyDescent="0.2">
      <c r="K137" s="147"/>
    </row>
  </sheetData>
  <mergeCells count="5">
    <mergeCell ref="R3:R5"/>
    <mergeCell ref="R9:R10"/>
    <mergeCell ref="X9:X10"/>
    <mergeCell ref="AA2:AC2"/>
    <mergeCell ref="V9:V10"/>
  </mergeCells>
  <dataValidations count="4">
    <dataValidation type="list" allowBlank="1" showInputMessage="1" showErrorMessage="1" sqref="E10:E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13">
      <formula1>"linear,MonotonicCubicNaturalSpline, CubicNaturalSpline"</formula1>
    </dataValidation>
    <dataValidation type="list" allowBlank="1" showInputMessage="1" showErrorMessage="1" sqref="E14">
      <formula1>"FRA,FIX+FRA"</formula1>
    </dataValidation>
    <dataValidation type="list" allowBlank="1" showInputMessage="1" showErrorMessage="1" sqref="D31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6"/>
  <sheetViews>
    <sheetView workbookViewId="0">
      <selection activeCell="B1" sqref="B1"/>
    </sheetView>
  </sheetViews>
  <sheetFormatPr defaultColWidth="9.5" defaultRowHeight="11.25" outlineLevelCol="1" x14ac:dyDescent="0.2"/>
  <cols>
    <col min="1" max="2" width="2.33203125" style="146" bestFit="1" customWidth="1"/>
    <col min="3" max="3" width="3.5" style="146" bestFit="1" customWidth="1"/>
    <col min="4" max="4" width="31.1640625" style="146" bestFit="1" customWidth="1"/>
    <col min="5" max="5" width="22.83203125" style="146" bestFit="1" customWidth="1"/>
    <col min="6" max="6" width="20.33203125" style="146" bestFit="1" customWidth="1"/>
    <col min="7" max="7" width="19" style="146" hidden="1" customWidth="1" outlineLevel="1"/>
    <col min="8" max="8" width="11.6640625" style="146" hidden="1" customWidth="1" outlineLevel="1"/>
    <col min="9" max="9" width="10.6640625" style="146" bestFit="1" customWidth="1" collapsed="1"/>
    <col min="10" max="10" width="10.6640625" style="146" bestFit="1" customWidth="1"/>
    <col min="11" max="11" width="9.5" style="146" bestFit="1" customWidth="1"/>
    <col min="12" max="12" width="10.6640625" style="146" bestFit="1" customWidth="1"/>
    <col min="13" max="13" width="11.6640625" style="146" bestFit="1" customWidth="1"/>
    <col min="14" max="14" width="10.1640625" style="146" customWidth="1"/>
    <col min="15" max="15" width="12.83203125" style="146" bestFit="1" customWidth="1"/>
    <col min="16" max="16" width="12.83203125" style="146" hidden="1" customWidth="1" outlineLevel="1"/>
    <col min="17" max="17" width="7" style="146" customWidth="1" collapsed="1"/>
    <col min="18" max="18" width="13.1640625" style="146" customWidth="1"/>
    <col min="19" max="19" width="6.6640625" style="146" customWidth="1"/>
    <col min="20" max="21" width="7" style="146" customWidth="1"/>
    <col min="22" max="22" width="7" style="146" bestFit="1" customWidth="1"/>
    <col min="23" max="23" width="10.6640625" style="146" bestFit="1" customWidth="1"/>
    <col min="24" max="24" width="3.1640625" style="146" customWidth="1"/>
    <col min="25" max="25" width="9.5" style="146" bestFit="1" customWidth="1"/>
    <col min="26" max="26" width="12.5" style="146" bestFit="1" customWidth="1"/>
    <col min="27" max="28" width="9.5" style="146" bestFit="1" customWidth="1"/>
    <col min="29" max="29" width="8.33203125" style="146" bestFit="1" customWidth="1"/>
    <col min="30" max="31" width="9.5" style="146"/>
    <col min="32" max="32" width="20.33203125" style="146" bestFit="1" customWidth="1"/>
    <col min="33" max="33" width="12.33203125" style="146" bestFit="1" customWidth="1"/>
    <col min="34" max="35" width="9.5" style="146" bestFit="1" customWidth="1"/>
    <col min="36" max="36" width="12.1640625" style="146" customWidth="1"/>
    <col min="37" max="16384" width="9.5" style="146"/>
  </cols>
  <sheetData>
    <row r="1" spans="1:36" ht="12" thickBot="1" x14ac:dyDescent="0.25"/>
    <row r="2" spans="1:36" ht="19.5" customHeight="1" x14ac:dyDescent="0.2">
      <c r="D2" s="158" t="s">
        <v>67</v>
      </c>
      <c r="E2" s="159" t="s">
        <v>59</v>
      </c>
      <c r="F2" s="159" t="s">
        <v>60</v>
      </c>
      <c r="G2" s="158" t="s">
        <v>95</v>
      </c>
      <c r="H2" s="159"/>
      <c r="I2" s="159" t="s">
        <v>57</v>
      </c>
      <c r="J2" s="159" t="s">
        <v>27</v>
      </c>
      <c r="K2" s="173"/>
      <c r="L2" s="173"/>
      <c r="M2" s="160"/>
      <c r="N2" s="159" t="s">
        <v>92</v>
      </c>
      <c r="P2" s="159" t="s">
        <v>97</v>
      </c>
      <c r="W2" s="226" t="s">
        <v>75</v>
      </c>
      <c r="AA2" s="333" t="s">
        <v>74</v>
      </c>
      <c r="AB2" s="333"/>
      <c r="AC2" s="333"/>
      <c r="AF2" s="158" t="s">
        <v>59</v>
      </c>
      <c r="AG2" s="158"/>
      <c r="AH2" s="159" t="s">
        <v>31</v>
      </c>
      <c r="AI2" s="159" t="s">
        <v>65</v>
      </c>
      <c r="AJ2" s="160" t="s">
        <v>66</v>
      </c>
    </row>
    <row r="3" spans="1:36" x14ac:dyDescent="0.2">
      <c r="D3" s="148" t="str">
        <f>$E$11&amp;"LastFixing"&amp;QuoteSuffix</f>
        <v>AUDBBSW1MLastFixing_Quote</v>
      </c>
      <c r="E3" s="149" t="e">
        <f>_xll.qlCalendarAdvance(Calendar,_xll.qlLastFixingQuoteReferenceDate($D$3),_xll.qlInterestRateIndexFixingDays($E$11)&amp;"D","f",,LastFixingsTrigger)</f>
        <v>#NUM!</v>
      </c>
      <c r="F3" s="149" t="e">
        <f>_xll.qlInterestRateIndexMaturity($E$11,E3)</f>
        <v>#NUM!</v>
      </c>
      <c r="G3" s="148" t="e">
        <f>_xll.qlMakeDatedOIS(,E3,F3,OvernightIndex,0,,,,EvaluationDate)</f>
        <v>#NUM!</v>
      </c>
      <c r="H3" s="149" t="e">
        <f>_xll.qlInstrumentSetPricingEngine(G3,OisEngine)</f>
        <v>#VALUE!</v>
      </c>
      <c r="I3" s="150" t="e">
        <f>_xll.qlQuoteValue($D3,AllTriggers)</f>
        <v>#NUM!</v>
      </c>
      <c r="J3" s="151" t="e">
        <f>_xll.qlOvernightIndexedSwapFairRate(G3,_xll.ohTrigger(H3,InterestRatesTrigger))</f>
        <v>#VALUE!</v>
      </c>
      <c r="K3" s="174" t="e">
        <f>I3*_xll.qlDayCounterYearFraction(DayCounter6M,E3,F3,,,Trigger)</f>
        <v>#NUM!</v>
      </c>
      <c r="L3" s="174" t="e">
        <f>J3*_xll.qlDayCounterYearFraction(DayCounterOIS,E3,F3,,,Trigger)</f>
        <v>#VALUE!</v>
      </c>
      <c r="M3" s="185" t="e">
        <f>K3-L3</f>
        <v>#NUM!</v>
      </c>
      <c r="N3" s="185" t="e">
        <f>M3</f>
        <v>#NUM!</v>
      </c>
      <c r="P3" s="185" t="b">
        <f>IF(E16="FIX+FRA",TRUE,FALSE)</f>
        <v>0</v>
      </c>
      <c r="R3" s="334" t="s">
        <v>68</v>
      </c>
      <c r="S3" s="165">
        <f t="array" ref="S3:S5">_xll.ohFilter(N12:N16,P12:P16)</f>
        <v>5.3378095730178049E-3</v>
      </c>
      <c r="T3" s="166">
        <f t="array" ref="T3:T5">_xll.ohFilter(M12:M16,P12:P16)</f>
        <v>3.176205667104523E-2</v>
      </c>
      <c r="U3" s="167">
        <f t="array" ref="U3:U5">_xll.ohFilter(L12:L16,P12:P16)</f>
        <v>0.24931506849315072</v>
      </c>
      <c r="V3" s="161"/>
      <c r="W3" s="169">
        <f t="array" ref="W3:W5">MMULT(AA3:AC5,Y3:Y5)</f>
        <v>-1.2013983983215851E-3</v>
      </c>
      <c r="X3" s="170"/>
      <c r="Y3" s="150">
        <f t="array" ref="Y3:Y5">_xll.ohFilter(N3:N7,P3:P7)</f>
        <v>3.1472604832172117E-4</v>
      </c>
      <c r="AA3" s="165">
        <f t="array" ref="AA3:AC5">MINVERSE(S3:U5)</f>
        <v>32.442718170664286</v>
      </c>
      <c r="AB3" s="166">
        <v>-65.426148310839608</v>
      </c>
      <c r="AC3" s="167">
        <v>31.913760809186034</v>
      </c>
      <c r="AF3" s="178">
        <f>SettlementDate</f>
        <v>41891</v>
      </c>
      <c r="AG3" s="192">
        <f>_xll.qlDayCounterYearFraction(DayCounterON,SettlementDate,AF3,,,Trigger)</f>
        <v>0</v>
      </c>
      <c r="AH3" s="179">
        <f t="shared" ref="AH3:AH66" si="0">$W$13</f>
        <v>1.2623627212904197E-3</v>
      </c>
      <c r="AI3" s="179">
        <f t="shared" ref="AI3:AI66" si="1">$W$10+$W$9*AG3</f>
        <v>1.3303854650777674E-3</v>
      </c>
      <c r="AJ3" s="180">
        <f t="shared" ref="AJ3:AJ66" si="2">($W$5+$W$4*AG3+$W$3*AG3^2)</f>
        <v>1.279230406736273E-3</v>
      </c>
    </row>
    <row r="4" spans="1:36" x14ac:dyDescent="0.2">
      <c r="D4" s="223" t="s">
        <v>120</v>
      </c>
      <c r="E4" s="149">
        <f>SettlementDate</f>
        <v>41891</v>
      </c>
      <c r="F4" s="149">
        <f>_xll.qlCalendarAdvance(Calendar,E4,"3M","mf",,Trigger)</f>
        <v>41982</v>
      </c>
      <c r="G4" s="148" t="str">
        <f>_xll.qlMakeDatedOIS(,E4,F4,OvernightIndex,0,,,,EvaluationDate)</f>
        <v>obj_00252#0000</v>
      </c>
      <c r="H4" s="149" t="b">
        <f>_xll.qlInstrumentSetPricingEngine(G4,OisEngine)</f>
        <v>1</v>
      </c>
      <c r="I4" s="150"/>
      <c r="J4" s="151"/>
      <c r="K4" s="174"/>
      <c r="L4" s="174"/>
      <c r="M4" s="185"/>
      <c r="N4" s="224">
        <f>_xll.qlInterpolationInterpolate($H$15,E4,TRUE,Trigger)</f>
        <v>3.1504094331145531E-4</v>
      </c>
      <c r="P4" s="185" t="b">
        <v>0</v>
      </c>
      <c r="R4" s="334"/>
      <c r="S4" s="165">
        <v>3.598732189081711E-2</v>
      </c>
      <c r="T4" s="166">
        <v>9.2550197035091E-2</v>
      </c>
      <c r="U4" s="167">
        <v>0.24657534246575341</v>
      </c>
      <c r="V4" s="162" t="s">
        <v>29</v>
      </c>
      <c r="W4" s="169">
        <v>6.9500150515371985E-5</v>
      </c>
      <c r="X4" s="162" t="s">
        <v>30</v>
      </c>
      <c r="Y4" s="150">
        <v>2.7862381737825664E-4</v>
      </c>
      <c r="AA4" s="165">
        <v>-32.472346223788172</v>
      </c>
      <c r="AB4" s="166">
        <v>49.219109451184032</v>
      </c>
      <c r="AC4" s="167">
        <v>-16.029742872193903</v>
      </c>
      <c r="AF4" s="181">
        <f>_xll.qlCalendarAdvance(Calendar,AF3,"1d","mf",,Trigger)</f>
        <v>41892</v>
      </c>
      <c r="AG4" s="192">
        <f>_xll.qlDayCounterYearFraction(DayCounterON,SettlementDate,AF4,,,Trigger)</f>
        <v>2.7397260273972603E-3</v>
      </c>
      <c r="AH4" s="182">
        <f t="shared" si="0"/>
        <v>1.2623627212904197E-3</v>
      </c>
      <c r="AI4" s="182">
        <f t="shared" si="1"/>
        <v>1.3289226103726632E-3</v>
      </c>
      <c r="AJ4" s="152">
        <f t="shared" si="2"/>
        <v>1.2794118002925859E-3</v>
      </c>
    </row>
    <row r="5" spans="1:36" x14ac:dyDescent="0.2">
      <c r="A5" s="164">
        <v>0</v>
      </c>
      <c r="B5" s="164" t="s">
        <v>29</v>
      </c>
      <c r="C5" s="222">
        <v>3</v>
      </c>
      <c r="D5" s="146" t="str">
        <f>Currency&amp;A5&amp;B5&amp;C5&amp;"F"</f>
        <v>AUD0x3F</v>
      </c>
      <c r="E5" s="149">
        <f>_xll.qlCalendarAdvance(Calendar,EvaluationDate,"1D","f",,Trigger)</f>
        <v>41892</v>
      </c>
      <c r="F5" s="149">
        <f>_xll.qlCalendarAdvance(Calendar,E5,"3M","mf",,Trigger)</f>
        <v>41983</v>
      </c>
      <c r="G5" s="148" t="str">
        <f>_xll.qlMakeDatedOIS(,E5,F5,OvernightIndex,0,,,,EvaluationDate)</f>
        <v>obj_0024e#0000</v>
      </c>
      <c r="H5" s="149" t="b">
        <f>_xll.qlInstrumentSetPricingEngine(G5,OisEngine)</f>
        <v>1</v>
      </c>
      <c r="I5" s="150">
        <f>Swap1M!I31</f>
        <v>2.5875513403508743E-2</v>
      </c>
      <c r="J5" s="151">
        <f>_xll.qlOvernightIndexedSwapFairRate(G5,_xll.ohTrigger(H5,InterestRatesTrigger))</f>
        <v>2.4613150682218324E-2</v>
      </c>
      <c r="K5" s="174">
        <f>I5*_xll.qlDayCounterYearFraction(DayCounter6M,E5,F5,,,Trigger)</f>
        <v>6.451155396491221E-3</v>
      </c>
      <c r="L5" s="174">
        <f>J5*_xll.qlDayCounterYearFraction(DayCounterOIS,E5,F5,,,Trigger)</f>
        <v>6.1364293481694998E-3</v>
      </c>
      <c r="M5" s="185">
        <f>K5-L5</f>
        <v>3.1472604832172117E-4</v>
      </c>
      <c r="N5" s="185">
        <f>M5</f>
        <v>3.1472604832172117E-4</v>
      </c>
      <c r="P5" s="185" t="b">
        <f>IF(E16="FRA",TRUE,FALSE)</f>
        <v>1</v>
      </c>
      <c r="R5" s="334"/>
      <c r="S5" s="165">
        <v>9.968548760936756E-2</v>
      </c>
      <c r="T5" s="166">
        <v>0.1574479264402327</v>
      </c>
      <c r="U5" s="167">
        <v>0.25205479452054796</v>
      </c>
      <c r="V5" s="164"/>
      <c r="W5" s="169">
        <v>1.279230406736273E-3</v>
      </c>
      <c r="X5" s="162"/>
      <c r="Y5" s="150">
        <v>2.1361682675047691E-4</v>
      </c>
      <c r="AA5" s="165">
        <v>7.4532817474958222</v>
      </c>
      <c r="AB5" s="166">
        <v>-4.8696126962777466</v>
      </c>
      <c r="AC5" s="167">
        <v>1.3588750395964926</v>
      </c>
      <c r="AF5" s="181">
        <f>_xll.qlCalendarAdvance(Calendar,AF4,"1d","mf",,Trigger)</f>
        <v>41893</v>
      </c>
      <c r="AG5" s="192">
        <f>_xll.qlDayCounterYearFraction(DayCounterON,SettlementDate,AF5,,,Trigger)</f>
        <v>5.4794520547945206E-3</v>
      </c>
      <c r="AH5" s="182">
        <f t="shared" si="0"/>
        <v>1.2623627212904197E-3</v>
      </c>
      <c r="AI5" s="182">
        <f t="shared" si="1"/>
        <v>1.3274597556675589E-3</v>
      </c>
      <c r="AJ5" s="152">
        <f t="shared" si="2"/>
        <v>1.2795751582189748E-3</v>
      </c>
    </row>
    <row r="6" spans="1:36" x14ac:dyDescent="0.2">
      <c r="A6" s="164">
        <f>A5+3</f>
        <v>3</v>
      </c>
      <c r="B6" s="164" t="s">
        <v>29</v>
      </c>
      <c r="C6" s="222">
        <f>C5+3</f>
        <v>6</v>
      </c>
      <c r="D6" s="146" t="str">
        <f>Currency&amp;A6&amp;B6&amp;C6&amp;"F"</f>
        <v>AUD3x6F</v>
      </c>
      <c r="E6" s="149">
        <f>F5</f>
        <v>41983</v>
      </c>
      <c r="F6" s="149">
        <f>_xll.qlCalendarAdvance(Calendar,E6,"3M","mf",,Trigger)</f>
        <v>42073</v>
      </c>
      <c r="G6" s="148" t="str">
        <f>_xll.qlMakeDatedOIS(,E6,F6,OvernightIndex,0,,,,EvaluationDate)</f>
        <v>obj_0025c#0000</v>
      </c>
      <c r="H6" s="149" t="b">
        <f>_xll.qlInstrumentSetPricingEngine(G6,OisEngine)</f>
        <v>1</v>
      </c>
      <c r="I6" s="150">
        <f>Swap1M!I32</f>
        <v>2.5482515991211124E-2</v>
      </c>
      <c r="J6" s="151">
        <f>_xll.qlOvernightIndexedSwapFairRate(G6,_xll.ohTrigger(H6,InterestRatesTrigger))</f>
        <v>2.4352541620732637E-2</v>
      </c>
      <c r="K6" s="174">
        <f>I6*_xll.qlDayCounterYearFraction(DayCounter6M,E6,F6,,,Trigger)</f>
        <v>6.2833601074219203E-3</v>
      </c>
      <c r="L6" s="174">
        <f>J6*_xll.qlDayCounterYearFraction(DayCounterOIS,E6,F6,,,Trigger)</f>
        <v>6.0047362900436637E-3</v>
      </c>
      <c r="M6" s="185">
        <f t="shared" ref="M6:M7" si="3">K6-L6</f>
        <v>2.7862381737825664E-4</v>
      </c>
      <c r="N6" s="185">
        <f t="shared" ref="N6:N7" si="4">M6</f>
        <v>2.7862381737825664E-4</v>
      </c>
      <c r="P6" s="185" t="b">
        <v>1</v>
      </c>
      <c r="W6" s="171"/>
      <c r="X6" s="227"/>
      <c r="Y6" s="172"/>
      <c r="AF6" s="181">
        <f>_xll.qlCalendarAdvance(Calendar,AF5,"1d","mf",,Trigger)</f>
        <v>41894</v>
      </c>
      <c r="AG6" s="192">
        <f>_xll.qlDayCounterYearFraction(DayCounterON,SettlementDate,AF6,,,Trigger)</f>
        <v>8.21917808219178E-3</v>
      </c>
      <c r="AH6" s="182">
        <f t="shared" si="0"/>
        <v>1.2623627212904197E-3</v>
      </c>
      <c r="AI6" s="182">
        <f t="shared" si="1"/>
        <v>1.3259969009624547E-3</v>
      </c>
      <c r="AJ6" s="152">
        <f t="shared" si="2"/>
        <v>1.2797204805154393E-3</v>
      </c>
    </row>
    <row r="7" spans="1:36" ht="12" thickBot="1" x14ac:dyDescent="0.25">
      <c r="A7" s="164">
        <f>A6+3</f>
        <v>6</v>
      </c>
      <c r="B7" s="164" t="s">
        <v>29</v>
      </c>
      <c r="C7" s="222">
        <f>C6+3</f>
        <v>9</v>
      </c>
      <c r="D7" s="330" t="str">
        <f>Currency&amp;A7&amp;B7&amp;C7&amp;"F"</f>
        <v>AUD6x9F</v>
      </c>
      <c r="E7" s="154">
        <f>F6</f>
        <v>42073</v>
      </c>
      <c r="F7" s="154">
        <f>_xll.qlCalendarAdvance(Calendar,E7,"3M","mf",,Trigger)</f>
        <v>42165</v>
      </c>
      <c r="G7" s="153" t="str">
        <f>_xll.qlMakeDatedOIS(,E7,F7,OvernightIndex,0,,,,EvaluationDate)</f>
        <v>obj_0025d#0000</v>
      </c>
      <c r="H7" s="154" t="b">
        <f>_xll.qlInstrumentSetPricingEngine(G7,OisEngine)</f>
        <v>1</v>
      </c>
      <c r="I7" s="155">
        <f>Swap1M!I33</f>
        <v>2.5251411303238266E-2</v>
      </c>
      <c r="J7" s="156">
        <f>_xll.qlOvernightIndexedSwapFairRate(G7,_xll.ohTrigger(H7,InterestRatesTrigger))</f>
        <v>2.4403909762326047E-2</v>
      </c>
      <c r="K7" s="175">
        <f>I7*_xll.qlDayCounterYearFraction(DayCounter6M,E7,F7,,,Trigger)</f>
        <v>6.3647392873915631E-3</v>
      </c>
      <c r="L7" s="175">
        <f>J7*_xll.qlDayCounterYearFraction(DayCounterOIS,E7,F7,,,Trigger)</f>
        <v>6.1511224606410862E-3</v>
      </c>
      <c r="M7" s="186">
        <f t="shared" si="3"/>
        <v>2.1361682675047691E-4</v>
      </c>
      <c r="N7" s="186">
        <f t="shared" si="4"/>
        <v>2.1361682675047691E-4</v>
      </c>
      <c r="P7" s="185" t="b">
        <v>1</v>
      </c>
      <c r="W7" s="171"/>
      <c r="X7" s="227"/>
      <c r="Y7" s="172"/>
      <c r="AF7" s="181">
        <f>_xll.qlCalendarAdvance(Calendar,AF6,"1d","mf",,Trigger)</f>
        <v>41897</v>
      </c>
      <c r="AG7" s="192">
        <f>_xll.qlDayCounterYearFraction(DayCounterON,SettlementDate,AF7,,,Trigger)</f>
        <v>1.643835616438356E-2</v>
      </c>
      <c r="AH7" s="182">
        <f t="shared" si="0"/>
        <v>1.2623627212904197E-3</v>
      </c>
      <c r="AI7" s="182">
        <f t="shared" si="1"/>
        <v>1.3216083368471419E-3</v>
      </c>
      <c r="AJ7" s="152">
        <f t="shared" si="2"/>
        <v>1.2800482336252886E-3</v>
      </c>
    </row>
    <row r="8" spans="1:36" ht="18.75" customHeight="1" x14ac:dyDescent="0.2">
      <c r="P8" s="329"/>
      <c r="W8" s="228" t="s">
        <v>76</v>
      </c>
      <c r="X8" s="227"/>
      <c r="Y8" s="172"/>
      <c r="AF8" s="181">
        <f>_xll.qlCalendarAdvance(Calendar,AF7,"1d","mf",,Trigger)</f>
        <v>41898</v>
      </c>
      <c r="AG8" s="192">
        <f>_xll.qlDayCounterYearFraction(DayCounterON,SettlementDate,AF8,,,Trigger)</f>
        <v>1.9178082191780823E-2</v>
      </c>
      <c r="AH8" s="182">
        <f t="shared" si="0"/>
        <v>1.2623627212904197E-3</v>
      </c>
      <c r="AI8" s="182">
        <f t="shared" si="1"/>
        <v>1.3201454821420377E-3</v>
      </c>
      <c r="AJ8" s="152">
        <f t="shared" si="2"/>
        <v>1.2801214134020565E-3</v>
      </c>
    </row>
    <row r="9" spans="1:36" x14ac:dyDescent="0.2">
      <c r="P9" s="329"/>
      <c r="R9" s="333" t="s">
        <v>69</v>
      </c>
      <c r="S9" s="229"/>
      <c r="T9" s="165">
        <f t="array" ref="T9:T10">_xll.ohFilter(M12:M16,P12:P16)</f>
        <v>3.176205667104523E-2</v>
      </c>
      <c r="U9" s="167">
        <f t="array" ref="U9:U10">_xll.ohFilter(L12:L16,P12:P16)</f>
        <v>0.24931506849315072</v>
      </c>
      <c r="V9" s="335" t="s">
        <v>29</v>
      </c>
      <c r="W9" s="169">
        <f t="array" ref="W9:W10">MMULT(AA9:AB10,Y9:Y10)</f>
        <v>-5.3394196736305122E-4</v>
      </c>
      <c r="X9" s="335" t="s">
        <v>30</v>
      </c>
      <c r="Y9" s="150">
        <f t="array" ref="Y9:Y10">_xll.ohFilter(N3:N7,P3:P7)</f>
        <v>3.1472604832172117E-4</v>
      </c>
      <c r="AA9" s="165">
        <f t="array" ref="AA9:AB10">MINVERSE(T9:U10)</f>
        <v>-16.176917005646288</v>
      </c>
      <c r="AB9" s="167">
        <v>16.35666052793125</v>
      </c>
      <c r="AF9" s="181">
        <f>_xll.qlCalendarAdvance(Calendar,AF8,"1d","mf",,Trigger)</f>
        <v>41899</v>
      </c>
      <c r="AG9" s="192">
        <f>_xll.qlDayCounterYearFraction(DayCounterON,SettlementDate,AF9,,,Trigger)</f>
        <v>2.1917808219178082E-2</v>
      </c>
      <c r="AH9" s="182">
        <f t="shared" si="0"/>
        <v>1.2623627212904197E-3</v>
      </c>
      <c r="AI9" s="182">
        <f t="shared" si="1"/>
        <v>1.3186826274369334E-3</v>
      </c>
      <c r="AJ9" s="152">
        <f t="shared" si="2"/>
        <v>1.2801765575489006E-3</v>
      </c>
    </row>
    <row r="10" spans="1:36" ht="11.25" customHeight="1" thickBot="1" x14ac:dyDescent="0.25">
      <c r="R10" s="333"/>
      <c r="S10" s="229"/>
      <c r="T10" s="165">
        <v>9.2550197035091E-2</v>
      </c>
      <c r="U10" s="167">
        <v>0.24657534246575341</v>
      </c>
      <c r="V10" s="335"/>
      <c r="W10" s="169">
        <v>1.3303854650777674E-3</v>
      </c>
      <c r="X10" s="335"/>
      <c r="Y10" s="150">
        <v>2.7862381737825664E-4</v>
      </c>
      <c r="AA10" s="165">
        <v>6.0718839171877841</v>
      </c>
      <c r="AB10" s="167">
        <v>-2.0837937384898719</v>
      </c>
      <c r="AF10" s="181">
        <f>_xll.qlCalendarAdvance(Calendar,AF9,"1d","mf",,Trigger)</f>
        <v>41900</v>
      </c>
      <c r="AG10" s="192">
        <f>_xll.qlDayCounterYearFraction(DayCounterON,SettlementDate,AF10,,,Trigger)</f>
        <v>2.4657534246575342E-2</v>
      </c>
      <c r="AH10" s="182">
        <f t="shared" si="0"/>
        <v>1.2623627212904197E-3</v>
      </c>
      <c r="AI10" s="182">
        <f t="shared" si="1"/>
        <v>1.3172197727318292E-3</v>
      </c>
      <c r="AJ10" s="152">
        <f t="shared" si="2"/>
        <v>1.2802136660658204E-3</v>
      </c>
    </row>
    <row r="11" spans="1:36" ht="11.25" customHeight="1" x14ac:dyDescent="0.2">
      <c r="D11" s="158" t="s">
        <v>93</v>
      </c>
      <c r="E11" s="220" t="str">
        <f>Currency&amp;IborType&amp;"1M"</f>
        <v>AUDBBSW1M</v>
      </c>
      <c r="J11" s="158"/>
      <c r="K11" s="159"/>
      <c r="L11" s="159" t="s">
        <v>77</v>
      </c>
      <c r="M11" s="173" t="s">
        <v>78</v>
      </c>
      <c r="N11" s="160" t="s">
        <v>79</v>
      </c>
      <c r="P11" s="160" t="s">
        <v>97</v>
      </c>
      <c r="W11" s="171"/>
      <c r="X11" s="227"/>
      <c r="Y11" s="172"/>
      <c r="AF11" s="181">
        <f>_xll.qlCalendarAdvance(Calendar,AF10,"1d","mf",,Trigger)</f>
        <v>41901</v>
      </c>
      <c r="AG11" s="192">
        <f>_xll.qlDayCounterYearFraction(DayCounterON,SettlementDate,AF11,,,Trigger)</f>
        <v>2.7397260273972601E-2</v>
      </c>
      <c r="AH11" s="182">
        <f t="shared" si="0"/>
        <v>1.2623627212904197E-3</v>
      </c>
      <c r="AI11" s="182">
        <f t="shared" si="1"/>
        <v>1.3157569180267249E-3</v>
      </c>
      <c r="AJ11" s="152">
        <f t="shared" si="2"/>
        <v>1.2802327389528161E-3</v>
      </c>
    </row>
    <row r="12" spans="1:36" ht="11.25" customHeight="1" x14ac:dyDescent="0.2">
      <c r="D12" s="176" t="s">
        <v>91</v>
      </c>
      <c r="E12" s="221" t="s">
        <v>73</v>
      </c>
      <c r="J12" s="230" t="e">
        <f>_xll.qlDayCounterYearFraction(DayCounterON,SettlementDate,E3,,,Trigger)</f>
        <v>#NUM!</v>
      </c>
      <c r="K12" s="231" t="e">
        <f>_xll.qlDayCounterYearFraction(DayCounterON,SettlementDate,F3,,,Trigger)</f>
        <v>#NUM!</v>
      </c>
      <c r="L12" s="231" t="e">
        <f>K12-J12</f>
        <v>#NUM!</v>
      </c>
      <c r="M12" s="231" t="e">
        <f>(K12^2-J12^2)/2</f>
        <v>#NUM!</v>
      </c>
      <c r="N12" s="232" t="e">
        <f>(K12^3-J12^3)/3</f>
        <v>#NUM!</v>
      </c>
      <c r="P12" s="232" t="b">
        <f>P3</f>
        <v>0</v>
      </c>
      <c r="W12" s="226" t="s">
        <v>28</v>
      </c>
      <c r="X12" s="227"/>
      <c r="Y12" s="172"/>
      <c r="AF12" s="181">
        <f>_xll.qlCalendarAdvance(Calendar,AF11,"1d","mf",,Trigger)</f>
        <v>41904</v>
      </c>
      <c r="AG12" s="192">
        <f>_xll.qlDayCounterYearFraction(DayCounterON,SettlementDate,AF12,,,Trigger)</f>
        <v>3.5616438356164383E-2</v>
      </c>
      <c r="AH12" s="182">
        <f t="shared" si="0"/>
        <v>1.2623627212904197E-3</v>
      </c>
      <c r="AI12" s="182">
        <f t="shared" si="1"/>
        <v>1.3113683539114122E-3</v>
      </c>
      <c r="AJ12" s="152">
        <f t="shared" si="2"/>
        <v>1.2801817438342583E-3</v>
      </c>
    </row>
    <row r="13" spans="1:36" ht="11.25" customHeight="1" x14ac:dyDescent="0.2">
      <c r="D13" s="176" t="s">
        <v>71</v>
      </c>
      <c r="E13" s="221" t="s">
        <v>73</v>
      </c>
      <c r="J13" s="230">
        <f>_xll.qlDayCounterYearFraction(DayCounterON,SettlementDate,E4,,,Trigger)</f>
        <v>0</v>
      </c>
      <c r="K13" s="231">
        <f>_xll.qlDayCounterYearFraction(DayCounterON,SettlementDate,F4,,,Trigger)</f>
        <v>0.24931506849315069</v>
      </c>
      <c r="L13" s="231">
        <f>K13-J13</f>
        <v>0.24931506849315069</v>
      </c>
      <c r="M13" s="231">
        <f>(K13^2-J13^2)/2</f>
        <v>3.1079001688872208E-2</v>
      </c>
      <c r="N13" s="232">
        <f>(K13^3-J13^3)/3</f>
        <v>5.165642289839947E-3</v>
      </c>
      <c r="P13" s="232" t="b">
        <f>P4</f>
        <v>0</v>
      </c>
      <c r="R13" s="245" t="s">
        <v>70</v>
      </c>
      <c r="U13" s="168">
        <f t="array" ref="U13">_xll.ohFilter(L12:L16,P12:P16)</f>
        <v>0.24931506849315072</v>
      </c>
      <c r="V13" s="245" t="s">
        <v>29</v>
      </c>
      <c r="W13" s="169">
        <f>MMULT(AA13,Y13)</f>
        <v>1.2623627212904197E-3</v>
      </c>
      <c r="X13" s="245" t="s">
        <v>30</v>
      </c>
      <c r="Y13" s="150">
        <f>_xll.ohFilter(N3:N7,P3:P7)</f>
        <v>3.1472604832172117E-4</v>
      </c>
      <c r="AA13" s="168">
        <f>MINVERSE(U13)</f>
        <v>4.0109890109890101</v>
      </c>
      <c r="AF13" s="181">
        <f>_xll.qlCalendarAdvance(Calendar,AF12,"1d","mf",,Trigger)</f>
        <v>41905</v>
      </c>
      <c r="AG13" s="192">
        <f>_xll.qlDayCounterYearFraction(DayCounterON,SettlementDate,AF13,,,Trigger)</f>
        <v>3.8356164383561646E-2</v>
      </c>
      <c r="AH13" s="182">
        <f t="shared" si="0"/>
        <v>1.2623627212904197E-3</v>
      </c>
      <c r="AI13" s="182">
        <f t="shared" si="1"/>
        <v>1.3099054992063079E-3</v>
      </c>
      <c r="AJ13" s="152">
        <f t="shared" si="2"/>
        <v>1.2801286742015576E-3</v>
      </c>
    </row>
    <row r="14" spans="1:36" ht="11.25" customHeight="1" thickBot="1" x14ac:dyDescent="0.25">
      <c r="D14" s="176" t="s">
        <v>72</v>
      </c>
      <c r="E14" s="221" t="s">
        <v>73</v>
      </c>
      <c r="J14" s="230">
        <f>_xll.qlDayCounterYearFraction(DayCounterON,SettlementDate,E5,,,Trigger)</f>
        <v>2.7397260273972603E-3</v>
      </c>
      <c r="K14" s="231">
        <f>_xll.qlDayCounterYearFraction(DayCounterON,SettlementDate,F5,,,Trigger)</f>
        <v>0.25205479452054796</v>
      </c>
      <c r="L14" s="231">
        <f>K14-J14</f>
        <v>0.24931506849315072</v>
      </c>
      <c r="M14" s="231">
        <f>(K14^2-J14^2)/2</f>
        <v>3.176205667104523E-2</v>
      </c>
      <c r="N14" s="232">
        <f>(K14^3-J14^3)/3</f>
        <v>5.3378095730178049E-3</v>
      </c>
      <c r="P14" s="232" t="b">
        <f>P5</f>
        <v>1</v>
      </c>
      <c r="AF14" s="181">
        <f>_xll.qlCalendarAdvance(Calendar,AF13,"1d","mf",,Trigger)</f>
        <v>41906</v>
      </c>
      <c r="AG14" s="192">
        <f>_xll.qlDayCounterYearFraction(DayCounterON,SettlementDate,AF14,,,Trigger)</f>
        <v>4.1095890410958902E-2</v>
      </c>
      <c r="AH14" s="182">
        <f t="shared" si="0"/>
        <v>1.2623627212904197E-3</v>
      </c>
      <c r="AI14" s="182">
        <f t="shared" si="1"/>
        <v>1.3084426445012036E-3</v>
      </c>
      <c r="AJ14" s="152">
        <f t="shared" si="2"/>
        <v>1.2800575689389325E-3</v>
      </c>
    </row>
    <row r="15" spans="1:36" ht="14.25" customHeight="1" thickBot="1" x14ac:dyDescent="0.25">
      <c r="D15" s="176" t="s">
        <v>98</v>
      </c>
      <c r="E15" s="221" t="s">
        <v>63</v>
      </c>
      <c r="F15" s="146" t="s">
        <v>111</v>
      </c>
      <c r="G15" s="240" t="s">
        <v>96</v>
      </c>
      <c r="H15" s="225" t="str">
        <f>_xll.qlInterpolation(,E15,E5:E7,M5:M7)</f>
        <v>obj_003d2#0038</v>
      </c>
      <c r="J15" s="230">
        <f>_xll.qlDayCounterYearFraction(DayCounterON,SettlementDate,E6,,,Trigger)</f>
        <v>0.25205479452054796</v>
      </c>
      <c r="K15" s="231">
        <f>_xll.qlDayCounterYearFraction(DayCounterON,SettlementDate,F6,,,Trigger)</f>
        <v>0.49863013698630138</v>
      </c>
      <c r="L15" s="231">
        <f>K15-J15</f>
        <v>0.24657534246575341</v>
      </c>
      <c r="M15" s="231">
        <f>(K15^2-J15^2)/2</f>
        <v>9.2550197035091E-2</v>
      </c>
      <c r="N15" s="232">
        <f>(K15^3-J15^3)/3</f>
        <v>3.598732189081711E-2</v>
      </c>
      <c r="P15" s="232" t="b">
        <f>P6</f>
        <v>1</v>
      </c>
      <c r="AF15" s="181">
        <f>_xll.qlCalendarAdvance(Calendar,AF14,"1d","mf",,Trigger)</f>
        <v>41907</v>
      </c>
      <c r="AG15" s="192">
        <f>_xll.qlDayCounterYearFraction(DayCounterON,SettlementDate,AF15,,,Trigger)</f>
        <v>4.3835616438356165E-2</v>
      </c>
      <c r="AH15" s="182">
        <f t="shared" si="0"/>
        <v>1.2623627212904197E-3</v>
      </c>
      <c r="AI15" s="182">
        <f t="shared" si="1"/>
        <v>1.3069797897960994E-3</v>
      </c>
      <c r="AJ15" s="152">
        <f t="shared" si="2"/>
        <v>1.2799684280463833E-3</v>
      </c>
    </row>
    <row r="16" spans="1:36" ht="11.25" customHeight="1" thickBot="1" x14ac:dyDescent="0.25">
      <c r="D16" s="177" t="s">
        <v>101</v>
      </c>
      <c r="E16" s="242" t="s">
        <v>61</v>
      </c>
      <c r="J16" s="233">
        <f>_xll.qlDayCounterYearFraction(DayCounterON,SettlementDate,E7,,,Trigger)</f>
        <v>0.49863013698630138</v>
      </c>
      <c r="K16" s="234">
        <f>_xll.qlDayCounterYearFraction(DayCounterON,SettlementDate,F7,,,Trigger)</f>
        <v>0.75068493150684934</v>
      </c>
      <c r="L16" s="234">
        <f>K16-J16</f>
        <v>0.25205479452054796</v>
      </c>
      <c r="M16" s="234">
        <f>(K16^2-J16^2)/2</f>
        <v>0.1574479264402327</v>
      </c>
      <c r="N16" s="235">
        <f>(K16^3-J16^3)/3</f>
        <v>9.968548760936756E-2</v>
      </c>
      <c r="P16" s="331" t="b">
        <f>P7</f>
        <v>1</v>
      </c>
      <c r="AF16" s="181">
        <f>_xll.qlCalendarAdvance(Calendar,AF15,"1d","mf",,Trigger)</f>
        <v>41908</v>
      </c>
      <c r="AG16" s="192">
        <f>_xll.qlDayCounterYearFraction(DayCounterON,SettlementDate,AF16,,,Trigger)</f>
        <v>4.6575342465753428E-2</v>
      </c>
      <c r="AH16" s="182">
        <f t="shared" si="0"/>
        <v>1.2623627212904197E-3</v>
      </c>
      <c r="AI16" s="182">
        <f t="shared" si="1"/>
        <v>1.3055169350909951E-3</v>
      </c>
      <c r="AJ16" s="152">
        <f t="shared" si="2"/>
        <v>1.2798612515239102E-3</v>
      </c>
    </row>
    <row r="17" spans="4:36" ht="15.75" customHeight="1" thickBot="1" x14ac:dyDescent="0.25">
      <c r="P17" s="163"/>
      <c r="AF17" s="181">
        <f>_xll.qlCalendarAdvance(Calendar,AF16,"1d","mf",,Trigger)</f>
        <v>41911</v>
      </c>
      <c r="AG17" s="192">
        <f>_xll.qlDayCounterYearFraction(DayCounterON,SettlementDate,AF17,,,Trigger)</f>
        <v>5.4794520547945202E-2</v>
      </c>
      <c r="AH17" s="182">
        <f t="shared" si="0"/>
        <v>1.2623627212904197E-3</v>
      </c>
      <c r="AI17" s="182">
        <f t="shared" si="1"/>
        <v>1.3011283709756824E-3</v>
      </c>
      <c r="AJ17" s="152">
        <f t="shared" si="2"/>
        <v>1.2794315081769453E-3</v>
      </c>
    </row>
    <row r="18" spans="4:36" ht="11.25" customHeight="1" thickBot="1" x14ac:dyDescent="0.25">
      <c r="M18" s="236" t="s">
        <v>100</v>
      </c>
      <c r="N18" s="237"/>
      <c r="O18" s="238"/>
      <c r="P18" s="163"/>
      <c r="AF18" s="181">
        <f>_xll.qlCalendarAdvance(Calendar,AF17,"1d","mf",,Trigger)</f>
        <v>41912</v>
      </c>
      <c r="AG18" s="192">
        <f>_xll.qlDayCounterYearFraction(DayCounterON,SettlementDate,AF18,,,Trigger)</f>
        <v>5.7534246575342465E-2</v>
      </c>
      <c r="AH18" s="182">
        <f t="shared" si="0"/>
        <v>1.2623627212904197E-3</v>
      </c>
      <c r="AI18" s="182">
        <f t="shared" si="1"/>
        <v>1.2996655162705781E-3</v>
      </c>
      <c r="AJ18" s="152">
        <f t="shared" si="2"/>
        <v>1.2792521891347756E-3</v>
      </c>
    </row>
    <row r="19" spans="4:36" ht="11.25" customHeight="1" x14ac:dyDescent="0.2">
      <c r="D19" s="158" t="s">
        <v>80</v>
      </c>
      <c r="E19" s="159" t="s">
        <v>59</v>
      </c>
      <c r="F19" s="159" t="s">
        <v>60</v>
      </c>
      <c r="G19" s="173" t="s">
        <v>99</v>
      </c>
      <c r="H19" s="173"/>
      <c r="I19" s="159" t="s">
        <v>27</v>
      </c>
      <c r="J19" s="159"/>
      <c r="K19" s="159"/>
      <c r="L19" s="159"/>
      <c r="M19" s="239" t="s">
        <v>70</v>
      </c>
      <c r="N19" s="160" t="s">
        <v>69</v>
      </c>
      <c r="O19" s="160" t="s">
        <v>68</v>
      </c>
      <c r="P19" s="163"/>
      <c r="AF19" s="181">
        <f>_xll.qlCalendarAdvance(Calendar,AF18,"1d","mf",,Trigger)</f>
        <v>41913</v>
      </c>
      <c r="AG19" s="192">
        <f>_xll.qlDayCounterYearFraction(DayCounterON,SettlementDate,AF19,,,Trigger)</f>
        <v>6.0273972602739728E-2</v>
      </c>
      <c r="AH19" s="182">
        <f t="shared" si="0"/>
        <v>1.2623627212904197E-3</v>
      </c>
      <c r="AI19" s="182">
        <f t="shared" si="1"/>
        <v>1.2982026615654739E-3</v>
      </c>
      <c r="AJ19" s="152">
        <f t="shared" si="2"/>
        <v>1.2790548344626816E-3</v>
      </c>
    </row>
    <row r="20" spans="4:36" ht="11.25" customHeight="1" x14ac:dyDescent="0.2">
      <c r="D20" s="197" t="s">
        <v>35</v>
      </c>
      <c r="E20" s="188">
        <f>_xll.qlCalendarAdvance(Calendar,SettlementDate,"2D","f",,Trigger)</f>
        <v>41893</v>
      </c>
      <c r="F20" s="189">
        <f>_xll.qlCalendarAdvance(Calendar,E20,D20,"Following",,Trigger)</f>
        <v>41894</v>
      </c>
      <c r="G20" s="190" t="str">
        <f>_xll.qlMakeDatedOIS(,E20,F20,OvernightIndex,0,,,,EvaluationDate)</f>
        <v>obj_0024c#0000</v>
      </c>
      <c r="H20" s="216" t="b">
        <f>_xll.qlInstrumentSetPricingEngine(G20,OisEngine)</f>
        <v>1</v>
      </c>
      <c r="I20" s="187">
        <f>_xll.qlOvernightIndexedSwapFairRate(G20,_xll.ohTrigger(InterestRatesTrigger))</f>
        <v>2.4655472613623882E-2</v>
      </c>
      <c r="J20" s="231">
        <f>_xll.qlDayCounterYearFraction(DayCounterOIS,E20,F20,,,Trigger)</f>
        <v>2.7397260273972603E-3</v>
      </c>
      <c r="K20" s="231">
        <f>_xll.qlDayCounterYearFraction(DayCounter6M,E20,F20,,,Trigger)</f>
        <v>2.7397260273972603E-3</v>
      </c>
      <c r="L20" s="231">
        <f>_xll.qlDayCounterYearFraction(DayCounterON,E20,F20,,,Trigger)</f>
        <v>2.7397260273972603E-3</v>
      </c>
      <c r="M20" s="182">
        <f t="shared" ref="M20:M26" si="5">($I20*$J20+$W$13*L20)/$K20</f>
        <v>2.5917835334914301E-2</v>
      </c>
      <c r="N20" s="182">
        <f t="shared" ref="N20:N26" si="6">($I20*$J20+($W$10*L20+$W$9*L20^2/2))/$K20</f>
        <v>2.59851266513491E-2</v>
      </c>
      <c r="O20" s="152">
        <f t="shared" ref="O20:O26" si="7">($I20*$J20+($W$5*L20+$W$4*L20^2/2+$W$3*L20^3/3))/$K20</f>
        <v>2.5934795220107471E-2</v>
      </c>
      <c r="P20" s="163"/>
      <c r="AF20" s="181">
        <f>_xll.qlCalendarAdvance(Calendar,AF19,"1d","mf",,Trigger)</f>
        <v>41914</v>
      </c>
      <c r="AG20" s="192">
        <f>_xll.qlDayCounterYearFraction(DayCounterON,SettlementDate,AF20,,,Trigger)</f>
        <v>6.3013698630136991E-2</v>
      </c>
      <c r="AH20" s="182">
        <f t="shared" si="0"/>
        <v>1.2623627212904197E-3</v>
      </c>
      <c r="AI20" s="182">
        <f t="shared" si="1"/>
        <v>1.2967398068603696E-3</v>
      </c>
      <c r="AJ20" s="152">
        <f t="shared" si="2"/>
        <v>1.2788394441606637E-3</v>
      </c>
    </row>
    <row r="21" spans="4:36" ht="11.25" customHeight="1" x14ac:dyDescent="0.2">
      <c r="D21" s="195" t="s">
        <v>36</v>
      </c>
      <c r="E21" s="149">
        <f>_xll.qlCalendarAdvance(Calendar,SettlementDate,"2D","f",,Trigger)</f>
        <v>41893</v>
      </c>
      <c r="F21" s="191">
        <f>_xll.qlCalendarAdvance(Calendar,E21,D21,"Following",,Trigger)</f>
        <v>41900</v>
      </c>
      <c r="G21" s="192" t="str">
        <f>_xll.qlMakeDatedOIS(,E21,F21,OvernightIndex,0,,,,EvaluationDate)</f>
        <v>obj_00253#0000</v>
      </c>
      <c r="H21" s="217" t="b">
        <f>_xll.qlInstrumentSetPricingEngine(G21,OisEngine)</f>
        <v>1</v>
      </c>
      <c r="I21" s="151">
        <f>_xll.qlOvernightIndexedSwapFairRate(G21,_xll.ohTrigger(InterestRatesTrigger))</f>
        <v>2.4655872692119933E-2</v>
      </c>
      <c r="J21" s="231">
        <f>_xll.qlDayCounterYearFraction(DayCounterOIS,E21,F21,,,Trigger)</f>
        <v>1.9178082191780823E-2</v>
      </c>
      <c r="K21" s="231">
        <f>_xll.qlDayCounterYearFraction(DayCounter6M,E21,F21,,,Trigger)</f>
        <v>1.9178082191780823E-2</v>
      </c>
      <c r="L21" s="231">
        <f>_xll.qlDayCounterYearFraction(DayCounterON,E21,F21,,,Trigger)</f>
        <v>1.9178082191780823E-2</v>
      </c>
      <c r="M21" s="182">
        <f t="shared" si="5"/>
        <v>2.5918235413410349E-2</v>
      </c>
      <c r="N21" s="182">
        <f t="shared" si="6"/>
        <v>2.5981138165729833E-2</v>
      </c>
      <c r="O21" s="152">
        <f t="shared" si="7"/>
        <v>2.5935622247677953E-2</v>
      </c>
      <c r="P21" s="163"/>
      <c r="AF21" s="181">
        <f>_xll.qlCalendarAdvance(Calendar,AF20,"1d","mf",,Trigger)</f>
        <v>41915</v>
      </c>
      <c r="AG21" s="192">
        <f>_xll.qlDayCounterYearFraction(DayCounterON,SettlementDate,AF21,,,Trigger)</f>
        <v>6.575342465753424E-2</v>
      </c>
      <c r="AH21" s="182">
        <f t="shared" si="0"/>
        <v>1.2623627212904197E-3</v>
      </c>
      <c r="AI21" s="182">
        <f t="shared" si="1"/>
        <v>1.2952769521552654E-3</v>
      </c>
      <c r="AJ21" s="152">
        <f t="shared" si="2"/>
        <v>1.2786060182287213E-3</v>
      </c>
    </row>
    <row r="22" spans="4:36" ht="11.25" customHeight="1" x14ac:dyDescent="0.2">
      <c r="D22" s="195" t="s">
        <v>37</v>
      </c>
      <c r="E22" s="149">
        <f>_xll.qlCalendarAdvance(Calendar,SettlementDate,"2D","f",,Trigger)</f>
        <v>41893</v>
      </c>
      <c r="F22" s="191">
        <f>_xll.qlCalendarAdvance(Calendar,E22,D22,"Following",,Trigger)</f>
        <v>41907</v>
      </c>
      <c r="G22" s="192" t="str">
        <f>_xll.qlMakeDatedOIS(,E22,F22,OvernightIndex,0,,,,EvaluationDate)</f>
        <v>obj_0024b#0000</v>
      </c>
      <c r="H22" s="217" t="b">
        <f>_xll.qlInstrumentSetPricingEngine(G22,OisEngine)</f>
        <v>1</v>
      </c>
      <c r="I22" s="151">
        <f>_xll.qlOvernightIndexedSwapFairRate(G22,_xll.ohTrigger(InterestRatesTrigger))</f>
        <v>2.4653233516339159E-2</v>
      </c>
      <c r="J22" s="231">
        <f>_xll.qlDayCounterYearFraction(DayCounterOIS,E22,F22,,,Trigger)</f>
        <v>3.8356164383561646E-2</v>
      </c>
      <c r="K22" s="231">
        <f>_xll.qlDayCounterYearFraction(DayCounter6M,E22,F22,,,Trigger)</f>
        <v>3.8356164383561646E-2</v>
      </c>
      <c r="L22" s="231">
        <f>_xll.qlDayCounterYearFraction(DayCounterON,E22,F22,,,Trigger)</f>
        <v>3.8356164383561646E-2</v>
      </c>
      <c r="M22" s="182">
        <f t="shared" si="5"/>
        <v>2.5915596237629578E-2</v>
      </c>
      <c r="N22" s="182">
        <f t="shared" si="6"/>
        <v>2.5973378998481195E-2</v>
      </c>
      <c r="O22" s="152">
        <f t="shared" si="7"/>
        <v>2.59332076387635E-2</v>
      </c>
      <c r="P22" s="163"/>
      <c r="AF22" s="181">
        <f>_xll.qlCalendarAdvance(Calendar,AF21,"1d","mf",,Trigger)</f>
        <v>41919</v>
      </c>
      <c r="AG22" s="192">
        <f>_xll.qlDayCounterYearFraction(DayCounterON,SettlementDate,AF22,,,Trigger)</f>
        <v>7.6712328767123292E-2</v>
      </c>
      <c r="AH22" s="182">
        <f t="shared" si="0"/>
        <v>1.2623627212904197E-3</v>
      </c>
      <c r="AI22" s="182">
        <f t="shared" si="1"/>
        <v>1.2894255333348484E-3</v>
      </c>
      <c r="AJ22" s="152">
        <f t="shared" si="2"/>
        <v>1.2774919582017111E-3</v>
      </c>
    </row>
    <row r="23" spans="4:36" ht="11.25" customHeight="1" x14ac:dyDescent="0.2">
      <c r="D23" s="195" t="s">
        <v>38</v>
      </c>
      <c r="E23" s="149">
        <f>_xll.qlCalendarAdvance(Calendar,SettlementDate,"2D","f",,Trigger)</f>
        <v>41893</v>
      </c>
      <c r="F23" s="191">
        <f>_xll.qlCalendarAdvance(Calendar,E23,D23,"Following",,Trigger)</f>
        <v>41914</v>
      </c>
      <c r="G23" s="192" t="str">
        <f>_xll.qlMakeDatedOIS(,E23,F23,OvernightIndex,0,,,,EvaluationDate)</f>
        <v>obj_00256#0000</v>
      </c>
      <c r="H23" s="217" t="b">
        <f>_xll.qlInstrumentSetPricingEngine(G23,OisEngine)</f>
        <v>1</v>
      </c>
      <c r="I23" s="151">
        <f>_xll.qlOvernightIndexedSwapFairRate(G23,_xll.ohTrigger(InterestRatesTrigger))</f>
        <v>2.4649880609034978E-2</v>
      </c>
      <c r="J23" s="231">
        <f>_xll.qlDayCounterYearFraction(DayCounterOIS,E23,F23,,,Trigger)</f>
        <v>5.7534246575342465E-2</v>
      </c>
      <c r="K23" s="231">
        <f>_xll.qlDayCounterYearFraction(DayCounter6M,E23,F23,,,Trigger)</f>
        <v>5.7534246575342465E-2</v>
      </c>
      <c r="L23" s="231">
        <f>_xll.qlDayCounterYearFraction(DayCounterON,E23,F23,,,Trigger)</f>
        <v>5.7534246575342465E-2</v>
      </c>
      <c r="M23" s="182">
        <f t="shared" si="5"/>
        <v>2.5912243330325397E-2</v>
      </c>
      <c r="N23" s="182">
        <f t="shared" si="6"/>
        <v>2.596490609970915E-2</v>
      </c>
      <c r="O23" s="152">
        <f t="shared" si="7"/>
        <v>2.5929784716370214E-2</v>
      </c>
      <c r="P23" s="163"/>
      <c r="AF23" s="181">
        <f>_xll.qlCalendarAdvance(Calendar,AF22,"1d","mf",,Trigger)</f>
        <v>41920</v>
      </c>
      <c r="AG23" s="192">
        <f>_xll.qlDayCounterYearFraction(DayCounterON,SettlementDate,AF23,,,Trigger)</f>
        <v>7.9452054794520555E-2</v>
      </c>
      <c r="AH23" s="182">
        <f t="shared" si="0"/>
        <v>1.2623627212904197E-3</v>
      </c>
      <c r="AI23" s="182">
        <f t="shared" si="1"/>
        <v>1.2879626786297441E-3</v>
      </c>
      <c r="AJ23" s="152">
        <f t="shared" si="2"/>
        <v>1.2771683541201483E-3</v>
      </c>
    </row>
    <row r="24" spans="4:36" ht="11.25" customHeight="1" x14ac:dyDescent="0.2">
      <c r="D24" s="195" t="s">
        <v>32</v>
      </c>
      <c r="E24" s="149">
        <f>_xll.qlCalendarAdvance(Calendar,SettlementDate,"2D","f",,Trigger)</f>
        <v>41893</v>
      </c>
      <c r="F24" s="191">
        <f>_xll.qlCalendarAdvance(Calendar,E24,D24,"Following",,Trigger)</f>
        <v>41925</v>
      </c>
      <c r="G24" s="192" t="str">
        <f>_xll.qlMakeDatedOIS(,E24,F24,OvernightIndex,0,,,,EvaluationDate)</f>
        <v>obj_00247#0000</v>
      </c>
      <c r="H24" s="217" t="b">
        <f>_xll.qlInstrumentSetPricingEngine(G24,OisEngine)</f>
        <v>1</v>
      </c>
      <c r="I24" s="151">
        <f>_xll.qlOvernightIndexedSwapFairRate(G24,_xll.ohTrigger(InterestRatesTrigger))</f>
        <v>2.4644053533167669E-2</v>
      </c>
      <c r="J24" s="231">
        <f>_xll.qlDayCounterYearFraction(DayCounterOIS,E24,F24,,,Trigger)</f>
        <v>8.7671232876712329E-2</v>
      </c>
      <c r="K24" s="231">
        <f>_xll.qlDayCounterYearFraction(DayCounter6M,E24,F24,,,Trigger)</f>
        <v>8.7671232876712329E-2</v>
      </c>
      <c r="L24" s="231">
        <f>_xll.qlDayCounterYearFraction(DayCounterON,E24,F24,,,Trigger)</f>
        <v>8.7671232876712329E-2</v>
      </c>
      <c r="M24" s="182">
        <f t="shared" si="5"/>
        <v>2.5906416254458088E-2</v>
      </c>
      <c r="N24" s="182">
        <f t="shared" si="6"/>
        <v>2.5951033322963769E-2</v>
      </c>
      <c r="O24" s="152">
        <f t="shared" si="7"/>
        <v>2.5923252441003956E-2</v>
      </c>
      <c r="P24" s="163"/>
      <c r="AF24" s="181">
        <f>_xll.qlCalendarAdvance(Calendar,AF23,"1d","mf",,Trigger)</f>
        <v>41921</v>
      </c>
      <c r="AG24" s="192">
        <f>_xll.qlDayCounterYearFraction(DayCounterON,SettlementDate,AF24,,,Trigger)</f>
        <v>8.2191780821917804E-2</v>
      </c>
      <c r="AH24" s="182">
        <f t="shared" si="0"/>
        <v>1.2623627212904197E-3</v>
      </c>
      <c r="AI24" s="182">
        <f t="shared" si="1"/>
        <v>1.2864998239246399E-3</v>
      </c>
      <c r="AJ24" s="152">
        <f t="shared" si="2"/>
        <v>1.2768267144086611E-3</v>
      </c>
    </row>
    <row r="25" spans="4:36" x14ac:dyDescent="0.2">
      <c r="D25" s="195" t="s">
        <v>39</v>
      </c>
      <c r="E25" s="149">
        <f>_xll.qlCalendarAdvance(Calendar,SettlementDate,"2D","f",,Trigger)</f>
        <v>41893</v>
      </c>
      <c r="F25" s="191">
        <f>_xll.qlCalendarAdvance(Calendar,E25,D25,"Following",,Trigger)</f>
        <v>41954</v>
      </c>
      <c r="G25" s="192" t="str">
        <f>_xll.qlMakeDatedOIS(,E25,F25,OvernightIndex,0,,,,EvaluationDate)</f>
        <v>obj_0024a#0000</v>
      </c>
      <c r="H25" s="217" t="b">
        <f>_xll.qlInstrumentSetPricingEngine(G25,OisEngine)</f>
        <v>1</v>
      </c>
      <c r="I25" s="151">
        <f>_xll.qlOvernightIndexedSwapFairRate(G25,_xll.ohTrigger(InterestRatesTrigger))</f>
        <v>2.463044874464955E-2</v>
      </c>
      <c r="J25" s="231">
        <f>_xll.qlDayCounterYearFraction(DayCounterOIS,E25,F25,,,Trigger)</f>
        <v>0.16712328767123288</v>
      </c>
      <c r="K25" s="231">
        <f>_xll.qlDayCounterYearFraction(DayCounter6M,E25,F25,,,Trigger)</f>
        <v>0.16712328767123288</v>
      </c>
      <c r="L25" s="231">
        <f>_xll.qlDayCounterYearFraction(DayCounterON,E25,F25,,,Trigger)</f>
        <v>0.16712328767123288</v>
      </c>
      <c r="M25" s="182">
        <f t="shared" si="5"/>
        <v>2.5892811465939969E-2</v>
      </c>
      <c r="N25" s="182">
        <f t="shared" si="6"/>
        <v>2.5916217141221637E-2</v>
      </c>
      <c r="O25" s="152">
        <f t="shared" si="7"/>
        <v>2.5904301601718426E-2</v>
      </c>
      <c r="P25" s="163"/>
      <c r="AF25" s="181">
        <f>_xll.qlCalendarAdvance(Calendar,AF24,"1d","mf",,Trigger)</f>
        <v>41922</v>
      </c>
      <c r="AG25" s="192">
        <f>_xll.qlDayCounterYearFraction(DayCounterON,SettlementDate,AF25,,,Trigger)</f>
        <v>8.4931506849315067E-2</v>
      </c>
      <c r="AH25" s="182">
        <f t="shared" si="0"/>
        <v>1.2623627212904197E-3</v>
      </c>
      <c r="AI25" s="182">
        <f t="shared" si="1"/>
        <v>1.2850369692195356E-3</v>
      </c>
      <c r="AJ25" s="152">
        <f t="shared" si="2"/>
        <v>1.2764670390672497E-3</v>
      </c>
    </row>
    <row r="26" spans="4:36" ht="12" thickBot="1" x14ac:dyDescent="0.25">
      <c r="D26" s="196" t="s">
        <v>33</v>
      </c>
      <c r="E26" s="154">
        <f>_xll.qlCalendarAdvance(Calendar,SettlementDate,"2D","f",,Trigger)</f>
        <v>41893</v>
      </c>
      <c r="F26" s="193">
        <f>_xll.qlCalendarAdvance(Calendar,E26,D26,"Following",,Trigger)</f>
        <v>41984</v>
      </c>
      <c r="G26" s="194" t="str">
        <f>_xll.qlMakeDatedOIS(,E26,F26,OvernightIndex,0,,,,EvaluationDate)</f>
        <v>obj_00250#0000</v>
      </c>
      <c r="H26" s="218" t="b">
        <f>_xll.qlInstrumentSetPricingEngine(G26,OisEngine)</f>
        <v>1</v>
      </c>
      <c r="I26" s="156">
        <f>_xll.qlOvernightIndexedSwapFairRate(G26,_xll.ohTrigger(InterestRatesTrigger))</f>
        <v>2.4609696779316619E-2</v>
      </c>
      <c r="J26" s="234">
        <f>_xll.qlDayCounterYearFraction(DayCounterOIS,E26,F26,,,Trigger)</f>
        <v>0.24931506849315069</v>
      </c>
      <c r="K26" s="234">
        <f>_xll.qlDayCounterYearFraction(DayCounter6M,E26,F26,,,Trigger)</f>
        <v>0.24931506849315069</v>
      </c>
      <c r="L26" s="234">
        <f>_xll.qlDayCounterYearFraction(DayCounterON,E26,F26,,,Trigger)</f>
        <v>0.24931506849315069</v>
      </c>
      <c r="M26" s="184">
        <f t="shared" si="5"/>
        <v>2.5872059500607038E-2</v>
      </c>
      <c r="N26" s="184">
        <f t="shared" si="6"/>
        <v>2.587352235531214E-2</v>
      </c>
      <c r="O26" s="157">
        <f t="shared" si="7"/>
        <v>2.5872698728212275E-2</v>
      </c>
      <c r="P26" s="163"/>
      <c r="AF26" s="181">
        <f>_xll.qlCalendarAdvance(Calendar,AF25,"1d","mf",,Trigger)</f>
        <v>41925</v>
      </c>
      <c r="AG26" s="192">
        <f>_xll.qlDayCounterYearFraction(DayCounterON,SettlementDate,AF26,,,Trigger)</f>
        <v>9.3150684931506855E-2</v>
      </c>
      <c r="AH26" s="182">
        <f t="shared" si="0"/>
        <v>1.2623627212904197E-3</v>
      </c>
      <c r="AI26" s="182">
        <f t="shared" si="1"/>
        <v>1.2806484051042229E-3</v>
      </c>
      <c r="AJ26" s="152">
        <f t="shared" si="2"/>
        <v>1.2752797992634716E-3</v>
      </c>
    </row>
    <row r="27" spans="4:36" x14ac:dyDescent="0.2">
      <c r="P27" s="163"/>
      <c r="AF27" s="181">
        <f>_xll.qlCalendarAdvance(Calendar,AF26,"1d","mf",,Trigger)</f>
        <v>41926</v>
      </c>
      <c r="AG27" s="192">
        <f>_xll.qlDayCounterYearFraction(DayCounterON,SettlementDate,AF27,,,Trigger)</f>
        <v>9.5890410958904104E-2</v>
      </c>
      <c r="AH27" s="182">
        <f t="shared" si="0"/>
        <v>1.2623627212904197E-3</v>
      </c>
      <c r="AI27" s="182">
        <f t="shared" si="1"/>
        <v>1.2791855503991186E-3</v>
      </c>
      <c r="AJ27" s="152">
        <f t="shared" si="2"/>
        <v>1.2748479814023636E-3</v>
      </c>
    </row>
    <row r="28" spans="4:36" x14ac:dyDescent="0.2">
      <c r="P28" s="163"/>
      <c r="AF28" s="181">
        <f>_xll.qlCalendarAdvance(Calendar,AF27,"1d","mf",,Trigger)</f>
        <v>41927</v>
      </c>
      <c r="AG28" s="192">
        <f>_xll.qlDayCounterYearFraction(DayCounterON,SettlementDate,AF28,,,Trigger)</f>
        <v>9.8630136986301367E-2</v>
      </c>
      <c r="AH28" s="182">
        <f t="shared" si="0"/>
        <v>1.2623627212904197E-3</v>
      </c>
      <c r="AI28" s="182">
        <f t="shared" si="1"/>
        <v>1.2777226956940143E-3</v>
      </c>
      <c r="AJ28" s="152">
        <f t="shared" si="2"/>
        <v>1.2743981279113319E-3</v>
      </c>
    </row>
    <row r="29" spans="4:36" x14ac:dyDescent="0.2">
      <c r="P29" s="163"/>
      <c r="AF29" s="181">
        <f>_xll.qlCalendarAdvance(Calendar,AF28,"1d","mf",,Trigger)</f>
        <v>41928</v>
      </c>
      <c r="AG29" s="192">
        <f>_xll.qlDayCounterYearFraction(DayCounterON,SettlementDate,AF29,,,Trigger)</f>
        <v>0.10136986301369863</v>
      </c>
      <c r="AH29" s="182">
        <f t="shared" si="0"/>
        <v>1.2623627212904197E-3</v>
      </c>
      <c r="AI29" s="182">
        <f t="shared" si="1"/>
        <v>1.2762598409889101E-3</v>
      </c>
      <c r="AJ29" s="152">
        <f t="shared" si="2"/>
        <v>1.2739302387903759E-3</v>
      </c>
    </row>
    <row r="30" spans="4:36" ht="12.75" customHeight="1" x14ac:dyDescent="0.2">
      <c r="AF30" s="181">
        <f>_xll.qlCalendarAdvance(Calendar,AF29,"1d","mf",,Trigger)</f>
        <v>41929</v>
      </c>
      <c r="AG30" s="192">
        <f>_xll.qlDayCounterYearFraction(DayCounterON,SettlementDate,AF30,,,Trigger)</f>
        <v>0.10410958904109589</v>
      </c>
      <c r="AH30" s="182">
        <f t="shared" si="0"/>
        <v>1.2623627212904197E-3</v>
      </c>
      <c r="AI30" s="182">
        <f t="shared" si="1"/>
        <v>1.2747969862838058E-3</v>
      </c>
      <c r="AJ30" s="152">
        <f t="shared" si="2"/>
        <v>1.2734443140394957E-3</v>
      </c>
    </row>
    <row r="31" spans="4:36" ht="12" thickBot="1" x14ac:dyDescent="0.25">
      <c r="AF31" s="181">
        <f>_xll.qlCalendarAdvance(Calendar,AF30,"1d","mf",,Trigger)</f>
        <v>41932</v>
      </c>
      <c r="AG31" s="192">
        <f>_xll.qlDayCounterYearFraction(DayCounterON,SettlementDate,AF31,,,Trigger)</f>
        <v>0.11232876712328767</v>
      </c>
      <c r="AH31" s="182">
        <f t="shared" si="0"/>
        <v>1.2623627212904197E-3</v>
      </c>
      <c r="AI31" s="182">
        <f t="shared" si="1"/>
        <v>1.2704084221684931E-3</v>
      </c>
      <c r="AJ31" s="152">
        <f t="shared" si="2"/>
        <v>1.2718783260073105E-3</v>
      </c>
    </row>
    <row r="32" spans="4:36" x14ac:dyDescent="0.2">
      <c r="D32" s="239" t="s">
        <v>102</v>
      </c>
      <c r="AF32" s="181">
        <f>_xll.qlCalendarAdvance(Calendar,AF31,"1d","mf",,Trigger)</f>
        <v>41933</v>
      </c>
      <c r="AG32" s="192">
        <f>_xll.qlDayCounterYearFraction(DayCounterON,SettlementDate,AF32,,,Trigger)</f>
        <v>0.11506849315068493</v>
      </c>
      <c r="AH32" s="182">
        <f t="shared" si="0"/>
        <v>1.2623627212904197E-3</v>
      </c>
      <c r="AI32" s="182">
        <f t="shared" si="1"/>
        <v>1.2689455674633888E-3</v>
      </c>
      <c r="AJ32" s="152">
        <f t="shared" si="2"/>
        <v>1.2713202587367339E-3</v>
      </c>
    </row>
    <row r="33" spans="4:36" x14ac:dyDescent="0.2">
      <c r="D33" s="243" t="s">
        <v>68</v>
      </c>
      <c r="AF33" s="181">
        <f>_xll.qlCalendarAdvance(Calendar,AF32,"1d","mf",,Trigger)</f>
        <v>41934</v>
      </c>
      <c r="AG33" s="192">
        <f>_xll.qlDayCounterYearFraction(DayCounterON,SettlementDate,AF33,,,Trigger)</f>
        <v>0.11780821917808219</v>
      </c>
      <c r="AH33" s="182">
        <f t="shared" si="0"/>
        <v>1.2623627212904197E-3</v>
      </c>
      <c r="AI33" s="182">
        <f t="shared" si="1"/>
        <v>1.2674827127582846E-3</v>
      </c>
      <c r="AJ33" s="152">
        <f t="shared" si="2"/>
        <v>1.2707441558362329E-3</v>
      </c>
    </row>
    <row r="34" spans="4:36" x14ac:dyDescent="0.2">
      <c r="D34" s="182">
        <f t="shared" ref="D34:D40" si="8">IF($D$33="FLAT",M20,IF($D$33="linear",N20,O20))</f>
        <v>2.5934795220107471E-2</v>
      </c>
      <c r="AF34" s="181">
        <f>_xll.qlCalendarAdvance(Calendar,AF33,"1d","mf",,Trigger)</f>
        <v>41935</v>
      </c>
      <c r="AG34" s="192">
        <f>_xll.qlDayCounterYearFraction(DayCounterON,SettlementDate,AF34,,,Trigger)</f>
        <v>0.12054794520547946</v>
      </c>
      <c r="AH34" s="182">
        <f t="shared" si="0"/>
        <v>1.2623627212904197E-3</v>
      </c>
      <c r="AI34" s="182">
        <f t="shared" si="1"/>
        <v>1.2660198580531803E-3</v>
      </c>
      <c r="AJ34" s="152">
        <f t="shared" si="2"/>
        <v>1.2701500173058079E-3</v>
      </c>
    </row>
    <row r="35" spans="4:36" x14ac:dyDescent="0.2">
      <c r="D35" s="182">
        <f t="shared" si="8"/>
        <v>2.5935622247677953E-2</v>
      </c>
      <c r="AF35" s="181">
        <f>_xll.qlCalendarAdvance(Calendar,AF34,"1d","mf",,Trigger)</f>
        <v>41936</v>
      </c>
      <c r="AG35" s="192">
        <f>_xll.qlDayCounterYearFraction(DayCounterON,SettlementDate,AF35,,,Trigger)</f>
        <v>0.12328767123287671</v>
      </c>
      <c r="AH35" s="182">
        <f t="shared" si="0"/>
        <v>1.2623627212904197E-3</v>
      </c>
      <c r="AI35" s="182">
        <f t="shared" si="1"/>
        <v>1.2645570033480761E-3</v>
      </c>
      <c r="AJ35" s="152">
        <f t="shared" si="2"/>
        <v>1.2695378431454589E-3</v>
      </c>
    </row>
    <row r="36" spans="4:36" x14ac:dyDescent="0.2">
      <c r="D36" s="182">
        <f t="shared" si="8"/>
        <v>2.59332076387635E-2</v>
      </c>
      <c r="AF36" s="181">
        <f>_xll.qlCalendarAdvance(Calendar,AF35,"1d","mf",,Trigger)</f>
        <v>41939</v>
      </c>
      <c r="AG36" s="192">
        <f>_xll.qlDayCounterYearFraction(DayCounterON,SettlementDate,AF36,,,Trigger)</f>
        <v>0.13150684931506848</v>
      </c>
      <c r="AH36" s="182">
        <f t="shared" si="0"/>
        <v>1.2623627212904197E-3</v>
      </c>
      <c r="AI36" s="182">
        <f t="shared" si="1"/>
        <v>1.2601684392327635E-3</v>
      </c>
      <c r="AJ36" s="152">
        <f t="shared" si="2"/>
        <v>1.2675931068848666E-3</v>
      </c>
    </row>
    <row r="37" spans="4:36" x14ac:dyDescent="0.2">
      <c r="D37" s="182">
        <f t="shared" si="8"/>
        <v>2.5929784716370214E-2</v>
      </c>
      <c r="AF37" s="181">
        <f>_xll.qlCalendarAdvance(Calendar,AF36,"1d","mf",,Trigger)</f>
        <v>41940</v>
      </c>
      <c r="AG37" s="192">
        <f>_xll.qlDayCounterYearFraction(DayCounterON,SettlementDate,AF37,,,Trigger)</f>
        <v>0.13424657534246576</v>
      </c>
      <c r="AH37" s="182">
        <f t="shared" si="0"/>
        <v>1.2623627212904197E-3</v>
      </c>
      <c r="AI37" s="182">
        <f t="shared" si="1"/>
        <v>1.2587055845276591E-3</v>
      </c>
      <c r="AJ37" s="152">
        <f t="shared" si="2"/>
        <v>1.266908790204821E-3</v>
      </c>
    </row>
    <row r="38" spans="4:36" x14ac:dyDescent="0.2">
      <c r="D38" s="182">
        <f t="shared" si="8"/>
        <v>2.5923252441003956E-2</v>
      </c>
      <c r="AF38" s="181">
        <f>_xll.qlCalendarAdvance(Calendar,AF37,"1d","mf",,Trigger)</f>
        <v>41941</v>
      </c>
      <c r="AG38" s="192">
        <f>_xll.qlDayCounterYearFraction(DayCounterON,SettlementDate,AF38,,,Trigger)</f>
        <v>0.13698630136986301</v>
      </c>
      <c r="AH38" s="182">
        <f t="shared" si="0"/>
        <v>1.2623627212904197E-3</v>
      </c>
      <c r="AI38" s="182">
        <f t="shared" si="1"/>
        <v>1.257242729822555E-3</v>
      </c>
      <c r="AJ38" s="152">
        <f t="shared" si="2"/>
        <v>1.2662064378948512E-3</v>
      </c>
    </row>
    <row r="39" spans="4:36" x14ac:dyDescent="0.2">
      <c r="D39" s="182">
        <f t="shared" si="8"/>
        <v>2.5904301601718426E-2</v>
      </c>
      <c r="AF39" s="181">
        <f>_xll.qlCalendarAdvance(Calendar,AF38,"1d","mf",,Trigger)</f>
        <v>41942</v>
      </c>
      <c r="AG39" s="192">
        <f>_xll.qlDayCounterYearFraction(DayCounterON,SettlementDate,AF39,,,Trigger)</f>
        <v>0.13972602739726028</v>
      </c>
      <c r="AH39" s="182">
        <f t="shared" si="0"/>
        <v>1.2623627212904197E-3</v>
      </c>
      <c r="AI39" s="182">
        <f t="shared" si="1"/>
        <v>1.2557798751174508E-3</v>
      </c>
      <c r="AJ39" s="152">
        <f t="shared" si="2"/>
        <v>1.2654860499549574E-3</v>
      </c>
    </row>
    <row r="40" spans="4:36" x14ac:dyDescent="0.2">
      <c r="D40" s="244">
        <f t="shared" si="8"/>
        <v>2.5872698728212275E-2</v>
      </c>
      <c r="AF40" s="181">
        <f>_xll.qlCalendarAdvance(Calendar,AF39,"1d","mf",,Trigger)</f>
        <v>41943</v>
      </c>
      <c r="AG40" s="192">
        <f>_xll.qlDayCounterYearFraction(DayCounterON,SettlementDate,AF40,,,Trigger)</f>
        <v>0.14246575342465753</v>
      </c>
      <c r="AH40" s="182">
        <f t="shared" si="0"/>
        <v>1.2623627212904197E-3</v>
      </c>
      <c r="AI40" s="182">
        <f t="shared" si="1"/>
        <v>1.2543170204123465E-3</v>
      </c>
      <c r="AJ40" s="152">
        <f t="shared" si="2"/>
        <v>1.2647476263851392E-3</v>
      </c>
    </row>
    <row r="41" spans="4:36" x14ac:dyDescent="0.2">
      <c r="AF41" s="181">
        <f>_xll.qlCalendarAdvance(Calendar,AF40,"1d","mf",,Trigger)</f>
        <v>41946</v>
      </c>
      <c r="AG41" s="192">
        <f>_xll.qlDayCounterYearFraction(DayCounterON,SettlementDate,AF41,,,Trigger)</f>
        <v>0.15068493150684931</v>
      </c>
      <c r="AH41" s="182">
        <f t="shared" si="0"/>
        <v>1.2623627212904197E-3</v>
      </c>
      <c r="AI41" s="182">
        <f t="shared" si="1"/>
        <v>1.2499284562970338E-3</v>
      </c>
      <c r="AJ41" s="152">
        <f t="shared" si="2"/>
        <v>1.2624241418961403E-3</v>
      </c>
    </row>
    <row r="42" spans="4:36" x14ac:dyDescent="0.2">
      <c r="AF42" s="181">
        <f>_xll.qlCalendarAdvance(Calendar,AF41,"1d","mf",,Trigger)</f>
        <v>41947</v>
      </c>
      <c r="AG42" s="192">
        <f>_xll.qlDayCounterYearFraction(DayCounterON,SettlementDate,AF42,,,Trigger)</f>
        <v>0.15342465753424658</v>
      </c>
      <c r="AH42" s="182">
        <f t="shared" si="0"/>
        <v>1.2623627212904197E-3</v>
      </c>
      <c r="AI42" s="182">
        <f t="shared" si="1"/>
        <v>1.2484656015919295E-3</v>
      </c>
      <c r="AJ42" s="152">
        <f t="shared" si="2"/>
        <v>1.2616135758066254E-3</v>
      </c>
    </row>
    <row r="43" spans="4:36" ht="11.25" customHeight="1" x14ac:dyDescent="0.2">
      <c r="AF43" s="181">
        <f>_xll.qlCalendarAdvance(Calendar,AF42,"1d","mf",,Trigger)</f>
        <v>41948</v>
      </c>
      <c r="AG43" s="192">
        <f>_xll.qlDayCounterYearFraction(DayCounterON,SettlementDate,AF43,,,Trigger)</f>
        <v>0.15616438356164383</v>
      </c>
      <c r="AH43" s="182">
        <f t="shared" si="0"/>
        <v>1.2623627212904197E-3</v>
      </c>
      <c r="AI43" s="182">
        <f t="shared" si="1"/>
        <v>1.2470027468868253E-3</v>
      </c>
      <c r="AJ43" s="152">
        <f t="shared" si="2"/>
        <v>1.2607849740871868E-3</v>
      </c>
    </row>
    <row r="44" spans="4:36" x14ac:dyDescent="0.2">
      <c r="AF44" s="181">
        <f>_xll.qlCalendarAdvance(Calendar,AF43,"1d","mf",,Trigger)</f>
        <v>41949</v>
      </c>
      <c r="AG44" s="192">
        <f>_xll.qlDayCounterYearFraction(DayCounterON,SettlementDate,AF44,,,Trigger)</f>
        <v>0.15890410958904111</v>
      </c>
      <c r="AH44" s="182">
        <f t="shared" si="0"/>
        <v>1.2623627212904197E-3</v>
      </c>
      <c r="AI44" s="182">
        <f t="shared" si="1"/>
        <v>1.245539892181721E-3</v>
      </c>
      <c r="AJ44" s="152">
        <f t="shared" si="2"/>
        <v>1.259938336737824E-3</v>
      </c>
    </row>
    <row r="45" spans="4:36" x14ac:dyDescent="0.2">
      <c r="N45" s="241"/>
      <c r="AF45" s="181">
        <f>_xll.qlCalendarAdvance(Calendar,AF44,"1d","mf",,Trigger)</f>
        <v>41950</v>
      </c>
      <c r="AG45" s="192">
        <f>_xll.qlDayCounterYearFraction(DayCounterON,SettlementDate,AF45,,,Trigger)</f>
        <v>0.16164383561643836</v>
      </c>
      <c r="AH45" s="182">
        <f t="shared" si="0"/>
        <v>1.2623627212904197E-3</v>
      </c>
      <c r="AI45" s="182">
        <f t="shared" si="1"/>
        <v>1.2440770374766168E-3</v>
      </c>
      <c r="AJ45" s="152">
        <f t="shared" si="2"/>
        <v>1.2590736637585367E-3</v>
      </c>
    </row>
    <row r="46" spans="4:36" x14ac:dyDescent="0.2">
      <c r="J46" s="163"/>
      <c r="K46" s="163"/>
      <c r="N46" s="241"/>
      <c r="AF46" s="181">
        <f>_xll.qlCalendarAdvance(Calendar,AF45,"1d","mf",,Trigger)</f>
        <v>41953</v>
      </c>
      <c r="AG46" s="192">
        <f>_xll.qlDayCounterYearFraction(DayCounterON,SettlementDate,AF46,,,Trigger)</f>
        <v>0.16986301369863013</v>
      </c>
      <c r="AH46" s="182">
        <f t="shared" si="0"/>
        <v>1.2623627212904197E-3</v>
      </c>
      <c r="AI46" s="182">
        <f t="shared" si="1"/>
        <v>1.239688473361304E-3</v>
      </c>
      <c r="AJ46" s="152">
        <f t="shared" si="2"/>
        <v>1.256371431041131E-3</v>
      </c>
    </row>
    <row r="47" spans="4:36" x14ac:dyDescent="0.2">
      <c r="N47" s="241"/>
      <c r="AF47" s="181">
        <f>_xll.qlCalendarAdvance(Calendar,AF46,"1d","mf",,Trigger)</f>
        <v>41954</v>
      </c>
      <c r="AG47" s="192">
        <f>_xll.qlDayCounterYearFraction(DayCounterON,SettlementDate,AF47,,,Trigger)</f>
        <v>0.17260273972602741</v>
      </c>
      <c r="AH47" s="182">
        <f t="shared" si="0"/>
        <v>1.2623627212904197E-3</v>
      </c>
      <c r="AI47" s="182">
        <f t="shared" si="1"/>
        <v>1.2382256186561998E-3</v>
      </c>
      <c r="AJ47" s="152">
        <f t="shared" si="2"/>
        <v>1.2554346155421474E-3</v>
      </c>
    </row>
    <row r="48" spans="4:36" x14ac:dyDescent="0.2">
      <c r="N48" s="241"/>
      <c r="AF48" s="181">
        <f>_xll.qlCalendarAdvance(Calendar,AF47,"1d","mf",,Trigger)</f>
        <v>41955</v>
      </c>
      <c r="AG48" s="192">
        <f>_xll.qlDayCounterYearFraction(DayCounterON,SettlementDate,AF48,,,Trigger)</f>
        <v>0.17534246575342466</v>
      </c>
      <c r="AH48" s="182">
        <f t="shared" si="0"/>
        <v>1.2623627212904197E-3</v>
      </c>
      <c r="AI48" s="182">
        <f t="shared" si="1"/>
        <v>1.2367627639510955E-3</v>
      </c>
      <c r="AJ48" s="152">
        <f t="shared" si="2"/>
        <v>1.2544797644132397E-3</v>
      </c>
    </row>
    <row r="49" spans="14:36" x14ac:dyDescent="0.2">
      <c r="N49" s="241"/>
      <c r="AF49" s="181">
        <f>_xll.qlCalendarAdvance(Calendar,AF48,"1d","mf",,Trigger)</f>
        <v>41956</v>
      </c>
      <c r="AG49" s="192">
        <f>_xll.qlDayCounterYearFraction(DayCounterON,SettlementDate,AF49,,,Trigger)</f>
        <v>0.17808219178082191</v>
      </c>
      <c r="AH49" s="182">
        <f t="shared" si="0"/>
        <v>1.2623627212904197E-3</v>
      </c>
      <c r="AI49" s="182">
        <f t="shared" si="1"/>
        <v>1.2352999092459912E-3</v>
      </c>
      <c r="AJ49" s="152">
        <f t="shared" si="2"/>
        <v>1.2535068776544076E-3</v>
      </c>
    </row>
    <row r="50" spans="14:36" x14ac:dyDescent="0.2">
      <c r="AF50" s="181">
        <f>_xll.qlCalendarAdvance(Calendar,AF49,"1d","mf",,Trigger)</f>
        <v>41957</v>
      </c>
      <c r="AG50" s="192">
        <f>_xll.qlDayCounterYearFraction(DayCounterON,SettlementDate,AF50,,,Trigger)</f>
        <v>0.18082191780821918</v>
      </c>
      <c r="AH50" s="182">
        <f t="shared" si="0"/>
        <v>1.2623627212904197E-3</v>
      </c>
      <c r="AI50" s="182">
        <f t="shared" si="1"/>
        <v>1.233837054540887E-3</v>
      </c>
      <c r="AJ50" s="152">
        <f t="shared" si="2"/>
        <v>1.2525159552656518E-3</v>
      </c>
    </row>
    <row r="51" spans="14:36" x14ac:dyDescent="0.2">
      <c r="AF51" s="181">
        <f>_xll.qlCalendarAdvance(Calendar,AF50,"1d","mf",,Trigger)</f>
        <v>41960</v>
      </c>
      <c r="AG51" s="192">
        <f>_xll.qlDayCounterYearFraction(DayCounterON,SettlementDate,AF51,,,Trigger)</f>
        <v>0.18904109589041096</v>
      </c>
      <c r="AH51" s="182">
        <f t="shared" si="0"/>
        <v>1.2623627212904197E-3</v>
      </c>
      <c r="AI51" s="182">
        <f t="shared" si="1"/>
        <v>1.2294484904255742E-3</v>
      </c>
      <c r="AJ51" s="152">
        <f t="shared" si="2"/>
        <v>1.249434974319839E-3</v>
      </c>
    </row>
    <row r="52" spans="14:36" x14ac:dyDescent="0.2">
      <c r="AF52" s="181">
        <f>_xll.qlCalendarAdvance(Calendar,AF51,"1d","mf",,Trigger)</f>
        <v>41961</v>
      </c>
      <c r="AG52" s="192">
        <f>_xll.qlDayCounterYearFraction(DayCounterON,SettlementDate,AF52,,,Trigger)</f>
        <v>0.19178082191780821</v>
      </c>
      <c r="AH52" s="182">
        <f t="shared" si="0"/>
        <v>1.2623627212904197E-3</v>
      </c>
      <c r="AI52" s="182">
        <f t="shared" si="1"/>
        <v>1.22798563572047E-3</v>
      </c>
      <c r="AJ52" s="152">
        <f t="shared" si="2"/>
        <v>1.2483719094113865E-3</v>
      </c>
    </row>
    <row r="53" spans="14:36" x14ac:dyDescent="0.2">
      <c r="AF53" s="181">
        <f>_xll.qlCalendarAdvance(Calendar,AF52,"1d","mf",,Trigger)</f>
        <v>41962</v>
      </c>
      <c r="AG53" s="192">
        <f>_xll.qlDayCounterYearFraction(DayCounterON,SettlementDate,AF53,,,Trigger)</f>
        <v>0.19452054794520549</v>
      </c>
      <c r="AH53" s="182">
        <f t="shared" si="0"/>
        <v>1.2623627212904197E-3</v>
      </c>
      <c r="AI53" s="182">
        <f t="shared" si="1"/>
        <v>1.2265227810153657E-3</v>
      </c>
      <c r="AJ53" s="152">
        <f t="shared" si="2"/>
        <v>1.2472908088730099E-3</v>
      </c>
    </row>
    <row r="54" spans="14:36" x14ac:dyDescent="0.2">
      <c r="AF54" s="181">
        <f>_xll.qlCalendarAdvance(Calendar,AF53,"1d","mf",,Trigger)</f>
        <v>41963</v>
      </c>
      <c r="AG54" s="192">
        <f>_xll.qlDayCounterYearFraction(DayCounterON,SettlementDate,AF54,,,Trigger)</f>
        <v>0.19726027397260273</v>
      </c>
      <c r="AH54" s="182">
        <f t="shared" si="0"/>
        <v>1.2623627212904197E-3</v>
      </c>
      <c r="AI54" s="182">
        <f t="shared" si="1"/>
        <v>1.2250599263102615E-3</v>
      </c>
      <c r="AJ54" s="152">
        <f t="shared" si="2"/>
        <v>1.246191672704709E-3</v>
      </c>
    </row>
    <row r="55" spans="14:36" x14ac:dyDescent="0.2">
      <c r="AF55" s="181">
        <f>_xll.qlCalendarAdvance(Calendar,AF54,"1d","mf",,Trigger)</f>
        <v>41964</v>
      </c>
      <c r="AG55" s="192">
        <f>_xll.qlDayCounterYearFraction(DayCounterON,SettlementDate,AF55,,,Trigger)</f>
        <v>0.2</v>
      </c>
      <c r="AH55" s="182">
        <f t="shared" si="0"/>
        <v>1.2623627212904197E-3</v>
      </c>
      <c r="AI55" s="182">
        <f t="shared" si="1"/>
        <v>1.2235970716051572E-3</v>
      </c>
      <c r="AJ55" s="152">
        <f t="shared" si="2"/>
        <v>1.2450745009064839E-3</v>
      </c>
    </row>
    <row r="56" spans="14:36" x14ac:dyDescent="0.2">
      <c r="AF56" s="181">
        <f>_xll.qlCalendarAdvance(Calendar,AF55,"1d","mf",,Trigger)</f>
        <v>41967</v>
      </c>
      <c r="AG56" s="192">
        <f>_xll.qlDayCounterYearFraction(DayCounterON,SettlementDate,AF56,,,Trigger)</f>
        <v>0.20821917808219179</v>
      </c>
      <c r="AH56" s="182">
        <f t="shared" si="0"/>
        <v>1.2623627212904197E-3</v>
      </c>
      <c r="AI56" s="182">
        <f t="shared" si="1"/>
        <v>1.2192085074898445E-3</v>
      </c>
      <c r="AJ56" s="152">
        <f t="shared" si="2"/>
        <v>1.2416147717322643E-3</v>
      </c>
    </row>
    <row r="57" spans="14:36" x14ac:dyDescent="0.2">
      <c r="AF57" s="181">
        <f>_xll.qlCalendarAdvance(Calendar,AF56,"1d","mf",,Trigger)</f>
        <v>41968</v>
      </c>
      <c r="AG57" s="192">
        <f>_xll.qlDayCounterYearFraction(DayCounterON,SettlementDate,AF57,,,Trigger)</f>
        <v>0.21095890410958903</v>
      </c>
      <c r="AH57" s="182">
        <f t="shared" si="0"/>
        <v>1.2623627212904197E-3</v>
      </c>
      <c r="AI57" s="182">
        <f t="shared" si="1"/>
        <v>1.2177456527847402E-3</v>
      </c>
      <c r="AJ57" s="152">
        <f t="shared" si="2"/>
        <v>1.2404254574143428E-3</v>
      </c>
    </row>
    <row r="58" spans="14:36" x14ac:dyDescent="0.2">
      <c r="AF58" s="181">
        <f>_xll.qlCalendarAdvance(Calendar,AF57,"1d","mf",,Trigger)</f>
        <v>41969</v>
      </c>
      <c r="AG58" s="192">
        <f>_xll.qlDayCounterYearFraction(DayCounterON,SettlementDate,AF58,,,Trigger)</f>
        <v>0.21369863013698631</v>
      </c>
      <c r="AH58" s="182">
        <f t="shared" si="0"/>
        <v>1.2623627212904197E-3</v>
      </c>
      <c r="AI58" s="182">
        <f t="shared" si="1"/>
        <v>1.216282798079636E-3</v>
      </c>
      <c r="AJ58" s="152">
        <f t="shared" si="2"/>
        <v>1.2392181074664971E-3</v>
      </c>
    </row>
    <row r="59" spans="14:36" x14ac:dyDescent="0.2">
      <c r="AF59" s="181">
        <f>_xll.qlCalendarAdvance(Calendar,AF58,"1d","mf",,Trigger)</f>
        <v>41970</v>
      </c>
      <c r="AG59" s="192">
        <f>_xll.qlDayCounterYearFraction(DayCounterON,SettlementDate,AF59,,,Trigger)</f>
        <v>0.21643835616438356</v>
      </c>
      <c r="AH59" s="182">
        <f t="shared" si="0"/>
        <v>1.2623627212904197E-3</v>
      </c>
      <c r="AI59" s="182">
        <f t="shared" si="1"/>
        <v>1.2148199433745317E-3</v>
      </c>
      <c r="AJ59" s="152">
        <f t="shared" si="2"/>
        <v>1.2379927218887274E-3</v>
      </c>
    </row>
    <row r="60" spans="14:36" x14ac:dyDescent="0.2">
      <c r="AF60" s="181">
        <f>_xll.qlCalendarAdvance(Calendar,AF59,"1d","mf",,Trigger)</f>
        <v>41971</v>
      </c>
      <c r="AG60" s="192">
        <f>_xll.qlDayCounterYearFraction(DayCounterON,SettlementDate,AF60,,,Trigger)</f>
        <v>0.21917808219178081</v>
      </c>
      <c r="AH60" s="182">
        <f t="shared" si="0"/>
        <v>1.2623627212904197E-3</v>
      </c>
      <c r="AI60" s="182">
        <f t="shared" si="1"/>
        <v>1.2133570886694275E-3</v>
      </c>
      <c r="AJ60" s="152">
        <f t="shared" si="2"/>
        <v>1.2367493006810336E-3</v>
      </c>
    </row>
    <row r="61" spans="14:36" x14ac:dyDescent="0.2">
      <c r="AF61" s="181">
        <f>_xll.qlCalendarAdvance(Calendar,AF60,"1d","mf",,Trigger)</f>
        <v>41974</v>
      </c>
      <c r="AG61" s="192">
        <f>_xll.qlDayCounterYearFraction(DayCounterON,SettlementDate,AF61,,,Trigger)</f>
        <v>0.22739726027397261</v>
      </c>
      <c r="AH61" s="182">
        <f t="shared" si="0"/>
        <v>1.2623627212904197E-3</v>
      </c>
      <c r="AI61" s="182">
        <f t="shared" si="1"/>
        <v>1.2089685245541147E-3</v>
      </c>
      <c r="AJ61" s="152">
        <f t="shared" si="2"/>
        <v>1.2329108232784071E-3</v>
      </c>
    </row>
    <row r="62" spans="14:36" x14ac:dyDescent="0.2">
      <c r="AF62" s="181">
        <f>_xll.qlCalendarAdvance(Calendar,AF61,"1d","mf",,Trigger)</f>
        <v>41975</v>
      </c>
      <c r="AG62" s="192">
        <f>_xll.qlDayCounterYearFraction(DayCounterON,SettlementDate,AF62,,,Trigger)</f>
        <v>0.23013698630136986</v>
      </c>
      <c r="AH62" s="182">
        <f t="shared" si="0"/>
        <v>1.2623627212904197E-3</v>
      </c>
      <c r="AI62" s="182">
        <f t="shared" si="1"/>
        <v>1.2075056698490105E-3</v>
      </c>
      <c r="AJ62" s="152">
        <f t="shared" si="2"/>
        <v>1.2315952595510166E-3</v>
      </c>
    </row>
    <row r="63" spans="14:36" x14ac:dyDescent="0.2">
      <c r="AF63" s="181">
        <f>_xll.qlCalendarAdvance(Calendar,AF62,"1d","mf",,Trigger)</f>
        <v>41976</v>
      </c>
      <c r="AG63" s="192">
        <f>_xll.qlDayCounterYearFraction(DayCounterON,SettlementDate,AF63,,,Trigger)</f>
        <v>0.23287671232876711</v>
      </c>
      <c r="AH63" s="182">
        <f t="shared" si="0"/>
        <v>1.2623627212904197E-3</v>
      </c>
      <c r="AI63" s="182">
        <f t="shared" si="1"/>
        <v>1.2060428151439062E-3</v>
      </c>
      <c r="AJ63" s="152">
        <f t="shared" si="2"/>
        <v>1.2302616601937021E-3</v>
      </c>
    </row>
    <row r="64" spans="14:36" x14ac:dyDescent="0.2">
      <c r="AF64" s="181">
        <f>_xll.qlCalendarAdvance(Calendar,AF63,"1d","mf",,Trigger)</f>
        <v>41977</v>
      </c>
      <c r="AG64" s="192">
        <f>_xll.qlDayCounterYearFraction(DayCounterON,SettlementDate,AF64,,,Trigger)</f>
        <v>0.23561643835616439</v>
      </c>
      <c r="AH64" s="182">
        <f t="shared" si="0"/>
        <v>1.2623627212904197E-3</v>
      </c>
      <c r="AI64" s="182">
        <f t="shared" si="1"/>
        <v>1.2045799604388019E-3</v>
      </c>
      <c r="AJ64" s="152">
        <f t="shared" si="2"/>
        <v>1.2289100252064632E-3</v>
      </c>
    </row>
    <row r="65" spans="10:36" x14ac:dyDescent="0.2">
      <c r="J65" s="163"/>
      <c r="AF65" s="181">
        <f>_xll.qlCalendarAdvance(Calendar,AF64,"1d","mf",,Trigger)</f>
        <v>41978</v>
      </c>
      <c r="AG65" s="192">
        <f>_xll.qlDayCounterYearFraction(DayCounterON,SettlementDate,AF65,,,Trigger)</f>
        <v>0.23835616438356164</v>
      </c>
      <c r="AH65" s="182">
        <f t="shared" si="0"/>
        <v>1.2623627212904197E-3</v>
      </c>
      <c r="AI65" s="182">
        <f t="shared" si="1"/>
        <v>1.2031171057336977E-3</v>
      </c>
      <c r="AJ65" s="152">
        <f t="shared" si="2"/>
        <v>1.2275403545893005E-3</v>
      </c>
    </row>
    <row r="66" spans="10:36" x14ac:dyDescent="0.2">
      <c r="J66" s="163"/>
      <c r="AF66" s="181">
        <f>_xll.qlCalendarAdvance(Calendar,AF65,"1d","mf",,Trigger)</f>
        <v>41981</v>
      </c>
      <c r="AG66" s="192">
        <f>_xll.qlDayCounterYearFraction(DayCounterON,SettlementDate,AF66,,,Trigger)</f>
        <v>0.24657534246575341</v>
      </c>
      <c r="AH66" s="182">
        <f t="shared" si="0"/>
        <v>1.2623627212904197E-3</v>
      </c>
      <c r="AI66" s="182">
        <f t="shared" si="1"/>
        <v>1.1987285416183849E-3</v>
      </c>
      <c r="AJ66" s="152">
        <f t="shared" si="2"/>
        <v>1.2233231289582669E-3</v>
      </c>
    </row>
    <row r="67" spans="10:36" x14ac:dyDescent="0.2">
      <c r="J67" s="163"/>
      <c r="AF67" s="181">
        <f>_xll.qlCalendarAdvance(Calendar,AF66,"1d","mf",,Trigger)</f>
        <v>41982</v>
      </c>
      <c r="AG67" s="192">
        <f>_xll.qlDayCounterYearFraction(DayCounterON,SettlementDate,AF67,,,Trigger)</f>
        <v>0.24931506849315069</v>
      </c>
      <c r="AH67" s="182">
        <f t="shared" ref="AH67:AH69" si="9">$W$13</f>
        <v>1.2623627212904197E-3</v>
      </c>
      <c r="AI67" s="182">
        <f t="shared" ref="AI67:AI69" si="10">$W$10+$W$9*AG67</f>
        <v>1.1972656869132807E-3</v>
      </c>
      <c r="AJ67" s="152">
        <f t="shared" ref="AJ67:AJ69" si="11">($W$5+$W$4*AG67+$W$3*AG67^2)</f>
        <v>1.2218813158214074E-3</v>
      </c>
    </row>
    <row r="68" spans="10:36" x14ac:dyDescent="0.2">
      <c r="J68" s="163"/>
      <c r="AF68" s="181">
        <f>_xll.qlCalendarAdvance(Calendar,AF67,"1d","mf",,Trigger)</f>
        <v>41983</v>
      </c>
      <c r="AG68" s="192">
        <f>_xll.qlDayCounterYearFraction(DayCounterON,SettlementDate,AF68,,,Trigger)</f>
        <v>0.25205479452054796</v>
      </c>
      <c r="AH68" s="182">
        <f t="shared" si="9"/>
        <v>1.2623627212904197E-3</v>
      </c>
      <c r="AI68" s="182">
        <f t="shared" si="10"/>
        <v>1.1958028322081764E-3</v>
      </c>
      <c r="AJ68" s="152">
        <f t="shared" si="11"/>
        <v>1.2204214670546239E-3</v>
      </c>
    </row>
    <row r="69" spans="10:36" ht="12" thickBot="1" x14ac:dyDescent="0.25">
      <c r="J69" s="163"/>
      <c r="AF69" s="183">
        <f>_xll.qlCalendarAdvance(Calendar,AF68,"1d","mf",,Trigger)</f>
        <v>41984</v>
      </c>
      <c r="AG69" s="194">
        <f>_xll.qlDayCounterYearFraction(DayCounterON,SettlementDate,AF69,,,Trigger)</f>
        <v>0.25479452054794521</v>
      </c>
      <c r="AH69" s="184">
        <f t="shared" si="9"/>
        <v>1.2623627212904197E-3</v>
      </c>
      <c r="AI69" s="184">
        <f t="shared" si="10"/>
        <v>1.1943399775030722E-3</v>
      </c>
      <c r="AJ69" s="157">
        <f t="shared" si="11"/>
        <v>1.2189435826579162E-3</v>
      </c>
    </row>
    <row r="70" spans="10:36" x14ac:dyDescent="0.2">
      <c r="J70" s="163"/>
    </row>
    <row r="71" spans="10:36" x14ac:dyDescent="0.2">
      <c r="J71" s="163"/>
      <c r="K71" s="163"/>
    </row>
    <row r="72" spans="10:36" x14ac:dyDescent="0.2">
      <c r="J72" s="163"/>
      <c r="K72" s="163"/>
    </row>
    <row r="73" spans="10:36" x14ac:dyDescent="0.2">
      <c r="J73" s="163"/>
      <c r="K73" s="163"/>
    </row>
    <row r="74" spans="10:36" x14ac:dyDescent="0.2">
      <c r="J74" s="163"/>
      <c r="K74" s="163"/>
    </row>
    <row r="75" spans="10:36" x14ac:dyDescent="0.2">
      <c r="J75" s="163"/>
      <c r="K75" s="163"/>
    </row>
    <row r="76" spans="10:36" x14ac:dyDescent="0.2">
      <c r="J76" s="163"/>
      <c r="K76" s="163"/>
    </row>
    <row r="77" spans="10:36" x14ac:dyDescent="0.2">
      <c r="J77" s="163"/>
      <c r="K77" s="163"/>
    </row>
    <row r="78" spans="10:36" x14ac:dyDescent="0.2">
      <c r="J78" s="163"/>
      <c r="K78" s="163"/>
    </row>
    <row r="79" spans="10:36" x14ac:dyDescent="0.2">
      <c r="J79" s="163"/>
      <c r="K79" s="163"/>
    </row>
    <row r="80" spans="10:36" x14ac:dyDescent="0.2">
      <c r="J80" s="163"/>
      <c r="K80" s="163"/>
    </row>
    <row r="81" spans="10:11" x14ac:dyDescent="0.2">
      <c r="J81" s="163"/>
      <c r="K81" s="163"/>
    </row>
    <row r="82" spans="10:11" x14ac:dyDescent="0.2">
      <c r="J82" s="163"/>
      <c r="K82" s="163"/>
    </row>
    <row r="83" spans="10:11" x14ac:dyDescent="0.2">
      <c r="J83" s="163"/>
      <c r="K83" s="163"/>
    </row>
    <row r="84" spans="10:11" x14ac:dyDescent="0.2">
      <c r="J84" s="163"/>
      <c r="K84" s="163"/>
    </row>
    <row r="85" spans="10:11" x14ac:dyDescent="0.2">
      <c r="J85" s="163"/>
      <c r="K85" s="163"/>
    </row>
    <row r="86" spans="10:11" x14ac:dyDescent="0.2">
      <c r="J86" s="163"/>
      <c r="K86" s="163"/>
    </row>
    <row r="87" spans="10:11" x14ac:dyDescent="0.2">
      <c r="J87" s="163"/>
      <c r="K87" s="163"/>
    </row>
    <row r="88" spans="10:11" x14ac:dyDescent="0.2">
      <c r="J88" s="163"/>
      <c r="K88" s="163"/>
    </row>
    <row r="89" spans="10:11" x14ac:dyDescent="0.2">
      <c r="J89" s="163"/>
      <c r="K89" s="163"/>
    </row>
    <row r="90" spans="10:11" x14ac:dyDescent="0.2">
      <c r="J90" s="163"/>
      <c r="K90" s="163"/>
    </row>
    <row r="91" spans="10:11" x14ac:dyDescent="0.2">
      <c r="J91" s="163"/>
      <c r="K91" s="163"/>
    </row>
    <row r="92" spans="10:11" x14ac:dyDescent="0.2">
      <c r="J92" s="163"/>
      <c r="K92" s="163"/>
    </row>
    <row r="93" spans="10:11" x14ac:dyDescent="0.2">
      <c r="J93" s="163"/>
      <c r="K93" s="163"/>
    </row>
    <row r="94" spans="10:11" x14ac:dyDescent="0.2">
      <c r="J94" s="163"/>
      <c r="K94" s="163"/>
    </row>
    <row r="95" spans="10:11" x14ac:dyDescent="0.2">
      <c r="J95" s="163"/>
      <c r="K95" s="163"/>
    </row>
    <row r="96" spans="10:11" x14ac:dyDescent="0.2">
      <c r="J96" s="163"/>
      <c r="K96" s="163"/>
    </row>
    <row r="97" spans="10:11" x14ac:dyDescent="0.2">
      <c r="J97" s="163"/>
      <c r="K97" s="163"/>
    </row>
    <row r="98" spans="10:11" x14ac:dyDescent="0.2">
      <c r="J98" s="163"/>
      <c r="K98" s="163"/>
    </row>
    <row r="99" spans="10:11" x14ac:dyDescent="0.2">
      <c r="J99" s="163"/>
      <c r="K99" s="163"/>
    </row>
    <row r="100" spans="10:11" x14ac:dyDescent="0.2">
      <c r="J100" s="163"/>
      <c r="K100" s="163"/>
    </row>
    <row r="101" spans="10:11" x14ac:dyDescent="0.2">
      <c r="J101" s="163"/>
      <c r="K101" s="163"/>
    </row>
    <row r="102" spans="10:11" x14ac:dyDescent="0.2">
      <c r="J102" s="163"/>
      <c r="K102" s="163"/>
    </row>
    <row r="103" spans="10:11" x14ac:dyDescent="0.2">
      <c r="J103" s="163"/>
      <c r="K103" s="163"/>
    </row>
    <row r="104" spans="10:11" x14ac:dyDescent="0.2">
      <c r="J104" s="163"/>
      <c r="K104" s="163"/>
    </row>
    <row r="105" spans="10:11" x14ac:dyDescent="0.2">
      <c r="J105" s="163"/>
      <c r="K105" s="163"/>
    </row>
    <row r="106" spans="10:11" x14ac:dyDescent="0.2">
      <c r="J106" s="163"/>
      <c r="K106" s="163"/>
    </row>
    <row r="107" spans="10:11" x14ac:dyDescent="0.2">
      <c r="J107" s="163"/>
      <c r="K107" s="163"/>
    </row>
    <row r="108" spans="10:11" x14ac:dyDescent="0.2">
      <c r="J108" s="163"/>
      <c r="K108" s="163"/>
    </row>
    <row r="109" spans="10:11" x14ac:dyDescent="0.2">
      <c r="J109" s="163"/>
      <c r="K109" s="163"/>
    </row>
    <row r="110" spans="10:11" x14ac:dyDescent="0.2">
      <c r="J110" s="163"/>
      <c r="K110" s="163"/>
    </row>
    <row r="111" spans="10:11" x14ac:dyDescent="0.2">
      <c r="J111" s="163"/>
      <c r="K111" s="163"/>
    </row>
    <row r="112" spans="10:11" x14ac:dyDescent="0.2">
      <c r="J112" s="163"/>
      <c r="K112" s="163"/>
    </row>
    <row r="113" spans="10:11" x14ac:dyDescent="0.2">
      <c r="J113" s="163"/>
      <c r="K113" s="163"/>
    </row>
    <row r="114" spans="10:11" x14ac:dyDescent="0.2">
      <c r="J114" s="163"/>
      <c r="K114" s="163"/>
    </row>
    <row r="115" spans="10:11" x14ac:dyDescent="0.2">
      <c r="J115" s="147"/>
      <c r="K115" s="163"/>
    </row>
    <row r="116" spans="10:11" x14ac:dyDescent="0.2">
      <c r="J116" s="147"/>
      <c r="K116" s="163"/>
    </row>
    <row r="117" spans="10:11" x14ac:dyDescent="0.2">
      <c r="J117" s="147"/>
      <c r="K117" s="163"/>
    </row>
    <row r="118" spans="10:11" x14ac:dyDescent="0.2">
      <c r="J118" s="147"/>
      <c r="K118" s="163"/>
    </row>
    <row r="119" spans="10:11" x14ac:dyDescent="0.2">
      <c r="J119" s="147"/>
      <c r="K119" s="163"/>
    </row>
    <row r="120" spans="10:11" x14ac:dyDescent="0.2">
      <c r="J120" s="147"/>
      <c r="K120" s="163"/>
    </row>
    <row r="121" spans="10:11" x14ac:dyDescent="0.2">
      <c r="J121" s="147"/>
      <c r="K121" s="147"/>
    </row>
    <row r="122" spans="10:11" x14ac:dyDescent="0.2">
      <c r="J122" s="147"/>
      <c r="K122" s="147"/>
    </row>
    <row r="123" spans="10:11" x14ac:dyDescent="0.2">
      <c r="J123" s="147"/>
      <c r="K123" s="147"/>
    </row>
    <row r="124" spans="10:11" x14ac:dyDescent="0.2">
      <c r="J124" s="147"/>
      <c r="K124" s="147"/>
    </row>
    <row r="125" spans="10:11" x14ac:dyDescent="0.2">
      <c r="J125" s="147"/>
      <c r="K125" s="147"/>
    </row>
    <row r="126" spans="10:11" x14ac:dyDescent="0.2">
      <c r="J126" s="147"/>
      <c r="K126" s="147"/>
    </row>
    <row r="127" spans="10:11" x14ac:dyDescent="0.2">
      <c r="J127" s="147"/>
      <c r="K127" s="147"/>
    </row>
    <row r="128" spans="10:11" x14ac:dyDescent="0.2">
      <c r="J128" s="147"/>
      <c r="K128" s="147"/>
    </row>
    <row r="129" spans="10:11" x14ac:dyDescent="0.2">
      <c r="J129" s="147"/>
      <c r="K129" s="147"/>
    </row>
    <row r="130" spans="10:11" x14ac:dyDescent="0.2">
      <c r="J130" s="147"/>
      <c r="K130" s="147"/>
    </row>
    <row r="131" spans="10:11" x14ac:dyDescent="0.2">
      <c r="K131" s="147"/>
    </row>
    <row r="132" spans="10:11" x14ac:dyDescent="0.2">
      <c r="K132" s="147"/>
    </row>
    <row r="133" spans="10:11" x14ac:dyDescent="0.2">
      <c r="K133" s="147"/>
    </row>
    <row r="134" spans="10:11" x14ac:dyDescent="0.2">
      <c r="K134" s="147"/>
    </row>
    <row r="135" spans="10:11" x14ac:dyDescent="0.2">
      <c r="K135" s="147"/>
    </row>
    <row r="136" spans="10:11" x14ac:dyDescent="0.2">
      <c r="K136" s="147"/>
    </row>
  </sheetData>
  <mergeCells count="5">
    <mergeCell ref="AA2:AC2"/>
    <mergeCell ref="R3:R5"/>
    <mergeCell ref="R9:R10"/>
    <mergeCell ref="V9:V10"/>
    <mergeCell ref="X9:X10"/>
  </mergeCells>
  <dataValidations count="4">
    <dataValidation type="list" allowBlank="1" showInputMessage="1" showErrorMessage="1" sqref="D33">
      <formula1>"flat,linear,quadratic"</formula1>
    </dataValidation>
    <dataValidation type="list" allowBlank="1" showInputMessage="1" showErrorMessage="1" sqref="E16">
      <formula1>"FRA,FIX+FRA"</formula1>
    </dataValidation>
    <dataValidation type="list" allowBlank="1" showInputMessage="1" showErrorMessage="1" sqref="E15">
      <formula1>"linear,MonotonicCubicNaturalSpline, CubicNaturalSpline"</formula1>
    </dataValidation>
    <dataValidation type="list" allowBlank="1" showInputMessage="1" showErrorMessage="1" sqref="E12:E14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P25"/>
  <sheetViews>
    <sheetView workbookViewId="0">
      <selection activeCell="J3" sqref="J3"/>
    </sheetView>
  </sheetViews>
  <sheetFormatPr defaultRowHeight="11.25" x14ac:dyDescent="0.2"/>
  <cols>
    <col min="1" max="1" width="4.33203125" style="34" customWidth="1"/>
    <col min="2" max="2" width="7.83203125" style="34" customWidth="1"/>
    <col min="3" max="3" width="36.6640625" style="34" bestFit="1" customWidth="1"/>
    <col min="4" max="4" width="35.83203125" style="34" customWidth="1"/>
    <col min="5" max="5" width="25.6640625" style="34" customWidth="1"/>
    <col min="6" max="7" width="3.1640625" style="34" customWidth="1"/>
    <col min="8" max="8" width="4.33203125" style="34" customWidth="1"/>
    <col min="9" max="9" width="7.83203125" style="34" customWidth="1"/>
    <col min="10" max="10" width="9.33203125" style="34" bestFit="1" customWidth="1"/>
    <col min="11" max="11" width="3.1640625" style="34" customWidth="1"/>
    <col min="12" max="12" width="9.33203125" style="34" bestFit="1" customWidth="1"/>
    <col min="13" max="13" width="3.1640625" style="34" customWidth="1"/>
    <col min="14" max="14" width="11.6640625" style="34" bestFit="1" customWidth="1"/>
    <col min="15" max="15" width="10.5" style="34" bestFit="1" customWidth="1"/>
    <col min="16" max="16" width="5.83203125" style="34" customWidth="1"/>
    <col min="17" max="16384" width="9.33203125" style="39"/>
  </cols>
  <sheetData>
    <row r="1" spans="1:16" ht="12" thickBot="1" x14ac:dyDescent="0.25">
      <c r="A1" s="31"/>
      <c r="D1" s="32"/>
      <c r="E1" s="32"/>
      <c r="F1" s="33"/>
      <c r="H1" s="35"/>
      <c r="I1" s="36"/>
      <c r="J1" s="36"/>
      <c r="K1" s="37"/>
      <c r="L1" s="37"/>
      <c r="M1" s="37"/>
      <c r="N1" s="36"/>
      <c r="P1" s="38"/>
    </row>
    <row r="2" spans="1:16" ht="12.75" thickBot="1" x14ac:dyDescent="0.3">
      <c r="A2" s="102"/>
      <c r="B2" s="101"/>
      <c r="C2" s="118" t="str">
        <f>Currency&amp;"_015_SyntheticQuotes"&amp;".xml"</f>
        <v>AUD_015_SyntheticQuotes.xml</v>
      </c>
      <c r="D2" s="119" t="str">
        <f>IF(Serialize,_xll.ohObjectSave(D3:D24,SerializationPath&amp;C2,FileOverwrite,Serialize),"---")</f>
        <v>---</v>
      </c>
      <c r="E2" s="70" t="str">
        <f>_xll.ohRangeRetrieveError(D2)</f>
        <v/>
      </c>
      <c r="F2" s="40"/>
      <c r="H2" s="41"/>
      <c r="I2" s="72"/>
      <c r="J2" s="73" t="s">
        <v>42</v>
      </c>
      <c r="K2" s="42"/>
      <c r="L2" s="80" t="s">
        <v>43</v>
      </c>
      <c r="M2" s="42"/>
      <c r="N2" s="72" t="s">
        <v>44</v>
      </c>
      <c r="O2" s="84" t="s">
        <v>45</v>
      </c>
      <c r="P2" s="130">
        <f>_xll.ohTrigger(O3:O7)</f>
        <v>40</v>
      </c>
    </row>
    <row r="3" spans="1:16" x14ac:dyDescent="0.2">
      <c r="A3" s="121">
        <v>1</v>
      </c>
      <c r="B3" s="109" t="s">
        <v>46</v>
      </c>
      <c r="C3" s="110" t="str">
        <f t="shared" ref="C3" si="0">Currency&amp;$B3&amp;"_SYNTH"&amp;Tenor1M&amp;QuoteSuffix</f>
        <v>AUDSND_SYNTH1M_Quote</v>
      </c>
      <c r="D3" s="111" t="str">
        <f>_xll.qlSimpleQuote(C3,,RateTickValue,Permanent,EvaluationDate,ObjectOverwrite)</f>
        <v>AUDSND_SYNTH1M_Quote#0000</v>
      </c>
      <c r="E3" s="105" t="str">
        <f>_xll.ohRangeRetrieveError(D3)</f>
        <v/>
      </c>
      <c r="F3" s="40"/>
      <c r="H3" s="41"/>
      <c r="I3" s="74" t="s">
        <v>46</v>
      </c>
      <c r="J3" s="75">
        <f>'1MSynthDepo'!D34</f>
        <v>2.5934795220107471E-2</v>
      </c>
      <c r="K3" s="44" t="s">
        <v>47</v>
      </c>
      <c r="L3" s="81">
        <v>7.562493980206341E-4</v>
      </c>
      <c r="M3" s="42"/>
      <c r="N3" s="85">
        <f t="array" ref="N3:N24">QuoteLive</f>
        <v>2.5934795220107471E-2</v>
      </c>
      <c r="O3" s="86">
        <f>_xll.qlSimpleQuoteSetValue(D3,ROUND($N3,6),EvaluationDate)</f>
        <v>0</v>
      </c>
      <c r="P3" s="43"/>
    </row>
    <row r="4" spans="1:16" x14ac:dyDescent="0.2">
      <c r="A4" s="122" t="str">
        <f>_xll.qlPeriodEquivalent(Months1M&amp;"M")</f>
        <v>1M</v>
      </c>
      <c r="B4" s="112" t="s">
        <v>48</v>
      </c>
      <c r="C4" s="45" t="str">
        <f t="shared" ref="C4:C7" si="1">Currency&amp;$B4&amp;"_SYNTH"&amp;Tenor1M&amp;QuoteSuffix</f>
        <v>AUDSWD_SYNTH1M_Quote</v>
      </c>
      <c r="D4" s="113" t="str">
        <f>_xll.qlSimpleQuote(C4,,RateTickValue,Permanent,EvaluationDate,ObjectOverwrite)</f>
        <v>AUDSWD_SYNTH1M_Quote#0000</v>
      </c>
      <c r="E4" s="106" t="str">
        <f>_xll.ohRangeRetrieveError(D4)</f>
        <v/>
      </c>
      <c r="F4" s="40"/>
      <c r="H4" s="41"/>
      <c r="I4" s="74" t="s">
        <v>48</v>
      </c>
      <c r="J4" s="75">
        <f>'1MSynthDepo'!D35</f>
        <v>2.5935622247677953E-2</v>
      </c>
      <c r="K4" s="44" t="s">
        <v>47</v>
      </c>
      <c r="L4" s="81">
        <v>7.139280586619277E-4</v>
      </c>
      <c r="M4" s="42"/>
      <c r="N4" s="85">
        <v>2.5935622247677953E-2</v>
      </c>
      <c r="O4" s="86">
        <f>_xll.qlSimpleQuoteSetValue(D4,ROUND($N4,6),EvaluationDate)</f>
        <v>0</v>
      </c>
      <c r="P4" s="43"/>
    </row>
    <row r="5" spans="1:16" x14ac:dyDescent="0.2">
      <c r="A5" s="123"/>
      <c r="B5" s="112" t="s">
        <v>49</v>
      </c>
      <c r="C5" s="45" t="str">
        <f t="shared" si="1"/>
        <v>AUD2WD_SYNTH1M_Quote</v>
      </c>
      <c r="D5" s="113" t="str">
        <f>_xll.qlSimpleQuote(C5,,RateTickValue,Permanent,EvaluationDate,ObjectOverwrite)</f>
        <v>AUD2WD_SYNTH1M_Quote#0000</v>
      </c>
      <c r="E5" s="106" t="str">
        <f>_xll.ohRangeRetrieveError(D5)</f>
        <v/>
      </c>
      <c r="F5" s="40"/>
      <c r="H5" s="41"/>
      <c r="I5" s="74" t="s">
        <v>49</v>
      </c>
      <c r="J5" s="75">
        <f>'1MSynthDepo'!D36</f>
        <v>2.59332076387635E-2</v>
      </c>
      <c r="K5" s="44" t="s">
        <v>47</v>
      </c>
      <c r="L5" s="81">
        <v>7.1986570928168924E-4</v>
      </c>
      <c r="M5" s="42"/>
      <c r="N5" s="85">
        <v>2.59332076387635E-2</v>
      </c>
      <c r="O5" s="86">
        <f>_xll.qlSimpleQuoteSetValue(D5,ROUND($N5,6),EvaluationDate)</f>
        <v>0</v>
      </c>
      <c r="P5" s="43"/>
    </row>
    <row r="6" spans="1:16" x14ac:dyDescent="0.2">
      <c r="A6" s="123"/>
      <c r="B6" s="112" t="s">
        <v>50</v>
      </c>
      <c r="C6" s="45" t="str">
        <f t="shared" si="1"/>
        <v>AUD3WD_SYNTH1M_Quote</v>
      </c>
      <c r="D6" s="113" t="str">
        <f>_xll.qlSimpleQuote(C6,,RateTickValue,Permanent,EvaluationDate,ObjectOverwrite)</f>
        <v>AUD3WD_SYNTH1M_Quote#0000</v>
      </c>
      <c r="E6" s="106" t="str">
        <f>_xll.ohRangeRetrieveError(D6)</f>
        <v/>
      </c>
      <c r="F6" s="40"/>
      <c r="H6" s="41"/>
      <c r="I6" s="76" t="s">
        <v>50</v>
      </c>
      <c r="J6" s="77">
        <f>'1MSynthDepo'!D37</f>
        <v>2.5929784716370214E-2</v>
      </c>
      <c r="K6" s="44" t="s">
        <v>47</v>
      </c>
      <c r="L6" s="82">
        <v>9.4580336066685212E-4</v>
      </c>
      <c r="M6" s="42"/>
      <c r="N6" s="87">
        <v>2.5929784716370214E-2</v>
      </c>
      <c r="O6" s="88">
        <f>_xll.qlSimpleQuoteSetValue(D6,ROUND($N6,6),EvaluationDate)</f>
        <v>0</v>
      </c>
      <c r="P6" s="43"/>
    </row>
    <row r="7" spans="1:16" ht="12" thickBot="1" x14ac:dyDescent="0.25">
      <c r="A7" s="124"/>
      <c r="B7" s="120" t="s">
        <v>51</v>
      </c>
      <c r="C7" s="71" t="str">
        <f t="shared" si="1"/>
        <v>AUD1MD_SYNTH1M_Quote</v>
      </c>
      <c r="D7" s="116" t="str">
        <f>_xll.qlSimpleQuote(C7,,RateTickValue,Permanent,EvaluationDate,ObjectOverwrite)</f>
        <v>AUD1MD_SYNTH1M_Quote#0000</v>
      </c>
      <c r="E7" s="117" t="str">
        <f>_xll.ohRangeRetrieveError(D7)</f>
        <v/>
      </c>
      <c r="F7" s="40"/>
      <c r="H7" s="94"/>
      <c r="I7" s="78" t="s">
        <v>51</v>
      </c>
      <c r="J7" s="79">
        <f>'1MSynthDepo'!D38</f>
        <v>2.5923252441003956E-2</v>
      </c>
      <c r="K7" s="95" t="s">
        <v>47</v>
      </c>
      <c r="L7" s="83">
        <v>8.9999999999999998E-4</v>
      </c>
      <c r="M7" s="94"/>
      <c r="N7" s="89">
        <v>2.5923252441003956E-2</v>
      </c>
      <c r="O7" s="90">
        <f>_xll.qlSimpleQuoteSetValue(D7,ROUND($N7,6),EvaluationDate)</f>
        <v>0</v>
      </c>
      <c r="P7" s="94"/>
    </row>
    <row r="8" spans="1:16" x14ac:dyDescent="0.2">
      <c r="A8" s="103">
        <v>3</v>
      </c>
      <c r="B8" s="109" t="s">
        <v>46</v>
      </c>
      <c r="C8" s="110" t="str">
        <f t="shared" ref="C8:C14" si="2">Currency&amp;$B8&amp;"_SYNTH"&amp;Tenor3M&amp;QuoteSuffix</f>
        <v>AUDSND_SYNTH3M_Quote</v>
      </c>
      <c r="D8" s="111" t="str">
        <f>_xll.qlSimpleQuote(C8,,RateTickValue,Permanent,EvaluationDate,ObjectOverwrite)</f>
        <v>AUDSND_SYNTH3M_Quote#0000</v>
      </c>
      <c r="E8" s="105"/>
      <c r="F8" s="47"/>
      <c r="H8" s="50"/>
      <c r="I8" s="96" t="s">
        <v>46</v>
      </c>
      <c r="J8" s="97">
        <f>'3MSynthDepo'!D32</f>
        <v>2.6166691717507996E-2</v>
      </c>
      <c r="K8" s="51"/>
      <c r="L8" s="98">
        <v>2.0854566594392708E-3</v>
      </c>
      <c r="M8" s="49"/>
      <c r="N8" s="99">
        <v>2.6166691717507996E-2</v>
      </c>
      <c r="O8" s="100">
        <f>_xll.qlSimpleQuoteSetValue(D8,ROUND($N8,6),EvaluationDate)</f>
        <v>0</v>
      </c>
      <c r="P8" s="131">
        <f>_xll.ohTrigger(O8:O14)</f>
        <v>40</v>
      </c>
    </row>
    <row r="9" spans="1:16" x14ac:dyDescent="0.2">
      <c r="A9" s="104" t="str">
        <f>_xll.qlPeriodEquivalent(Months3M&amp;"M")</f>
        <v>3M</v>
      </c>
      <c r="B9" s="112" t="s">
        <v>48</v>
      </c>
      <c r="C9" s="45" t="str">
        <f t="shared" si="2"/>
        <v>AUDSWD_SYNTH3M_Quote</v>
      </c>
      <c r="D9" s="113" t="str">
        <f>_xll.qlSimpleQuote(C9,,RateTickValue,Permanent,EvaluationDate,ObjectOverwrite)</f>
        <v>AUDSWD_SYNTH3M_Quote#0000</v>
      </c>
      <c r="E9" s="106"/>
      <c r="F9" s="47"/>
      <c r="H9" s="50"/>
      <c r="I9" s="91" t="s">
        <v>48</v>
      </c>
      <c r="J9" s="75">
        <f>'3MSynthDepo'!D33</f>
        <v>2.6175970376404192E-2</v>
      </c>
      <c r="K9" s="51"/>
      <c r="L9" s="81">
        <v>2.0363357259103824E-3</v>
      </c>
      <c r="M9" s="49"/>
      <c r="N9" s="85">
        <v>2.6175970376404192E-2</v>
      </c>
      <c r="O9" s="86">
        <f>_xll.qlSimpleQuoteSetValue(D9,ROUND($N9,6),EvaluationDate)</f>
        <v>0</v>
      </c>
      <c r="P9" s="43"/>
    </row>
    <row r="10" spans="1:16" x14ac:dyDescent="0.2">
      <c r="A10" s="46"/>
      <c r="B10" s="112" t="s">
        <v>49</v>
      </c>
      <c r="C10" s="45" t="str">
        <f t="shared" si="2"/>
        <v>AUD2WD_SYNTH3M_Quote</v>
      </c>
      <c r="D10" s="113" t="str">
        <f>_xll.qlSimpleQuote(C10,,RateTickValue,Permanent,EvaluationDate,ObjectOverwrite)</f>
        <v>AUD2WD_SYNTH3M_Quote#0000</v>
      </c>
      <c r="E10" s="106"/>
      <c r="F10" s="47"/>
      <c r="H10" s="50"/>
      <c r="I10" s="91" t="s">
        <v>49</v>
      </c>
      <c r="J10" s="75">
        <f>'3MSynthDepo'!D34</f>
        <v>2.6183638661740911E-2</v>
      </c>
      <c r="K10" s="51"/>
      <c r="L10" s="81">
        <v>2.0303740867323259E-3</v>
      </c>
      <c r="M10" s="49"/>
      <c r="N10" s="85">
        <v>2.6183638661740911E-2</v>
      </c>
      <c r="O10" s="86">
        <f>_xll.qlSimpleQuoteSetValue(D10,ROUND($N10,6),EvaluationDate)</f>
        <v>0</v>
      </c>
      <c r="P10" s="43"/>
    </row>
    <row r="11" spans="1:16" x14ac:dyDescent="0.2">
      <c r="A11" s="46"/>
      <c r="B11" s="112" t="s">
        <v>50</v>
      </c>
      <c r="C11" s="45" t="str">
        <f t="shared" si="2"/>
        <v>AUD3WD_SYNTH3M_Quote</v>
      </c>
      <c r="D11" s="113" t="str">
        <f>_xll.qlSimpleQuote(C11,,RateTickValue,Permanent,EvaluationDate,ObjectOverwrite)</f>
        <v>AUD3WD_SYNTH3M_Quote#0000</v>
      </c>
      <c r="E11" s="106"/>
      <c r="F11" s="47"/>
      <c r="H11" s="50"/>
      <c r="I11" s="92" t="s">
        <v>50</v>
      </c>
      <c r="J11" s="77">
        <f>'3MSynthDepo'!D35</f>
        <v>2.6190538418819031E-2</v>
      </c>
      <c r="K11" s="51"/>
      <c r="L11" s="82">
        <v>2.2444124483196708E-3</v>
      </c>
      <c r="M11" s="49"/>
      <c r="N11" s="87">
        <v>2.6190538418819031E-2</v>
      </c>
      <c r="O11" s="88">
        <f>_xll.qlSimpleQuoteSetValue(D11,ROUND($N11,6),EvaluationDate)</f>
        <v>0</v>
      </c>
      <c r="P11" s="43"/>
    </row>
    <row r="12" spans="1:16" x14ac:dyDescent="0.2">
      <c r="A12" s="46"/>
      <c r="B12" s="112" t="s">
        <v>51</v>
      </c>
      <c r="C12" s="45" t="str">
        <f t="shared" si="2"/>
        <v>AUD1MD_SYNTH3M_Quote</v>
      </c>
      <c r="D12" s="114" t="str">
        <f>_xll.qlSimpleQuote(C12,,RateTickValue,Permanent,EvaluationDate,ObjectOverwrite)</f>
        <v>AUD1MD_SYNTH3M_Quote#0000</v>
      </c>
      <c r="E12" s="107"/>
      <c r="F12" s="47"/>
      <c r="H12" s="50"/>
      <c r="I12" s="91" t="s">
        <v>51</v>
      </c>
      <c r="J12" s="75">
        <f>'3MSynthDepo'!D36</f>
        <v>2.6200711960924238E-2</v>
      </c>
      <c r="K12" s="51"/>
      <c r="L12" s="81">
        <v>2.1816101022273638E-3</v>
      </c>
      <c r="M12" s="49"/>
      <c r="N12" s="85">
        <v>2.6200711960924238E-2</v>
      </c>
      <c r="O12" s="86">
        <f>_xll.qlSimpleQuoteSetValue(D12,ROUND($N12,6),EvaluationDate)</f>
        <v>0</v>
      </c>
      <c r="P12" s="43"/>
    </row>
    <row r="13" spans="1:16" x14ac:dyDescent="0.2">
      <c r="A13" s="46"/>
      <c r="B13" s="112" t="s">
        <v>52</v>
      </c>
      <c r="C13" s="45" t="str">
        <f t="shared" si="2"/>
        <v>AUD2MD_SYNTH3M_Quote</v>
      </c>
      <c r="D13" s="114" t="str">
        <f>_xll.qlSimpleQuote(C13,,RateTickValue,Permanent,EvaluationDate,ObjectOverwrite)</f>
        <v>AUD2MD_SYNTH3M_Quote#0000</v>
      </c>
      <c r="E13" s="107"/>
      <c r="F13" s="47"/>
      <c r="H13" s="50"/>
      <c r="I13" s="91" t="s">
        <v>52</v>
      </c>
      <c r="J13" s="75">
        <f>'3MSynthDepo'!D37</f>
        <v>2.6228642005371651E-2</v>
      </c>
      <c r="K13" s="51"/>
      <c r="L13" s="81">
        <v>2.100593842366712E-3</v>
      </c>
      <c r="M13" s="49"/>
      <c r="N13" s="85">
        <v>2.6228642005371651E-2</v>
      </c>
      <c r="O13" s="86">
        <f>_xll.qlSimpleQuoteSetValue(D13,ROUND($N13,6),EvaluationDate)</f>
        <v>0</v>
      </c>
      <c r="P13" s="43"/>
    </row>
    <row r="14" spans="1:16" ht="12" thickBot="1" x14ac:dyDescent="0.25">
      <c r="A14" s="46"/>
      <c r="B14" s="115" t="s">
        <v>53</v>
      </c>
      <c r="C14" s="71" t="str">
        <f t="shared" si="2"/>
        <v>AUD3MD_SYNTH3M_Quote</v>
      </c>
      <c r="D14" s="116" t="str">
        <f>_xll.qlSimpleQuote(C14,,RateTickValue,Permanent,EvaluationDate,ObjectOverwrite)</f>
        <v>AUD3MD_SYNTH3M_Quote#0000</v>
      </c>
      <c r="E14" s="108"/>
      <c r="F14" s="47"/>
      <c r="H14" s="50"/>
      <c r="I14" s="93" t="s">
        <v>53</v>
      </c>
      <c r="J14" s="79">
        <f>'3MSynthDepo'!D38</f>
        <v>2.6249867412488154E-2</v>
      </c>
      <c r="K14" s="51"/>
      <c r="L14" s="83">
        <v>1.99E-3</v>
      </c>
      <c r="M14" s="49"/>
      <c r="N14" s="89">
        <v>2.6249867412488154E-2</v>
      </c>
      <c r="O14" s="90">
        <f>_xll.qlSimpleQuoteSetValue(D14,ROUND($N14,6),EvaluationDate)</f>
        <v>0</v>
      </c>
      <c r="P14" s="43"/>
    </row>
    <row r="15" spans="1:16" x14ac:dyDescent="0.2">
      <c r="A15" s="121">
        <v>6</v>
      </c>
      <c r="B15" s="125" t="s">
        <v>46</v>
      </c>
      <c r="C15" s="110" t="str">
        <f t="shared" ref="C15:C24" si="3">Currency&amp;$B15&amp;"_SYNTH"&amp;Tenor6M&amp;QuoteSuffix</f>
        <v>AUDSND_SYNTH6M_Quote</v>
      </c>
      <c r="D15" s="111" t="str">
        <f>_xll.qlSimpleQuote(C15,,RateTickValue,Permanent,EvaluationDate,ObjectOverwrite)</f>
        <v>AUDSND_SYNTH6M_Quote#0000</v>
      </c>
      <c r="E15" s="105" t="str">
        <f>_xll.ohRangeRetrieveError(D15)</f>
        <v/>
      </c>
      <c r="F15" s="47"/>
      <c r="H15" s="50"/>
      <c r="I15" s="96" t="s">
        <v>46</v>
      </c>
      <c r="J15" s="97">
        <f>'6MSynthDepo'!D32</f>
        <v>2.6580622639486916E-2</v>
      </c>
      <c r="K15" s="51"/>
      <c r="L15" s="98">
        <v>3.429611293926924E-3</v>
      </c>
      <c r="M15" s="49"/>
      <c r="N15" s="99">
        <v>2.6580622639486916E-2</v>
      </c>
      <c r="O15" s="100">
        <f>_xll.qlSimpleQuoteSetValue(D15,ROUND($N15,6),EvaluationDate)</f>
        <v>0</v>
      </c>
      <c r="P15" s="132">
        <f>_xll.ohTrigger(O15:O24)</f>
        <v>40</v>
      </c>
    </row>
    <row r="16" spans="1:16" x14ac:dyDescent="0.2">
      <c r="A16" s="122" t="str">
        <f>_xll.qlPeriodEquivalent(Months6M&amp;"M")</f>
        <v>6M</v>
      </c>
      <c r="B16" s="126" t="s">
        <v>48</v>
      </c>
      <c r="C16" s="45" t="str">
        <f t="shared" si="3"/>
        <v>AUDSWD_SYNTH6M_Quote</v>
      </c>
      <c r="D16" s="113" t="str">
        <f>_xll.qlSimpleQuote(C16,,RateTickValue,Permanent,EvaluationDate,ObjectOverwrite)</f>
        <v>AUDSWD_SYNTH6M_Quote#0000</v>
      </c>
      <c r="E16" s="106" t="str">
        <f>_xll.ohRangeRetrieveError(D16)</f>
        <v/>
      </c>
      <c r="F16" s="47"/>
      <c r="H16" s="50"/>
      <c r="I16" s="91" t="s">
        <v>48</v>
      </c>
      <c r="J16" s="75">
        <f>'6MSynthDepo'!D33</f>
        <v>2.6584031420015676E-2</v>
      </c>
      <c r="K16" s="51"/>
      <c r="L16" s="81">
        <v>3.3663605344225103E-3</v>
      </c>
      <c r="M16" s="49"/>
      <c r="N16" s="85">
        <v>2.6584031420015676E-2</v>
      </c>
      <c r="O16" s="86">
        <f>_xll.qlSimpleQuoteSetValue(D16,ROUND($N16,6),EvaluationDate)</f>
        <v>0</v>
      </c>
      <c r="P16" s="52"/>
    </row>
    <row r="17" spans="1:16" x14ac:dyDescent="0.2">
      <c r="A17" s="128"/>
      <c r="B17" s="126" t="s">
        <v>49</v>
      </c>
      <c r="C17" s="45" t="str">
        <f t="shared" si="3"/>
        <v>AUD2WD_SYNTH6M_Quote</v>
      </c>
      <c r="D17" s="113" t="str">
        <f>_xll.qlSimpleQuote(C17,,RateTickValue,Permanent,EvaluationDate,ObjectOverwrite)</f>
        <v>AUD2WD_SYNTH6M_Quote#0000</v>
      </c>
      <c r="E17" s="106" t="str">
        <f>_xll.ohRangeRetrieveError(D17)</f>
        <v/>
      </c>
      <c r="F17" s="47"/>
      <c r="H17" s="48"/>
      <c r="I17" s="91" t="s">
        <v>49</v>
      </c>
      <c r="J17" s="75">
        <f>'6MSynthDepo'!D34</f>
        <v>2.6584902396606401E-2</v>
      </c>
      <c r="K17" s="51"/>
      <c r="L17" s="81">
        <v>3.3368531136497635E-3</v>
      </c>
      <c r="M17" s="49"/>
      <c r="N17" s="85">
        <v>2.6584902396606401E-2</v>
      </c>
      <c r="O17" s="86">
        <f>_xll.qlSimpleQuoteSetValue(D17,ROUND($N17,6),EvaluationDate)</f>
        <v>0</v>
      </c>
      <c r="P17" s="52"/>
    </row>
    <row r="18" spans="1:16" x14ac:dyDescent="0.2">
      <c r="A18" s="129"/>
      <c r="B18" s="126" t="s">
        <v>50</v>
      </c>
      <c r="C18" s="45" t="str">
        <f t="shared" si="3"/>
        <v>AUD3WD_SYNTH6M_Quote</v>
      </c>
      <c r="D18" s="113" t="str">
        <f>_xll.qlSimpleQuote(C18,,RateTickValue,Permanent,EvaluationDate,ObjectOverwrite)</f>
        <v>AUD3WD_SYNTH6M_Quote#0000</v>
      </c>
      <c r="E18" s="106" t="str">
        <f>_xll.ohRangeRetrieveError(D18)</f>
        <v/>
      </c>
      <c r="F18" s="47"/>
      <c r="H18" s="48"/>
      <c r="I18" s="91" t="s">
        <v>50</v>
      </c>
      <c r="J18" s="75">
        <f>'6MSynthDepo'!D35</f>
        <v>2.6585059641673715E-2</v>
      </c>
      <c r="K18" s="51"/>
      <c r="L18" s="81">
        <v>3.5288493112855738E-3</v>
      </c>
      <c r="M18" s="49"/>
      <c r="N18" s="85">
        <v>2.6585059641673715E-2</v>
      </c>
      <c r="O18" s="86">
        <f>_xll.qlSimpleQuoteSetValue(D18,ROUND($N18,6),EvaluationDate)</f>
        <v>0</v>
      </c>
      <c r="P18" s="52"/>
    </row>
    <row r="19" spans="1:16" x14ac:dyDescent="0.2">
      <c r="A19" s="129"/>
      <c r="B19" s="126" t="s">
        <v>51</v>
      </c>
      <c r="C19" s="45" t="str">
        <f t="shared" si="3"/>
        <v>AUD1MD_SYNTH6M_Quote</v>
      </c>
      <c r="D19" s="113" t="str">
        <f>_xll.qlSimpleQuote(C19,,RateTickValue,Permanent,EvaluationDate,ObjectOverwrite)</f>
        <v>AUD1MD_SYNTH6M_Quote#0000</v>
      </c>
      <c r="E19" s="106" t="str">
        <f>_xll.ohRangeRetrieveError(D19)</f>
        <v/>
      </c>
      <c r="F19" s="47"/>
      <c r="H19" s="48"/>
      <c r="I19" s="91" t="s">
        <v>51</v>
      </c>
      <c r="J19" s="75">
        <f>'6MSynthDepo'!D36</f>
        <v>2.6584748519533036E-2</v>
      </c>
      <c r="K19" s="51"/>
      <c r="L19" s="81">
        <v>3.437166475867978E-3</v>
      </c>
      <c r="M19" s="49"/>
      <c r="N19" s="85">
        <v>2.6584748519533036E-2</v>
      </c>
      <c r="O19" s="86">
        <f>_xll.qlSimpleQuoteSetValue(D19,ROUND($N19,6),EvaluationDate)</f>
        <v>0</v>
      </c>
      <c r="P19" s="52"/>
    </row>
    <row r="20" spans="1:16" x14ac:dyDescent="0.2">
      <c r="A20" s="129"/>
      <c r="B20" s="126" t="s">
        <v>52</v>
      </c>
      <c r="C20" s="45" t="str">
        <f t="shared" si="3"/>
        <v>AUD2MD_SYNTH6M_Quote</v>
      </c>
      <c r="D20" s="113" t="str">
        <f>_xll.qlSimpleQuote(C20,,RateTickValue,Permanent,EvaluationDate,ObjectOverwrite)</f>
        <v>AUD2MD_SYNTH6M_Quote#0000</v>
      </c>
      <c r="E20" s="106" t="str">
        <f>_xll.ohRangeRetrieveError(D20)</f>
        <v/>
      </c>
      <c r="F20" s="47"/>
      <c r="H20" s="48"/>
      <c r="I20" s="91" t="s">
        <v>52</v>
      </c>
      <c r="J20" s="75">
        <f>'6MSynthDepo'!D37</f>
        <v>2.658568579083968E-2</v>
      </c>
      <c r="K20" s="51"/>
      <c r="L20" s="81">
        <v>3.2879203926415284E-3</v>
      </c>
      <c r="M20" s="49"/>
      <c r="N20" s="85">
        <v>2.658568579083968E-2</v>
      </c>
      <c r="O20" s="86">
        <f>_xll.qlSimpleQuoteSetValue(D20,ROUND($N20,6),EvaluationDate)</f>
        <v>0</v>
      </c>
      <c r="P20" s="52"/>
    </row>
    <row r="21" spans="1:16" x14ac:dyDescent="0.2">
      <c r="A21" s="129"/>
      <c r="B21" s="126" t="s">
        <v>53</v>
      </c>
      <c r="C21" s="45" t="str">
        <f t="shared" si="3"/>
        <v>AUD3MD_SYNTH6M_Quote</v>
      </c>
      <c r="D21" s="113" t="str">
        <f>_xll.qlSimpleQuote(C21,,RateTickValue,Permanent,EvaluationDate,ObjectOverwrite)</f>
        <v>AUD3MD_SYNTH6M_Quote#0000</v>
      </c>
      <c r="E21" s="106" t="str">
        <f>_xll.ohRangeRetrieveError(D21)</f>
        <v/>
      </c>
      <c r="F21" s="47"/>
      <c r="H21" s="48"/>
      <c r="I21" s="91" t="s">
        <v>53</v>
      </c>
      <c r="J21" s="75">
        <f>'6MSynthDepo'!D38</f>
        <v>2.6579977335670295E-2</v>
      </c>
      <c r="K21" s="51"/>
      <c r="L21" s="81">
        <v>3.1341719188593851E-3</v>
      </c>
      <c r="M21" s="49"/>
      <c r="N21" s="85">
        <v>2.6579977335670295E-2</v>
      </c>
      <c r="O21" s="86">
        <f>_xll.qlSimpleQuoteSetValue(D21,ROUND($N21,6),EvaluationDate)</f>
        <v>0</v>
      </c>
      <c r="P21" s="52"/>
    </row>
    <row r="22" spans="1:16" x14ac:dyDescent="0.2">
      <c r="A22" s="129"/>
      <c r="B22" s="126" t="s">
        <v>54</v>
      </c>
      <c r="C22" s="45" t="str">
        <f t="shared" si="3"/>
        <v>AUD4MD_SYNTH6M_Quote</v>
      </c>
      <c r="D22" s="113" t="str">
        <f>_xll.qlSimpleQuote(C22,,RateTickValue,Permanent,EvaluationDate,ObjectOverwrite)</f>
        <v>AUD4MD_SYNTH6M_Quote#0000</v>
      </c>
      <c r="E22" s="106" t="str">
        <f>_xll.ohRangeRetrieveError(D22)</f>
        <v/>
      </c>
      <c r="F22" s="47"/>
      <c r="H22" s="48"/>
      <c r="I22" s="91" t="s">
        <v>54</v>
      </c>
      <c r="J22" s="75">
        <f>'6MSynthDepo'!D39</f>
        <v>2.6552701206165836E-2</v>
      </c>
      <c r="K22" s="51"/>
      <c r="L22" s="81">
        <v>3.0638881440993079E-3</v>
      </c>
      <c r="M22" s="49"/>
      <c r="N22" s="85">
        <v>2.6552701206165836E-2</v>
      </c>
      <c r="O22" s="86">
        <f>_xll.qlSimpleQuoteSetValue(D22,ROUND($N22,6),EvaluationDate)</f>
        <v>0</v>
      </c>
      <c r="P22" s="52"/>
    </row>
    <row r="23" spans="1:16" x14ac:dyDescent="0.2">
      <c r="A23" s="129"/>
      <c r="B23" s="126" t="s">
        <v>55</v>
      </c>
      <c r="C23" s="45" t="str">
        <f t="shared" si="3"/>
        <v>AUD5MD_SYNTH6M_Quote</v>
      </c>
      <c r="D23" s="113" t="str">
        <f>_xll.qlSimpleQuote(C23,,RateTickValue,Permanent,EvaluationDate,ObjectOverwrite)</f>
        <v>AUD5MD_SYNTH6M_Quote#0000</v>
      </c>
      <c r="E23" s="106" t="str">
        <f>_xll.ohRangeRetrieveError(D23)</f>
        <v/>
      </c>
      <c r="F23" s="47"/>
      <c r="H23" s="48"/>
      <c r="I23" s="91" t="s">
        <v>55</v>
      </c>
      <c r="J23" s="75">
        <f>'6MSynthDepo'!D40</f>
        <v>2.6557888909037781E-2</v>
      </c>
      <c r="K23" s="51"/>
      <c r="L23" s="81">
        <v>3.0024559434110483E-3</v>
      </c>
      <c r="M23" s="49"/>
      <c r="N23" s="85">
        <v>2.6557888909037781E-2</v>
      </c>
      <c r="O23" s="86">
        <f>_xll.qlSimpleQuoteSetValue(D23,ROUND($N23,6),EvaluationDate)</f>
        <v>0</v>
      </c>
      <c r="P23" s="52"/>
    </row>
    <row r="24" spans="1:16" ht="12" thickBot="1" x14ac:dyDescent="0.25">
      <c r="A24" s="129"/>
      <c r="B24" s="120" t="s">
        <v>56</v>
      </c>
      <c r="C24" s="71" t="str">
        <f t="shared" si="3"/>
        <v>AUD6MD_SYNTH6M_Quote</v>
      </c>
      <c r="D24" s="127" t="str">
        <f>_xll.qlSimpleQuote(C24,,RateTickValue,Permanent,EvaluationDate,ObjectOverwrite)</f>
        <v>AUD6MD_SYNTH6M_Quote#0000</v>
      </c>
      <c r="E24" s="108" t="str">
        <f>_xll.ohRangeRetrieveError(D24)</f>
        <v/>
      </c>
      <c r="F24" s="47"/>
      <c r="H24" s="48"/>
      <c r="I24" s="93" t="s">
        <v>56</v>
      </c>
      <c r="J24" s="79">
        <f>'6MSynthDepo'!D41</f>
        <v>2.6572169035927056E-2</v>
      </c>
      <c r="K24" s="51"/>
      <c r="L24" s="83">
        <v>2.9900000000000013E-3</v>
      </c>
      <c r="M24" s="49"/>
      <c r="N24" s="89">
        <v>2.6572169035927056E-2</v>
      </c>
      <c r="O24" s="90">
        <f>_xll.qlSimpleQuoteSetValue(D24,ROUND($N24,6),EvaluationDate)</f>
        <v>0</v>
      </c>
      <c r="P24" s="52"/>
    </row>
    <row r="25" spans="1:16" ht="12" thickBot="1" x14ac:dyDescent="0.25">
      <c r="A25" s="56"/>
      <c r="B25" s="65"/>
      <c r="C25" s="66"/>
      <c r="D25" s="66"/>
      <c r="E25" s="66"/>
      <c r="F25" s="57"/>
      <c r="H25" s="53"/>
      <c r="I25" s="54"/>
      <c r="J25" s="54"/>
      <c r="K25" s="54"/>
      <c r="L25" s="54"/>
      <c r="M25" s="54"/>
      <c r="N25" s="54"/>
      <c r="O25" s="54"/>
      <c r="P25" s="55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1.25" x14ac:dyDescent="0.2"/>
  <cols>
    <col min="1" max="1" width="3.1640625" style="250" customWidth="1"/>
    <col min="2" max="2" width="5.83203125" style="250" bestFit="1" customWidth="1"/>
    <col min="3" max="3" width="3.5" style="250" bestFit="1" customWidth="1"/>
    <col min="4" max="4" width="4.6640625" style="250" bestFit="1" customWidth="1"/>
    <col min="5" max="5" width="7" style="250" bestFit="1" customWidth="1"/>
    <col min="6" max="7" width="4.6640625" style="250" bestFit="1" customWidth="1"/>
    <col min="8" max="8" width="21.33203125" style="250" bestFit="1" customWidth="1"/>
    <col min="9" max="9" width="31" style="250" bestFit="1" customWidth="1"/>
    <col min="10" max="10" width="36.5" style="250" bestFit="1" customWidth="1"/>
    <col min="11" max="11" width="35.83203125" style="250" bestFit="1" customWidth="1"/>
    <col min="12" max="12" width="41.6640625" style="250" customWidth="1"/>
    <col min="13" max="14" width="3.1640625" style="250" customWidth="1"/>
    <col min="15" max="16384" width="9.33203125" style="250"/>
  </cols>
  <sheetData>
    <row r="1" spans="1:13" x14ac:dyDescent="0.2">
      <c r="A1" s="247"/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8"/>
      <c r="M1" s="249"/>
    </row>
    <row r="2" spans="1:13" ht="22.5" customHeight="1" x14ac:dyDescent="0.2">
      <c r="A2" s="251"/>
      <c r="B2" s="252"/>
      <c r="C2" s="252"/>
      <c r="D2" s="252"/>
      <c r="E2" s="252" t="s">
        <v>112</v>
      </c>
      <c r="F2" s="252"/>
      <c r="G2" s="252"/>
      <c r="H2" s="252" t="s">
        <v>113</v>
      </c>
      <c r="I2" s="252" t="s">
        <v>114</v>
      </c>
      <c r="J2" s="253" t="str">
        <f>Currency&amp;"_020_Sw"&amp;$C$4&amp;$D$4&amp;IF(H4=0,,"_Spr"&amp;$F4&amp;$G4)&amp;".xml"</f>
        <v>AUD_020_SwQM3AB_Spr3BR6BR.xml</v>
      </c>
      <c r="K2" s="254" t="str">
        <f>IF(Serialize,_xll.ohObjectSave(K4:K6,SerializationPath&amp;J2,FileOverwrite,Serialize),"---")</f>
        <v>---</v>
      </c>
      <c r="L2" s="255" t="str">
        <f>_xll.ohRangeRetrieveError(K2)</f>
        <v/>
      </c>
      <c r="M2" s="256"/>
    </row>
    <row r="3" spans="1:13" ht="12.75" customHeight="1" x14ac:dyDescent="0.2">
      <c r="A3" s="251"/>
      <c r="B3" s="257" t="s">
        <v>34</v>
      </c>
      <c r="C3" s="258" t="s">
        <v>115</v>
      </c>
      <c r="D3" s="258" t="s">
        <v>116</v>
      </c>
      <c r="E3" s="258" t="s">
        <v>35</v>
      </c>
      <c r="F3" s="258" t="s">
        <v>117</v>
      </c>
      <c r="G3" s="258" t="s">
        <v>118</v>
      </c>
      <c r="H3" s="259" t="str">
        <f>IF(F3=0,0,Currency&amp;$F3&amp;$G3&amp;$B3&amp;QuoteSuffix)</f>
        <v>AUD3BR6BR6M_Quote</v>
      </c>
      <c r="I3" s="260" t="str">
        <f>PROPER(Currency)&amp;IborType&amp;"SwapForBasisCalc"&amp;$B3</f>
        <v>AudBBSWSwapForBasisCalc6M</v>
      </c>
      <c r="J3" s="261" t="str">
        <f>Currency&amp;$C3&amp;$D3&amp;$B3&amp;IF(H3=0,,"_S"&amp;$F3&amp;$G3)&amp;QuoteSuffix</f>
        <v>AUDQM3AB6M_S3BR6BR_Quote</v>
      </c>
      <c r="K3" s="261" t="str">
        <f>_xll.qlForwardSwapQuote(J3,I3,H3,E3,Permanent,Trigger,ObjectOverwrite)</f>
        <v>AUDQM3AB6M_S3BR6BR_Quote#0000</v>
      </c>
      <c r="L3" s="262" t="str">
        <f>_xll.ohRangeRetrieveError(K3)</f>
        <v/>
      </c>
      <c r="M3" s="256"/>
    </row>
    <row r="4" spans="1:13" x14ac:dyDescent="0.2">
      <c r="A4" s="251"/>
      <c r="B4" s="257" t="s">
        <v>25</v>
      </c>
      <c r="C4" s="258" t="s">
        <v>115</v>
      </c>
      <c r="D4" s="258" t="s">
        <v>116</v>
      </c>
      <c r="E4" s="258" t="s">
        <v>35</v>
      </c>
      <c r="F4" s="258" t="s">
        <v>117</v>
      </c>
      <c r="G4" s="258" t="s">
        <v>118</v>
      </c>
      <c r="H4" s="259" t="str">
        <f>IF(F4=0,0,Currency&amp;$F4&amp;$G4&amp;$B4&amp;QuoteSuffix)</f>
        <v>AUD3BR6BR1Y_Quote</v>
      </c>
      <c r="I4" s="260" t="str">
        <f>PROPER(Currency)&amp;IborType&amp;"SwapForBasisCalc"&amp;$B4</f>
        <v>AudBBSWSwapForBasisCalc1Y</v>
      </c>
      <c r="J4" s="261" t="str">
        <f>Currency&amp;$C4&amp;$D4&amp;$B4&amp;IF(H4=0,,"_S"&amp;$F4&amp;$G4)&amp;QuoteSuffix</f>
        <v>AUDQM3AB1Y_S3BR6BR_Quote</v>
      </c>
      <c r="K4" s="261" t="str">
        <f>_xll.qlForwardSwapQuote(J4,I4,H4,E4,Permanent,Trigger,ObjectOverwrite)</f>
        <v>AUDQM3AB1Y_S3BR6BR_Quote#0000</v>
      </c>
      <c r="L4" s="262" t="str">
        <f>_xll.ohRangeRetrieveError(K4)</f>
        <v/>
      </c>
      <c r="M4" s="256"/>
    </row>
    <row r="5" spans="1:13" x14ac:dyDescent="0.2">
      <c r="A5" s="251"/>
      <c r="B5" s="257" t="s">
        <v>119</v>
      </c>
      <c r="C5" s="258" t="s">
        <v>115</v>
      </c>
      <c r="D5" s="258" t="s">
        <v>116</v>
      </c>
      <c r="E5" s="258" t="str">
        <f>E4</f>
        <v>1D</v>
      </c>
      <c r="F5" s="258" t="s">
        <v>117</v>
      </c>
      <c r="G5" s="258" t="s">
        <v>118</v>
      </c>
      <c r="H5" s="259" t="str">
        <f>IF(F5=0,0,Currency&amp;$F5&amp;$G5&amp;$B5&amp;QuoteSuffix)</f>
        <v>AUD3BR6BR2Y_Quote</v>
      </c>
      <c r="I5" s="260" t="str">
        <f>PROPER(Currency)&amp;IborType&amp;"SwapForBasisCalc"&amp;$B5</f>
        <v>AudBBSWSwapForBasisCalc2Y</v>
      </c>
      <c r="J5" s="261" t="str">
        <f>Currency&amp;$C5&amp;$D5&amp;$B5&amp;IF(H5=0,,"_S"&amp;$F5&amp;$G5)&amp;QuoteSuffix</f>
        <v>AUDQM3AB2Y_S3BR6BR_Quote</v>
      </c>
      <c r="K5" s="261" t="str">
        <f>_xll.qlForwardSwapQuote(J5,I5,H5,E5,Permanent,Trigger,ObjectOverwrite)</f>
        <v>AUDQM3AB2Y_S3BR6BR_Quote#0000</v>
      </c>
      <c r="L5" s="262" t="str">
        <f>_xll.ohRangeRetrieveError(K5)</f>
        <v/>
      </c>
      <c r="M5" s="256"/>
    </row>
    <row r="6" spans="1:13" x14ac:dyDescent="0.2">
      <c r="A6" s="263"/>
      <c r="B6" s="257" t="s">
        <v>58</v>
      </c>
      <c r="C6" s="258" t="s">
        <v>115</v>
      </c>
      <c r="D6" s="258" t="s">
        <v>116</v>
      </c>
      <c r="E6" s="258" t="str">
        <f>E5</f>
        <v>1D</v>
      </c>
      <c r="F6" s="258" t="s">
        <v>117</v>
      </c>
      <c r="G6" s="258" t="s">
        <v>118</v>
      </c>
      <c r="H6" s="259" t="str">
        <f>IF(F6=0,0,Currency&amp;$F6&amp;$G6&amp;$B6&amp;QuoteSuffix)</f>
        <v>AUD3BR6BR3Y_Quote</v>
      </c>
      <c r="I6" s="260" t="str">
        <f>PROPER(Currency)&amp;IborType&amp;"SwapForBasisCalc"&amp;$B6</f>
        <v>AudBBSWSwapForBasisCalc3Y</v>
      </c>
      <c r="J6" s="261" t="str">
        <f>Currency&amp;$C6&amp;$D6&amp;$B6&amp;IF(H6=0,,"_S"&amp;$F6&amp;$G6)&amp;QuoteSuffix</f>
        <v>AUDQM3AB3Y_S3BR6BR_Quote</v>
      </c>
      <c r="K6" s="261" t="str">
        <f>_xll.qlForwardSwapQuote(J6,I6,H6,E6,Permanent,Trigger,ObjectOverwrite)</f>
        <v>AUDQM3AB3Y_S3BR6BR_Quote#0000</v>
      </c>
      <c r="L6" s="262" t="str">
        <f>_xll.ohRangeRetrieveError(K6)</f>
        <v/>
      </c>
      <c r="M6" s="256"/>
    </row>
    <row r="7" spans="1:13" ht="12" thickBot="1" x14ac:dyDescent="0.25">
      <c r="A7" s="264"/>
      <c r="B7" s="264"/>
      <c r="C7" s="264"/>
      <c r="D7" s="264"/>
      <c r="E7" s="264"/>
      <c r="F7" s="264"/>
      <c r="G7" s="264"/>
      <c r="H7" s="264"/>
      <c r="I7" s="264"/>
      <c r="J7" s="264"/>
      <c r="K7" s="265"/>
      <c r="L7" s="265"/>
      <c r="M7" s="266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workbookViewId="0"/>
  </sheetViews>
  <sheetFormatPr defaultRowHeight="11.25" x14ac:dyDescent="0.2"/>
  <cols>
    <col min="1" max="1" width="3.1640625" style="250" customWidth="1"/>
    <col min="2" max="2" width="11.6640625" style="250" bestFit="1" customWidth="1"/>
    <col min="3" max="3" width="4.6640625" style="250" customWidth="1"/>
    <col min="4" max="4" width="3.5" style="250" bestFit="1" customWidth="1"/>
    <col min="5" max="7" width="4.6640625" style="250" bestFit="1" customWidth="1"/>
    <col min="8" max="8" width="9.33203125" style="250" bestFit="1" customWidth="1"/>
    <col min="9" max="9" width="32.1640625" style="250" bestFit="1" customWidth="1"/>
    <col min="10" max="10" width="36.5" style="250" bestFit="1" customWidth="1"/>
    <col min="11" max="11" width="37" style="250" bestFit="1" customWidth="1"/>
    <col min="12" max="12" width="9.33203125" style="250" bestFit="1" customWidth="1"/>
    <col min="13" max="13" width="2.83203125" style="250" customWidth="1"/>
    <col min="14" max="14" width="9.33203125" style="250" bestFit="1" customWidth="1"/>
    <col min="15" max="17" width="10.5" style="250" bestFit="1" customWidth="1"/>
    <col min="18" max="20" width="14.1640625" style="250" bestFit="1" customWidth="1"/>
    <col min="21" max="16384" width="9.33203125" style="250"/>
  </cols>
  <sheetData>
    <row r="1" spans="1:13" x14ac:dyDescent="0.2">
      <c r="A1" s="267"/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8"/>
      <c r="M1" s="249"/>
    </row>
    <row r="2" spans="1:13" ht="22.5" customHeight="1" x14ac:dyDescent="0.2">
      <c r="A2" s="268"/>
      <c r="B2" s="252" t="s">
        <v>112</v>
      </c>
      <c r="C2" s="252"/>
      <c r="D2" s="252"/>
      <c r="E2" s="252"/>
      <c r="F2" s="252"/>
      <c r="G2" s="252"/>
      <c r="H2" s="252" t="s">
        <v>113</v>
      </c>
      <c r="I2" s="252" t="s">
        <v>114</v>
      </c>
      <c r="J2" s="253" t="str">
        <f>Currency&amp;"_020_Sw"&amp;$D$5&amp;$E$5&amp;IF(H5=0,,"_Spr"&amp;$F5&amp;$G5)&amp;".xml"</f>
        <v>AUD_020_SwQM3AB.xml</v>
      </c>
      <c r="K2" s="254" t="str">
        <f>IF(Serialize,_xll.ohObjectSave(K5:K7,SerializationPath&amp;J2,FileOverwrite,Serialize),"---")</f>
        <v>---</v>
      </c>
      <c r="L2" s="255" t="str">
        <f>_xll.ohRangeRetrieveError(K2)</f>
        <v/>
      </c>
      <c r="M2" s="256"/>
    </row>
    <row r="3" spans="1:13" x14ac:dyDescent="0.2">
      <c r="A3" s="268"/>
      <c r="B3" s="269" t="s">
        <v>121</v>
      </c>
      <c r="C3" s="270" t="s">
        <v>33</v>
      </c>
      <c r="D3" s="269" t="s">
        <v>115</v>
      </c>
      <c r="E3" s="269" t="s">
        <v>116</v>
      </c>
      <c r="F3" s="269" t="s">
        <v>122</v>
      </c>
      <c r="G3" s="269" t="s">
        <v>117</v>
      </c>
      <c r="H3" s="271">
        <v>0</v>
      </c>
      <c r="I3" s="272" t="str">
        <f t="shared" ref="I3:I35" si="0">PROPER(Currency)&amp;IborType&amp;"SwapForBasisCalc"&amp;$C3</f>
        <v>AudBBSWSwapForBasisCalc3M</v>
      </c>
      <c r="J3" s="272" t="str">
        <f t="shared" ref="J3:J35" si="1">Currency&amp;$D3&amp;$E3&amp;$C3&amp;"_S"&amp;$F3&amp;$G3&amp;QuoteSuffix</f>
        <v>AUDQM3AB3M_S1BR3BR_Quote</v>
      </c>
      <c r="K3" s="272" t="str">
        <f>_xll.qlForwardSwapQuote(J3,I3,H3,B3,Permanent,Trigger,ObjectOverwrite)</f>
        <v>AUDQM3AB3M_S1BR3BR_Quote#0000</v>
      </c>
      <c r="L3" s="273" t="str">
        <f>_xll.ohRangeRetrieveError(K3)</f>
        <v/>
      </c>
      <c r="M3" s="256"/>
    </row>
    <row r="4" spans="1:13" x14ac:dyDescent="0.2">
      <c r="A4" s="268"/>
      <c r="B4" s="274" t="s">
        <v>121</v>
      </c>
      <c r="C4" s="275" t="s">
        <v>34</v>
      </c>
      <c r="D4" s="274" t="s">
        <v>115</v>
      </c>
      <c r="E4" s="274" t="s">
        <v>116</v>
      </c>
      <c r="F4" s="274" t="s">
        <v>122</v>
      </c>
      <c r="G4" s="274" t="s">
        <v>117</v>
      </c>
      <c r="H4" s="276">
        <v>0</v>
      </c>
      <c r="I4" s="277" t="str">
        <f t="shared" si="0"/>
        <v>AudBBSWSwapForBasisCalc6M</v>
      </c>
      <c r="J4" s="277" t="str">
        <f t="shared" si="1"/>
        <v>AUDQM3AB6M_S1BR3BR_Quote</v>
      </c>
      <c r="K4" s="277" t="str">
        <f>_xll.qlForwardSwapQuote(J4,I4,H4,B4,Permanent,Trigger,ObjectOverwrite)</f>
        <v>AUDQM3AB6M_S1BR3BR_Quote#0000</v>
      </c>
      <c r="L4" s="278" t="str">
        <f>_xll.ohRangeRetrieveError(K4)</f>
        <v/>
      </c>
      <c r="M4" s="256"/>
    </row>
    <row r="5" spans="1:13" x14ac:dyDescent="0.2">
      <c r="A5" s="268"/>
      <c r="B5" s="274" t="s">
        <v>121</v>
      </c>
      <c r="C5" s="275" t="s">
        <v>123</v>
      </c>
      <c r="D5" s="274" t="s">
        <v>115</v>
      </c>
      <c r="E5" s="274" t="s">
        <v>116</v>
      </c>
      <c r="F5" s="274" t="s">
        <v>122</v>
      </c>
      <c r="G5" s="274" t="s">
        <v>117</v>
      </c>
      <c r="H5" s="276">
        <v>0</v>
      </c>
      <c r="I5" s="277" t="str">
        <f t="shared" si="0"/>
        <v>AudBBSWSwapForBasisCalc9M</v>
      </c>
      <c r="J5" s="277" t="str">
        <f t="shared" si="1"/>
        <v>AUDQM3AB9M_S1BR3BR_Quote</v>
      </c>
      <c r="K5" s="277" t="str">
        <f>_xll.qlForwardSwapQuote(J5,I5,H5,B5,Permanent,Trigger,ObjectOverwrite)</f>
        <v>AUDQM3AB9M_S1BR3BR_Quote#0000</v>
      </c>
      <c r="L5" s="278" t="str">
        <f>_xll.ohRangeRetrieveError(K5)</f>
        <v/>
      </c>
      <c r="M5" s="256"/>
    </row>
    <row r="6" spans="1:13" x14ac:dyDescent="0.2">
      <c r="A6" s="268"/>
      <c r="B6" s="274" t="s">
        <v>121</v>
      </c>
      <c r="C6" s="275" t="s">
        <v>25</v>
      </c>
      <c r="D6" s="274" t="s">
        <v>115</v>
      </c>
      <c r="E6" s="274" t="s">
        <v>116</v>
      </c>
      <c r="F6" s="274" t="s">
        <v>122</v>
      </c>
      <c r="G6" s="274" t="s">
        <v>117</v>
      </c>
      <c r="H6" s="276">
        <v>0</v>
      </c>
      <c r="I6" s="277" t="str">
        <f t="shared" si="0"/>
        <v>AudBBSWSwapForBasisCalc1Y</v>
      </c>
      <c r="J6" s="277" t="str">
        <f t="shared" si="1"/>
        <v>AUDQM3AB1Y_S1BR3BR_Quote</v>
      </c>
      <c r="K6" s="277" t="str">
        <f>_xll.qlForwardSwapQuote(J6,I6,H6,B6,Permanent,Trigger,ObjectOverwrite)</f>
        <v>AUDQM3AB1Y_S1BR3BR_Quote#0000</v>
      </c>
      <c r="L6" s="278" t="str">
        <f>_xll.ohRangeRetrieveError(K6)</f>
        <v/>
      </c>
      <c r="M6" s="256"/>
    </row>
    <row r="7" spans="1:13" x14ac:dyDescent="0.2">
      <c r="A7" s="279"/>
      <c r="B7" s="274" t="s">
        <v>121</v>
      </c>
      <c r="C7" s="275" t="s">
        <v>119</v>
      </c>
      <c r="D7" s="274" t="s">
        <v>115</v>
      </c>
      <c r="E7" s="274" t="s">
        <v>116</v>
      </c>
      <c r="F7" s="274" t="s">
        <v>122</v>
      </c>
      <c r="G7" s="274" t="s">
        <v>117</v>
      </c>
      <c r="H7" s="276">
        <v>0</v>
      </c>
      <c r="I7" s="277" t="str">
        <f t="shared" si="0"/>
        <v>AudBBSWSwapForBasisCalc2Y</v>
      </c>
      <c r="J7" s="277" t="str">
        <f t="shared" si="1"/>
        <v>AUDQM3AB2Y_S1BR3BR_Quote</v>
      </c>
      <c r="K7" s="277" t="str">
        <f>_xll.qlForwardSwapQuote(J7,I7,H7,B7,Permanent,Trigger,ObjectOverwrite)</f>
        <v>AUDQM3AB2Y_S1BR3BR_Quote#0000</v>
      </c>
      <c r="L7" s="278" t="str">
        <f>_xll.ohRangeRetrieveError(K7)</f>
        <v/>
      </c>
      <c r="M7" s="256"/>
    </row>
    <row r="8" spans="1:13" x14ac:dyDescent="0.2">
      <c r="A8" s="268"/>
      <c r="B8" s="274" t="s">
        <v>121</v>
      </c>
      <c r="C8" s="275" t="s">
        <v>58</v>
      </c>
      <c r="D8" s="274" t="s">
        <v>115</v>
      </c>
      <c r="E8" s="274" t="s">
        <v>116</v>
      </c>
      <c r="F8" s="274" t="s">
        <v>122</v>
      </c>
      <c r="G8" s="274" t="s">
        <v>117</v>
      </c>
      <c r="H8" s="276">
        <v>0</v>
      </c>
      <c r="I8" s="277" t="str">
        <f t="shared" si="0"/>
        <v>AudBBSWSwapForBasisCalc3Y</v>
      </c>
      <c r="J8" s="277" t="str">
        <f t="shared" si="1"/>
        <v>AUDQM3AB3Y_S1BR3BR_Quote</v>
      </c>
      <c r="K8" s="277" t="str">
        <f>_xll.qlForwardSwapQuote(J8,I8,H8,B8,Permanent,Trigger,ObjectOverwrite)</f>
        <v>AUDQM3AB3Y_S1BR3BR_Quote#0000</v>
      </c>
      <c r="L8" s="278" t="str">
        <f>_xll.ohRangeRetrieveError(K8)</f>
        <v/>
      </c>
      <c r="M8" s="256"/>
    </row>
    <row r="9" spans="1:13" x14ac:dyDescent="0.2">
      <c r="A9" s="268"/>
      <c r="B9" s="274" t="s">
        <v>121</v>
      </c>
      <c r="C9" s="275" t="s">
        <v>124</v>
      </c>
      <c r="D9" s="274" t="s">
        <v>115</v>
      </c>
      <c r="E9" s="274" t="s">
        <v>116</v>
      </c>
      <c r="F9" s="274" t="s">
        <v>122</v>
      </c>
      <c r="G9" s="274" t="s">
        <v>117</v>
      </c>
      <c r="H9" s="276">
        <v>0</v>
      </c>
      <c r="I9" s="277" t="str">
        <f t="shared" si="0"/>
        <v>AudBBSWSwapForBasisCalc4Y</v>
      </c>
      <c r="J9" s="277" t="str">
        <f t="shared" si="1"/>
        <v>AUDQM3AB4Y_S1BR3BR_Quote</v>
      </c>
      <c r="K9" s="277" t="str">
        <f>_xll.qlForwardSwapQuote(J9,I9,H9,B9,Permanent,Trigger,ObjectOverwrite)</f>
        <v>AUDQM3AB4Y_S1BR3BR_Quote#0000</v>
      </c>
      <c r="L9" s="278" t="str">
        <f>_xll.ohRangeRetrieveError(K9)</f>
        <v/>
      </c>
      <c r="M9" s="256"/>
    </row>
    <row r="10" spans="1:13" x14ac:dyDescent="0.2">
      <c r="A10" s="268"/>
      <c r="B10" s="274" t="s">
        <v>121</v>
      </c>
      <c r="C10" s="275" t="s">
        <v>125</v>
      </c>
      <c r="D10" s="274" t="s">
        <v>115</v>
      </c>
      <c r="E10" s="274" t="s">
        <v>116</v>
      </c>
      <c r="F10" s="274" t="s">
        <v>122</v>
      </c>
      <c r="G10" s="274" t="s">
        <v>117</v>
      </c>
      <c r="H10" s="276">
        <v>0</v>
      </c>
      <c r="I10" s="277" t="str">
        <f t="shared" si="0"/>
        <v>AudBBSWSwapForBasisCalc5Y</v>
      </c>
      <c r="J10" s="277" t="str">
        <f t="shared" si="1"/>
        <v>AUDQM3AB5Y_S1BR3BR_Quote</v>
      </c>
      <c r="K10" s="277" t="str">
        <f>_xll.qlForwardSwapQuote(J10,I10,H10,B10,Permanent,Trigger,ObjectOverwrite)</f>
        <v>AUDQM3AB5Y_S1BR3BR_Quote#0000</v>
      </c>
      <c r="L10" s="278" t="str">
        <f>_xll.ohRangeRetrieveError(K10)</f>
        <v/>
      </c>
      <c r="M10" s="256"/>
    </row>
    <row r="11" spans="1:13" x14ac:dyDescent="0.2">
      <c r="A11" s="268"/>
      <c r="B11" s="274" t="s">
        <v>121</v>
      </c>
      <c r="C11" s="275" t="s">
        <v>126</v>
      </c>
      <c r="D11" s="274" t="s">
        <v>115</v>
      </c>
      <c r="E11" s="274" t="s">
        <v>116</v>
      </c>
      <c r="F11" s="274" t="s">
        <v>122</v>
      </c>
      <c r="G11" s="274" t="s">
        <v>117</v>
      </c>
      <c r="H11" s="276">
        <v>0</v>
      </c>
      <c r="I11" s="277" t="str">
        <f t="shared" si="0"/>
        <v>AudBBSWSwapForBasisCalc6Y</v>
      </c>
      <c r="J11" s="277" t="str">
        <f t="shared" si="1"/>
        <v>AUDQM3AB6Y_S1BR3BR_Quote</v>
      </c>
      <c r="K11" s="277" t="str">
        <f>_xll.qlForwardSwapQuote(J11,I11,H11,B11,Permanent,Trigger,ObjectOverwrite)</f>
        <v>AUDQM3AB6Y_S1BR3BR_Quote#0000</v>
      </c>
      <c r="L11" s="278" t="str">
        <f>_xll.ohRangeRetrieveError(K11)</f>
        <v/>
      </c>
      <c r="M11" s="256"/>
    </row>
    <row r="12" spans="1:13" x14ac:dyDescent="0.2">
      <c r="A12" s="268"/>
      <c r="B12" s="274" t="s">
        <v>121</v>
      </c>
      <c r="C12" s="275" t="s">
        <v>127</v>
      </c>
      <c r="D12" s="274" t="s">
        <v>115</v>
      </c>
      <c r="E12" s="274" t="s">
        <v>116</v>
      </c>
      <c r="F12" s="274" t="s">
        <v>122</v>
      </c>
      <c r="G12" s="274" t="s">
        <v>117</v>
      </c>
      <c r="H12" s="276">
        <v>0</v>
      </c>
      <c r="I12" s="277" t="str">
        <f t="shared" si="0"/>
        <v>AudBBSWSwapForBasisCalc7Y</v>
      </c>
      <c r="J12" s="277" t="str">
        <f t="shared" si="1"/>
        <v>AUDQM3AB7Y_S1BR3BR_Quote</v>
      </c>
      <c r="K12" s="277" t="str">
        <f>_xll.qlForwardSwapQuote(J12,I12,H12,B12,Permanent,Trigger,ObjectOverwrite)</f>
        <v>AUDQM3AB7Y_S1BR3BR_Quote#0000</v>
      </c>
      <c r="L12" s="278" t="str">
        <f>_xll.ohRangeRetrieveError(K12)</f>
        <v/>
      </c>
      <c r="M12" s="256"/>
    </row>
    <row r="13" spans="1:13" x14ac:dyDescent="0.2">
      <c r="A13" s="268"/>
      <c r="B13" s="274" t="s">
        <v>121</v>
      </c>
      <c r="C13" s="275" t="s">
        <v>128</v>
      </c>
      <c r="D13" s="274" t="s">
        <v>115</v>
      </c>
      <c r="E13" s="274" t="s">
        <v>116</v>
      </c>
      <c r="F13" s="274" t="s">
        <v>122</v>
      </c>
      <c r="G13" s="274" t="s">
        <v>117</v>
      </c>
      <c r="H13" s="276">
        <v>0</v>
      </c>
      <c r="I13" s="277" t="str">
        <f t="shared" si="0"/>
        <v>AudBBSWSwapForBasisCalc8Y</v>
      </c>
      <c r="J13" s="277" t="str">
        <f t="shared" si="1"/>
        <v>AUDQM3AB8Y_S1BR3BR_Quote</v>
      </c>
      <c r="K13" s="277" t="str">
        <f>_xll.qlForwardSwapQuote(J13,I13,H13,B13,Permanent,Trigger,ObjectOverwrite)</f>
        <v>AUDQM3AB8Y_S1BR3BR_Quote#0000</v>
      </c>
      <c r="L13" s="278" t="str">
        <f>_xll.ohRangeRetrieveError(K13)</f>
        <v/>
      </c>
      <c r="M13" s="256"/>
    </row>
    <row r="14" spans="1:13" x14ac:dyDescent="0.2">
      <c r="A14" s="268"/>
      <c r="B14" s="274" t="s">
        <v>121</v>
      </c>
      <c r="C14" s="275" t="s">
        <v>129</v>
      </c>
      <c r="D14" s="274" t="s">
        <v>115</v>
      </c>
      <c r="E14" s="274" t="s">
        <v>116</v>
      </c>
      <c r="F14" s="274" t="s">
        <v>122</v>
      </c>
      <c r="G14" s="274" t="s">
        <v>117</v>
      </c>
      <c r="H14" s="276">
        <v>0</v>
      </c>
      <c r="I14" s="277" t="str">
        <f t="shared" si="0"/>
        <v>AudBBSWSwapForBasisCalc9Y</v>
      </c>
      <c r="J14" s="277" t="str">
        <f t="shared" si="1"/>
        <v>AUDQM3AB9Y_S1BR3BR_Quote</v>
      </c>
      <c r="K14" s="277" t="str">
        <f>_xll.qlForwardSwapQuote(J14,I14,H14,B14,Permanent,Trigger,ObjectOverwrite)</f>
        <v>AUDQM3AB9Y_S1BR3BR_Quote#0000</v>
      </c>
      <c r="L14" s="278" t="str">
        <f>_xll.ohRangeRetrieveError(K14)</f>
        <v/>
      </c>
      <c r="M14" s="256"/>
    </row>
    <row r="15" spans="1:13" x14ac:dyDescent="0.2">
      <c r="A15" s="268"/>
      <c r="B15" s="274" t="s">
        <v>121</v>
      </c>
      <c r="C15" s="275" t="s">
        <v>130</v>
      </c>
      <c r="D15" s="274" t="s">
        <v>115</v>
      </c>
      <c r="E15" s="274" t="s">
        <v>116</v>
      </c>
      <c r="F15" s="274" t="s">
        <v>122</v>
      </c>
      <c r="G15" s="274" t="s">
        <v>117</v>
      </c>
      <c r="H15" s="276">
        <v>0</v>
      </c>
      <c r="I15" s="277" t="str">
        <f t="shared" si="0"/>
        <v>AudBBSWSwapForBasisCalc10Y</v>
      </c>
      <c r="J15" s="277" t="str">
        <f t="shared" si="1"/>
        <v>AUDQM3AB10Y_S1BR3BR_Quote</v>
      </c>
      <c r="K15" s="277" t="str">
        <f>_xll.qlForwardSwapQuote(J15,I15,H15,B15,Permanent,Trigger,ObjectOverwrite)</f>
        <v>AUDQM3AB10Y_S1BR3BR_Quote#0000</v>
      </c>
      <c r="L15" s="278" t="str">
        <f>_xll.ohRangeRetrieveError(K15)</f>
        <v/>
      </c>
      <c r="M15" s="256"/>
    </row>
    <row r="16" spans="1:13" x14ac:dyDescent="0.2">
      <c r="A16" s="268"/>
      <c r="B16" s="274" t="s">
        <v>121</v>
      </c>
      <c r="C16" s="275" t="s">
        <v>131</v>
      </c>
      <c r="D16" s="274" t="s">
        <v>115</v>
      </c>
      <c r="E16" s="274" t="s">
        <v>116</v>
      </c>
      <c r="F16" s="274" t="s">
        <v>122</v>
      </c>
      <c r="G16" s="274" t="s">
        <v>117</v>
      </c>
      <c r="H16" s="276">
        <v>0</v>
      </c>
      <c r="I16" s="277" t="str">
        <f t="shared" si="0"/>
        <v>AudBBSWSwapForBasisCalc11Y</v>
      </c>
      <c r="J16" s="277" t="str">
        <f t="shared" si="1"/>
        <v>AUDQM3AB11Y_S1BR3BR_Quote</v>
      </c>
      <c r="K16" s="277" t="str">
        <f>_xll.qlForwardSwapQuote(J16,I16,H16,B16,Permanent,Trigger,ObjectOverwrite)</f>
        <v>AUDQM3AB11Y_S1BR3BR_Quote#0000</v>
      </c>
      <c r="L16" s="278" t="str">
        <f>_xll.ohRangeRetrieveError(K16)</f>
        <v/>
      </c>
      <c r="M16" s="256"/>
    </row>
    <row r="17" spans="1:20" x14ac:dyDescent="0.2">
      <c r="A17" s="268"/>
      <c r="B17" s="274" t="s">
        <v>121</v>
      </c>
      <c r="C17" s="275" t="s">
        <v>132</v>
      </c>
      <c r="D17" s="274" t="s">
        <v>115</v>
      </c>
      <c r="E17" s="274" t="s">
        <v>116</v>
      </c>
      <c r="F17" s="274" t="s">
        <v>122</v>
      </c>
      <c r="G17" s="274" t="s">
        <v>117</v>
      </c>
      <c r="H17" s="276">
        <v>0</v>
      </c>
      <c r="I17" s="277" t="str">
        <f t="shared" si="0"/>
        <v>AudBBSWSwapForBasisCalc12Y</v>
      </c>
      <c r="J17" s="277" t="str">
        <f t="shared" si="1"/>
        <v>AUDQM3AB12Y_S1BR3BR_Quote</v>
      </c>
      <c r="K17" s="277" t="str">
        <f>_xll.qlForwardSwapQuote(J17,I17,H17,B17,Permanent,Trigger,ObjectOverwrite)</f>
        <v>AUDQM3AB12Y_S1BR3BR_Quote#0000</v>
      </c>
      <c r="L17" s="278" t="str">
        <f>_xll.ohRangeRetrieveError(K17)</f>
        <v/>
      </c>
      <c r="M17" s="256"/>
    </row>
    <row r="18" spans="1:20" x14ac:dyDescent="0.2">
      <c r="A18" s="268"/>
      <c r="B18" s="274" t="s">
        <v>121</v>
      </c>
      <c r="C18" s="275" t="s">
        <v>133</v>
      </c>
      <c r="D18" s="274" t="s">
        <v>115</v>
      </c>
      <c r="E18" s="274" t="s">
        <v>116</v>
      </c>
      <c r="F18" s="274" t="s">
        <v>122</v>
      </c>
      <c r="G18" s="274" t="s">
        <v>117</v>
      </c>
      <c r="H18" s="276">
        <v>0</v>
      </c>
      <c r="I18" s="277" t="str">
        <f t="shared" si="0"/>
        <v>AudBBSWSwapForBasisCalc13Y</v>
      </c>
      <c r="J18" s="277" t="str">
        <f t="shared" si="1"/>
        <v>AUDQM3AB13Y_S1BR3BR_Quote</v>
      </c>
      <c r="K18" s="277" t="str">
        <f>_xll.qlForwardSwapQuote(J18,I18,H18,B18,Permanent,Trigger,ObjectOverwrite)</f>
        <v>AUDQM3AB13Y_S1BR3BR_Quote#0000</v>
      </c>
      <c r="L18" s="278" t="str">
        <f>_xll.ohRangeRetrieveError(K18)</f>
        <v/>
      </c>
      <c r="M18" s="256"/>
    </row>
    <row r="19" spans="1:20" x14ac:dyDescent="0.2">
      <c r="A19" s="268"/>
      <c r="B19" s="274" t="s">
        <v>121</v>
      </c>
      <c r="C19" s="275" t="s">
        <v>134</v>
      </c>
      <c r="D19" s="274" t="s">
        <v>115</v>
      </c>
      <c r="E19" s="274" t="s">
        <v>116</v>
      </c>
      <c r="F19" s="274" t="s">
        <v>122</v>
      </c>
      <c r="G19" s="274" t="s">
        <v>117</v>
      </c>
      <c r="H19" s="276">
        <v>0</v>
      </c>
      <c r="I19" s="277" t="str">
        <f t="shared" si="0"/>
        <v>AudBBSWSwapForBasisCalc14Y</v>
      </c>
      <c r="J19" s="277" t="str">
        <f t="shared" si="1"/>
        <v>AUDQM3AB14Y_S1BR3BR_Quote</v>
      </c>
      <c r="K19" s="277" t="str">
        <f>_xll.qlForwardSwapQuote(J19,I19,H19,B19,Permanent,Trigger,ObjectOverwrite)</f>
        <v>AUDQM3AB14Y_S1BR3BR_Quote#0000</v>
      </c>
      <c r="L19" s="278" t="str">
        <f>_xll.ohRangeRetrieveError(K19)</f>
        <v/>
      </c>
      <c r="M19" s="256"/>
    </row>
    <row r="20" spans="1:20" x14ac:dyDescent="0.2">
      <c r="A20" s="268"/>
      <c r="B20" s="274" t="s">
        <v>121</v>
      </c>
      <c r="C20" s="275" t="s">
        <v>135</v>
      </c>
      <c r="D20" s="274" t="s">
        <v>115</v>
      </c>
      <c r="E20" s="274" t="s">
        <v>116</v>
      </c>
      <c r="F20" s="274" t="s">
        <v>122</v>
      </c>
      <c r="G20" s="274" t="s">
        <v>117</v>
      </c>
      <c r="H20" s="276">
        <v>0</v>
      </c>
      <c r="I20" s="277" t="str">
        <f t="shared" si="0"/>
        <v>AudBBSWSwapForBasisCalc15Y</v>
      </c>
      <c r="J20" s="277" t="str">
        <f t="shared" si="1"/>
        <v>AUDQM3AB15Y_S1BR3BR_Quote</v>
      </c>
      <c r="K20" s="277" t="str">
        <f>_xll.qlForwardSwapQuote(J20,I20,H20,B20,Permanent,Trigger,ObjectOverwrite)</f>
        <v>AUDQM3AB15Y_S1BR3BR_Quote#0000</v>
      </c>
      <c r="L20" s="278" t="str">
        <f>_xll.ohRangeRetrieveError(K20)</f>
        <v/>
      </c>
      <c r="M20" s="256"/>
    </row>
    <row r="21" spans="1:20" x14ac:dyDescent="0.2">
      <c r="A21" s="268"/>
      <c r="B21" s="274" t="s">
        <v>121</v>
      </c>
      <c r="C21" s="275" t="s">
        <v>136</v>
      </c>
      <c r="D21" s="274" t="s">
        <v>115</v>
      </c>
      <c r="E21" s="274" t="s">
        <v>116</v>
      </c>
      <c r="F21" s="274" t="s">
        <v>122</v>
      </c>
      <c r="G21" s="274" t="s">
        <v>117</v>
      </c>
      <c r="H21" s="276">
        <v>0</v>
      </c>
      <c r="I21" s="277" t="str">
        <f t="shared" si="0"/>
        <v>AudBBSWSwapForBasisCalc16Y</v>
      </c>
      <c r="J21" s="277" t="str">
        <f t="shared" si="1"/>
        <v>AUDQM3AB16Y_S1BR3BR_Quote</v>
      </c>
      <c r="K21" s="277" t="str">
        <f>_xll.qlForwardSwapQuote(J21,I21,H21,B21,Permanent,Trigger,ObjectOverwrite)</f>
        <v>AUDQM3AB16Y_S1BR3BR_Quote#0000</v>
      </c>
      <c r="L21" s="278" t="str">
        <f>_xll.ohRangeRetrieveError(K21)</f>
        <v/>
      </c>
      <c r="M21" s="256"/>
    </row>
    <row r="22" spans="1:20" x14ac:dyDescent="0.2">
      <c r="A22" s="268"/>
      <c r="B22" s="274" t="s">
        <v>121</v>
      </c>
      <c r="C22" s="275" t="s">
        <v>137</v>
      </c>
      <c r="D22" s="274" t="s">
        <v>115</v>
      </c>
      <c r="E22" s="274" t="s">
        <v>116</v>
      </c>
      <c r="F22" s="274" t="s">
        <v>122</v>
      </c>
      <c r="G22" s="274" t="s">
        <v>117</v>
      </c>
      <c r="H22" s="276">
        <v>0</v>
      </c>
      <c r="I22" s="277" t="str">
        <f t="shared" si="0"/>
        <v>AudBBSWSwapForBasisCalc17Y</v>
      </c>
      <c r="J22" s="277" t="str">
        <f t="shared" si="1"/>
        <v>AUDQM3AB17Y_S1BR3BR_Quote</v>
      </c>
      <c r="K22" s="277" t="str">
        <f>_xll.qlForwardSwapQuote(J22,I22,H22,B22,Permanent,Trigger,ObjectOverwrite)</f>
        <v>AUDQM3AB17Y_S1BR3BR_Quote#0000</v>
      </c>
      <c r="L22" s="278" t="str">
        <f>_xll.ohRangeRetrieveError(K22)</f>
        <v/>
      </c>
      <c r="M22" s="256"/>
    </row>
    <row r="23" spans="1:20" x14ac:dyDescent="0.2">
      <c r="A23" s="268"/>
      <c r="B23" s="274" t="s">
        <v>121</v>
      </c>
      <c r="C23" s="275" t="s">
        <v>138</v>
      </c>
      <c r="D23" s="274" t="s">
        <v>115</v>
      </c>
      <c r="E23" s="274" t="s">
        <v>116</v>
      </c>
      <c r="F23" s="274" t="s">
        <v>122</v>
      </c>
      <c r="G23" s="274" t="s">
        <v>117</v>
      </c>
      <c r="H23" s="276">
        <v>0</v>
      </c>
      <c r="I23" s="277" t="str">
        <f t="shared" si="0"/>
        <v>AudBBSWSwapForBasisCalc18Y</v>
      </c>
      <c r="J23" s="277" t="str">
        <f t="shared" si="1"/>
        <v>AUDQM3AB18Y_S1BR3BR_Quote</v>
      </c>
      <c r="K23" s="277" t="str">
        <f>_xll.qlForwardSwapQuote(J23,I23,H23,B23,Permanent,Trigger,ObjectOverwrite)</f>
        <v>AUDQM3AB18Y_S1BR3BR_Quote#0000</v>
      </c>
      <c r="L23" s="278" t="str">
        <f>_xll.ohRangeRetrieveError(K23)</f>
        <v/>
      </c>
      <c r="M23" s="256"/>
    </row>
    <row r="24" spans="1:20" x14ac:dyDescent="0.2">
      <c r="A24" s="268"/>
      <c r="B24" s="274" t="s">
        <v>121</v>
      </c>
      <c r="C24" s="275" t="s">
        <v>139</v>
      </c>
      <c r="D24" s="274" t="s">
        <v>115</v>
      </c>
      <c r="E24" s="274" t="s">
        <v>116</v>
      </c>
      <c r="F24" s="274" t="s">
        <v>122</v>
      </c>
      <c r="G24" s="274" t="s">
        <v>117</v>
      </c>
      <c r="H24" s="276">
        <v>0</v>
      </c>
      <c r="I24" s="277" t="str">
        <f t="shared" si="0"/>
        <v>AudBBSWSwapForBasisCalc19Y</v>
      </c>
      <c r="J24" s="277" t="str">
        <f t="shared" si="1"/>
        <v>AUDQM3AB19Y_S1BR3BR_Quote</v>
      </c>
      <c r="K24" s="277" t="str">
        <f>_xll.qlForwardSwapQuote(J24,I24,H24,B24,Permanent,Trigger,ObjectOverwrite)</f>
        <v>AUDQM3AB19Y_S1BR3BR_Quote#0000</v>
      </c>
      <c r="L24" s="278" t="str">
        <f>_xll.ohRangeRetrieveError(K24)</f>
        <v/>
      </c>
      <c r="M24" s="256"/>
    </row>
    <row r="25" spans="1:20" x14ac:dyDescent="0.2">
      <c r="A25" s="268"/>
      <c r="B25" s="274" t="s">
        <v>121</v>
      </c>
      <c r="C25" s="275" t="s">
        <v>140</v>
      </c>
      <c r="D25" s="274" t="s">
        <v>115</v>
      </c>
      <c r="E25" s="274" t="s">
        <v>116</v>
      </c>
      <c r="F25" s="274" t="s">
        <v>122</v>
      </c>
      <c r="G25" s="274" t="s">
        <v>117</v>
      </c>
      <c r="H25" s="276">
        <v>0</v>
      </c>
      <c r="I25" s="277" t="str">
        <f t="shared" si="0"/>
        <v>AudBBSWSwapForBasisCalc20Y</v>
      </c>
      <c r="J25" s="277" t="str">
        <f t="shared" si="1"/>
        <v>AUDQM3AB20Y_S1BR3BR_Quote</v>
      </c>
      <c r="K25" s="277" t="str">
        <f>_xll.qlForwardSwapQuote(J25,I25,H25,B25,Permanent,Trigger,ObjectOverwrite)</f>
        <v>AUDQM3AB20Y_S1BR3BR_Quote#0000</v>
      </c>
      <c r="L25" s="278" t="str">
        <f>_xll.ohRangeRetrieveError(K25)</f>
        <v/>
      </c>
      <c r="M25" s="256"/>
    </row>
    <row r="26" spans="1:20" x14ac:dyDescent="0.2">
      <c r="A26" s="268"/>
      <c r="B26" s="274" t="s">
        <v>121</v>
      </c>
      <c r="C26" s="275" t="s">
        <v>141</v>
      </c>
      <c r="D26" s="274" t="s">
        <v>115</v>
      </c>
      <c r="E26" s="274" t="s">
        <v>116</v>
      </c>
      <c r="F26" s="274" t="s">
        <v>122</v>
      </c>
      <c r="G26" s="274" t="s">
        <v>117</v>
      </c>
      <c r="H26" s="276">
        <v>0</v>
      </c>
      <c r="I26" s="277" t="str">
        <f t="shared" si="0"/>
        <v>AudBBSWSwapForBasisCalc21Y</v>
      </c>
      <c r="J26" s="277" t="str">
        <f t="shared" si="1"/>
        <v>AUDQM3AB21Y_S1BR3BR_Quote</v>
      </c>
      <c r="K26" s="277" t="str">
        <f>_xll.qlForwardSwapQuote(J26,I26,H26,B26,Permanent,Trigger,ObjectOverwrite)</f>
        <v>AUDQM3AB21Y_S1BR3BR_Quote#0000</v>
      </c>
      <c r="L26" s="278" t="str">
        <f>_xll.ohRangeRetrieveError(K26)</f>
        <v/>
      </c>
      <c r="M26" s="256"/>
    </row>
    <row r="27" spans="1:20" x14ac:dyDescent="0.2">
      <c r="A27" s="268"/>
      <c r="B27" s="274" t="s">
        <v>121</v>
      </c>
      <c r="C27" s="275" t="s">
        <v>142</v>
      </c>
      <c r="D27" s="274" t="s">
        <v>115</v>
      </c>
      <c r="E27" s="274" t="s">
        <v>116</v>
      </c>
      <c r="F27" s="274" t="s">
        <v>122</v>
      </c>
      <c r="G27" s="274" t="s">
        <v>117</v>
      </c>
      <c r="H27" s="276">
        <v>0</v>
      </c>
      <c r="I27" s="277" t="str">
        <f t="shared" si="0"/>
        <v>AudBBSWSwapForBasisCalc22Y</v>
      </c>
      <c r="J27" s="277" t="str">
        <f t="shared" si="1"/>
        <v>AUDQM3AB22Y_S1BR3BR_Quote</v>
      </c>
      <c r="K27" s="277" t="str">
        <f>_xll.qlForwardSwapQuote(J27,I27,H27,B27,Permanent,Trigger,ObjectOverwrite)</f>
        <v>AUDQM3AB22Y_S1BR3BR_Quote#0000</v>
      </c>
      <c r="L27" s="278" t="str">
        <f>_xll.ohRangeRetrieveError(K27)</f>
        <v/>
      </c>
      <c r="M27" s="256"/>
    </row>
    <row r="28" spans="1:20" x14ac:dyDescent="0.2">
      <c r="A28" s="268"/>
      <c r="B28" s="274" t="s">
        <v>121</v>
      </c>
      <c r="C28" s="275" t="s">
        <v>143</v>
      </c>
      <c r="D28" s="274" t="s">
        <v>115</v>
      </c>
      <c r="E28" s="274" t="s">
        <v>116</v>
      </c>
      <c r="F28" s="274" t="s">
        <v>122</v>
      </c>
      <c r="G28" s="274" t="s">
        <v>117</v>
      </c>
      <c r="H28" s="276">
        <v>0</v>
      </c>
      <c r="I28" s="277" t="str">
        <f t="shared" si="0"/>
        <v>AudBBSWSwapForBasisCalc23Y</v>
      </c>
      <c r="J28" s="277" t="str">
        <f t="shared" si="1"/>
        <v>AUDQM3AB23Y_S1BR3BR_Quote</v>
      </c>
      <c r="K28" s="277" t="str">
        <f>_xll.qlForwardSwapQuote(J28,I28,H28,B28,Permanent,Trigger,ObjectOverwrite)</f>
        <v>AUDQM3AB23Y_S1BR3BR_Quote#0000</v>
      </c>
      <c r="L28" s="278" t="str">
        <f>_xll.ohRangeRetrieveError(K28)</f>
        <v/>
      </c>
      <c r="M28" s="256"/>
    </row>
    <row r="29" spans="1:20" x14ac:dyDescent="0.2">
      <c r="A29" s="268"/>
      <c r="B29" s="274" t="s">
        <v>121</v>
      </c>
      <c r="C29" s="275" t="s">
        <v>144</v>
      </c>
      <c r="D29" s="274" t="s">
        <v>115</v>
      </c>
      <c r="E29" s="274" t="s">
        <v>116</v>
      </c>
      <c r="F29" s="274" t="s">
        <v>122</v>
      </c>
      <c r="G29" s="274" t="s">
        <v>117</v>
      </c>
      <c r="H29" s="276">
        <v>0</v>
      </c>
      <c r="I29" s="277" t="str">
        <f t="shared" si="0"/>
        <v>AudBBSWSwapForBasisCalc24Y</v>
      </c>
      <c r="J29" s="277" t="str">
        <f t="shared" si="1"/>
        <v>AUDQM3AB24Y_S1BR3BR_Quote</v>
      </c>
      <c r="K29" s="277" t="str">
        <f>_xll.qlForwardSwapQuote(J29,I29,H29,B29,Permanent,Trigger,ObjectOverwrite)</f>
        <v>AUDQM3AB24Y_S1BR3BR_Quote#0000</v>
      </c>
      <c r="L29" s="278" t="str">
        <f>_xll.ohRangeRetrieveError(K29)</f>
        <v/>
      </c>
      <c r="M29" s="256"/>
    </row>
    <row r="30" spans="1:20" x14ac:dyDescent="0.2">
      <c r="A30" s="268"/>
      <c r="B30" s="274" t="s">
        <v>121</v>
      </c>
      <c r="C30" s="275" t="s">
        <v>145</v>
      </c>
      <c r="D30" s="274" t="s">
        <v>115</v>
      </c>
      <c r="E30" s="274" t="s">
        <v>116</v>
      </c>
      <c r="F30" s="274" t="s">
        <v>122</v>
      </c>
      <c r="G30" s="274" t="s">
        <v>117</v>
      </c>
      <c r="H30" s="276">
        <v>0</v>
      </c>
      <c r="I30" s="277" t="str">
        <f t="shared" si="0"/>
        <v>AudBBSWSwapForBasisCalc25Y</v>
      </c>
      <c r="J30" s="277" t="str">
        <f t="shared" si="1"/>
        <v>AUDQM3AB25Y_S1BR3BR_Quote</v>
      </c>
      <c r="K30" s="277" t="str">
        <f>_xll.qlForwardSwapQuote(J30,I30,H30,B30,Permanent,Trigger,ObjectOverwrite)</f>
        <v>AUDQM3AB25Y_S1BR3BR_Quote#0000</v>
      </c>
      <c r="L30" s="278" t="str">
        <f>_xll.ohRangeRetrieveError(K30)</f>
        <v/>
      </c>
      <c r="M30" s="256"/>
    </row>
    <row r="31" spans="1:20" x14ac:dyDescent="0.2">
      <c r="A31" s="268"/>
      <c r="B31" s="274" t="s">
        <v>121</v>
      </c>
      <c r="C31" s="275" t="s">
        <v>146</v>
      </c>
      <c r="D31" s="274" t="s">
        <v>115</v>
      </c>
      <c r="E31" s="274" t="s">
        <v>116</v>
      </c>
      <c r="F31" s="274" t="s">
        <v>122</v>
      </c>
      <c r="G31" s="274" t="s">
        <v>117</v>
      </c>
      <c r="H31" s="276">
        <v>0</v>
      </c>
      <c r="I31" s="277" t="str">
        <f t="shared" si="0"/>
        <v>AudBBSWSwapForBasisCalc26Y</v>
      </c>
      <c r="J31" s="277" t="str">
        <f t="shared" si="1"/>
        <v>AUDQM3AB26Y_S1BR3BR_Quote</v>
      </c>
      <c r="K31" s="277" t="str">
        <f>_xll.qlForwardSwapQuote(J31,I31,H31,B31,Permanent,Trigger,ObjectOverwrite)</f>
        <v>AUDQM3AB26Y_S1BR3BR_Quote#0000</v>
      </c>
      <c r="L31" s="278" t="str">
        <f>_xll.ohRangeRetrieveError(K31)</f>
        <v/>
      </c>
      <c r="M31" s="256"/>
      <c r="S31" s="287"/>
      <c r="T31" s="287"/>
    </row>
    <row r="32" spans="1:20" x14ac:dyDescent="0.2">
      <c r="A32" s="268"/>
      <c r="B32" s="274" t="s">
        <v>121</v>
      </c>
      <c r="C32" s="275" t="s">
        <v>147</v>
      </c>
      <c r="D32" s="274" t="s">
        <v>115</v>
      </c>
      <c r="E32" s="274" t="s">
        <v>116</v>
      </c>
      <c r="F32" s="274" t="s">
        <v>122</v>
      </c>
      <c r="G32" s="274" t="s">
        <v>117</v>
      </c>
      <c r="H32" s="276">
        <v>0</v>
      </c>
      <c r="I32" s="277" t="str">
        <f t="shared" si="0"/>
        <v>AudBBSWSwapForBasisCalc27Y</v>
      </c>
      <c r="J32" s="277" t="str">
        <f t="shared" si="1"/>
        <v>AUDQM3AB27Y_S1BR3BR_Quote</v>
      </c>
      <c r="K32" s="277" t="str">
        <f>_xll.qlForwardSwapQuote(J32,I32,H32,B32,Permanent,Trigger,ObjectOverwrite)</f>
        <v>AUDQM3AB27Y_S1BR3BR_Quote#0000</v>
      </c>
      <c r="L32" s="278" t="str">
        <f>_xll.ohRangeRetrieveError(K32)</f>
        <v/>
      </c>
      <c r="M32" s="256"/>
    </row>
    <row r="33" spans="1:17" x14ac:dyDescent="0.2">
      <c r="A33" s="268"/>
      <c r="B33" s="274" t="s">
        <v>121</v>
      </c>
      <c r="C33" s="275" t="s">
        <v>148</v>
      </c>
      <c r="D33" s="274" t="s">
        <v>115</v>
      </c>
      <c r="E33" s="274" t="s">
        <v>116</v>
      </c>
      <c r="F33" s="274" t="s">
        <v>122</v>
      </c>
      <c r="G33" s="274" t="s">
        <v>117</v>
      </c>
      <c r="H33" s="276">
        <v>0</v>
      </c>
      <c r="I33" s="277" t="str">
        <f t="shared" si="0"/>
        <v>AudBBSWSwapForBasisCalc28Y</v>
      </c>
      <c r="J33" s="277" t="str">
        <f t="shared" si="1"/>
        <v>AUDQM3AB28Y_S1BR3BR_Quote</v>
      </c>
      <c r="K33" s="277" t="str">
        <f>_xll.qlForwardSwapQuote(J33,I33,H33,B33,Permanent,Trigger,ObjectOverwrite)</f>
        <v>AUDQM3AB28Y_S1BR3BR_Quote#0000</v>
      </c>
      <c r="L33" s="278" t="str">
        <f>_xll.ohRangeRetrieveError(K33)</f>
        <v/>
      </c>
      <c r="M33" s="256"/>
    </row>
    <row r="34" spans="1:17" x14ac:dyDescent="0.2">
      <c r="A34" s="268"/>
      <c r="B34" s="274" t="s">
        <v>121</v>
      </c>
      <c r="C34" s="275" t="s">
        <v>149</v>
      </c>
      <c r="D34" s="274" t="s">
        <v>115</v>
      </c>
      <c r="E34" s="274" t="s">
        <v>116</v>
      </c>
      <c r="F34" s="274" t="s">
        <v>122</v>
      </c>
      <c r="G34" s="274" t="s">
        <v>117</v>
      </c>
      <c r="H34" s="276">
        <v>0</v>
      </c>
      <c r="I34" s="277" t="str">
        <f t="shared" si="0"/>
        <v>AudBBSWSwapForBasisCalc29Y</v>
      </c>
      <c r="J34" s="277" t="str">
        <f t="shared" si="1"/>
        <v>AUDQM3AB29Y_S1BR3BR_Quote</v>
      </c>
      <c r="K34" s="277" t="str">
        <f>_xll.qlForwardSwapQuote(J34,I34,H34,B34,Permanent,Trigger,ObjectOverwrite)</f>
        <v>AUDQM3AB29Y_S1BR3BR_Quote#0000</v>
      </c>
      <c r="L34" s="278" t="str">
        <f>_xll.ohRangeRetrieveError(K34)</f>
        <v/>
      </c>
      <c r="M34" s="256"/>
    </row>
    <row r="35" spans="1:17" x14ac:dyDescent="0.2">
      <c r="A35" s="268"/>
      <c r="B35" s="280" t="s">
        <v>121</v>
      </c>
      <c r="C35" s="281" t="s">
        <v>150</v>
      </c>
      <c r="D35" s="280" t="s">
        <v>115</v>
      </c>
      <c r="E35" s="280" t="s">
        <v>116</v>
      </c>
      <c r="F35" s="280" t="s">
        <v>122</v>
      </c>
      <c r="G35" s="280" t="s">
        <v>117</v>
      </c>
      <c r="H35" s="282">
        <v>0</v>
      </c>
      <c r="I35" s="283" t="str">
        <f t="shared" si="0"/>
        <v>AudBBSWSwapForBasisCalc30Y</v>
      </c>
      <c r="J35" s="283" t="str">
        <f t="shared" si="1"/>
        <v>AUDQM3AB30Y_S1BR3BR_Quote</v>
      </c>
      <c r="K35" s="283" t="str">
        <f>_xll.qlForwardSwapQuote(J35,I35,H35,B35,Permanent,Trigger,ObjectOverwrite)</f>
        <v>AUDQM3AB30Y_S1BR3BR_Quote#0000</v>
      </c>
      <c r="L35" s="284" t="str">
        <f>_xll.ohRangeRetrieveError(K35)</f>
        <v/>
      </c>
      <c r="M35" s="256"/>
    </row>
    <row r="36" spans="1:17" ht="12" thickBot="1" x14ac:dyDescent="0.25">
      <c r="A36" s="285"/>
      <c r="B36" s="264"/>
      <c r="C36" s="264"/>
      <c r="D36" s="264"/>
      <c r="E36" s="264"/>
      <c r="F36" s="264"/>
      <c r="G36" s="264"/>
      <c r="H36" s="265"/>
      <c r="I36" s="265"/>
      <c r="J36" s="265"/>
      <c r="K36" s="265"/>
      <c r="L36" s="265"/>
      <c r="M36" s="266"/>
    </row>
    <row r="39" spans="1:17" x14ac:dyDescent="0.2">
      <c r="I39" s="286"/>
      <c r="J39" s="286"/>
      <c r="L39" s="287"/>
      <c r="M39" s="287"/>
      <c r="N39" s="287"/>
      <c r="O39" s="287"/>
      <c r="P39" s="287"/>
      <c r="Q39" s="287"/>
    </row>
    <row r="40" spans="1:17" x14ac:dyDescent="0.2">
      <c r="I40" s="286"/>
      <c r="J40" s="286"/>
      <c r="L40" s="287"/>
      <c r="M40" s="287"/>
      <c r="N40" s="287"/>
      <c r="O40" s="287"/>
      <c r="P40" s="287"/>
      <c r="Q40" s="287"/>
    </row>
    <row r="41" spans="1:17" x14ac:dyDescent="0.2">
      <c r="I41" s="286"/>
      <c r="J41" s="286"/>
      <c r="L41" s="287"/>
      <c r="M41" s="287"/>
      <c r="N41" s="287"/>
      <c r="O41" s="287"/>
      <c r="P41" s="287"/>
      <c r="Q41" s="287"/>
    </row>
    <row r="42" spans="1:17" x14ac:dyDescent="0.2">
      <c r="I42" s="286"/>
      <c r="J42" s="286"/>
      <c r="L42" s="287"/>
      <c r="M42" s="287"/>
      <c r="N42" s="287"/>
      <c r="O42" s="287"/>
      <c r="P42" s="287"/>
      <c r="Q42" s="287"/>
    </row>
    <row r="43" spans="1:17" x14ac:dyDescent="0.2">
      <c r="I43" s="286"/>
      <c r="J43" s="286"/>
      <c r="L43" s="287"/>
      <c r="M43" s="287"/>
      <c r="N43" s="287"/>
      <c r="O43" s="287"/>
      <c r="P43" s="287"/>
      <c r="Q43" s="287"/>
    </row>
    <row r="44" spans="1:17" x14ac:dyDescent="0.2">
      <c r="I44" s="286"/>
      <c r="J44" s="286"/>
      <c r="L44" s="287"/>
      <c r="M44" s="287"/>
      <c r="N44" s="287"/>
      <c r="O44" s="287"/>
      <c r="P44" s="287"/>
      <c r="Q44" s="287"/>
    </row>
    <row r="45" spans="1:17" x14ac:dyDescent="0.2">
      <c r="I45" s="286"/>
      <c r="J45" s="286"/>
      <c r="L45" s="287"/>
      <c r="M45" s="287"/>
      <c r="N45" s="287"/>
      <c r="O45" s="287"/>
      <c r="P45" s="287"/>
      <c r="Q45" s="287"/>
    </row>
    <row r="46" spans="1:17" x14ac:dyDescent="0.2">
      <c r="I46" s="286"/>
      <c r="J46" s="286"/>
      <c r="L46" s="287"/>
      <c r="M46" s="287"/>
      <c r="N46" s="287"/>
    </row>
    <row r="47" spans="1:17" x14ac:dyDescent="0.2">
      <c r="I47" s="286"/>
      <c r="J47" s="286"/>
      <c r="L47" s="287"/>
      <c r="M47" s="287"/>
      <c r="N47" s="287"/>
      <c r="O47" s="287"/>
    </row>
  </sheetData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showGridLines="0" workbookViewId="0"/>
  </sheetViews>
  <sheetFormatPr defaultRowHeight="11.25" x14ac:dyDescent="0.2"/>
  <cols>
    <col min="1" max="1" width="2.5" style="288" customWidth="1"/>
    <col min="2" max="2" width="2.6640625" style="288" customWidth="1"/>
    <col min="3" max="3" width="3.5" style="288" bestFit="1" customWidth="1"/>
    <col min="4" max="4" width="20.1640625" style="288" bestFit="1" customWidth="1"/>
    <col min="5" max="6" width="22.6640625" style="288" bestFit="1" customWidth="1"/>
    <col min="7" max="7" width="20.1640625" style="288" bestFit="1" customWidth="1"/>
    <col min="8" max="9" width="9.33203125" style="288" bestFit="1" customWidth="1"/>
    <col min="10" max="14" width="14.1640625" style="288" bestFit="1" customWidth="1"/>
    <col min="15" max="17" width="14" style="288" bestFit="1" customWidth="1"/>
    <col min="18" max="18" width="3.5" style="288" bestFit="1" customWidth="1"/>
    <col min="19" max="19" width="9.33203125" style="288"/>
    <col min="20" max="20" width="16.6640625" style="288" bestFit="1" customWidth="1"/>
    <col min="21" max="22" width="28.83203125" style="288" bestFit="1" customWidth="1"/>
    <col min="23" max="16384" width="9.33203125" style="288"/>
  </cols>
  <sheetData>
    <row r="1" spans="3:11" ht="12" thickBot="1" x14ac:dyDescent="0.25"/>
    <row r="2" spans="3:11" ht="12" thickBot="1" x14ac:dyDescent="0.25">
      <c r="C2" s="289"/>
      <c r="D2" s="290"/>
      <c r="E2" s="291" t="s">
        <v>153</v>
      </c>
      <c r="F2" s="291" t="s">
        <v>154</v>
      </c>
      <c r="G2" s="291" t="s">
        <v>155</v>
      </c>
      <c r="H2" s="291"/>
      <c r="I2" s="291"/>
      <c r="J2" s="291"/>
      <c r="K2" s="291" t="s">
        <v>83</v>
      </c>
    </row>
    <row r="3" spans="3:11" x14ac:dyDescent="0.2">
      <c r="C3" s="336" t="s">
        <v>25</v>
      </c>
      <c r="D3" s="292" t="s">
        <v>32</v>
      </c>
      <c r="E3" s="293">
        <f>_xll.qlInterestRateIndexFixingDate(index,F3,Trigger)</f>
        <v>41892</v>
      </c>
      <c r="F3" s="293">
        <f>_xll.qlCalendarAdvance(Calendar,_xll.qlSettingsEvaluationDate(),F17,"mf",,Trigger)</f>
        <v>41892</v>
      </c>
      <c r="G3" s="293">
        <f>_xll.qlCalendarAdvance(Calendar,startdate,D3,"mf",,Trigger)</f>
        <v>41922</v>
      </c>
      <c r="H3" s="294">
        <f>_xll.qlDayCounterYearFraction($F$20,F3,G3,,,Trigger)</f>
        <v>8.2191780821917804E-2</v>
      </c>
      <c r="I3" s="294"/>
      <c r="J3" s="294"/>
      <c r="K3" s="295">
        <f>_xll.qlYieldTSDiscount(Discounting,G3,,InterestRatesTrigger)</f>
        <v>0.99788189241800618</v>
      </c>
    </row>
    <row r="4" spans="3:11" x14ac:dyDescent="0.2">
      <c r="C4" s="337"/>
      <c r="D4" s="297" t="s">
        <v>39</v>
      </c>
      <c r="E4" s="298">
        <f>_xll.qlInterestRateIndexFixingDate(index,F4,Trigger)</f>
        <v>41922</v>
      </c>
      <c r="F4" s="298">
        <f>_xll.qlCalendarAdvance(Calendar,startdate,D3,"mf",,Trigger)</f>
        <v>41922</v>
      </c>
      <c r="G4" s="298">
        <f>_xll.qlCalendarAdvance(Calendar,startdate,D4,"mf",,Trigger)</f>
        <v>41953</v>
      </c>
      <c r="H4" s="299">
        <f>_xll.qlDayCounterYearFraction($F$20,F4,G4,,,Trigger)</f>
        <v>8.4931506849315067E-2</v>
      </c>
      <c r="I4" s="299"/>
      <c r="J4" s="299"/>
      <c r="K4" s="300">
        <f>_xll.qlYieldTSDiscount(Discounting,G4,,InterestRatesTrigger)</f>
        <v>0.99577524410271523</v>
      </c>
    </row>
    <row r="5" spans="3:11" x14ac:dyDescent="0.2">
      <c r="C5" s="337"/>
      <c r="D5" s="302" t="s">
        <v>33</v>
      </c>
      <c r="E5" s="303">
        <f>_xll.qlInterestRateIndexFixingDate(index,F5,Trigger)</f>
        <v>41953</v>
      </c>
      <c r="F5" s="303">
        <f>_xll.qlCalendarAdvance(Calendar,startdate,D4,"mf",,Trigger)</f>
        <v>41953</v>
      </c>
      <c r="G5" s="303">
        <f>_xll.qlCalendarAdvance(Calendar,startdate,D5,"mf",,Trigger)</f>
        <v>41983</v>
      </c>
      <c r="H5" s="304">
        <f>_xll.qlDayCounterYearFraction($F$20,F5,G5,,,Trigger)</f>
        <v>8.2191780821917804E-2</v>
      </c>
      <c r="I5" s="299">
        <f>_xll.qlDayCounterYearFraction($F$19,F3,G5,,,Trigger)</f>
        <v>0.24931506849315069</v>
      </c>
      <c r="J5" s="299">
        <f>_xll.qlDayCounterYearFraction($F$19,F3,G5,,,Trigger)</f>
        <v>0.24931506849315069</v>
      </c>
      <c r="K5" s="305">
        <f>_xll.qlYieldTSDiscount(Discounting,G5,,InterestRatesTrigger)</f>
        <v>0.99374875008820762</v>
      </c>
    </row>
    <row r="6" spans="3:11" x14ac:dyDescent="0.2">
      <c r="C6" s="337"/>
      <c r="D6" s="306" t="s">
        <v>40</v>
      </c>
      <c r="E6" s="307">
        <f>_xll.qlInterestRateIndexFixingDate(index,F6,Trigger)</f>
        <v>41983</v>
      </c>
      <c r="F6" s="307">
        <f>_xll.qlCalendarAdvance(Calendar,startdate,D5,"mf",,Trigger)</f>
        <v>41983</v>
      </c>
      <c r="G6" s="307">
        <f>_xll.qlCalendarAdvance(Calendar,startdate,D6,"mf",,Trigger)</f>
        <v>42016</v>
      </c>
      <c r="H6" s="308">
        <f>_xll.qlDayCounterYearFraction($F$20,F6,G6,,,Trigger)</f>
        <v>9.0410958904109592E-2</v>
      </c>
      <c r="I6" s="308"/>
      <c r="J6" s="308"/>
      <c r="K6" s="309">
        <f>_xll.qlYieldTSDiscount(Discounting,G6,,InterestRatesTrigger)</f>
        <v>0.99154052806252002</v>
      </c>
    </row>
    <row r="7" spans="3:11" x14ac:dyDescent="0.2">
      <c r="C7" s="337"/>
      <c r="D7" s="297" t="s">
        <v>41</v>
      </c>
      <c r="E7" s="298">
        <f>_xll.qlInterestRateIndexFixingDate(index,F7,Trigger)</f>
        <v>42016</v>
      </c>
      <c r="F7" s="298">
        <f>_xll.qlCalendarAdvance(Calendar,startdate,D6,"mf",,Trigger)</f>
        <v>42016</v>
      </c>
      <c r="G7" s="298">
        <f>_xll.qlCalendarAdvance(Calendar,startdate,D7,"mf",,Trigger)</f>
        <v>42045</v>
      </c>
      <c r="H7" s="299">
        <f>_xll.qlDayCounterYearFraction($F$20,F7,G7,,,Trigger)</f>
        <v>7.9452054794520555E-2</v>
      </c>
      <c r="I7" s="299"/>
      <c r="J7" s="299"/>
      <c r="K7" s="300">
        <f>_xll.qlYieldTSDiscount(Discounting,G7,,InterestRatesTrigger)</f>
        <v>0.98960250445554432</v>
      </c>
    </row>
    <row r="8" spans="3:11" x14ac:dyDescent="0.2">
      <c r="C8" s="337"/>
      <c r="D8" s="302" t="s">
        <v>34</v>
      </c>
      <c r="E8" s="303">
        <f>_xll.qlInterestRateIndexFixingDate(index,F8,Trigger)</f>
        <v>42045</v>
      </c>
      <c r="F8" s="303">
        <f>_xll.qlCalendarAdvance(Calendar,startdate,D7,"mf",,Trigger)</f>
        <v>42045</v>
      </c>
      <c r="G8" s="303">
        <f>_xll.qlCalendarAdvance(Calendar,startdate,D8,"mf",,Trigger)</f>
        <v>42073</v>
      </c>
      <c r="H8" s="304">
        <f>_xll.qlDayCounterYearFraction($F$20,F8,G8,,,Trigger)</f>
        <v>7.6712328767123292E-2</v>
      </c>
      <c r="I8" s="304">
        <f>_xll.qlDayCounterYearFraction($F$19,F6,G8,,,Trigger)</f>
        <v>0.24657534246575341</v>
      </c>
      <c r="J8" s="304">
        <f>_xll.qlDayCounterYearFraction($F$19,F6,G8,,,Trigger)</f>
        <v>0.24657534246575341</v>
      </c>
      <c r="K8" s="305">
        <f>_xll.qlYieldTSDiscount(Discounting,G8,,InterestRatesTrigger)</f>
        <v>0.98773528393513355</v>
      </c>
    </row>
    <row r="9" spans="3:11" x14ac:dyDescent="0.2">
      <c r="C9" s="337"/>
      <c r="D9" s="306" t="s">
        <v>151</v>
      </c>
      <c r="E9" s="307">
        <f>_xll.qlInterestRateIndexFixingDate(index,F9,Trigger)</f>
        <v>42073</v>
      </c>
      <c r="F9" s="307">
        <f>_xll.qlCalendarAdvance(Calendar,startdate,D8,"mf",,Trigger)</f>
        <v>42073</v>
      </c>
      <c r="G9" s="307">
        <f>_xll.qlCalendarAdvance(Calendar,startdate,D9,"mf",,Trigger)</f>
        <v>42104</v>
      </c>
      <c r="H9" s="308">
        <f>_xll.qlDayCounterYearFraction($F$20,F9,G9,,,Trigger)</f>
        <v>8.4931506849315067E-2</v>
      </c>
      <c r="I9" s="308"/>
      <c r="J9" s="308"/>
      <c r="K9" s="309">
        <f>_xll.qlYieldTSDiscount(Discounting,G9,,InterestRatesTrigger)</f>
        <v>0.98567298440129669</v>
      </c>
    </row>
    <row r="10" spans="3:11" x14ac:dyDescent="0.2">
      <c r="C10" s="337"/>
      <c r="D10" s="297" t="s">
        <v>152</v>
      </c>
      <c r="E10" s="298">
        <f>_xll.qlInterestRateIndexFixingDate(index,F10,Trigger)</f>
        <v>42104</v>
      </c>
      <c r="F10" s="298">
        <f>_xll.qlCalendarAdvance(Calendar,startdate,D9,"mf",,Trigger)</f>
        <v>42104</v>
      </c>
      <c r="G10" s="298">
        <f>_xll.qlCalendarAdvance(Calendar,startdate,D10,"mf",,Trigger)</f>
        <v>42135</v>
      </c>
      <c r="H10" s="299">
        <f>_xll.qlDayCounterYearFraction($F$20,F10,G10,,,Trigger)</f>
        <v>8.4931506849315067E-2</v>
      </c>
      <c r="I10" s="299"/>
      <c r="J10" s="299"/>
      <c r="K10" s="300">
        <f>_xll.qlYieldTSDiscount(Discounting,G10,,InterestRatesTrigger)</f>
        <v>0.98361172751307746</v>
      </c>
    </row>
    <row r="11" spans="3:11" x14ac:dyDescent="0.2">
      <c r="C11" s="337"/>
      <c r="D11" s="302" t="s">
        <v>123</v>
      </c>
      <c r="E11" s="303">
        <f>_xll.qlInterestRateIndexFixingDate(index,F11,Trigger)</f>
        <v>42135</v>
      </c>
      <c r="F11" s="303">
        <f>_xll.qlCalendarAdvance(Calendar,startdate,D10,"mf",,Trigger)</f>
        <v>42135</v>
      </c>
      <c r="G11" s="303">
        <f>_xll.qlCalendarAdvance(Calendar,startdate,D11,"mf",,Trigger)</f>
        <v>42165</v>
      </c>
      <c r="H11" s="304">
        <f>_xll.qlDayCounterYearFraction($F$20,F11,G11,,,Trigger)</f>
        <v>8.2191780821917804E-2</v>
      </c>
      <c r="I11" s="304">
        <f>_xll.qlDayCounterYearFraction($F$19,F9,G11,,,Trigger)</f>
        <v>0.25205479452054796</v>
      </c>
      <c r="J11" s="304">
        <f>_xll.qlDayCounterYearFraction($F$19,F9,G11,,,Trigger)</f>
        <v>0.25205479452054796</v>
      </c>
      <c r="K11" s="305">
        <f>_xll.qlYieldTSDiscount(Discounting,G11,,InterestRatesTrigger)</f>
        <v>0.98161339826587002</v>
      </c>
    </row>
    <row r="12" spans="3:11" x14ac:dyDescent="0.2">
      <c r="C12" s="337"/>
      <c r="D12" s="297" t="s">
        <v>156</v>
      </c>
      <c r="E12" s="298">
        <f>_xll.qlInterestRateIndexFixingDate(index,F12,Trigger)</f>
        <v>42165</v>
      </c>
      <c r="F12" s="298">
        <f>_xll.qlCalendarAdvance(Calendar,startdate,D11,"mf",,Trigger)</f>
        <v>42165</v>
      </c>
      <c r="G12" s="298">
        <f>_xll.qlCalendarAdvance(Calendar,startdate,D12,"mf",,Trigger)</f>
        <v>42195</v>
      </c>
      <c r="H12" s="299">
        <f>_xll.qlDayCounterYearFraction($F$20,F12,G12,,,Trigger)</f>
        <v>8.2191780821917804E-2</v>
      </c>
      <c r="I12" s="299"/>
      <c r="J12" s="299"/>
      <c r="K12" s="300">
        <f>_xll.qlYieldTSDiscount(Discounting,G12,,InterestRatesTrigger)</f>
        <v>0.97960722870163386</v>
      </c>
    </row>
    <row r="13" spans="3:11" x14ac:dyDescent="0.2">
      <c r="C13" s="337"/>
      <c r="D13" s="297" t="s">
        <v>157</v>
      </c>
      <c r="E13" s="298">
        <f>_xll.qlInterestRateIndexFixingDate(index,F13,Trigger)</f>
        <v>42195</v>
      </c>
      <c r="F13" s="298">
        <f>_xll.qlCalendarAdvance(Calendar,startdate,D12,"mf",,Trigger)</f>
        <v>42195</v>
      </c>
      <c r="G13" s="298">
        <f>_xll.qlCalendarAdvance(Calendar,startdate,D13,"mf",,Trigger)</f>
        <v>42226</v>
      </c>
      <c r="H13" s="299">
        <f>_xll.qlDayCounterYearFraction($F$20,F13,G13,,,Trigger)</f>
        <v>8.4931506849315067E-2</v>
      </c>
      <c r="I13" s="299"/>
      <c r="J13" s="299"/>
      <c r="K13" s="300">
        <f>_xll.qlYieldTSDiscount(Discounting,G13,,InterestRatesTrigger)</f>
        <v>0.97752170288188522</v>
      </c>
    </row>
    <row r="14" spans="3:11" ht="12" thickBot="1" x14ac:dyDescent="0.25">
      <c r="C14" s="338"/>
      <c r="D14" s="310" t="s">
        <v>158</v>
      </c>
      <c r="E14" s="311">
        <f>_xll.qlInterestRateIndexFixingDate(index,F14,Trigger)</f>
        <v>42226</v>
      </c>
      <c r="F14" s="311">
        <f>_xll.qlCalendarAdvance(Calendar,startdate,D13,"mf",,Trigger)</f>
        <v>42226</v>
      </c>
      <c r="G14" s="311">
        <f>_xll.qlCalendarAdvance(Calendar,startdate,D14,"mf",,Trigger)</f>
        <v>42257</v>
      </c>
      <c r="H14" s="312">
        <f>_xll.qlDayCounterYearFraction($F$20,F14,G14,,,Trigger)</f>
        <v>8.4931506849315067E-2</v>
      </c>
      <c r="I14" s="312">
        <f>_xll.qlDayCounterYearFraction($F$19,F12,G14,,,Trigger)</f>
        <v>0.25205479452054796</v>
      </c>
      <c r="J14" s="312">
        <f>_xll.qlDayCounterYearFraction($F$19,F12,G14,,,Trigger)</f>
        <v>0.25205479452054796</v>
      </c>
      <c r="K14" s="313">
        <f>_xll.qlYieldTSDiscount(Discounting,G14,,InterestRatesTrigger)</f>
        <v>0.97541922925464131</v>
      </c>
    </row>
    <row r="15" spans="3:11" x14ac:dyDescent="0.2">
      <c r="E15" s="315"/>
      <c r="F15" s="315"/>
      <c r="G15" s="315"/>
    </row>
    <row r="16" spans="3:11" ht="12" thickBot="1" x14ac:dyDescent="0.25"/>
    <row r="17" spans="1:10" x14ac:dyDescent="0.2">
      <c r="E17" s="323" t="s">
        <v>159</v>
      </c>
      <c r="F17" s="324" t="s">
        <v>35</v>
      </c>
    </row>
    <row r="18" spans="1:10" x14ac:dyDescent="0.2">
      <c r="E18" s="325" t="s">
        <v>160</v>
      </c>
      <c r="F18" s="326" t="s">
        <v>161</v>
      </c>
    </row>
    <row r="19" spans="1:10" x14ac:dyDescent="0.2">
      <c r="E19" s="325" t="s">
        <v>162</v>
      </c>
      <c r="F19" s="326" t="s">
        <v>73</v>
      </c>
    </row>
    <row r="20" spans="1:10" ht="12" thickBot="1" x14ac:dyDescent="0.25">
      <c r="E20" s="327" t="s">
        <v>163</v>
      </c>
      <c r="F20" s="328" t="s">
        <v>73</v>
      </c>
    </row>
    <row r="23" spans="1:10" ht="12" thickBot="1" x14ac:dyDescent="0.25"/>
    <row r="24" spans="1:10" ht="12" thickBot="1" x14ac:dyDescent="0.25">
      <c r="D24" s="291"/>
      <c r="E24" s="291" t="s">
        <v>165</v>
      </c>
      <c r="F24" s="291" t="s">
        <v>164</v>
      </c>
      <c r="G24" s="291" t="s">
        <v>166</v>
      </c>
    </row>
    <row r="25" spans="1:10" x14ac:dyDescent="0.2">
      <c r="D25" s="306" t="s">
        <v>33</v>
      </c>
      <c r="E25" s="317">
        <f>_xll.qlQuoteValue('1M BBSWSwapForBasisCalc'!J3,AllTriggers)</f>
        <v>2.6251288090713039E-2</v>
      </c>
      <c r="F25" s="318">
        <f>_xll.qlQuoteValue(Currency&amp;"1BR3BR"&amp;D25&amp;QuoteSuffix,AllTriggers)</f>
        <v>3.7500000000000001E-4</v>
      </c>
      <c r="G25" s="317">
        <f>(E25*SUMPRODUCT(J3:J5,K3:K5)-F25*SUMPRODUCT(H3:H5,K3:K5))/SUMPRODUCT(I3:I5,K3:K5)</f>
        <v>2.5875513403508743E-2</v>
      </c>
    </row>
    <row r="26" spans="1:10" x14ac:dyDescent="0.2">
      <c r="D26" s="297" t="s">
        <v>34</v>
      </c>
      <c r="E26" s="319">
        <f>_xll.qlQuoteValue('1M BBSWSwapForBasisCalc'!J4,AllTriggers)</f>
        <v>2.6250338471208751E-2</v>
      </c>
      <c r="F26" s="320">
        <f>_xll.qlQuoteValue(Currency&amp;"1BR3BR"&amp;D26&amp;QuoteSuffix,AllTriggers)</f>
        <v>4.8749999999999998E-4</v>
      </c>
      <c r="G26" s="319">
        <f>(E26*SUMPRODUCT(J3:J8,K3:K8)-F26*SUMPRODUCT(H3:H8,K3:K8))/SUMPRODUCT(I3:I8,K3:K8)</f>
        <v>2.5761842040210214E-2</v>
      </c>
    </row>
    <row r="27" spans="1:10" x14ac:dyDescent="0.2">
      <c r="D27" s="297" t="s">
        <v>123</v>
      </c>
      <c r="E27" s="319">
        <f>_xll.qlQuoteValue('1M BBSWSwapForBasisCalc'!J5,AllTriggers)</f>
        <v>2.6274721863427469E-2</v>
      </c>
      <c r="F27" s="320">
        <f>_xll.qlQuoteValue(Currency&amp;"1BR3BR"&amp;D27&amp;QuoteSuffix,AllTriggers)</f>
        <v>5.7499999999999999E-4</v>
      </c>
      <c r="G27" s="319">
        <f>(E27*SUMPRODUCT(J3:J11,K3:K11)-F27*SUMPRODUCT(H3:H11,K3:K11))/SUMPRODUCT(I3:I11,K3:K11)</f>
        <v>2.5698539743776252E-2</v>
      </c>
      <c r="J27" s="316"/>
    </row>
    <row r="28" spans="1:10" ht="12" thickBot="1" x14ac:dyDescent="0.25">
      <c r="D28" s="310" t="s">
        <v>25</v>
      </c>
      <c r="E28" s="321">
        <f>_xll.qlQuoteValue(Currency&amp;"QM3AB"&amp;D28&amp;QuoteSuffix,AllTriggers)</f>
        <v>2.6474999999999999E-2</v>
      </c>
      <c r="F28" s="322">
        <f>_xll.qlQuoteValue(Currency&amp;"1BR3BR"&amp;D28&amp;QuoteSuffix,AllTriggers)</f>
        <v>6.7500000000000004E-4</v>
      </c>
      <c r="G28" s="321">
        <f>(E28*SUMPRODUCT(J3:J14,K3:K14)-F28*SUMPRODUCT(H3:H14,K3:K14))/SUMPRODUCT(I3:I14,K3:K14)</f>
        <v>2.579860041109246E-2</v>
      </c>
    </row>
    <row r="29" spans="1:10" ht="12" thickBot="1" x14ac:dyDescent="0.25"/>
    <row r="30" spans="1:10" ht="12" thickBot="1" x14ac:dyDescent="0.25">
      <c r="A30" s="291"/>
      <c r="B30" s="291"/>
      <c r="C30" s="291"/>
      <c r="D30" s="291" t="s">
        <v>169</v>
      </c>
      <c r="E30" s="291" t="s">
        <v>167</v>
      </c>
      <c r="F30" s="291" t="s">
        <v>168</v>
      </c>
      <c r="G30" s="291"/>
      <c r="H30" s="291"/>
      <c r="I30" s="291" t="s">
        <v>61</v>
      </c>
    </row>
    <row r="31" spans="1:10" x14ac:dyDescent="0.2">
      <c r="A31" s="292">
        <v>0</v>
      </c>
      <c r="B31" s="296" t="s">
        <v>29</v>
      </c>
      <c r="C31" s="296">
        <v>3</v>
      </c>
      <c r="D31" s="296" t="str">
        <f>Currency&amp;A31&amp;B31&amp;C31&amp;"F"</f>
        <v>AUD0x3F</v>
      </c>
      <c r="E31" s="293">
        <f>_xll.qlCalendarAdvance(Calendar,SettlementDate,"1D","F",,Trigger)</f>
        <v>41892</v>
      </c>
      <c r="F31" s="293">
        <f>_xll.qlInterestRateIndexMaturity(index,E31,Trigger)</f>
        <v>41983</v>
      </c>
      <c r="G31" s="296">
        <f>_xll.qlDayCounterYearFraction($F$19,E31,F31,,,Trigger)</f>
        <v>0.24931506849315069</v>
      </c>
      <c r="H31" s="296">
        <f>_xll.qlDayCounterYearFraction($F$19,$E$31,F31,,,Trigger)</f>
        <v>0.24931506849315069</v>
      </c>
      <c r="I31" s="332">
        <f>G25</f>
        <v>2.5875513403508743E-2</v>
      </c>
    </row>
    <row r="32" spans="1:10" x14ac:dyDescent="0.2">
      <c r="A32" s="297">
        <f>A31+3</f>
        <v>3</v>
      </c>
      <c r="B32" s="301" t="s">
        <v>29</v>
      </c>
      <c r="C32" s="301">
        <f>C31+3</f>
        <v>6</v>
      </c>
      <c r="D32" s="301" t="str">
        <f>Currency&amp;A32&amp;B32&amp;C32&amp;"F"</f>
        <v>AUD3x6F</v>
      </c>
      <c r="E32" s="298">
        <f>F31</f>
        <v>41983</v>
      </c>
      <c r="F32" s="298">
        <f>_xll.qlInterestRateIndexMaturity(index,E32,Trigger)</f>
        <v>42073</v>
      </c>
      <c r="G32" s="301">
        <f>_xll.qlDayCounterYearFraction($F$19,E32,F32,,,Trigger)</f>
        <v>0.24657534246575341</v>
      </c>
      <c r="H32" s="301">
        <f>_xll.qlDayCounterYearFraction($F$19,$E$31,F32,,,Trigger)</f>
        <v>0.49589041095890413</v>
      </c>
      <c r="I32" s="320">
        <f>((1+G26*H32)/(1+I31*H31)-1)/G32</f>
        <v>2.5482515991211124E-2</v>
      </c>
    </row>
    <row r="33" spans="1:9" ht="12" thickBot="1" x14ac:dyDescent="0.25">
      <c r="A33" s="310">
        <f>A32+3</f>
        <v>6</v>
      </c>
      <c r="B33" s="314" t="s">
        <v>29</v>
      </c>
      <c r="C33" s="314">
        <f>C32+3</f>
        <v>9</v>
      </c>
      <c r="D33" s="314" t="str">
        <f>Currency&amp;A33&amp;B33&amp;C33&amp;"F"</f>
        <v>AUD6x9F</v>
      </c>
      <c r="E33" s="311">
        <f>F32</f>
        <v>42073</v>
      </c>
      <c r="F33" s="311">
        <f>_xll.qlInterestRateIndexMaturity(index,E33,Trigger)</f>
        <v>42165</v>
      </c>
      <c r="G33" s="314">
        <f>_xll.qlDayCounterYearFraction($F$19,E33,F33,,,Trigger)</f>
        <v>0.25205479452054796</v>
      </c>
      <c r="H33" s="314">
        <f>_xll.qlDayCounterYearFraction($F$19,$E$31,F33,,,Trigger)</f>
        <v>0.74794520547945209</v>
      </c>
      <c r="I33" s="322">
        <f>((1+G27*H33)/(1+G26*H32)-1)/G33</f>
        <v>2.5251411303238266E-2</v>
      </c>
    </row>
  </sheetData>
  <mergeCells count="1">
    <mergeCell ref="C3:C14"/>
  </mergeCells>
  <dataValidations count="1">
    <dataValidation type="list" allowBlank="1" showInputMessage="1" showErrorMessage="1" sqref="F19:F20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47</vt:i4>
      </vt:variant>
    </vt:vector>
  </HeadingPairs>
  <TitlesOfParts>
    <vt:vector size="56" baseType="lpstr">
      <vt:lpstr>General Settings</vt:lpstr>
      <vt:lpstr>basis 3M</vt:lpstr>
      <vt:lpstr>3MSynthDepo</vt:lpstr>
      <vt:lpstr>6MSynthDepo</vt:lpstr>
      <vt:lpstr>1MSynthDepo</vt:lpstr>
      <vt:lpstr>Contribution</vt:lpstr>
      <vt:lpstr>6M BBSWSwapForBasisCalc</vt:lpstr>
      <vt:lpstr>1M BBSWSwapForBasisCalc</vt:lpstr>
      <vt:lpstr>Swap1M</vt:lpstr>
      <vt:lpstr>AllTriggers</vt:lpstr>
      <vt:lpstr>Calendar</vt:lpstr>
      <vt:lpstr>Currency</vt:lpstr>
      <vt:lpstr>'3MSynthDepo'!DayCounter3M</vt:lpstr>
      <vt:lpstr>'1MSynthDepo'!DayCounter6M</vt:lpstr>
      <vt:lpstr>'6MSynthDepo'!DayCounter6M</vt:lpstr>
      <vt:lpstr>'1MSynthDepo'!DayCounterOIS</vt:lpstr>
      <vt:lpstr>'3MSynthDepo'!DayCounterOIS</vt:lpstr>
      <vt:lpstr>'6MSynthDepo'!DayCounterOIS</vt:lpstr>
      <vt:lpstr>'1MSynthDepo'!DayCounterON</vt:lpstr>
      <vt:lpstr>'3MSynthDepo'!DayCounterON</vt:lpstr>
      <vt:lpstr>'6MSynthDepo'!DayCounterON</vt:lpstr>
      <vt:lpstr>Discounting</vt:lpstr>
      <vt:lpstr>EvaluationDate</vt:lpstr>
      <vt:lpstr>FileOverwrite</vt:lpstr>
      <vt:lpstr>GENERAL_SETTINGS</vt:lpstr>
      <vt:lpstr>IborType</vt:lpstr>
      <vt:lpstr>index</vt:lpstr>
      <vt:lpstr>InterestRatesTrigger</vt:lpstr>
      <vt:lpstr>LastDayInNextYear</vt:lpstr>
      <vt:lpstr>LastDayInYear</vt:lpstr>
      <vt:lpstr>LastFixingsTrigger</vt:lpstr>
      <vt:lpstr>LastUpdate</vt:lpstr>
      <vt:lpstr>LiveDataFeed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startdate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2014-09-09T15:06:22Z</dcterms:modified>
</cp:coreProperties>
</file>